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cotont\Dropbox\GitHub\HeroForge-Anew\data\"/>
    </mc:Choice>
  </mc:AlternateContent>
  <bookViews>
    <workbookView xWindow="0" yWindow="0" windowWidth="20730" windowHeight="11760"/>
  </bookViews>
  <sheets>
    <sheet name="Sheet1" sheetId="1" r:id="rId1"/>
  </sheets>
  <externalReferences>
    <externalReference r:id="rId2"/>
    <externalReference r:id="rId3"/>
  </externalReferences>
  <definedNames>
    <definedName name="BaseSpeed">'[1]Race Info'!$G$1</definedName>
    <definedName name="CampaignCell">[1]ExportSheet!$A$26</definedName>
    <definedName name="Cha">'[1]Stats &amp; Character Details'!$BN$8</definedName>
    <definedName name="ChaMod">'[1]Stats &amp; Character Details'!$BO$8</definedName>
    <definedName name="CharLvl">'[1]Class Info'!$EF$9</definedName>
    <definedName name="ChildoftheSeaSelected">'[1]Race &amp; Templates'!$AG$43</definedName>
    <definedName name="ClassLvl">'[1]Class Info'!$EF$7</definedName>
    <definedName name="CreatureBurrowSpeedCol">'[1]Creature Info'!$H$4</definedName>
    <definedName name="CreatureClimbSpeedCol">'[1]Creature Info'!$I$4</definedName>
    <definedName name="CreatureFlyManCol">'[1]Creature Info'!$K$4</definedName>
    <definedName name="CreatureFlySpeedCol">'[1]Creature Info'!$J$4</definedName>
    <definedName name="CreatureInfoRowsCnt">'[1]Creature Info'!$CN$7</definedName>
    <definedName name="CreatureNaturalAttacksCol">'[1]Creature Info'!$N$4</definedName>
    <definedName name="CreatureSizeCol">'[1]Creature Info'!$C$4</definedName>
    <definedName name="CreatureSwimSpeedCol">'[1]Creature Info'!$L$4</definedName>
    <definedName name="CustomRace">'[1]Custom Race'!$D$3:$D$47</definedName>
    <definedName name="DragonbornAspect">'[1]Race &amp; Templates'!$P$4</definedName>
    <definedName name="DragonwroughtSkill">[1]Tables!$I$273</definedName>
    <definedName name="effBinLvl">'[1]Class Abilities'!$E$4538</definedName>
    <definedName name="FeyriDR">'[1]Race &amp; Templates'!$AZ$19</definedName>
    <definedName name="FeyriHasSpecialAbility">'[1]Race &amp; Templates'!$AG$12</definedName>
    <definedName name="FtAsceticHunter">[1]Feats!$AR$643</definedName>
    <definedName name="FtAsceticKnight">[1]Feats!$AR$644</definedName>
    <definedName name="FtAsceticRogue">[1]Feats!$AR$646</definedName>
    <definedName name="FtAsceticStalker">[1]Feats!$AR$968</definedName>
    <definedName name="FtDarkBlood">[1]Feats!$AR$2629</definedName>
    <definedName name="FtDragonwrought">[1]Feats!$AR$1323</definedName>
    <definedName name="FtEpicDragonWildShape">[1]Feats!$AR$3460</definedName>
    <definedName name="FtExaltedWildShape">[1]Feats!$AR$2054</definedName>
    <definedName name="FtImprovedFlight">[1]Feats!$AR$1295</definedName>
    <definedName name="FtImprovedUnarmed">[1]Feats!$AR$54</definedName>
    <definedName name="FtOutsiderWings">[1]Feats!$AR$2278</definedName>
    <definedName name="FtSuperiorUnarmedStrike">[1]Feats!$AR$1548</definedName>
    <definedName name="FtSwiftwingElite">[1]Feats!$AR$2583</definedName>
    <definedName name="FtTashalatora">[1]Feats!$AR$2754</definedName>
    <definedName name="FtWaterAdaptation">[1]Feats!$AR$1459</definedName>
    <definedName name="Gender">'[1]Race &amp; Templates'!$AG$3</definedName>
    <definedName name="HasTemplate">'[1]Template Info'!$AP$1</definedName>
    <definedName name="HellbredAspect">'[1]Race &amp; Templates'!$P$7</definedName>
    <definedName name="HengeyokaiAnimal">'[1]Race &amp; Templates'!$P$8</definedName>
    <definedName name="HengeyokaiForm">'[1]Race &amp; Templates'!$P$9</definedName>
    <definedName name="HitDice">'[1]Class Info'!$EF$8</definedName>
    <definedName name="HRCA">[1]ExportSheet!$B$31</definedName>
    <definedName name="HRDLCS">[1]ExportSheet!$B$105</definedName>
    <definedName name="HRLivingGreyhawk">[1]ExportSheet!$B$110</definedName>
    <definedName name="HRSand">[1]ExportSheet!$B$43</definedName>
    <definedName name="HRSVMC">[1]ExportSheet!$B$68</definedName>
    <definedName name="HRXPH">[1]ExportSheet!$B$56</definedName>
    <definedName name="IsLycanthropeAlternate">Sheet1!$CT$63</definedName>
    <definedName name="MagicEquipWaistType">[1]ExportSheet!$M$50</definedName>
    <definedName name="MCCell">'[1]Race &amp; Templates'!$P$17</definedName>
    <definedName name="MonType">Sheet1!$BR$54</definedName>
    <definedName name="RaceFlySpeed">'[1]Race Info'!$J$1</definedName>
    <definedName name="RaceNA">'[1]Race Info'!$M$1</definedName>
    <definedName name="RegionTxt">'[1]Race &amp; Templates'!$D$11</definedName>
    <definedName name="RslGoDrd12">[1]ExportSheet!$BU$110</definedName>
    <definedName name="RslRaFtr8">[1]ExportSheet!$BU$167</definedName>
    <definedName name="RslSkMnk1">[1]ExportSheet!$BU$183</definedName>
    <definedName name="ShifterAttacks">'[1]Racial Abilities'!$K$683</definedName>
    <definedName name="ShifterClimbSpeed">'[1]Racial Abilities'!$J$687</definedName>
    <definedName name="ShifterFlySpeed">'[1]Racial Abilities'!$J$693</definedName>
    <definedName name="ShifterHandleAnimalBonus">'[1]Racial Abilities'!$J$688</definedName>
    <definedName name="ShifterSurvivalBonus">'[1]Racial Abilities'!$J$695</definedName>
    <definedName name="ShifterSwimSpeed">'[1]Racial Abilities'!$J$694</definedName>
    <definedName name="SkillName">[1]Skills!$IA$5:$IA$85</definedName>
    <definedName name="Subrace">Sheet1!$BQ$11</definedName>
    <definedName name="TashalatoraClass">[1]ExportSheet!$BV$18</definedName>
    <definedName name="TblCreatureInfo">'[1]Creature Info'!$A$6:INDEX('[1]Creature Info'!$A$6:$CG$225,CreatureInfoRowsCnt,64)</definedName>
    <definedName name="TblHengeyokaiForms">[1]Tables!$C$243:$F$255</definedName>
    <definedName name="TblManifesterRef">'[1]Psionic Info'!$A$4:$J$12</definedName>
    <definedName name="TblRaceInfo">Sheet1!$A$3:$BM$319</definedName>
    <definedName name="TblUnarmedDamage">[1]Tables!$Q$184:$S$244</definedName>
    <definedName name="TblWeaponInfoExt">[2]Sheet1!$A$1:$P$257</definedName>
    <definedName name="TblWildshapeSizes">'[1]Class Abilities'!$H$33:$J$41</definedName>
    <definedName name="TinkerGnomeGuild">'[1]Race &amp; Templates'!$P$14</definedName>
    <definedName name="TPgResistCell">[1]ExportSheet!$W$77</definedName>
    <definedName name="VestigesSelected">'[1]Binder Vestiges'!$B$6:$B$9</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260" i="1" l="1"/>
  <c r="K5" i="1"/>
  <c r="BC517" i="1" l="1"/>
  <c r="AW517" i="1"/>
  <c r="AS517" i="1"/>
  <c r="AI517" i="1"/>
  <c r="AH517" i="1"/>
  <c r="AG517" i="1"/>
  <c r="AF517" i="1"/>
  <c r="AE517" i="1"/>
  <c r="AD517" i="1"/>
  <c r="Z517" i="1"/>
  <c r="Y517" i="1"/>
  <c r="M517" i="1"/>
  <c r="L517" i="1"/>
  <c r="K517" i="1"/>
  <c r="J517" i="1"/>
  <c r="I517" i="1"/>
  <c r="H517" i="1"/>
  <c r="G517" i="1"/>
  <c r="F517" i="1"/>
  <c r="C517" i="1"/>
  <c r="A517" i="1"/>
  <c r="AP3" i="1" l="1"/>
  <c r="M514" i="1"/>
  <c r="M325" i="1"/>
  <c r="M321" i="1"/>
  <c r="AX309" i="1"/>
  <c r="AX293" i="1"/>
  <c r="AV293" i="1"/>
  <c r="AS293" i="1"/>
  <c r="AF293" i="1"/>
  <c r="AE293" i="1"/>
  <c r="AD293" i="1"/>
  <c r="M293" i="1"/>
  <c r="F293" i="1"/>
  <c r="X284" i="1"/>
  <c r="AX276" i="1"/>
  <c r="AV276" i="1"/>
  <c r="AS276" i="1"/>
  <c r="AF276" i="1"/>
  <c r="AD276" i="1"/>
  <c r="M276" i="1"/>
  <c r="F276" i="1"/>
  <c r="AX264" i="1"/>
  <c r="AE264" i="1"/>
  <c r="F264" i="1"/>
  <c r="AX244" i="1"/>
  <c r="AV244" i="1"/>
  <c r="AS244" i="1"/>
  <c r="AI244" i="1"/>
  <c r="AH244" i="1"/>
  <c r="AG244" i="1"/>
  <c r="AE244" i="1"/>
  <c r="M244" i="1"/>
  <c r="J244" i="1"/>
  <c r="F244" i="1"/>
  <c r="AX236" i="1"/>
  <c r="AV236" i="1"/>
  <c r="AI236" i="1"/>
  <c r="AH236" i="1"/>
  <c r="AG236" i="1"/>
  <c r="AF236" i="1"/>
  <c r="AD236" i="1"/>
  <c r="M236" i="1"/>
  <c r="J236" i="1"/>
  <c r="F236" i="1"/>
  <c r="C236" i="1"/>
  <c r="AX235" i="1"/>
  <c r="AV235" i="1"/>
  <c r="AU235" i="1"/>
  <c r="AT235" i="1"/>
  <c r="AF235" i="1"/>
  <c r="AE235" i="1"/>
  <c r="AD235" i="1"/>
  <c r="M235" i="1"/>
  <c r="F235" i="1"/>
  <c r="C235" i="1"/>
  <c r="AY224" i="1"/>
  <c r="AX224" i="1"/>
  <c r="AV224" i="1"/>
  <c r="AU224" i="1"/>
  <c r="AT224" i="1"/>
  <c r="AG224" i="1"/>
  <c r="AF224" i="1"/>
  <c r="AE224" i="1"/>
  <c r="AD224" i="1"/>
  <c r="T224" i="1"/>
  <c r="M224" i="1"/>
  <c r="F224" i="1"/>
  <c r="C224" i="1"/>
  <c r="AX223" i="1"/>
  <c r="AV223" i="1"/>
  <c r="AI223" i="1"/>
  <c r="AH223" i="1"/>
  <c r="AG223" i="1"/>
  <c r="AF223" i="1"/>
  <c r="AE223" i="1"/>
  <c r="AD223" i="1"/>
  <c r="N223" i="1"/>
  <c r="M223" i="1"/>
  <c r="F223" i="1"/>
  <c r="AX188" i="1"/>
  <c r="AV188" i="1"/>
  <c r="AI188" i="1"/>
  <c r="AH188" i="1"/>
  <c r="AG188" i="1"/>
  <c r="AE188" i="1"/>
  <c r="AD188" i="1"/>
  <c r="X188" i="1"/>
  <c r="J188" i="1"/>
  <c r="F188" i="1"/>
  <c r="AY184" i="1"/>
  <c r="AP181" i="1"/>
  <c r="AF181" i="1"/>
  <c r="AE181" i="1"/>
  <c r="AD181" i="1"/>
  <c r="S181" i="1"/>
  <c r="N181" i="1"/>
  <c r="M181" i="1"/>
  <c r="L181" i="1"/>
  <c r="K181" i="1"/>
  <c r="J181" i="1"/>
  <c r="I181" i="1"/>
  <c r="H181" i="1"/>
  <c r="G181" i="1"/>
  <c r="C181" i="1"/>
  <c r="A181" i="1"/>
  <c r="AP180" i="1"/>
  <c r="AI180" i="1"/>
  <c r="AG180" i="1"/>
  <c r="AF180" i="1"/>
  <c r="T180" i="1"/>
  <c r="AY168" i="1"/>
  <c r="AX168" i="1"/>
  <c r="AU168" i="1"/>
  <c r="AT168" i="1"/>
  <c r="AE168" i="1"/>
  <c r="AD168" i="1"/>
  <c r="S168" i="1"/>
  <c r="M168" i="1"/>
  <c r="C168" i="1"/>
  <c r="AP139" i="1"/>
  <c r="AX129" i="1"/>
  <c r="AF129" i="1"/>
  <c r="AD129" i="1"/>
  <c r="M129" i="1"/>
  <c r="F129" i="1"/>
  <c r="AU127" i="1"/>
  <c r="AT127" i="1"/>
  <c r="AU126" i="1"/>
  <c r="AT126" i="1"/>
  <c r="AX107" i="1"/>
  <c r="AV107" i="1"/>
  <c r="AF107" i="1"/>
  <c r="AE107" i="1"/>
  <c r="AD107" i="1"/>
  <c r="N107" i="1"/>
  <c r="M107" i="1"/>
  <c r="F107" i="1"/>
  <c r="AY95" i="1"/>
  <c r="AT82" i="1"/>
  <c r="AT81" i="1"/>
  <c r="AU74" i="1"/>
  <c r="AU73" i="1"/>
  <c r="AU68" i="1"/>
  <c r="AY57" i="1"/>
  <c r="AX57" i="1"/>
  <c r="AV57" i="1"/>
  <c r="AU57" i="1"/>
  <c r="AT57" i="1"/>
  <c r="AI57" i="1"/>
  <c r="AH57" i="1"/>
  <c r="AG57" i="1"/>
  <c r="AF57" i="1"/>
  <c r="AE57" i="1"/>
  <c r="AD57" i="1"/>
  <c r="V57" i="1"/>
  <c r="T57" i="1"/>
  <c r="S57" i="1"/>
  <c r="L57" i="1"/>
  <c r="K57" i="1"/>
  <c r="J57" i="1"/>
  <c r="I57" i="1"/>
  <c r="H57" i="1"/>
  <c r="G57" i="1"/>
  <c r="F57" i="1"/>
  <c r="E57" i="1"/>
  <c r="C57" i="1"/>
  <c r="AX56" i="1"/>
  <c r="AV56" i="1"/>
  <c r="AG56" i="1"/>
  <c r="AF56" i="1"/>
  <c r="AE56" i="1"/>
  <c r="AD56" i="1"/>
  <c r="X56" i="1"/>
  <c r="V56" i="1"/>
  <c r="N56" i="1"/>
  <c r="M56" i="1"/>
  <c r="F56" i="1"/>
  <c r="C56" i="1"/>
  <c r="AX47" i="1"/>
  <c r="AV47" i="1"/>
  <c r="AI47" i="1"/>
  <c r="AH47" i="1"/>
  <c r="AG47" i="1"/>
  <c r="AE47" i="1"/>
  <c r="AD47" i="1"/>
  <c r="M47" i="1"/>
  <c r="F47" i="1"/>
  <c r="AX32" i="1"/>
  <c r="AV32" i="1"/>
  <c r="AU32" i="1"/>
  <c r="AT32" i="1"/>
  <c r="AH32" i="1"/>
  <c r="AF32" i="1"/>
  <c r="AE32" i="1"/>
  <c r="AD32" i="1"/>
  <c r="M32" i="1"/>
  <c r="G32" i="1"/>
  <c r="F32" i="1"/>
  <c r="C32" i="1"/>
  <c r="AX14" i="1"/>
  <c r="AV14" i="1"/>
  <c r="AH14" i="1"/>
  <c r="AG14" i="1"/>
  <c r="AE14" i="1"/>
  <c r="AD14" i="1"/>
  <c r="M14" i="1"/>
  <c r="F14" i="1"/>
  <c r="AU12" i="1"/>
  <c r="BB3" i="1"/>
  <c r="BA3" i="1"/>
  <c r="AZ3" i="1"/>
  <c r="AY3" i="1"/>
  <c r="AX3" i="1"/>
  <c r="AW3" i="1"/>
  <c r="AV3" i="1"/>
  <c r="AU3" i="1"/>
  <c r="AT3" i="1"/>
  <c r="AS3" i="1"/>
  <c r="AI3" i="1"/>
  <c r="AH3" i="1"/>
  <c r="AG3" i="1"/>
  <c r="AF3" i="1"/>
  <c r="AE3" i="1"/>
  <c r="AD3" i="1"/>
  <c r="AC3" i="1"/>
  <c r="AB3" i="1"/>
  <c r="AA3" i="1"/>
  <c r="Z3" i="1"/>
  <c r="Y3" i="1"/>
  <c r="X3" i="1"/>
  <c r="W3" i="1"/>
  <c r="V3" i="1"/>
  <c r="U3" i="1"/>
  <c r="T3" i="1"/>
  <c r="S3" i="1"/>
  <c r="R3" i="1"/>
  <c r="Q3" i="1"/>
  <c r="P3" i="1"/>
  <c r="O3" i="1"/>
  <c r="N3" i="1"/>
  <c r="M3" i="1"/>
  <c r="L3" i="1"/>
  <c r="K3" i="1"/>
  <c r="J3" i="1"/>
  <c r="I3" i="1"/>
  <c r="H3" i="1"/>
  <c r="G3" i="1"/>
  <c r="F3" i="1"/>
  <c r="E3" i="1"/>
  <c r="D3" i="1"/>
  <c r="C3" i="1"/>
  <c r="B3" i="1"/>
  <c r="A3" i="1"/>
  <c r="L154" i="1"/>
  <c r="AX108" i="1" l="1"/>
  <c r="E199" i="1"/>
  <c r="AY82" i="1"/>
  <c r="AP48" i="1"/>
  <c r="AY81" i="1"/>
  <c r="J284" i="1"/>
  <c r="J5" i="1"/>
  <c r="AP199" i="1"/>
  <c r="D199" i="1"/>
  <c r="Z108" i="1" l="1"/>
  <c r="J361" i="1" l="1"/>
  <c r="J405" i="1"/>
  <c r="J390" i="1"/>
  <c r="J362" i="1"/>
  <c r="J378" i="1"/>
  <c r="L394" i="1"/>
  <c r="Y95" i="1" l="1"/>
  <c r="Y244" i="1"/>
  <c r="Y48" i="1"/>
  <c r="Y53" i="1"/>
  <c r="Y223" i="1"/>
  <c r="Y236" i="1"/>
  <c r="Y233" i="1"/>
  <c r="Y52" i="1"/>
  <c r="Y191" i="1"/>
  <c r="Y307" i="1"/>
  <c r="Y59" i="1"/>
  <c r="Y132" i="1"/>
  <c r="Y51" i="1"/>
  <c r="Y179" i="1"/>
  <c r="Y18" i="1"/>
  <c r="Y54" i="1"/>
  <c r="Y308" i="1"/>
  <c r="Y81" i="1"/>
  <c r="Y148" i="1"/>
  <c r="Y14" i="1"/>
  <c r="Y49" i="1"/>
  <c r="Y278" i="1"/>
  <c r="Y247" i="1"/>
  <c r="Y137" i="1"/>
  <c r="Y50" i="1"/>
  <c r="Y82" i="1"/>
  <c r="Y281" i="1"/>
  <c r="Y10" i="1"/>
  <c r="Y246" i="1"/>
  <c r="Y9" i="1"/>
  <c r="Y215" i="1"/>
  <c r="N517" i="1" l="1"/>
  <c r="N260" i="1" l="1"/>
  <c r="I260" i="1" l="1"/>
  <c r="L260" i="1"/>
  <c r="J260" i="1" l="1"/>
  <c r="AP260" i="1"/>
  <c r="P411" i="1" l="1"/>
  <c r="P426" i="1"/>
  <c r="P421" i="1"/>
  <c r="P416" i="1"/>
  <c r="S257" i="1" l="1"/>
  <c r="Y301" i="1" l="1"/>
  <c r="AV281" i="1" l="1"/>
  <c r="P141" i="1" l="1"/>
  <c r="P135" i="1"/>
  <c r="M262" i="1" l="1"/>
  <c r="P105" i="1"/>
  <c r="P99" i="1"/>
</calcChain>
</file>

<file path=xl/sharedStrings.xml><?xml version="1.0" encoding="utf-8"?>
<sst xmlns="http://schemas.openxmlformats.org/spreadsheetml/2006/main" count="6885" uniqueCount="1824">
  <si>
    <t>Short Description</t>
  </si>
  <si>
    <t>Subtype</t>
  </si>
  <si>
    <t>HD</t>
  </si>
  <si>
    <t>Land</t>
  </si>
  <si>
    <t>Burrow</t>
  </si>
  <si>
    <t>Climb</t>
  </si>
  <si>
    <t>Fly</t>
  </si>
  <si>
    <t>Maneuver</t>
  </si>
  <si>
    <t>Swim</t>
  </si>
  <si>
    <t>Natural Armor</t>
  </si>
  <si>
    <t>Natural Attacks</t>
  </si>
  <si>
    <t>Special Attacks</t>
  </si>
  <si>
    <t>Spell-like abilities</t>
  </si>
  <si>
    <t>Psionic abilities</t>
  </si>
  <si>
    <t>Other Special Abilities</t>
  </si>
  <si>
    <t>LowLight Vision</t>
  </si>
  <si>
    <t>Darkvision</t>
  </si>
  <si>
    <t>Other Senses</t>
  </si>
  <si>
    <t>Immunities</t>
  </si>
  <si>
    <t>Vulnerabilities</t>
  </si>
  <si>
    <t>Energy Resistance</t>
  </si>
  <si>
    <t>Spell Resistance</t>
  </si>
  <si>
    <t>Damage Reduction</t>
  </si>
  <si>
    <t>Fast Healing</t>
  </si>
  <si>
    <t>Bonus Essentia</t>
  </si>
  <si>
    <t>Other Special Qualities</t>
  </si>
  <si>
    <t>Str</t>
  </si>
  <si>
    <t>Dex</t>
  </si>
  <si>
    <t>Con</t>
  </si>
  <si>
    <t>Int</t>
  </si>
  <si>
    <t>Wis</t>
  </si>
  <si>
    <t>Cha</t>
  </si>
  <si>
    <t>Racial Skills</t>
  </si>
  <si>
    <t>Bonus Feat(s)</t>
  </si>
  <si>
    <t>Bonus Languages</t>
  </si>
  <si>
    <t>CR Adj.</t>
  </si>
  <si>
    <t>Alignment</t>
  </si>
  <si>
    <t>Level Adj.</t>
  </si>
  <si>
    <t>Base Age</t>
  </si>
  <si>
    <t>Height</t>
  </si>
  <si>
    <t>Weight</t>
  </si>
  <si>
    <t>Aarakocra</t>
  </si>
  <si>
    <t>Medium</t>
  </si>
  <si>
    <t>Monstrous Humanoid</t>
  </si>
  <si>
    <t>2 Talons+4+0+1,Bite+3+0+0</t>
  </si>
  <si>
    <t/>
  </si>
  <si>
    <t>Craft (alchemy)+2,Knowledge (nature)+2,Listen+2,Spot+2</t>
  </si>
  <si>
    <t>Common, Aura</t>
  </si>
  <si>
    <t>Draconic, Elven, Orc, Sylvan</t>
  </si>
  <si>
    <t>Ranger</t>
  </si>
  <si>
    <t>Aasimar</t>
  </si>
  <si>
    <t>Outsider</t>
  </si>
  <si>
    <t>Native</t>
  </si>
  <si>
    <t>acid 5, cold 5, and electricity 5.</t>
  </si>
  <si>
    <t>Listen+2,Spot+2</t>
  </si>
  <si>
    <t>Common, Celestial</t>
  </si>
  <si>
    <t>Draconic, Dwarven, Elven, Gnome, Halfling, Sylvan</t>
  </si>
  <si>
    <t>Paladin</t>
  </si>
  <si>
    <t>15+1d6/1d8/2d8</t>
  </si>
  <si>
    <t>4'10"/4'5"+2d10</t>
  </si>
  <si>
    <t>120/85+2d4</t>
  </si>
  <si>
    <t>Abeil, Commander</t>
  </si>
  <si>
    <t>Large</t>
  </si>
  <si>
    <t>2 Claws+4+0+1,Sting+5+0+0</t>
  </si>
  <si>
    <t>Bull'S Strength (Mass), Cure Light Wounds (Mass)</t>
  </si>
  <si>
    <t>5/magic</t>
  </si>
  <si>
    <t>Listen,Psicraft,Sense Motive,Spot,Survival</t>
  </si>
  <si>
    <t>Common, Elven, Sylvan</t>
  </si>
  <si>
    <t>Abeil, Soldier</t>
  </si>
  <si>
    <t>Abeil, Vassal</t>
  </si>
  <si>
    <t>2 Claws+4+0+0,Sting+5+0+0</t>
  </si>
  <si>
    <t>Craft (any),Jump,Knowledge (any),Listen,Search,Survival</t>
  </si>
  <si>
    <t>Druid</t>
  </si>
  <si>
    <t>Archon, Hound</t>
  </si>
  <si>
    <t>Archon, Extraplanar, Good, Lawful</t>
  </si>
  <si>
    <t>Bite+6+0+1,Slam+4+0+0</t>
  </si>
  <si>
    <t>Aid, Continual Flame, Detect Evil, Message (at will)</t>
  </si>
  <si>
    <t>normal</t>
  </si>
  <si>
    <t>electricity, petrification</t>
  </si>
  <si>
    <t>10/evil</t>
  </si>
  <si>
    <t>Concentration,Hide,Jump,Listen,Move Silently,Sense Motive,Spot,Survival</t>
  </si>
  <si>
    <t>Celestial</t>
  </si>
  <si>
    <t>Common, Draconic, Infernal</t>
  </si>
  <si>
    <t>Archon, Trumpet</t>
  </si>
  <si>
    <t>Armand</t>
  </si>
  <si>
    <t>Small</t>
  </si>
  <si>
    <t>2 Claws+5+0+0</t>
  </si>
  <si>
    <t>Jump,Listen,Spot,Survival+4</t>
  </si>
  <si>
    <t>Common, Armandish</t>
  </si>
  <si>
    <t>Elven, Giant, Gnome, Goblin, Sylvan</t>
  </si>
  <si>
    <t>Monk</t>
  </si>
  <si>
    <t>Asherati</t>
  </si>
  <si>
    <t>Humanoid</t>
  </si>
  <si>
    <t>Hide+2,Move Silently+2</t>
  </si>
  <si>
    <t>Asherati, Common</t>
  </si>
  <si>
    <t>Rogue</t>
  </si>
  <si>
    <t>20+1d4/1d6/2d6</t>
  </si>
  <si>
    <t>5'0"/4'9"+2d10</t>
  </si>
  <si>
    <t>70/65+2d4</t>
  </si>
  <si>
    <t>Aventi</t>
  </si>
  <si>
    <t>Aquatic</t>
  </si>
  <si>
    <t>Swim+8</t>
  </si>
  <si>
    <t>Common</t>
  </si>
  <si>
    <t>Aquan, Elven, Sahuagin</t>
  </si>
  <si>
    <t>Any</t>
  </si>
  <si>
    <t>15+1d4/1d6/2d6</t>
  </si>
  <si>
    <t>Azer</t>
  </si>
  <si>
    <t>Extraplanar, Fire</t>
  </si>
  <si>
    <t>fire</t>
  </si>
  <si>
    <t>cold</t>
  </si>
  <si>
    <t>Appraise,Climb,Craft (any),Hide,Jump,Listen,Search,Spot</t>
  </si>
  <si>
    <t>Common, Ignan</t>
  </si>
  <si>
    <t>Abyssal, Aquan, Auran, Celestial, Infernal, Terran</t>
  </si>
  <si>
    <t>Fighter</t>
  </si>
  <si>
    <t>Azurin</t>
  </si>
  <si>
    <t>Human, Incarnum</t>
  </si>
  <si>
    <t>1st level bonus feat</t>
  </si>
  <si>
    <t>Soulborn</t>
  </si>
  <si>
    <t>14+1d4/1d6/2d4</t>
  </si>
  <si>
    <t>Baphitaur</t>
  </si>
  <si>
    <t>Gore+5+0+2</t>
  </si>
  <si>
    <t>Darkness</t>
  </si>
  <si>
    <t>cold 5, electricity 5, fire 5</t>
  </si>
  <si>
    <t>Climb,Intimidate,Jump,Listen+2,Move Silently,Search+2,Spot+2,Survival</t>
  </si>
  <si>
    <t>Undercommon</t>
  </si>
  <si>
    <t>Barbarian</t>
  </si>
  <si>
    <t>Barbazu (Bearded Devil)</t>
  </si>
  <si>
    <t>Evil, Extraplanar, Lawful</t>
  </si>
  <si>
    <t>2 Claws+6+0+1</t>
  </si>
  <si>
    <t>Greater Teleport (at will)</t>
  </si>
  <si>
    <t>fire, poison</t>
  </si>
  <si>
    <t>acid 10, cold 10</t>
  </si>
  <si>
    <t>10/silver or good</t>
  </si>
  <si>
    <t>Climb,Diplomacy,Hide,Listen,Move Silently,Sense Motive,Spot</t>
  </si>
  <si>
    <t>Infernal, Celestial, Draconic</t>
  </si>
  <si>
    <t>Bariaur</t>
  </si>
  <si>
    <t>Extraplanar</t>
  </si>
  <si>
    <t>Celestial, Common</t>
  </si>
  <si>
    <t>Abyssal, Infernal</t>
  </si>
  <si>
    <t>20+1d6/2d6/3d6</t>
  </si>
  <si>
    <t>5'6"/5'2"+2d8</t>
  </si>
  <si>
    <t>240/200+2d4</t>
  </si>
  <si>
    <t>Bhuka</t>
  </si>
  <si>
    <t>Goblinoid</t>
  </si>
  <si>
    <t>Knowledge (nature)+2</t>
  </si>
  <si>
    <t>Bhuka, Common</t>
  </si>
  <si>
    <t>Draconic, Goblin</t>
  </si>
  <si>
    <t>14+1d4/2d4/3d6</t>
  </si>
  <si>
    <t>4'0"/3'9"+2d10</t>
  </si>
  <si>
    <t>30/25+1d4</t>
  </si>
  <si>
    <t>Bladeling</t>
  </si>
  <si>
    <t>Lawful</t>
  </si>
  <si>
    <t>acid, rust attacks</t>
  </si>
  <si>
    <t>cold 5, fire 5</t>
  </si>
  <si>
    <t>5/magic and piercing or slashing</t>
  </si>
  <si>
    <t>Bluff,Climb,Craft (weaponsmithing)+4,Hide,Jump+4,Knowledge (the planes),Listen,Spot</t>
  </si>
  <si>
    <t>Infernal</t>
  </si>
  <si>
    <t>Blue</t>
  </si>
  <si>
    <t>Move Silently+4,Ride+4</t>
  </si>
  <si>
    <t>Common, Goblin</t>
  </si>
  <si>
    <t>Draconic, Elven, Giant, Gnoll, Orc</t>
  </si>
  <si>
    <t>Psion</t>
  </si>
  <si>
    <t>Boggle</t>
  </si>
  <si>
    <t>2 Claws+5+0+0,Bite+5+0+0</t>
  </si>
  <si>
    <t>Dimension Door(6/day, CL7)</t>
  </si>
  <si>
    <t>fire 5</t>
  </si>
  <si>
    <t>Climb,Escape Artist+10,Hide,Move Silently,Sleight of Hand</t>
  </si>
  <si>
    <t>Braxat</t>
  </si>
  <si>
    <t>Gore+5+0+0</t>
  </si>
  <si>
    <t>Blink (at will); Confusion, Feeblemind (CL8, Save DC10+Spell Level)</t>
  </si>
  <si>
    <t>10/magic</t>
  </si>
  <si>
    <t>Intimidate,Jump,Listen,Spot,Survival</t>
  </si>
  <si>
    <t>Combat Expertise, Iron Will, Power Attack</t>
  </si>
  <si>
    <t>Giant</t>
  </si>
  <si>
    <t>Bueroza</t>
  </si>
  <si>
    <t>Baatezu, Evil, Extraplanar, Lawful</t>
  </si>
  <si>
    <t>Greater Command, Haste, Scare (at will)</t>
  </si>
  <si>
    <t>fire, poison, mind-affecting spells and abilities, sleep effects, stun, paralysis, and death effects</t>
  </si>
  <si>
    <t>5/good</t>
  </si>
  <si>
    <t>Balance,Diplomacy,Intimidate,Jump,Knowledge (geography),Knowledge (the planes),Listen,Ride,Spot,Survival</t>
  </si>
  <si>
    <t>Celestial, Draconic, Infernal</t>
  </si>
  <si>
    <t>Bugbear</t>
  </si>
  <si>
    <t>Climb,Hide,Listen,Move Silently+4,Search,Spot</t>
  </si>
  <si>
    <t>Buomman</t>
  </si>
  <si>
    <t>Listen+2</t>
  </si>
  <si>
    <t>Buommi, Common</t>
  </si>
  <si>
    <t>Aquan, Githzerai, Terran</t>
  </si>
  <si>
    <t>4'8"/4'4"+2d10</t>
  </si>
  <si>
    <t>130/90+2d4</t>
  </si>
  <si>
    <t>Caliban</t>
  </si>
  <si>
    <t>Common, Orc</t>
  </si>
  <si>
    <t>Draconic, Giant, Gnoll, Goblin, Abyssal</t>
  </si>
  <si>
    <t>Canomorph, Haraknin</t>
  </si>
  <si>
    <t>Evil, Extraplanar, Fire, Lawful, Shapechanger</t>
  </si>
  <si>
    <t>Hide+5,Jump,Listen,Move Silently+5,Spot,Survival</t>
  </si>
  <si>
    <t>Track</t>
  </si>
  <si>
    <t>Canomorph, Shadurakul</t>
  </si>
  <si>
    <t>Evil, Extraplanar, Shapechanger</t>
  </si>
  <si>
    <t>Bite+5+0+1</t>
  </si>
  <si>
    <t>Hide,Listen,Move Silently,Spot,Survival</t>
  </si>
  <si>
    <t>Canomorph, Vultivor</t>
  </si>
  <si>
    <t>Chaotic, Evil, Shapechanger, Extraplanar</t>
  </si>
  <si>
    <t>2 Claws+3+0+0,Bite+6+0+1</t>
  </si>
  <si>
    <t>Hide,Listen,Move Silently,Search,Spot,Survival</t>
  </si>
  <si>
    <t>Abyssal</t>
  </si>
  <si>
    <t>Catfolk</t>
  </si>
  <si>
    <t>Listen+2,Move Silently+2</t>
  </si>
  <si>
    <t>Common, Feline</t>
  </si>
  <si>
    <t>Draconic, Gnoll, Halfling, Sylvan</t>
  </si>
  <si>
    <t>14+1d4/1d6/2d6</t>
  </si>
  <si>
    <t>4'10'/4'5"+2d10</t>
  </si>
  <si>
    <t>Centaur</t>
  </si>
  <si>
    <t>2 Hooves+4+0+0</t>
  </si>
  <si>
    <t>Listen,Move Silently,Spot,Survival</t>
  </si>
  <si>
    <t>30+2d6/4d6/6d6</t>
  </si>
  <si>
    <t>6'5"/6'2"+2d6</t>
  </si>
  <si>
    <t>2050/1900+4d6</t>
  </si>
  <si>
    <t>Centaur, Wendle</t>
  </si>
  <si>
    <t>Knowledge (history),Listen,Move Silently,Spot,Survival</t>
  </si>
  <si>
    <t>Elven, Sylvan</t>
  </si>
  <si>
    <t>Common, Kenderspeak, Ogre</t>
  </si>
  <si>
    <t>Changeling</t>
  </si>
  <si>
    <t>Shapechanger</t>
  </si>
  <si>
    <t>Bluff+2,Intimidate+2,Sense Motive+2</t>
  </si>
  <si>
    <t>Auran, Dwarven, Elven, Giant, Gnome, Halfling, Terran</t>
  </si>
  <si>
    <t>5'1"/5'1"+2d4</t>
  </si>
  <si>
    <t>115/115+2d4</t>
  </si>
  <si>
    <t>Chaond</t>
  </si>
  <si>
    <t>Shatter (CL 21)</t>
  </si>
  <si>
    <t>acid 5, cold 5, sonic 5</t>
  </si>
  <si>
    <t>Escape Artist+2,Jump,Move Silently,Tumble+2</t>
  </si>
  <si>
    <t>First class chosen</t>
  </si>
  <si>
    <t>Chitine</t>
  </si>
  <si>
    <t>Balance,Climb+8,Craft (trapmaking),Hide,Jump,Move Silently</t>
  </si>
  <si>
    <t>Multiweapon Fighting</t>
  </si>
  <si>
    <t>By region</t>
  </si>
  <si>
    <t>Crucian</t>
  </si>
  <si>
    <t>Common, Draconic</t>
  </si>
  <si>
    <t>Sphinx</t>
  </si>
  <si>
    <t>Daelkyr Half-blood</t>
  </si>
  <si>
    <t>Aberration</t>
  </si>
  <si>
    <t>Symbiont Mastery</t>
  </si>
  <si>
    <t>Daelkyr</t>
  </si>
  <si>
    <t>Darfellan</t>
  </si>
  <si>
    <t>Bite+5+0+2</t>
  </si>
  <si>
    <t>Aquan, Common</t>
  </si>
  <si>
    <t>4'5"/4'5"+2d4</t>
  </si>
  <si>
    <t>120/100+2d6</t>
  </si>
  <si>
    <t>Dark One, Dark Creeper</t>
  </si>
  <si>
    <t>Hide,Listen,Move Silently,Sleight of Hand,Spot,Tumble</t>
  </si>
  <si>
    <t>Dark One</t>
  </si>
  <si>
    <t>Dark One, Dark Stalker</t>
  </si>
  <si>
    <t>Fog Cloud (2/day)</t>
  </si>
  <si>
    <t>Darkling, Vistani</t>
  </si>
  <si>
    <t>Hide+4,Knowledge (poison)+4,Listen+8,Move Silently+4,Spot+8</t>
  </si>
  <si>
    <t>Deep Imaskari</t>
  </si>
  <si>
    <t>Common, Roushoum</t>
  </si>
  <si>
    <t>Aquan, Dwarven, Elven, Terran, Undercommon</t>
  </si>
  <si>
    <t>Wizard</t>
  </si>
  <si>
    <t>Desmodu</t>
  </si>
  <si>
    <t>2 Claws+3+0+1,Bite+4+0+0</t>
  </si>
  <si>
    <t>Speak With Bats (at will, CL 1)</t>
  </si>
  <si>
    <t>Balance,Climb,Handle Animal,Jump,Listen,Move Silently,Ride,Spot,Tumble,Use Rope</t>
  </si>
  <si>
    <t>Two-Weapon Fighting</t>
  </si>
  <si>
    <t>Desmodu, Undercommon</t>
  </si>
  <si>
    <t>Terran</t>
  </si>
  <si>
    <t>Dogai (Assassin Devil)</t>
  </si>
  <si>
    <t>Dimension Door, Fog Cloud, Nondetection, Tongues (at will), Greater Teleport (1/day)</t>
  </si>
  <si>
    <t>10/good</t>
  </si>
  <si>
    <t>Balance,Bluff,Climb,Diplomacy,Disguise,Escape Artist,Hide,Intimidate,Jump,Listen,Move Silently,Sense Motive,Spot,Tumble,Use Rope</t>
  </si>
  <si>
    <t>Common, Infernal, Celestial, Draconic</t>
  </si>
  <si>
    <t>Domovoi</t>
  </si>
  <si>
    <t>Fey</t>
  </si>
  <si>
    <t>Fire</t>
  </si>
  <si>
    <t>Produce Flame , Pyrotechnics (Smoke Cloud Only, DC 15) (at will); Flaming Sphere (3/day, DC 15)</t>
  </si>
  <si>
    <t>Balance,Escape Artist+2,Hide,Jump,Listen,Move Silently,Sleight of Hand,Spot,Tumble,Use Rope</t>
  </si>
  <si>
    <t>Common, Ignan, Sylvan</t>
  </si>
  <si>
    <t>Dwarven, Giant, Gnome, Goblin, Halfling</t>
  </si>
  <si>
    <t>Doppelganger</t>
  </si>
  <si>
    <t>Slam+5+0+2</t>
  </si>
  <si>
    <t>sleep, charm effects</t>
  </si>
  <si>
    <t>Bluff+4,Diplomacy,Disguise+4,Intimidate,Listen,Sense Motive,Spot</t>
  </si>
  <si>
    <t>Auran, Dwarven, Elven, Gnome, Halfling, Giant, Terran</t>
  </si>
  <si>
    <t>4'8"/4'8"+2d10</t>
  </si>
  <si>
    <t>100/100+2d4</t>
  </si>
  <si>
    <t>Draconian, Baaz</t>
  </si>
  <si>
    <t>Dragon</t>
  </si>
  <si>
    <t>2 Claws+4+0+1,Bite+4+0+0</t>
  </si>
  <si>
    <t>sleep, paralysis, disease</t>
  </si>
  <si>
    <t>Run</t>
  </si>
  <si>
    <t>Goblin, Nerakese, Ogre</t>
  </si>
  <si>
    <t>Draconian, Flame</t>
  </si>
  <si>
    <t>2 Claws+3+0+1,Bite+5+0+1</t>
  </si>
  <si>
    <t>Fireball (3/day, CL 8)</t>
  </si>
  <si>
    <t>fire, sleep,paralysis effects, all diseases</t>
  </si>
  <si>
    <t>Climb,Craft (armorsmithing),Craft (weaponsmithing),Intimidate,Jump,Listen,Survival</t>
  </si>
  <si>
    <t>Draconian Breath Weapon</t>
  </si>
  <si>
    <t>Draconian, Frost</t>
  </si>
  <si>
    <t>Cold</t>
  </si>
  <si>
    <t>cold, sleep, paralysis, disease</t>
  </si>
  <si>
    <t>Climb,Disguise,Intimidate,Listen,Spot</t>
  </si>
  <si>
    <t>Draconian, Kapak</t>
  </si>
  <si>
    <t>Bite+4+0+1</t>
  </si>
  <si>
    <t>Hide,Listen,Move Silently,Search,Spot</t>
  </si>
  <si>
    <t>Draconian, Lightning</t>
  </si>
  <si>
    <t>2 Claws+3+0+0,Bite+5+0+1,Tail Slap+5+0+1</t>
  </si>
  <si>
    <t>Detect Evil (at will); Shocking Grasp (2/day, CL 6); Remove Disease (1/week)</t>
  </si>
  <si>
    <t>electricity, sleep, paralysis, disease</t>
  </si>
  <si>
    <t>Bluff,Climb,Concentration,Diplomacy,Disguise,Gather Information,Intimidate,Jump,Listen</t>
  </si>
  <si>
    <t>Draconian, Vapor</t>
  </si>
  <si>
    <t>2 Claws+4+0+1,Bite+4+0+1</t>
  </si>
  <si>
    <t>Bluff,Concentration,Intimidate,Knowledge (nature),Listen,Search,Spellcraft,Spot,Survival</t>
  </si>
  <si>
    <t>Mystic</t>
  </si>
  <si>
    <t>Draconian, Venom</t>
  </si>
  <si>
    <t>Dracotaur</t>
  </si>
  <si>
    <t>Bite+5+0+0,Tail Slap+5+0+0</t>
  </si>
  <si>
    <t>magic sleep effects, paralysis</t>
  </si>
  <si>
    <t>Balance+4,Intimidate,Jump+4,Knowledge (arcana),Listen,Sense Motive,Spellcraft,Spot,Survival,Swim+4,Use Magic Device</t>
  </si>
  <si>
    <t>Draconic</t>
  </si>
  <si>
    <t>Sorcerer</t>
  </si>
  <si>
    <t>Draegloth</t>
  </si>
  <si>
    <t>Dancing Lights (CL 6)</t>
  </si>
  <si>
    <t>Climb,Concentration,Craft (any),Hide,Jump,Knowledge (arcana),Knowledge (religion),Knowledge (the planes),Listen,Move Silently,Search,Spellcraft,Spot,Survival</t>
  </si>
  <si>
    <t>Abyssal, Elven, Undercommon</t>
  </si>
  <si>
    <t>Auquan, Common, Draconic, Drow Sign Languages, Gnome, Goblin, Kuo-toan</t>
  </si>
  <si>
    <t>Cleric</t>
  </si>
  <si>
    <t>Dragonborn of Bahamut</t>
  </si>
  <si>
    <t>Dromite</t>
  </si>
  <si>
    <t>Spot+2</t>
  </si>
  <si>
    <t>Dwarven, Gnome, Goblin, Terran</t>
  </si>
  <si>
    <t>Wilder</t>
  </si>
  <si>
    <t>13+1d4/1d6/2d6</t>
  </si>
  <si>
    <t>2'8"/2'8"+2d4</t>
  </si>
  <si>
    <t>30/30+1d1</t>
  </si>
  <si>
    <t>Durzagon</t>
  </si>
  <si>
    <t>Evil, Lawful</t>
  </si>
  <si>
    <t>2 Claws+5+0+1,Bite+5+0+0,Beard+3+0+0</t>
  </si>
  <si>
    <t>Darkness (3/day); Desecrate, Enlarge(self only), Invisibility, Unholy Blight(DC 9+Spelllvl)</t>
  </si>
  <si>
    <t>paralyses, phantasms, poison</t>
  </si>
  <si>
    <t>acid 10, cold 10, electricity 10, fire 10</t>
  </si>
  <si>
    <t>Appraise,Bluff,Diplomacy,Intimidate,Listen+1,Move Silently+4,Search,Sense Motive,Spot+1</t>
  </si>
  <si>
    <t>Alertness</t>
  </si>
  <si>
    <t>Dwarven, Undercommon</t>
  </si>
  <si>
    <t>Duskling</t>
  </si>
  <si>
    <t>Extraplanar, Incarnum</t>
  </si>
  <si>
    <t>Common, Sylvan</t>
  </si>
  <si>
    <t>Elf, Gnoll, Gnome, Goblin, Halfling</t>
  </si>
  <si>
    <t>Totemist</t>
  </si>
  <si>
    <t>75+3d6/4d6/5d6</t>
  </si>
  <si>
    <t>4'6"/4'4"+2d4</t>
  </si>
  <si>
    <t>100/90+2d4</t>
  </si>
  <si>
    <t>Dvati</t>
  </si>
  <si>
    <t>Common, Dvati</t>
  </si>
  <si>
    <t>Bard</t>
  </si>
  <si>
    <t>Dwarf, Arctic</t>
  </si>
  <si>
    <t>Dwarf</t>
  </si>
  <si>
    <t>Common, Dwarven</t>
  </si>
  <si>
    <t>40+3d6/5d6/7d6</t>
  </si>
  <si>
    <t>2'8"/2'4"+2d4</t>
  </si>
  <si>
    <t>50/40+1d4</t>
  </si>
  <si>
    <t>Dwarf, Badlands</t>
  </si>
  <si>
    <t>Giant, Gnome, Goblin, Orc, Terran, Undercommon</t>
  </si>
  <si>
    <t>Dwarf, Dark</t>
  </si>
  <si>
    <t>Hide+2,Listen+2,Move Silently+2</t>
  </si>
  <si>
    <t>Dwarf, Deep</t>
  </si>
  <si>
    <t>Dwarf, Dream</t>
  </si>
  <si>
    <t>Draconic, Elven, Gnome, Terran, Undercommon</t>
  </si>
  <si>
    <t>60+4d6/6d6/9d6</t>
  </si>
  <si>
    <t>3'6"/3'4"+2d4</t>
  </si>
  <si>
    <t>100/80+2d6</t>
  </si>
  <si>
    <t>Dwarf, Duergar</t>
  </si>
  <si>
    <t>paralysis, phantasms, poison.</t>
  </si>
  <si>
    <t>Listen+1,Move Silently+4,Spot+1</t>
  </si>
  <si>
    <t>Common, Dwarven, Undercommon</t>
  </si>
  <si>
    <t>Draconic, Giant, Goblin, Orc, Terran</t>
  </si>
  <si>
    <t>3'9"/3'7"+2d4</t>
  </si>
  <si>
    <t>110/80+2d4</t>
  </si>
  <si>
    <t>Dwarf, Fireblood</t>
  </si>
  <si>
    <t>Dragonblood, Dwarf</t>
  </si>
  <si>
    <t>Dwarf, Glacier</t>
  </si>
  <si>
    <t>130/100+2d6</t>
  </si>
  <si>
    <t>Dwarf, Gold</t>
  </si>
  <si>
    <t>Giant, Gnome, Goblin, Shaaran, Terran, Untheric</t>
  </si>
  <si>
    <t>Dwarf, Gray</t>
  </si>
  <si>
    <t>Enlarge Person, Invisibility(self only)</t>
  </si>
  <si>
    <t>paralysis, phantasms, magical/alchemical poison</t>
  </si>
  <si>
    <t>Common, Draconic, Giant, Goblin, Orc, Terran</t>
  </si>
  <si>
    <t>Dwarf, Gully</t>
  </si>
  <si>
    <t>Hide+2,Move Silently+2,Survival+2</t>
  </si>
  <si>
    <t>Gullytalk, Common</t>
  </si>
  <si>
    <t>Dwarf, Hill</t>
  </si>
  <si>
    <t>Dwarf, Mountain</t>
  </si>
  <si>
    <t>Dwarf, Seacliff</t>
  </si>
  <si>
    <t>Swim+2</t>
  </si>
  <si>
    <t>Dwarf, Shield</t>
  </si>
  <si>
    <t>Chondathan, Draconic, Giant, Goblin, Illuskan, Orc</t>
  </si>
  <si>
    <t>4'2"/4'0"+2d4</t>
  </si>
  <si>
    <t>145/110+2d6</t>
  </si>
  <si>
    <t>Dwarf, Urdunnir</t>
  </si>
  <si>
    <t>Expert</t>
  </si>
  <si>
    <t>180/150+2d8</t>
  </si>
  <si>
    <t>Dwarf, Wild</t>
  </si>
  <si>
    <t>fire 5.</t>
  </si>
  <si>
    <t>Chultan, Draconic, Goblin, Tashalan, Yuan-Ti</t>
  </si>
  <si>
    <t>2'8"/2'6"+2d4</t>
  </si>
  <si>
    <t>Listen+1,Search+1,Spot+1</t>
  </si>
  <si>
    <t>Elan</t>
  </si>
  <si>
    <t>20+2d4/2d6/3d6</t>
  </si>
  <si>
    <t>Elf, Aquatic</t>
  </si>
  <si>
    <t>Aquatic, Elf</t>
  </si>
  <si>
    <t>superior</t>
  </si>
  <si>
    <t>sleep effects</t>
  </si>
  <si>
    <t>Listen+2,Search+2,Spot+2,Swim+8</t>
  </si>
  <si>
    <t>Common, Elven</t>
  </si>
  <si>
    <t>Aquan, Draconic, Giant</t>
  </si>
  <si>
    <t>110+4d6/6d6/10d6</t>
  </si>
  <si>
    <t>100/80+2d4</t>
  </si>
  <si>
    <t>Elf, Deepwyrm Drow</t>
  </si>
  <si>
    <t>Dragonblood, Elf</t>
  </si>
  <si>
    <t>Detect Magic (3/day); Disguise Self, Dancing Lights, Darkness</t>
  </si>
  <si>
    <t>Bluff+2,Listen+2,Search+2,Spot+2</t>
  </si>
  <si>
    <t>Abyssal, Aquan, Draconic, Drow Sign Language, Gnome, Goblin, Kuo-Toan</t>
  </si>
  <si>
    <t>Elf, Drow</t>
  </si>
  <si>
    <t>Elf</t>
  </si>
  <si>
    <t>Dancing Lights, Darkness, Faerie Fire</t>
  </si>
  <si>
    <t>Listen+2,Search+2,Spot+2</t>
  </si>
  <si>
    <t>4'5"/2'5"+2d6</t>
  </si>
  <si>
    <t>85/80+1d6</t>
  </si>
  <si>
    <t>Elf, Forestlord</t>
  </si>
  <si>
    <t>Draconic, Gnoll, Gnome, Goblin, Orc, Sylvan</t>
  </si>
  <si>
    <t>Elf, Gray</t>
  </si>
  <si>
    <t>Elf, High</t>
  </si>
  <si>
    <t>4'5"/4'5"+2d6</t>
  </si>
  <si>
    <t>Elf, Kagonesti</t>
  </si>
  <si>
    <t>Knowledge (nature)+1,Listen+2,Search+2,Spot+2,Survival+1</t>
  </si>
  <si>
    <t>Common, Ergot, Gnoll, Goblin, Ogre, Solamnic</t>
  </si>
  <si>
    <t>Elf, Moon</t>
  </si>
  <si>
    <t>Auran, Chondathan, Gnoll, Gnome, Halfling, Illuskan, Sylvan</t>
  </si>
  <si>
    <t>90/70+2d4</t>
  </si>
  <si>
    <t>Elf, Painted</t>
  </si>
  <si>
    <t>Elf, Qualinesti</t>
  </si>
  <si>
    <t>Diplomacy+1,Listen+2,Search+2,Sense Motive+1,Spot+2</t>
  </si>
  <si>
    <t>Abanasinian, Dwarven, Ergot, Goblin, Ogre, Sylvan</t>
  </si>
  <si>
    <t>Elf, Sea (Dargonesti)</t>
  </si>
  <si>
    <t>Blur, Dancing Lights, Darkness, Obscuring Mist</t>
  </si>
  <si>
    <t>Aquan, Dargonesti</t>
  </si>
  <si>
    <t>Common, Elven, Ergot</t>
  </si>
  <si>
    <t>Elf, Sea (Dimernesti)</t>
  </si>
  <si>
    <t>Elven, Dimernesti</t>
  </si>
  <si>
    <t>Aquan, Common, Ergot,Kothian</t>
  </si>
  <si>
    <t>Elf, Silvanesti</t>
  </si>
  <si>
    <t>Knowledge (arcana)+1,Listen+2,Search+2,Spellcraft+1,Spot+2</t>
  </si>
  <si>
    <t>Elven</t>
  </si>
  <si>
    <t>Common, Dwarven, Ergot, Kenderspeak, Kharolian, Khur, Goblin, Ogre, Sylvan</t>
  </si>
  <si>
    <t>Elf, Snow</t>
  </si>
  <si>
    <t>Elf, Sun</t>
  </si>
  <si>
    <t>Auran, Celestial, Chondathan, Gnome, Halfling, Illuskan, Sylvan</t>
  </si>
  <si>
    <t>Elf, Umbragen</t>
  </si>
  <si>
    <t>Hide+2,Listen+2,Move Silently+2,Search+2,Spot+2</t>
  </si>
  <si>
    <t>Elven, Undercommon</t>
  </si>
  <si>
    <t>Common, Draconic, Giant, Terran</t>
  </si>
  <si>
    <t>Elf, Wild</t>
  </si>
  <si>
    <t>Elf, Winged</t>
  </si>
  <si>
    <t>Jump+4,Listen+2,Search+2,Spot+4</t>
  </si>
  <si>
    <t>40+4d6/6d6/9d6</t>
  </si>
  <si>
    <t>5'0"/4'8"+2d8</t>
  </si>
  <si>
    <t>70/65+1d6</t>
  </si>
  <si>
    <t>Elf, Wood</t>
  </si>
  <si>
    <t>Gnome</t>
  </si>
  <si>
    <t>Halfling</t>
  </si>
  <si>
    <t>Orc</t>
  </si>
  <si>
    <t>Erinyes</t>
  </si>
  <si>
    <t>good</t>
  </si>
  <si>
    <t>Concentration,Diplomacy,Escape Artist,Hide,Knowledge (any),Listen,Move Silently,Search,Sense Motive,Spot,Survival,Use Rope</t>
  </si>
  <si>
    <t>Dodge,Mobility</t>
  </si>
  <si>
    <t>Ethergaunt, Black</t>
  </si>
  <si>
    <t>Concentration,Diplomacy,Heal,Knowledge (any),Listen,Move Silently,Sense Motive,Spellcraft,Spot</t>
  </si>
  <si>
    <t>Khen-zai</t>
  </si>
  <si>
    <t>Common, Draconic, Dwarven, Elven</t>
  </si>
  <si>
    <t>Ethergaunt, Red</t>
  </si>
  <si>
    <t>Concentration,Heal,Knowledge (arcana),Listen,Move Silently,Spellcraft,Spot,Survival</t>
  </si>
  <si>
    <t>Ethergaunt, White</t>
  </si>
  <si>
    <t>Concentration,Diplomacy,Heal,Knowledge (arcana),Knowledge (the planes),Listen,Move Silently,Sense Motive,Spellcraft,Spot,Survival</t>
  </si>
  <si>
    <t>Ettin</t>
  </si>
  <si>
    <t>Common, Orc, Goblin</t>
  </si>
  <si>
    <t>Extaminaar</t>
  </si>
  <si>
    <t>Speak With Animals ( at will, snakes only ); Charm Animals ( 3/day, snakes only ).</t>
  </si>
  <si>
    <t>Escape Artist+2,Swim+4</t>
  </si>
  <si>
    <t>Common, Yuan-Ti</t>
  </si>
  <si>
    <t>Abyssal, Draconic</t>
  </si>
  <si>
    <t>5/good or magic</t>
  </si>
  <si>
    <t>Balance,Bluff,Concentration,Decipher Script,Diplomacy,Disguise,Escape Artist,Forgery,Hide,Intimidate,Jump,Listen,Senst Motive,Sleight of Hand,Spot,Tumble,Use Rope</t>
  </si>
  <si>
    <t>Common, Celestial, Infernal</t>
  </si>
  <si>
    <t>Fensir</t>
  </si>
  <si>
    <t>Transmute Mud To Rock, Transmute Rock To Mud (at will)</t>
  </si>
  <si>
    <t>Climb,Hide,Listen,Spot,Survival</t>
  </si>
  <si>
    <t>Brew Potion</t>
  </si>
  <si>
    <t>Giant, Common</t>
  </si>
  <si>
    <t>Feral Gargun</t>
  </si>
  <si>
    <t>cold 5</t>
  </si>
  <si>
    <t>Climb,Hide,Jump,Listen,Search,Spot,Survival</t>
  </si>
  <si>
    <t>Gol-Kaa</t>
  </si>
  <si>
    <t>none</t>
  </si>
  <si>
    <t>6'0"/6'0"+2d12</t>
  </si>
  <si>
    <t>220/220+2d6</t>
  </si>
  <si>
    <t>Fey'ri</t>
  </si>
  <si>
    <t>Alter Self (at will)</t>
  </si>
  <si>
    <t>Bluff+2,Hide+2,Listen+2,Search+2,Spot+2</t>
  </si>
  <si>
    <t>Common, Elven, Abyssal</t>
  </si>
  <si>
    <t>Gnoll, Goblin, Sylvan, Draconic</t>
  </si>
  <si>
    <t>Feytouched</t>
  </si>
  <si>
    <t>Charm Person (DC 9)</t>
  </si>
  <si>
    <t>mind-affecting effects &amp; spells</t>
  </si>
  <si>
    <t>Bluff,Handle Animal,Hide+2,Move Silently+2,Sense Motive,Spot,Survival</t>
  </si>
  <si>
    <t>Firbolg</t>
  </si>
  <si>
    <t>Trample+7+0+2</t>
  </si>
  <si>
    <t>Disguise Self, Detect Magic, Feeblemind, Know Direction</t>
  </si>
  <si>
    <t>Knowledge (nature),Move Silently,Spot,Survival</t>
  </si>
  <si>
    <t>Fomorian</t>
  </si>
  <si>
    <t>Huge</t>
  </si>
  <si>
    <t>Slam+4+0+1</t>
  </si>
  <si>
    <t>5/-</t>
  </si>
  <si>
    <t>Listen,Move Silently+10,Spot</t>
  </si>
  <si>
    <t>Frost Folk</t>
  </si>
  <si>
    <t>Auran, Draconic, Dwarven, Giant, Goblin, Orc</t>
  </si>
  <si>
    <t>Gargoyle</t>
  </si>
  <si>
    <t>Earth</t>
  </si>
  <si>
    <t>2 Claws+4+0+1,Bite+5+0+0,Gore+5+0+0</t>
  </si>
  <si>
    <t>Hide+2,Listen+2,Spot+2</t>
  </si>
  <si>
    <t>Genasi, Air</t>
  </si>
  <si>
    <t>Levitate</t>
  </si>
  <si>
    <t>120/85+1d6</t>
  </si>
  <si>
    <t>Genasi, Earth</t>
  </si>
  <si>
    <t>120/85+2d6</t>
  </si>
  <si>
    <t>Genasi, Fire</t>
  </si>
  <si>
    <t>4'10"/4'5"+2d12</t>
  </si>
  <si>
    <t>Genasi, Water</t>
  </si>
  <si>
    <t>4'10"/4'5"+2d8</t>
  </si>
  <si>
    <t>Giant, Fire</t>
  </si>
  <si>
    <t>Slam+3+0+1</t>
  </si>
  <si>
    <t>Climb,Craft (any),Intimidate,Jump,Spot</t>
  </si>
  <si>
    <t>Common, Draconic, Elven, Goblin, Orc</t>
  </si>
  <si>
    <t>Giant, Forest</t>
  </si>
  <si>
    <t>Diplomacy,Hide+4,Listen,Sense Motive,Spot</t>
  </si>
  <si>
    <t>Giant, Frost</t>
  </si>
  <si>
    <t>Giant, Hill</t>
  </si>
  <si>
    <t>Climb,Jump,Listen,Spot</t>
  </si>
  <si>
    <t>Giant, Jungle</t>
  </si>
  <si>
    <t>Entangle, Snare; Pass Without Trace, Woodshape (3/day)</t>
  </si>
  <si>
    <t>Craft (any),Hide,Listen,Move Silently,Spellcraft,Spot</t>
  </si>
  <si>
    <t>Common, Drow, Sylvan</t>
  </si>
  <si>
    <t>Giant, Sand</t>
  </si>
  <si>
    <t>Earth, Fire</t>
  </si>
  <si>
    <t>Meld Into Stone, Statue</t>
  </si>
  <si>
    <t>Hide,Knowledge (nature),Listen,Spot,Survival</t>
  </si>
  <si>
    <t>Common, Giant</t>
  </si>
  <si>
    <t>Draconic, Elven, Goblin, Orc</t>
  </si>
  <si>
    <t>Giant, Stone</t>
  </si>
  <si>
    <t>Climb,Hide,Jump,Spot</t>
  </si>
  <si>
    <t>Giant, Sun</t>
  </si>
  <si>
    <t>Spike Stones, Stone Shape, Wall Of Stone (at will, CL 13, Save DC 12+Spell Lvl)</t>
  </si>
  <si>
    <t>Handle Animal,Hide+4,Listen,Ride,Spot</t>
  </si>
  <si>
    <t>Githyanki</t>
  </si>
  <si>
    <t>5'3"/5'2"+2d10</t>
  </si>
  <si>
    <t>Githzerai</t>
  </si>
  <si>
    <t>5'2"/5'1"+2d10</t>
  </si>
  <si>
    <t>Gloaming</t>
  </si>
  <si>
    <t>Move Silently+4</t>
  </si>
  <si>
    <t>Portal Sensitive</t>
  </si>
  <si>
    <t>By Character Region</t>
  </si>
  <si>
    <t>Gnoll</t>
  </si>
  <si>
    <t>Listen,Spot</t>
  </si>
  <si>
    <t>5'4"/5'2"+2d12</t>
  </si>
  <si>
    <t>200/180+2d6</t>
  </si>
  <si>
    <t>Gnoll, Flind</t>
  </si>
  <si>
    <t>Common, Gnoll</t>
  </si>
  <si>
    <t>Gnome, Chaos</t>
  </si>
  <si>
    <t>Entropic Shield</t>
  </si>
  <si>
    <t>confusion</t>
  </si>
  <si>
    <t>Common, Gnome</t>
  </si>
  <si>
    <t>any</t>
  </si>
  <si>
    <t>30/25+1d1</t>
  </si>
  <si>
    <t>Gnome, Deep</t>
  </si>
  <si>
    <t>Blindness/Deafness, Blur, Disguise Self</t>
  </si>
  <si>
    <t>Craft (alchemy)+2,Hide+2,Listen+2</t>
  </si>
  <si>
    <t>Gnome, Undercommon</t>
  </si>
  <si>
    <t>Common, Draconic, Dwarven, Elven, Illuskan, Terran</t>
  </si>
  <si>
    <t>20+4d6/6d6/9d6</t>
  </si>
  <si>
    <t>2'10"/2'8"+2d4</t>
  </si>
  <si>
    <t>40/35+1d1</t>
  </si>
  <si>
    <t>Gnome, Forest</t>
  </si>
  <si>
    <t>Speak With Animals (burrowing)</t>
  </si>
  <si>
    <t>Craft (alchemy)+2,Hide+4,Listen+2</t>
  </si>
  <si>
    <t>Gnome, Elven, Sylvan</t>
  </si>
  <si>
    <t>Common, Draconic, Dwarven, Giant, Goblin, Orc</t>
  </si>
  <si>
    <t>Illusionist</t>
  </si>
  <si>
    <t>2'0"/2'0"+1d10</t>
  </si>
  <si>
    <t>25/20+1d1</t>
  </si>
  <si>
    <t>Gnome, Ice</t>
  </si>
  <si>
    <t>Speak With Animals (arctic)</t>
  </si>
  <si>
    <t>Craft (alchemy)+2,Listen+2</t>
  </si>
  <si>
    <t>Draconic, Dwarven, Elven, Giant, Goblin, Orc</t>
  </si>
  <si>
    <t>3'0"/2'10"+2d4</t>
  </si>
  <si>
    <t>Gnome, Rock</t>
  </si>
  <si>
    <t>Gnome, Stonehunter</t>
  </si>
  <si>
    <t>Dragonblood, Gnome</t>
  </si>
  <si>
    <t>Climb+2,Craft (alchemy)+2,Listen+2,Survival+2</t>
  </si>
  <si>
    <t>Gnome, Svirfneblin</t>
  </si>
  <si>
    <t>Undercommon, Gnome, Common</t>
  </si>
  <si>
    <t>Dwarven, Elven, Giant, Goblin, Orc, Terran</t>
  </si>
  <si>
    <t>Gnome, Thinker</t>
  </si>
  <si>
    <t>Craft (alchemy)+2,Disable Device+2,Open Lock+2</t>
  </si>
  <si>
    <t>Dwarven, Ergot, Ogre, Solamnic</t>
  </si>
  <si>
    <t>Gnome, Tinker</t>
  </si>
  <si>
    <t>Gnome, Wavecrest</t>
  </si>
  <si>
    <t>Speak With Animals (sea birds)</t>
  </si>
  <si>
    <t>Gnome, Whisper</t>
  </si>
  <si>
    <t>Hide+4,Listen+2,Move Silently+4,Spot+2</t>
  </si>
  <si>
    <t>50+3d6/5d6/7d6</t>
  </si>
  <si>
    <t>45/35+1d1</t>
  </si>
  <si>
    <t>Climb+2,Jump+2,Listen+2,Move Silently+2</t>
  </si>
  <si>
    <t>Goatfolk</t>
  </si>
  <si>
    <t>Head Butt+5+0+1</t>
  </si>
  <si>
    <t>Intimidate+4,Listen,Spot,Survival</t>
  </si>
  <si>
    <t>Common, Ibixian</t>
  </si>
  <si>
    <t>Goblin</t>
  </si>
  <si>
    <t>Goblin, Dekanter</t>
  </si>
  <si>
    <t>Horn+5+0+1,2 Claws+4+0+0</t>
  </si>
  <si>
    <t>Climb,Intimidate,Jump,Listen,Sense Motive,Spot</t>
  </si>
  <si>
    <t>Goblin, Undercommon, Common</t>
  </si>
  <si>
    <t>Goblin, Forestkith</t>
  </si>
  <si>
    <t>Climb+8,Hide+4,Jump+2,Move Silently+4</t>
  </si>
  <si>
    <t>Common, Elven, Giant, Orc</t>
  </si>
  <si>
    <t>Goblin, Snow</t>
  </si>
  <si>
    <t>Climb+8,Intimidate+4,Move Silently+4</t>
  </si>
  <si>
    <t>Draconic, Giant, Orc</t>
  </si>
  <si>
    <t>Goliath</t>
  </si>
  <si>
    <t>Sense Motive+2</t>
  </si>
  <si>
    <t>Common, Gol-Kaa</t>
  </si>
  <si>
    <t>Dwarven, Giant, Gnoll, Terran</t>
  </si>
  <si>
    <t>Grig</t>
  </si>
  <si>
    <t>Tiny</t>
  </si>
  <si>
    <t>Disguise Self, Entangle (DC 10), Invisibility(self only), Pyrotechnics (DC 11), Ventriloquism (DC 10) (3/day)</t>
  </si>
  <si>
    <t>5/cold iron</t>
  </si>
  <si>
    <t>Jump+8</t>
  </si>
  <si>
    <t>Dodge</t>
  </si>
  <si>
    <t>Elven, Gnome, Halfling</t>
  </si>
  <si>
    <t>Grimlock</t>
  </si>
  <si>
    <t>gaze attacks, visual effects, illusions, other attack forms
  that rely on sight.</t>
  </si>
  <si>
    <t>Climb,Hide,Listen,Spot</t>
  </si>
  <si>
    <t>Common, Grimlock</t>
  </si>
  <si>
    <t>Draconic, Dwarven, Gnome, Terran, Undercommon</t>
  </si>
  <si>
    <t>Guardinal, Cervidal</t>
  </si>
  <si>
    <t>Good, Guardinal</t>
  </si>
  <si>
    <t>2 Slams+5+0+1, Butt+3+0+0</t>
  </si>
  <si>
    <t>Bless, Command, Detect Poison, Light (at will); Hold Person, Magic Missile, Suggestion (CL 9, DC 13+Spell Lvl)</t>
  </si>
  <si>
    <t>cold 10, sonic10</t>
  </si>
  <si>
    <t>Balance,Concentration,Heal,Intimidate,Jump+8,Knowledge (the planes),Listen,Spellcraft,Spot</t>
  </si>
  <si>
    <t>Celestial, Infernal, Draconic</t>
  </si>
  <si>
    <t>Guardinal, Lupinal</t>
  </si>
  <si>
    <t>2 Claws+4+0+1,Bite+5+0+0</t>
  </si>
  <si>
    <t>Blink, Blur, Change Self, Darkness, Ethereal Jaunt (at will); Cone Of Cold, Cure Light Wounds, Fly, Magic Missile (3/day, CL 8, DC12+spell lvl)</t>
  </si>
  <si>
    <t>5/evil</t>
  </si>
  <si>
    <t>Balance,Climb,Concentration,Diplomacy,Hide,Jump,Listen,Move Silently,Spot,Survival,Tumble</t>
  </si>
  <si>
    <t>Hadozee</t>
  </si>
  <si>
    <t>Balance+4,Climb+4</t>
  </si>
  <si>
    <t>Common, Hadozee</t>
  </si>
  <si>
    <t>Aquan, Elven, Halfling</t>
  </si>
  <si>
    <t>13+1d3/1d4/1d6</t>
  </si>
  <si>
    <t>5'0"/4'10"+2d8</t>
  </si>
  <si>
    <t>150/120+2d4</t>
  </si>
  <si>
    <t>Half-Elf</t>
  </si>
  <si>
    <t>Diplomacy+2,Gather Information+2,Listen+1,Search+1,Spot+1</t>
  </si>
  <si>
    <t>4'7"/4'5"+2d8</t>
  </si>
  <si>
    <t>Half-Elf, Aquatic</t>
  </si>
  <si>
    <t>Listen+1,Search+1,Spot+1,Swim+8</t>
  </si>
  <si>
    <t>Half-Elf, Deepwyrm Drow</t>
  </si>
  <si>
    <t>Detect Magic (3/day); Disguise Self</t>
  </si>
  <si>
    <t>Bluff+2,Gather Information+2,Listen+1,Search+1,Spot+1</t>
  </si>
  <si>
    <t>Common, Elven, Undercommon</t>
  </si>
  <si>
    <t>Chondathan, Dwarven, Giant, Goblin, Illuskan, Sylvan</t>
  </si>
  <si>
    <t>Half-Elf, Drow</t>
  </si>
  <si>
    <t>Half-Elf, Forestlord</t>
  </si>
  <si>
    <t>Half-Giant</t>
  </si>
  <si>
    <t>Draconic, Giant, Gnoll, Ignan</t>
  </si>
  <si>
    <t>Psychic Warrior</t>
  </si>
  <si>
    <t>30+3d6/2d6/4d6</t>
  </si>
  <si>
    <t>6'4"/6'1"+2d12</t>
  </si>
  <si>
    <t>220/180+2d6</t>
  </si>
  <si>
    <t>Half-Kender</t>
  </si>
  <si>
    <t>Kender</t>
  </si>
  <si>
    <t>Open Lock+1,Sleight of Hand+1,Spot+1</t>
  </si>
  <si>
    <t>Kenderspeak, Common</t>
  </si>
  <si>
    <t>Halfling, Deep</t>
  </si>
  <si>
    <t>Common, Halfling, Dwarven</t>
  </si>
  <si>
    <t>Dwarven, Elven, Gnome, Goblin, Orc</t>
  </si>
  <si>
    <t>Halfling, Ghostwise</t>
  </si>
  <si>
    <t>Common, Halfling</t>
  </si>
  <si>
    <t>Chondathan, Elven, Gnoll, Shaaran, Sylvan</t>
  </si>
  <si>
    <t>20+2d4/3d6/4d6</t>
  </si>
  <si>
    <t>Halfling, Glimmerskin</t>
  </si>
  <si>
    <t>Dragonblood, Halfling</t>
  </si>
  <si>
    <t>Climb+2,Jump+2,Listen+2</t>
  </si>
  <si>
    <t>Halfling, Lightfoot</t>
  </si>
  <si>
    <t>Halfling, Shoal</t>
  </si>
  <si>
    <t>Aquatic, Halfling</t>
  </si>
  <si>
    <t>Listen+2,Swim+8</t>
  </si>
  <si>
    <t>Halfling, Strongheart</t>
  </si>
  <si>
    <t>Dwarven, Gnoll, Goblin, Halruaan, Shaaran</t>
  </si>
  <si>
    <t>Halfling, Tallfellow</t>
  </si>
  <si>
    <t>Halfling, Tundra</t>
  </si>
  <si>
    <t>Jump+2,Listen+2,Move Silently+2,Survival+2</t>
  </si>
  <si>
    <t>Half-Ogre</t>
  </si>
  <si>
    <t>6'10"/6'5"+2d12</t>
  </si>
  <si>
    <t>250/210+3d8</t>
  </si>
  <si>
    <t>Half-Orc</t>
  </si>
  <si>
    <t>150/110+2d6</t>
  </si>
  <si>
    <t>Half-Orc, Frostblood</t>
  </si>
  <si>
    <t>Dragonblood, Orc</t>
  </si>
  <si>
    <t>cold 10</t>
  </si>
  <si>
    <t>Endurance</t>
  </si>
  <si>
    <t>Half-Orc, Scablands</t>
  </si>
  <si>
    <t>Half-Vistani, Canjar</t>
  </si>
  <si>
    <t>Spellcraft+2,Survival+2</t>
  </si>
  <si>
    <t>Balok, Darkonese, Mordentish, Vaasi, Draconic</t>
  </si>
  <si>
    <t>Half-Vistani, Corvara</t>
  </si>
  <si>
    <t>Open Lock+2,Sense Motive+2,Survival+2</t>
  </si>
  <si>
    <t>Half-Vistani, Equaar</t>
  </si>
  <si>
    <t>Handle Animal+2,Ride+2,Survival+2</t>
  </si>
  <si>
    <t>Half-Vistani, Kamii</t>
  </si>
  <si>
    <t>Survival+2</t>
  </si>
  <si>
    <t>Half-Vistani, Naiat</t>
  </si>
  <si>
    <t>Perform (any)+2,Survival+2</t>
  </si>
  <si>
    <t>Half-Vistani, Vatmska</t>
  </si>
  <si>
    <t>Profesion (herbalism)+2,Survival+2</t>
  </si>
  <si>
    <t>Half-Vistani, Zarovan</t>
  </si>
  <si>
    <t>Harssaf</t>
  </si>
  <si>
    <t>blindness, fire</t>
  </si>
  <si>
    <t>5/bludgeoning</t>
  </si>
  <si>
    <t>Climb,Hide,Jump,Knowledge (nature),Listen,Move Silently,Spot</t>
  </si>
  <si>
    <t>Alertness, Lightning Reflexes</t>
  </si>
  <si>
    <t>Draconic, Dwarven, Elven, Giant, Halfling, Orc, Terran</t>
  </si>
  <si>
    <t>Hellbred</t>
  </si>
  <si>
    <t>Devil's Favor</t>
  </si>
  <si>
    <t>Common, Infernal</t>
  </si>
  <si>
    <t>Common, Hengeyokai</t>
  </si>
  <si>
    <t>Giant, Goblin, Nezumi, Spirit Tongue</t>
  </si>
  <si>
    <t>Wu Jen</t>
  </si>
  <si>
    <t>Hobgoblin</t>
  </si>
  <si>
    <t>Draconic, Dwarven, Infernal, Giant, Orc</t>
  </si>
  <si>
    <t>Hobgoblin, Sunscorch</t>
  </si>
  <si>
    <t>Dragonblood, Goblinoid</t>
  </si>
  <si>
    <t>Bluff+2,Move Silently+4</t>
  </si>
  <si>
    <t>Human</t>
  </si>
  <si>
    <t>Human, Silverbrow</t>
  </si>
  <si>
    <t>Dragonblood, Human</t>
  </si>
  <si>
    <t>Feather Fall (3/day)</t>
  </si>
  <si>
    <t>Disguise+2</t>
  </si>
  <si>
    <t>Illumian</t>
  </si>
  <si>
    <t>Common, Illumian</t>
  </si>
  <si>
    <t>4'11"/4'6"+2d10</t>
  </si>
  <si>
    <t>Jackal Lord</t>
  </si>
  <si>
    <t>2 Claws+4+0+1,Bite+7+0+0</t>
  </si>
  <si>
    <t>Cat's Grace, Change Self, Detect Magic, Detect Good, Suggestion (at will); Shadow Walk (3/day)</t>
  </si>
  <si>
    <t>Bluff,Diplomacy,Disguise,Intimidate,Knowledge (religion),Listen,Move Silently,Sense Motive,Spot</t>
  </si>
  <si>
    <t>Janni</t>
  </si>
  <si>
    <t>perfect</t>
  </si>
  <si>
    <t>Invisibility (self only), Speak With Animals (3/day);Create Food And Water, Ethereal Jaunt</t>
  </si>
  <si>
    <t>Appraise,Concentration,Craft (any),Escape Artist,Listen,Move Silently,Ride,Sense Motive,Spot</t>
  </si>
  <si>
    <t>Improved Initiative</t>
  </si>
  <si>
    <t>Aquan, Auran, Ignan, Terran, Abyssal, Celestial, Infernal</t>
  </si>
  <si>
    <t>Kalashtar</t>
  </si>
  <si>
    <t>Bluff+2,Diplomacy+2,Intimidate+2</t>
  </si>
  <si>
    <t>Common, Quor</t>
  </si>
  <si>
    <t>Draconic, Riedran</t>
  </si>
  <si>
    <t>40+2d6/3d6/5d6</t>
  </si>
  <si>
    <t>5'4"/5'2"+2d6</t>
  </si>
  <si>
    <t>135/105+1d6</t>
  </si>
  <si>
    <t>Kaorti</t>
  </si>
  <si>
    <t>Evil, Extraplanar</t>
  </si>
  <si>
    <t>Bite+5+0+0</t>
  </si>
  <si>
    <t>Color Spray, Disguise Self, Featherfall, Ray of Feeblemind, Reduce, Spider Climb</t>
  </si>
  <si>
    <t>poison</t>
  </si>
  <si>
    <t>Concentration,Craft (any),Heal+8,Intimidate,Knowledge (arcana),Knowledge (the planes),Spellcraft,Survival,Use Magic Device</t>
  </si>
  <si>
    <t>Karsite</t>
  </si>
  <si>
    <t>Binder</t>
  </si>
  <si>
    <t>Keeper</t>
  </si>
  <si>
    <t>mind-affecting effects, poison, sleep, paralysis, stunning, disease, death effects, necromantic effects, any effect requiring a Fort save unless it works on objects. You are also not subject to critical hits, sneak attacks, subdual damage, ability damage, ability drain, energy drain, death from massive damage.</t>
  </si>
  <si>
    <t>acid 10, cold 10, fire 10, electricity 10, sonic 10</t>
  </si>
  <si>
    <t>Climb+8,Escape Artist+8,Hide,Jump+8,Knowledge (any),Listen,Move Silently,Open Lock,Spot</t>
  </si>
  <si>
    <t>Spring Attack</t>
  </si>
  <si>
    <t>fear</t>
  </si>
  <si>
    <t>Concentration,Open Lock+2,Sleight of Hand+2,Spot+2</t>
  </si>
  <si>
    <t>Dwarven, Ergot, Elven, Goblin, Solamnic</t>
  </si>
  <si>
    <t>Kender, Afflicted</t>
  </si>
  <si>
    <t>Climb+2,Hide+2,Jump+2,Open Lock+2,Sleight of Hand+2,Spot+2</t>
  </si>
  <si>
    <t>Kenku</t>
  </si>
  <si>
    <t>2 Claws+3+0+1</t>
  </si>
  <si>
    <t>Common, Kenku</t>
  </si>
  <si>
    <t>Auran, Dwarven, Gnome, Goblin, Halfling</t>
  </si>
  <si>
    <t>Khaasta</t>
  </si>
  <si>
    <t>Extraplanar, Reptilian</t>
  </si>
  <si>
    <t>Climb,Handle Animal,Intimidate,Knowledge (the planes),Ride,Spot,Survival</t>
  </si>
  <si>
    <t>Killoren</t>
  </si>
  <si>
    <t>magic sleep effects</t>
  </si>
  <si>
    <t>Handle Animal+2,Survival+2</t>
  </si>
  <si>
    <t>Aquan, Auran, Elven, Gnome, Ignan, Terran</t>
  </si>
  <si>
    <t>10+1d4/1d6/2d6</t>
  </si>
  <si>
    <t>5'0"/5'0"+2d6</t>
  </si>
  <si>
    <t>Kir-Lanan</t>
  </si>
  <si>
    <t>2 Claws+4+0+1</t>
  </si>
  <si>
    <t>Ray of Enfeeblement (3/day)</t>
  </si>
  <si>
    <t>Escape Artist,Hide,+4Listen,Move Silently,Spot,Use Magic Device</t>
  </si>
  <si>
    <t>Kir-Lanan, Common</t>
  </si>
  <si>
    <t>Kobold</t>
  </si>
  <si>
    <t>Common, Undercommon</t>
  </si>
  <si>
    <t>6+1d3/1d4/2d4</t>
  </si>
  <si>
    <t>2'1"/1'10"+2d4</t>
  </si>
  <si>
    <t>40/30+1d1</t>
  </si>
  <si>
    <t>Korobokuru</t>
  </si>
  <si>
    <t>Giant, Goblin, Hengeyokai, Sylvan</t>
  </si>
  <si>
    <t>100/70+2d4</t>
  </si>
  <si>
    <t>Krinth</t>
  </si>
  <si>
    <t>Common, Netherese</t>
  </si>
  <si>
    <t>Abyssal, Chondathan, Damaran, Undercommon</t>
  </si>
  <si>
    <t>Kuo-Toa</t>
  </si>
  <si>
    <t>poison, paralysis</t>
  </si>
  <si>
    <t>electricity 10.</t>
  </si>
  <si>
    <t>Craft (any),Escape Artist+8,Knowledge (any),Listen,Move Silently,Search+4,Spot+4,Swim+8</t>
  </si>
  <si>
    <t>Kuo-Toan</t>
  </si>
  <si>
    <t>Undercommon, Aquan</t>
  </si>
  <si>
    <t>Kyrie</t>
  </si>
  <si>
    <t>Handle Animal,Knowledge (nature),Listen,Survival</t>
  </si>
  <si>
    <t>Auran, Kothian</t>
  </si>
  <si>
    <t>Common,Kalinese,Nordmaarian</t>
  </si>
  <si>
    <t>Kyton (Chain Devil)</t>
  </si>
  <si>
    <t>2 Chains+9+0+1</t>
  </si>
  <si>
    <t>5/silver or good</t>
  </si>
  <si>
    <t>Climb,Craft (blacksmithing),Escape Artist,Intimidate,Listen,Spot,Use Rope</t>
  </si>
  <si>
    <t>Lizardfolk</t>
  </si>
  <si>
    <t>Reptilian</t>
  </si>
  <si>
    <t>Balance+4,Jump+4,Swim+4</t>
  </si>
  <si>
    <t>Aquan, Goblin, Gnoll, Orc</t>
  </si>
  <si>
    <t>Lizardfolk, Blackscale</t>
  </si>
  <si>
    <t>acid 5</t>
  </si>
  <si>
    <t>Balance+4,Jump+4,Swim+8</t>
  </si>
  <si>
    <t>Lizardfolk, Poison Dusk</t>
  </si>
  <si>
    <t>Balance+4,Hide+5,Jump+4,Swim+8</t>
  </si>
  <si>
    <t>Multiattack</t>
  </si>
  <si>
    <t>Halfling, Sylvan</t>
  </si>
  <si>
    <t>Lizardfolk, Viletooth</t>
  </si>
  <si>
    <t>Dragonblood, Reptilian</t>
  </si>
  <si>
    <t>Locathah</t>
  </si>
  <si>
    <t>Craft (any),Listen,Spot,Swim+8</t>
  </si>
  <si>
    <t>Aquan</t>
  </si>
  <si>
    <t>Loxo</t>
  </si>
  <si>
    <t>2 Slams+4+0+1,Trample+5+0+2</t>
  </si>
  <si>
    <t>Climb,Listen,Spot,Survival</t>
  </si>
  <si>
    <t>Lumi</t>
  </si>
  <si>
    <t>Disrupt Undead (DC10), Light (at will); Cure Light Wounds, Glitterdust (DC12) (3/day)</t>
  </si>
  <si>
    <t>Concentration,Diplomacy,Heal,Knowledge (the planes),Listen,Search+2,Sense Motive+2,Spot+2</t>
  </si>
  <si>
    <t>Common, Lumi</t>
  </si>
  <si>
    <t>Abyssal, Celestial, Dwarven, Infernal</t>
  </si>
  <si>
    <t>Maeluth</t>
  </si>
  <si>
    <t>Maenad</t>
  </si>
  <si>
    <t>Common, Maenad</t>
  </si>
  <si>
    <t>Aquan, Draconic, Dwarven, Elven, Goblin</t>
  </si>
  <si>
    <t>40+1d6/4d6/6d6</t>
  </si>
  <si>
    <t>5'4"/5'3"+2d10</t>
  </si>
  <si>
    <t>Marrash</t>
  </si>
  <si>
    <t>Protection From Arrows (at will, CL 10)</t>
  </si>
  <si>
    <t>Balance,Jump,Knowledge (the planes),Listen,Search,Spot,Tumble</t>
  </si>
  <si>
    <t>Maug</t>
  </si>
  <si>
    <t>Construct</t>
  </si>
  <si>
    <t>Craft (any),Craft (stonemeasonery)+4,Intimidate,Knowledge (arch &amp; eng)+4,Listen,Profession (any),Spot,Survival</t>
  </si>
  <si>
    <t>Common, Draconic, Giant</t>
  </si>
  <si>
    <t>Mechanatrix</t>
  </si>
  <si>
    <t>Shocking Grasp</t>
  </si>
  <si>
    <t>Knowledge (arch &amp; eng)+4,Listen,Search,Spot+2</t>
  </si>
  <si>
    <t>Mephling, Air</t>
  </si>
  <si>
    <t>Common, Auran</t>
  </si>
  <si>
    <t>Aquan, Auran, Ignan, Terran</t>
  </si>
  <si>
    <t>50+4d4/4d6/6d6</t>
  </si>
  <si>
    <t>2'7"/2'9"+2d4</t>
  </si>
  <si>
    <t>25/30+1d1</t>
  </si>
  <si>
    <t>Mephling, Earth</t>
  </si>
  <si>
    <t>Common, Terran</t>
  </si>
  <si>
    <t>51+4d4/4d6/6d7</t>
  </si>
  <si>
    <t>Mephling, Fire</t>
  </si>
  <si>
    <t>52+4d4/4d6/6d8</t>
  </si>
  <si>
    <t>Mephling, Water</t>
  </si>
  <si>
    <t>Common, Aquan</t>
  </si>
  <si>
    <t>53+4d4/4d6/6d9</t>
  </si>
  <si>
    <t>Merfolk</t>
  </si>
  <si>
    <t>Merregon (Legion Devil)</t>
  </si>
  <si>
    <t>fire, poison, fear</t>
  </si>
  <si>
    <t>Climb,Craft (weaponsmithing),Heal,Intimidate,Jump,Ride</t>
  </si>
  <si>
    <t>Mobility</t>
  </si>
  <si>
    <t>Mind Flayer</t>
  </si>
  <si>
    <t>× Psionics (Sp): At Will: Charm Monster(DC 13), Detect Thoughts(DC 11), Levitate, Plane Shift, Suggestion(DC 12).</t>
  </si>
  <si>
    <t>Bluff,Concentration,Diplomacy,Disguise,Hide,Intimidate,Knowledge (any),Listen,Move Silently,Sense Motive,Spot</t>
  </si>
  <si>
    <t>Abyssal, Aquan, Draconic, Dwarven, Elven, Gnome, Infernal, Terran</t>
  </si>
  <si>
    <t>Minotaur</t>
  </si>
  <si>
    <t>Gore+5+0+1</t>
  </si>
  <si>
    <t>Intimidate,Listen+4,Search+4,Spot+4</t>
  </si>
  <si>
    <t>Mongrelfolk</t>
  </si>
  <si>
    <t>Appraise+1,Climb+1,Hide+4,Jump+1,Listen+1,Move Silently+1,Search+1,Sleight of Hand+4,Spot+1</t>
  </si>
  <si>
    <t>4'4"/4'3"+2d6</t>
  </si>
  <si>
    <t>100/85+2d6</t>
  </si>
  <si>
    <t>Narzugon</t>
  </si>
  <si>
    <t>Scorching Ray (at will), Mount (3/day).</t>
  </si>
  <si>
    <t>Balance,Climb,Escape Artist,Handle Animal,Intimidate,Knowledge (the planes),Listen,Ride,Spot,Survival,Use Rope</t>
  </si>
  <si>
    <t>Common, Celestial, Draconic, Infernal</t>
  </si>
  <si>
    <t>Neanderthal</t>
  </si>
  <si>
    <t>Listen+2,Spot+2,Survival+2</t>
  </si>
  <si>
    <t>Dwarven, Giant, Orc</t>
  </si>
  <si>
    <t>14+1d4/1d6/3d6</t>
  </si>
  <si>
    <t>6'6"/6'6"+2d8</t>
  </si>
  <si>
    <t>200/150+2d4</t>
  </si>
  <si>
    <t>Neraph</t>
  </si>
  <si>
    <t>Jump+5,Search+2,Spot+2</t>
  </si>
  <si>
    <t>Neraph, Slaad</t>
  </si>
  <si>
    <t>Common, Celestial, Abyssal</t>
  </si>
  <si>
    <t>Nerra, Kalareem</t>
  </si>
  <si>
    <t>Mirror Image</t>
  </si>
  <si>
    <t>gaze attacks</t>
  </si>
  <si>
    <t>sonic</t>
  </si>
  <si>
    <t>cold 10, electricity 10, fire10</t>
  </si>
  <si>
    <t>Bluff,Diplomacy,Disguise,Hide,Intimidate,Knowledge (any),Listen,Move Silently,Sense Motive,Spot</t>
  </si>
  <si>
    <t>Exotic Weapon Proficiency(shard longsword), Weapon Focus(shard longsword)</t>
  </si>
  <si>
    <t>Common, Nerran</t>
  </si>
  <si>
    <t>Nerra, Sillit</t>
  </si>
  <si>
    <t>Change Self, False Vision, Mirror Image (at will); Mislead (3/day)</t>
  </si>
  <si>
    <t>cold 15, electricity 15, fire15</t>
  </si>
  <si>
    <t>Bluff,Diplomacy,Disguise,Gather Information,Hide,Intimidate,Knowledge (the planes),Listen,Move Silently,Search,Sense Motive,Spot,Survival</t>
  </si>
  <si>
    <t>Nerra, Varoot</t>
  </si>
  <si>
    <t>Change Self; Mirror Image (3/day)</t>
  </si>
  <si>
    <t>Bluff,Diplomacy,Disguise,Gather Information,Intimidate,Knowledge (any),Listen,Sense Motive,Sleight of Hand,Spot</t>
  </si>
  <si>
    <t>Exotic Weapon Proficiency(shard longsword), Exotic Weapon Proficiency(shard dagger)</t>
  </si>
  <si>
    <t>Nezumi</t>
  </si>
  <si>
    <t>Bite+4+0+1,Claw+4+0+1</t>
  </si>
  <si>
    <t>Shadowlands Taint</t>
  </si>
  <si>
    <t>Common, Nezumi</t>
  </si>
  <si>
    <t>Bakemono, Shadowlands</t>
  </si>
  <si>
    <t>5+1d2/1d4/1d8</t>
  </si>
  <si>
    <t>5'2"/4'9"+2d4</t>
  </si>
  <si>
    <t>140/105+1d6</t>
  </si>
  <si>
    <t>Nixie</t>
  </si>
  <si>
    <t>Aquan, Sylvan</t>
  </si>
  <si>
    <t>Common, Elven, Gnome, Halfling</t>
  </si>
  <si>
    <t>Nycter</t>
  </si>
  <si>
    <t>Craft (any),Listen+2,Spot+2,Survival</t>
  </si>
  <si>
    <t>Ogre</t>
  </si>
  <si>
    <t>Climb,Listen,Spot</t>
  </si>
  <si>
    <t>Ogre Mage</t>
  </si>
  <si>
    <t>Darkness, Invisibility (at will); Charm Person (DC 10), Cone Of Cold (DC 14), Gaseous Form, Sleep (DC 10)</t>
  </si>
  <si>
    <t>Concentration,Listen,Spellcraft,Spot</t>
  </si>
  <si>
    <t>Dwarven, Goblin, Infernal, Orc</t>
  </si>
  <si>
    <t>Ogre, Irda</t>
  </si>
  <si>
    <t>Dancing Lights, Detect Magic, Flare, Ghost Sound, Light, Mage Hand. (DC 9)</t>
  </si>
  <si>
    <t>Common, High Ogre</t>
  </si>
  <si>
    <t>Dwarven, Elven, Kothian, Sylvan</t>
  </si>
  <si>
    <t>Ogre, Skullcrusher</t>
  </si>
  <si>
    <t>Craft (any),Handle Animal,Intimidate,Knowledge (arch &amp; eng),Ride</t>
  </si>
  <si>
    <t>Improved Grapple, Two-Weapon Fighting</t>
  </si>
  <si>
    <t>Dwarven, Orc, Goblin, Terran</t>
  </si>
  <si>
    <t>Dwarven, Giant, Gnoll, Goblin, Undercommon</t>
  </si>
  <si>
    <t>Orc, Deep</t>
  </si>
  <si>
    <t>Craft (armorsmithing)+2,Craft (weaponsmithing)+2</t>
  </si>
  <si>
    <t>Orc, Undercommon</t>
  </si>
  <si>
    <t>Common, Dwarven, Elven, Goblin, Giant</t>
  </si>
  <si>
    <t>Orc, Frostblood</t>
  </si>
  <si>
    <t>Orc, Gray</t>
  </si>
  <si>
    <t>Draconic, Giant, Goblin</t>
  </si>
  <si>
    <t>Orc, Mountain</t>
  </si>
  <si>
    <t>Draconic, Dwarven, Giant, Goblin</t>
  </si>
  <si>
    <t>5'8"/5'0"+2d10</t>
  </si>
  <si>
    <t>150/115+2d6</t>
  </si>
  <si>
    <t>Pixie</t>
  </si>
  <si>
    <t>Lesser Confusion (DC 10), Dancing Lights, Detect Chaos, Detect Good, Detect Evil, Detect Law, Detect Thoughts (DC 11), Dispel Magic, Entangle (DC 10), Permanent Image (DC 15)</t>
  </si>
  <si>
    <t>10/cold iron</t>
  </si>
  <si>
    <t>Quaraphon</t>
  </si>
  <si>
    <t>Bite+4+0+2,2 Hooves+4+0+2</t>
  </si>
  <si>
    <t>Intimidate,Listen,Spot,Survival</t>
  </si>
  <si>
    <t>Rakshasa</t>
  </si>
  <si>
    <t>15/good and piercing</t>
  </si>
  <si>
    <t>Bluff+4,Concentration,Diplomacy,Disguise+4,Intimidate,Listen,Move Silently,Perform (any),Sense Motive,Spellcraft,Spot</t>
  </si>
  <si>
    <t>Sylvan, Undercommon</t>
  </si>
  <si>
    <t>Rakshasa, Naztharune</t>
  </si>
  <si>
    <t>2 Claws+4+0+0</t>
  </si>
  <si>
    <t>Balance,Bluff+4,Disguise+4,Escape Artist,Hide,Listen,Move Silently,Search,Spot,Use Magic Device</t>
  </si>
  <si>
    <t>Raptoran</t>
  </si>
  <si>
    <t>Climb+2,Jump+10,Spot+2</t>
  </si>
  <si>
    <t>Common, Tuilvilanuue</t>
  </si>
  <si>
    <t>Draconic, Elven, Gnome, Goblin, Orc, Sylvan</t>
  </si>
  <si>
    <t>5'2"/5'2"+2d10</t>
  </si>
  <si>
    <t>Rilkan</t>
  </si>
  <si>
    <t>Bluff+2,Diplomacy+2</t>
  </si>
  <si>
    <t>Incarnate</t>
  </si>
  <si>
    <t>120/95+1d8</t>
  </si>
  <si>
    <t>Rilmani, Aurumach</t>
  </si>
  <si>
    <t>Comprehend Languages, Detect Chaos, Detect Evil, Detect Good, Detect Law, Detect Magic, Detect Thoughts, Feather Fall, Sanctuary, Tongues, Charm Monster, Cone of Cold, Greater Dispelling, Magic Circle Against Chaos, Magic Circle Against Evil, Magic Circle Against Good, Magic Circle Against Law, Magic Missile, Mass Suggestion, Teleport Without Error (self +max load of objects) (at will); Dissmissal, Fly, Forbiddance, Heal, Mind Blank, Prismatic Spray, True Seeing (CL 17, Save DC 18+Spell Level) (3/day)</t>
  </si>
  <si>
    <t>electricity, poison</t>
  </si>
  <si>
    <t>acid 20, sonic 20</t>
  </si>
  <si>
    <t>15/good or evil or lawful or chaotic</t>
  </si>
  <si>
    <t>Concentration,Craft (any),Diplomacy,Knowledge (any),Listen,Search,Sense Motive,Spellcraft,Spot,Survival</t>
  </si>
  <si>
    <t>Rilmani, Common, Undercommon, Abyssal, Celestial, Draconic, Infernal, Sylvan</t>
  </si>
  <si>
    <t>Rilmani, Cuprilach</t>
  </si>
  <si>
    <t>Comprehend Languages, Detect Chaos, Detect Evil, Detect Good, Detect Law, Detect Magic, Detect Thoughts, Feather Fall, Sanctuary, Tongues, Knock, Locate Object, Melf's Acid Arrow, Misdirection, See Invisibility (at will); Dimension Door, Enervation, Mislead, Poison (CL 12,Save DC 16 + Spell Level) (3/day)</t>
  </si>
  <si>
    <t>10/good or evil or lawful or chaotic</t>
  </si>
  <si>
    <t>Balance,Bluff,Climb+8,Concentration,Diplomacy,Disguise,Escape Artist,Forgery,Gather Information,Hide,Intimidate,Jump,Listen,Move Silently,Search,Sense Motive,Spot,Survival,Tumble</t>
  </si>
  <si>
    <t>Rilmani, Common, Undercommon, Abyssal, Celestial, Infernal</t>
  </si>
  <si>
    <t>Rilmani, Ferrumach</t>
  </si>
  <si>
    <t>Comprehend Languages, Detect Chaos, Detect Evil, Detect Good, Detect Law, Detect Magic, Detect Thoughts, Feather Fall, Sanctuary, Tongues, Blur, Command, Obscuring Mist, See Invisibility, Silence (at will); Cure Moderate Wounds, Dispel Magic, Ice Storm, Phantom Steed (CL 9,Save DC 15 + Spell Level) (3/day)</t>
  </si>
  <si>
    <t>Climb,Concentration,Diplomacy,Escape Artist,Intimidate,Listen,Profession (soldier),Ride,Search,Sense Motive,Spot,Survival,Use Rope</t>
  </si>
  <si>
    <t>Rilmani, Common, Undercommon, Sylvan</t>
  </si>
  <si>
    <t>Satyr</t>
  </si>
  <si>
    <t>Bluff,Diplomacy,Disguise,Hide+4,Intimidate,Knowledge (nature),Listen+4,Move Silently+4,Perform (any)+4,Spot+4,Survival</t>
  </si>
  <si>
    <t>Sylvan</t>
  </si>
  <si>
    <t>Common, Elven, Gnome</t>
  </si>
  <si>
    <t>Scorpionfolk</t>
  </si>
  <si>
    <t>Sting+5+0+1,2 Claws+4+0+0,Trample+5+0+2</t>
  </si>
  <si>
    <t>Major Image (2/day); Mirror Image (Cl10, Save DC 12+Spell Level)</t>
  </si>
  <si>
    <t>Diplomacy,Intimidate,Listen,Sense Motive,Spot</t>
  </si>
  <si>
    <t>Sea Kin</t>
  </si>
  <si>
    <t>Escape Artist+2</t>
  </si>
  <si>
    <t>17+1d4/1d6/2d6</t>
  </si>
  <si>
    <t>Selkie</t>
  </si>
  <si>
    <t>Aquatic, Shapechanger</t>
  </si>
  <si>
    <t>Craft (any),Listen,Perform (any),Spot,Swim+8</t>
  </si>
  <si>
    <t>Shadar-Kai</t>
  </si>
  <si>
    <t>Shadowswyft</t>
  </si>
  <si>
    <t>Hide+4,Move Silently+4</t>
  </si>
  <si>
    <t>Shadowswyft, Common</t>
  </si>
  <si>
    <t>Abyssal, Celestial, Elven</t>
  </si>
  <si>
    <t>12+1d4/2d4/3d4</t>
  </si>
  <si>
    <t>5'4"/5'0"+3d5</t>
  </si>
  <si>
    <t>120/80+1d4</t>
  </si>
  <si>
    <t>Sharakim</t>
  </si>
  <si>
    <t>Dwarven, Elven, Gnome, Orc</t>
  </si>
  <si>
    <t>16+1d4/1d6/2d6</t>
  </si>
  <si>
    <t>Shifter</t>
  </si>
  <si>
    <t>Elven, Gnome, Halfling, and Sylvan</t>
  </si>
  <si>
    <t>20+1d6/1d8/2d8</t>
  </si>
  <si>
    <t>100/85+2d4</t>
  </si>
  <si>
    <t>Shyft</t>
  </si>
  <si>
    <t>Ethereal Jaunt</t>
  </si>
  <si>
    <t>cold 5, fire 5, sonic 5</t>
  </si>
  <si>
    <t>Bluff,Hide+4,Listen,Move Silently+4,Search,Sense Motive,Sleight of Hand,Spot</t>
  </si>
  <si>
    <t>Sirine</t>
  </si>
  <si>
    <t>Fog Cloud, Improved Invisibility (CL 11, Save DC 13+spell level)</t>
  </si>
  <si>
    <t>Concentration,Heal,Hide,Perform (any)+8,Survival,Swim+8+</t>
  </si>
  <si>
    <t>Common,Sylvan</t>
  </si>
  <si>
    <t>Skarn</t>
  </si>
  <si>
    <t>Intimidate+2,Climb+2</t>
  </si>
  <si>
    <t>Draconic, Elf, Celestial, Abyssal, Infernal</t>
  </si>
  <si>
    <t>21+1d4/2d6/4d6</t>
  </si>
  <si>
    <t>5'5"/5'3"+2d10</t>
  </si>
  <si>
    <t>150/130+2d8</t>
  </si>
  <si>
    <t>Skulk</t>
  </si>
  <si>
    <t>Hide+15,Move Silently+8</t>
  </si>
  <si>
    <t>Dwarven, Elven, Gnome, Goblin, Halfling, Orc</t>
  </si>
  <si>
    <t>105/70+2d4</t>
  </si>
  <si>
    <t>Slig</t>
  </si>
  <si>
    <t>fire 10</t>
  </si>
  <si>
    <t>Craft (any),Craft (trapmaking)+2,Hide+2,Move Silently,Ride,Survival</t>
  </si>
  <si>
    <t>Goblin, Elven, Ogre</t>
  </si>
  <si>
    <t>Slig, Ghaggler</t>
  </si>
  <si>
    <t>Aquatic, Reptilian</t>
  </si>
  <si>
    <t>Slyth</t>
  </si>
  <si>
    <t>polymorphing, poison</t>
  </si>
  <si>
    <t>sonic 5</t>
  </si>
  <si>
    <t>Disguise+4,Escape Artist+4,Survival+4</t>
  </si>
  <si>
    <t>Aquan, Elven, Gnome, Terran</t>
  </si>
  <si>
    <t>Spellscale</t>
  </si>
  <si>
    <t>Dragonblood</t>
  </si>
  <si>
    <t>Common,Draconic</t>
  </si>
  <si>
    <t>Dwarven, Elven, Gnome, Halfling</t>
  </si>
  <si>
    <t>12+1d4/1d6/2d4</t>
  </si>
  <si>
    <t>4'7"/4'10"+2d6</t>
  </si>
  <si>
    <t>90/100+2d8</t>
  </si>
  <si>
    <t>Spiker</t>
  </si>
  <si>
    <t>2/piercing or slashing.</t>
  </si>
  <si>
    <t>140/100+2d6</t>
  </si>
  <si>
    <t>Spirit Folk, Bamboo</t>
  </si>
  <si>
    <t>Spirit</t>
  </si>
  <si>
    <t>Speak With Animals 1/day</t>
  </si>
  <si>
    <t>Common, Spirit Tongue</t>
  </si>
  <si>
    <t>Aquan, Giant Goblin, Hengeyokai, Nezumi</t>
  </si>
  <si>
    <t>Spirit Folk, River</t>
  </si>
  <si>
    <t>Speak With Animals 1/day (fish only)</t>
  </si>
  <si>
    <t>Spirit Folk, Sea</t>
  </si>
  <si>
    <t>Spriggan</t>
  </si>
  <si>
    <t>Produce Flame, Scare, Shatter (at will, CL 8, DC 10+spell level) (at will)</t>
  </si>
  <si>
    <t>Climb+4,Disable Device+4,Move Silently+4,Open Lock+4,Sleight of Hand+4</t>
  </si>
  <si>
    <t>Draconic, Sylvan</t>
  </si>
  <si>
    <t>Ss'ressen, Ashen Hide</t>
  </si>
  <si>
    <t>Ss'ressen, Cancerese</t>
  </si>
  <si>
    <t>Ssethric, Low Coryani, Milandisian</t>
  </si>
  <si>
    <t>Ss'ressen, Black Talon</t>
  </si>
  <si>
    <t>Balance+2,Jump+2,Swim+2</t>
  </si>
  <si>
    <t>Ss'ressen, Milandisian</t>
  </si>
  <si>
    <t>Ssethric, Low Coryani, Cancerese</t>
  </si>
  <si>
    <t>Stonechild</t>
  </si>
  <si>
    <t>Earth, Extraplanar</t>
  </si>
  <si>
    <t>acid, poison</t>
  </si>
  <si>
    <t>Appraise,Climb,Intimidate,Knowledge (history),Knowledge (the planes),Listen,Search,Spot,Survival</t>
  </si>
  <si>
    <t>Celestial, Dwarven, Ignan</t>
  </si>
  <si>
    <t>60+3d6/5d6/7d6</t>
  </si>
  <si>
    <t>Synad</t>
  </si>
  <si>
    <t>Common, Synad</t>
  </si>
  <si>
    <t>Tanarukk</t>
  </si>
  <si>
    <t>Hide,Intimidate,Listen,Search,Spot</t>
  </si>
  <si>
    <t>Abyssal, Orc</t>
  </si>
  <si>
    <t>Tarmak</t>
  </si>
  <si>
    <t>Tarmak, Common</t>
  </si>
  <si>
    <t>Tayfolk, Taylang</t>
  </si>
  <si>
    <t>sleep</t>
  </si>
  <si>
    <t>Climb,Intimidate+2,Listen+2,Survival</t>
  </si>
  <si>
    <t>Tayl</t>
  </si>
  <si>
    <t>Common, Elven, Ogre</t>
  </si>
  <si>
    <t>Tayfolk, Tayling</t>
  </si>
  <si>
    <t>Cure Minor Wounds, Mage Hand, Cat's Grace, Haste, Polymorph (3/day)</t>
  </si>
  <si>
    <t>Concentration+2,Spot+2</t>
  </si>
  <si>
    <t>Thri-Kreen</t>
  </si>
  <si>
    <t>4 Claws+4+0+1,Bite+4+0+0</t>
  </si>
  <si>
    <t>Balance,Climb,Hide,Jump+30,Listen,Spot</t>
  </si>
  <si>
    <t>Deflect Arrows</t>
  </si>
  <si>
    <t>Common, Thri-Kreen</t>
  </si>
  <si>
    <t>Elven, Giant, Gnoll, Goblin, Halfling</t>
  </si>
  <si>
    <t>6+1d4/1d4/1d4</t>
  </si>
  <si>
    <t>5'2"/4'6"+2d10</t>
  </si>
  <si>
    <t>135/100+2d6</t>
  </si>
  <si>
    <t>Thri-Kreen, Psionic</t>
  </si>
  <si>
    <t>Tiefling</t>
  </si>
  <si>
    <t>Bluff+2,Hide+2</t>
  </si>
  <si>
    <t>Draconic, Dwarven, Elven, Gnome, Goblin, Halfling, Orc</t>
  </si>
  <si>
    <t>Troglodyte</t>
  </si>
  <si>
    <t>Hide+4,Listen</t>
  </si>
  <si>
    <t>Common, Giant, Goblin, Orc</t>
  </si>
  <si>
    <t>Troll</t>
  </si>
  <si>
    <t>Troll, Crystalline</t>
  </si>
  <si>
    <t>acid</t>
  </si>
  <si>
    <t>Uldra</t>
  </si>
  <si>
    <t>Ray Of Frost (3/day); Speak with Animals, Touch of Fatigue</t>
  </si>
  <si>
    <t>100+3d6/5d6/8d6</t>
  </si>
  <si>
    <t>2'4"/2'2"+2d4</t>
  </si>
  <si>
    <t>25/20+1d4</t>
  </si>
  <si>
    <t>Unbodied</t>
  </si>
  <si>
    <t>Incorporeal</t>
  </si>
  <si>
    <t>Touch+5+0+1</t>
  </si>
  <si>
    <t>Psion(Telepath)</t>
  </si>
  <si>
    <t>Underfolk</t>
  </si>
  <si>
    <t>Drow, Dwarven, Gnome, Goblin, Orc</t>
  </si>
  <si>
    <t>4'5"/4'4"+2d6</t>
  </si>
  <si>
    <t>Ursoi</t>
  </si>
  <si>
    <t>2 Claws+5+0+1,Bite+5+0+1</t>
  </si>
  <si>
    <t>Climb,Listen,Spot,Survival+4,Swim+4</t>
  </si>
  <si>
    <t>Common, Ice Barbarian, Thanoi</t>
  </si>
  <si>
    <t>Vanara</t>
  </si>
  <si>
    <t>Balance+4,Climb+8,Hide+2,Jump+4,Move Silently+2</t>
  </si>
  <si>
    <t>Common, Vanara</t>
  </si>
  <si>
    <t>Giant, Goblin, Spirit Tongue, Sylvan</t>
  </si>
  <si>
    <t>Shaman</t>
  </si>
  <si>
    <t>4'5"/4'2"+1d8</t>
  </si>
  <si>
    <t>90/85+1d6</t>
  </si>
  <si>
    <t>Varag</t>
  </si>
  <si>
    <t>Jump,Move Silently+4,Survival</t>
  </si>
  <si>
    <t>Common, Draconic, Dwarven, Giant, Infernal, Orc</t>
  </si>
  <si>
    <t>Scout</t>
  </si>
  <si>
    <t>Warforged</t>
  </si>
  <si>
    <t>Living Construct</t>
  </si>
  <si>
    <t>0+1d12/1d6/1d4</t>
  </si>
  <si>
    <t>5'10"/5'10"+2d6</t>
  </si>
  <si>
    <t>270/270+4d1</t>
  </si>
  <si>
    <t>Warforged, Charger</t>
  </si>
  <si>
    <t>2 Slams+5+0+2</t>
  </si>
  <si>
    <t>Jump</t>
  </si>
  <si>
    <t>Adamantine Body, Powerful Charge</t>
  </si>
  <si>
    <t>Warforged, Scout</t>
  </si>
  <si>
    <t>Hide+4</t>
  </si>
  <si>
    <t>Wemic</t>
  </si>
  <si>
    <t>Hide,Jump+8,Listen,Move Silently,Spot,Survival</t>
  </si>
  <si>
    <t>Sylvan, Common</t>
  </si>
  <si>
    <t>Wildren</t>
  </si>
  <si>
    <t>Sylvan, Gnome, Goblin, Orc, Terran</t>
  </si>
  <si>
    <t>30+3d6/5d6/7d6</t>
  </si>
  <si>
    <t>3'8"/3'6"+2d10</t>
  </si>
  <si>
    <t>120/90+2d4</t>
  </si>
  <si>
    <t>Windblade, Windrazor</t>
  </si>
  <si>
    <t>2 Claws+5+0+1,Bite+6+0+0</t>
  </si>
  <si>
    <t>Climb+8,Knowledge (the planes),Listen,Move Silently,Spot,Survival,Tumble</t>
  </si>
  <si>
    <t>Improved Critical (claw), Improved Critical (bite)</t>
  </si>
  <si>
    <t>Auran, Windsong</t>
  </si>
  <si>
    <t>Abyssal, Common, Undercommon</t>
  </si>
  <si>
    <t>Windblade, Windscythe</t>
  </si>
  <si>
    <t>Climb+8,Intimidate,Knowledge (the planes),Listen,Move Silently,Spot,Survival,Tumble</t>
  </si>
  <si>
    <t>Wingwyrd</t>
  </si>
  <si>
    <t>2 Claws+4+0+1,Slam+5+0+0,Gore+5+0+0</t>
  </si>
  <si>
    <t>Auran, Dwarven, Gnome, Ignan, Terran</t>
  </si>
  <si>
    <t>Wispling</t>
  </si>
  <si>
    <t>Bluff,Climb+2,Disguise,Hide,Jump+2,Listen+2,Move Silently+2,Search,Spot</t>
  </si>
  <si>
    <t>Witchknife</t>
  </si>
  <si>
    <t>Concentration,Hide,Sense Motive,Speak Language,Spot</t>
  </si>
  <si>
    <t>Any except secret languages.</t>
  </si>
  <si>
    <t>Xeph</t>
  </si>
  <si>
    <t>Common, Xeph</t>
  </si>
  <si>
    <t>Draconic, Elven, Gnoll, Goblin, Halfling, Sylvan</t>
  </si>
  <si>
    <t>Soulknife</t>
  </si>
  <si>
    <t>18+1d4/2d4/2d6</t>
  </si>
  <si>
    <t>100/75+2d4</t>
  </si>
  <si>
    <t>Yak Folk</t>
  </si>
  <si>
    <t>Disguise,Heal,Knowledge (arcana),Use Magic Device</t>
  </si>
  <si>
    <t>Common,Yakfolk</t>
  </si>
  <si>
    <t>Yuan-ti, Anathema</t>
  </si>
  <si>
    <t>Bite+5+0+1, 2 Claws+5+0+2</t>
  </si>
  <si>
    <t>Animal Trance, Cause Fear, Deeper Darkness, Entangle, Haste, Neutralize Poison, Suggestion, Baleful Polymorph, Unholy Blight (3/day); Blasphemy, Unholy Aura (CL 20, DC 16+spell level)</t>
  </si>
  <si>
    <t>electricity 10, fire 10</t>
  </si>
  <si>
    <t>15/good and magic</t>
  </si>
  <si>
    <t>Climb+8,Concentration,Craft (any),Hide,Knowledge (any),Listen,Move Silently,Search+4,Spot+4,Survival,Swim+8</t>
  </si>
  <si>
    <t>Yuan-Ti, Common</t>
  </si>
  <si>
    <t>Common, Draconic, Abyssal</t>
  </si>
  <si>
    <t>Yuan-Ti, Abomination</t>
  </si>
  <si>
    <t>Animal Trance (DC 11), Entangle (DC 10) (at will); Deeper Darkness, Neutralize Poison, Suggestion (DC 12) (3/day); Baleful Polymorph (DC 14), Fear (DC 13)</t>
  </si>
  <si>
    <t>Concentration,Craft (any),Hide,Knowledge (any),Listen,Move Silently,Spot,Swim+8</t>
  </si>
  <si>
    <t>Alertness, Blind-Fight</t>
  </si>
  <si>
    <t>Yuan-Ti, Halfblood</t>
  </si>
  <si>
    <t>Animal Trance (DC 11), Cause Fear (DC 10), Entangle(DC 10) (3/day); Deeper Darkness, Neutralize Poison, Suggestion(DC 12)</t>
  </si>
  <si>
    <t>Concentration,Craft (any),Hide,Knowledge (any),Listen,Spot</t>
  </si>
  <si>
    <t>Yuan-Ti, Pureblood</t>
  </si>
  <si>
    <t>Concentration,Disguise,Hide,Knowledge (any),Listen,Spot</t>
  </si>
  <si>
    <t>Yurian</t>
  </si>
  <si>
    <t>2 Claws+5+0+1</t>
  </si>
  <si>
    <t>Hide+4,Listen,Spot,Swim+8</t>
  </si>
  <si>
    <t>Zenythri</t>
  </si>
  <si>
    <t>True Strike (CL 1)</t>
  </si>
  <si>
    <t>electricity 5, fire 5, sonic 5</t>
  </si>
  <si>
    <t>Balance+2,Search,Survival+2</t>
  </si>
  <si>
    <t>Ankheg</t>
  </si>
  <si>
    <t>Magical Beast</t>
  </si>
  <si>
    <t>Ape</t>
  </si>
  <si>
    <t>Animal</t>
  </si>
  <si>
    <t>Archon, Lantern</t>
  </si>
  <si>
    <t>2 light rays+6+0-1</t>
  </si>
  <si>
    <t>Asperi</t>
  </si>
  <si>
    <t>Baboon</t>
  </si>
  <si>
    <t>Badger</t>
  </si>
  <si>
    <t>Basilisk</t>
  </si>
  <si>
    <t>Bat</t>
  </si>
  <si>
    <t>Diminutive</t>
  </si>
  <si>
    <t>Bear, Black</t>
  </si>
  <si>
    <t>Bear, Brown</t>
  </si>
  <si>
    <t>2 Claws+5+0+1,Bite+6-1+0</t>
  </si>
  <si>
    <t>Bear, Polar</t>
  </si>
  <si>
    <t>2 Claws+5+0+1,Bite+7+0+0</t>
  </si>
  <si>
    <t>Bison</t>
  </si>
  <si>
    <t>Blink Dog</t>
  </si>
  <si>
    <t>Boar</t>
  </si>
  <si>
    <t>Gore+6+0+2</t>
  </si>
  <si>
    <t>Bull</t>
  </si>
  <si>
    <t>Camel</t>
  </si>
  <si>
    <t>Carp</t>
  </si>
  <si>
    <t>Cat</t>
  </si>
  <si>
    <t>Cheetah</t>
  </si>
  <si>
    <t>Bite+5+0+1,2 Claws+2+0+0</t>
  </si>
  <si>
    <t>Chimera</t>
  </si>
  <si>
    <t>Clockwork Mender</t>
  </si>
  <si>
    <t>Sting</t>
  </si>
  <si>
    <t>Cockatrice</t>
  </si>
  <si>
    <t>Crab</t>
  </si>
  <si>
    <t>Crane</t>
  </si>
  <si>
    <t>average</t>
  </si>
  <si>
    <t>Crocodile</t>
  </si>
  <si>
    <t>Bite+6+0+2,Tail Slap+8+0+2</t>
  </si>
  <si>
    <t>Crocodile, Giant</t>
  </si>
  <si>
    <t>Bite+14+0+2,Tail Slap+13+0+2</t>
  </si>
  <si>
    <t>Darkmantle</t>
  </si>
  <si>
    <t>Deathfang</t>
  </si>
  <si>
    <t>Bite;</t>
  </si>
  <si>
    <t>Deinonychus</t>
  </si>
  <si>
    <t>Talons+6+0+1,2 Foreclaws+3+0+0,Bite+9+0+0</t>
  </si>
  <si>
    <t>Digester</t>
  </si>
  <si>
    <t>Dire Ape</t>
  </si>
  <si>
    <t>Dire Badger</t>
  </si>
  <si>
    <t>Dire Bat</t>
  </si>
  <si>
    <t>Dire Bear</t>
  </si>
  <si>
    <t>2 Claws+15+0+1,Bite+7+0+0</t>
  </si>
  <si>
    <t>Dire Boar</t>
  </si>
  <si>
    <t>Dire Bull</t>
  </si>
  <si>
    <t>Dire Lion</t>
  </si>
  <si>
    <t>2 Claws+4+0+1,Bite+5+0+0,Rake+4+0+0</t>
  </si>
  <si>
    <t>Dire Ram</t>
  </si>
  <si>
    <t>Dire Rat</t>
  </si>
  <si>
    <t>Dire Shark</t>
  </si>
  <si>
    <t>Bite+14+0+2</t>
  </si>
  <si>
    <t>Dire Tiger</t>
  </si>
  <si>
    <t>2 Claws+15+0+1,Bite+6+0+0,Rake+15+0+0</t>
  </si>
  <si>
    <t>Dire Weasel</t>
  </si>
  <si>
    <t>Dire Wolf</t>
  </si>
  <si>
    <t>Dire Wolverine</t>
  </si>
  <si>
    <t>Dog</t>
  </si>
  <si>
    <t>Dog, Riding</t>
  </si>
  <si>
    <t>Dragon, Amethyst</t>
  </si>
  <si>
    <t>Dragon, Battle</t>
  </si>
  <si>
    <t>Dragon, Black</t>
  </si>
  <si>
    <t>Water</t>
  </si>
  <si>
    <t>Dragon, Blue</t>
  </si>
  <si>
    <t>Dragon, Brass</t>
  </si>
  <si>
    <t>Dragon, Bronze</t>
  </si>
  <si>
    <t>Dragon, Brown</t>
  </si>
  <si>
    <t>Dragon, Chaos</t>
  </si>
  <si>
    <t>Chaos,Extraplanar</t>
  </si>
  <si>
    <t>Dragon, Chiang Lung</t>
  </si>
  <si>
    <t>Dragon, Chromium</t>
  </si>
  <si>
    <t>Dragon, Cobalt</t>
  </si>
  <si>
    <t>Dragon, Copper</t>
  </si>
  <si>
    <t>Dragon, Crystal</t>
  </si>
  <si>
    <t>Air</t>
  </si>
  <si>
    <t>Dragon, Deep</t>
  </si>
  <si>
    <t>Dragon, Emerald</t>
  </si>
  <si>
    <t>Dragon, Ethereal</t>
  </si>
  <si>
    <t>Dragon, Fang</t>
  </si>
  <si>
    <t>Dragon, Force</t>
  </si>
  <si>
    <t>Dragon, Gold</t>
  </si>
  <si>
    <t>Dragon, Green</t>
  </si>
  <si>
    <t>Dragon, Howling</t>
  </si>
  <si>
    <t>Dragon, Iron</t>
  </si>
  <si>
    <t>Dragon, Li Lung</t>
  </si>
  <si>
    <t>Dragon, Lung Wang</t>
  </si>
  <si>
    <t>Dragon, Nickel</t>
  </si>
  <si>
    <t>Dragon, Oceanus</t>
  </si>
  <si>
    <t>Aquatic,Extraplanar</t>
  </si>
  <si>
    <t>Dragon, Pan Lung</t>
  </si>
  <si>
    <t>Dragon, Platinum</t>
  </si>
  <si>
    <t>Dragon, Prismatic</t>
  </si>
  <si>
    <t>Dragon, Pyroclastic</t>
  </si>
  <si>
    <t>Dragon, Radiant</t>
  </si>
  <si>
    <t>Dragon, Red</t>
  </si>
  <si>
    <t>Dragon, Rust</t>
  </si>
  <si>
    <t>Dragon, Sand</t>
  </si>
  <si>
    <t>Dragon, Sapphire</t>
  </si>
  <si>
    <t>Dragon, Sea</t>
  </si>
  <si>
    <t>Aquatic, Water</t>
  </si>
  <si>
    <t>Dragon, Shadow</t>
  </si>
  <si>
    <t>Shadow</t>
  </si>
  <si>
    <t>Dragon, Shen Lung</t>
  </si>
  <si>
    <t>Dragon, Silver</t>
  </si>
  <si>
    <t>Dragon, Song</t>
  </si>
  <si>
    <t>Electricity</t>
  </si>
  <si>
    <t>Dragon, Styx</t>
  </si>
  <si>
    <t>Dragon, Tarterian</t>
  </si>
  <si>
    <t>Dragon, T'ien Lung</t>
  </si>
  <si>
    <t>Dragon, Topaz</t>
  </si>
  <si>
    <t>Dragon, Tun Mi Lung</t>
  </si>
  <si>
    <t>Dragon, Tungsten</t>
  </si>
  <si>
    <t>Dragon, White</t>
  </si>
  <si>
    <t>Dragon, Yu Lung</t>
  </si>
  <si>
    <t>Eagle</t>
  </si>
  <si>
    <t>Talons+5+0+1,Bite+5+0+0</t>
  </si>
  <si>
    <t>Eagle, Giant</t>
  </si>
  <si>
    <t>Eladrin, Coure</t>
  </si>
  <si>
    <t>Eladrin</t>
  </si>
  <si>
    <t>;</t>
  </si>
  <si>
    <t>Elasmosaurus</t>
  </si>
  <si>
    <t>Elemental, Air</t>
  </si>
  <si>
    <t>Elemental</t>
  </si>
  <si>
    <t>Elemental, Air(Huge)</t>
  </si>
  <si>
    <t>Air, Extraplanar</t>
  </si>
  <si>
    <t>Elemental, Air(Large)</t>
  </si>
  <si>
    <t>Elemental, Air(Medium)</t>
  </si>
  <si>
    <t>Elemental, Air(Small)</t>
  </si>
  <si>
    <t>Slam;</t>
  </si>
  <si>
    <t>Elemental, Earth</t>
  </si>
  <si>
    <t>Elemental, Earth(Huge)</t>
  </si>
  <si>
    <t>Elemental, Earth(Large)</t>
  </si>
  <si>
    <t>Elemental, Earth(Medium)</t>
  </si>
  <si>
    <t>Elemental, Earth(Small)</t>
  </si>
  <si>
    <t>Elemental, Fire</t>
  </si>
  <si>
    <t>Elemental, Fire(Huge)</t>
  </si>
  <si>
    <t>Fire, Extraplanar</t>
  </si>
  <si>
    <t>Elemental, Fire(Large)</t>
  </si>
  <si>
    <t>Elemental, Fire(Medium)</t>
  </si>
  <si>
    <t>Elemental, Fire(Small)</t>
  </si>
  <si>
    <t>Elemental, Water</t>
  </si>
  <si>
    <t>Elemental, Water(Huge)</t>
  </si>
  <si>
    <t>Water, Extraplanar</t>
  </si>
  <si>
    <t>Elemental, Water(Large)</t>
  </si>
  <si>
    <t>Elemental, Water(Medium)</t>
  </si>
  <si>
    <t>Elemental, Water(Small)</t>
  </si>
  <si>
    <t>Elephant</t>
  </si>
  <si>
    <t>Gore+14+0+2,Slam+5+0+1,2 Stamps+5+0+0,Trample+14+0+2</t>
  </si>
  <si>
    <t>Elven Hound</t>
  </si>
  <si>
    <t>Flying Snake</t>
  </si>
  <si>
    <t>Formian, Worker</t>
  </si>
  <si>
    <t>Fox</t>
  </si>
  <si>
    <t>Ghostly Visage</t>
  </si>
  <si>
    <t>Undead</t>
  </si>
  <si>
    <t>Incorporeal, Symbiont</t>
  </si>
  <si>
    <t>Girallon</t>
  </si>
  <si>
    <t>Gorgon</t>
  </si>
  <si>
    <t>Gray Render</t>
  </si>
  <si>
    <t>Griffon</t>
  </si>
  <si>
    <t>Guardinal, Musteval</t>
  </si>
  <si>
    <t>Hare</t>
  </si>
  <si>
    <t>Hawk</t>
  </si>
  <si>
    <t>Talons+6+0+2</t>
  </si>
  <si>
    <t>Hell Hound</t>
  </si>
  <si>
    <t>Hippogriff</t>
  </si>
  <si>
    <t>2 Claws;Bite;</t>
  </si>
  <si>
    <t>Horse, Heavy</t>
  </si>
  <si>
    <t>Horse, Light</t>
  </si>
  <si>
    <t>Howler</t>
  </si>
  <si>
    <t>Bite;1d4 Quills;</t>
  </si>
  <si>
    <t>Imp</t>
  </si>
  <si>
    <t>Krenshar</t>
  </si>
  <si>
    <t>Bite;2 Claws;</t>
  </si>
  <si>
    <t>Leopard</t>
  </si>
  <si>
    <t>Bite+5+0+1,2 Claws+3+0+0,Rake+3+0+0</t>
  </si>
  <si>
    <t>Lion</t>
  </si>
  <si>
    <t>2 Claws+3+0+1,Bite+5+0+0,Rake+3+0+0</t>
  </si>
  <si>
    <t>Lizard</t>
  </si>
  <si>
    <t>Bite+6+0+2</t>
  </si>
  <si>
    <t>Lizard, Monitor</t>
  </si>
  <si>
    <t>Lizard, Spitting Crawler</t>
  </si>
  <si>
    <t>Lynx</t>
  </si>
  <si>
    <t>Megaraptor</t>
  </si>
  <si>
    <t>Talons+6+0+1,2 Foreclaws+3+0+0,Bite+5+0+0</t>
  </si>
  <si>
    <t>Mephit, Air</t>
  </si>
  <si>
    <t>2 claws;</t>
  </si>
  <si>
    <t>Mephit, Dust</t>
  </si>
  <si>
    <t>Mephit, Earth</t>
  </si>
  <si>
    <t>Mephit, Fire</t>
  </si>
  <si>
    <t>Mephit, Ice</t>
  </si>
  <si>
    <t>Mephit, Magma</t>
  </si>
  <si>
    <t>Mephit, Ooze</t>
  </si>
  <si>
    <t>Mephit, Salt</t>
  </si>
  <si>
    <t>Mephit, Steam</t>
  </si>
  <si>
    <t>Mephit, Water</t>
  </si>
  <si>
    <t>Monkey</t>
  </si>
  <si>
    <t>Octopus, Giant</t>
  </si>
  <si>
    <t>8 Tentacles+3+0+1,Bite+5+0+0</t>
  </si>
  <si>
    <t>Osquip</t>
  </si>
  <si>
    <t>Owl</t>
  </si>
  <si>
    <t>Owl, Giant</t>
  </si>
  <si>
    <t>Owlbear</t>
  </si>
  <si>
    <t>Pegasus</t>
  </si>
  <si>
    <t>2 Hooves+4+0+1,Bite+2+0+0</t>
  </si>
  <si>
    <t>Pony</t>
  </si>
  <si>
    <t>2 Hooves+3+0+1</t>
  </si>
  <si>
    <t>Porpoise</t>
  </si>
  <si>
    <t>Slam+9+0+2</t>
  </si>
  <si>
    <t>Pseudodragon</t>
  </si>
  <si>
    <t>Sting;Bite;</t>
  </si>
  <si>
    <t>Quasit</t>
  </si>
  <si>
    <t>2 claws;bite;</t>
  </si>
  <si>
    <t>Racoon Dog</t>
  </si>
  <si>
    <t>Ram</t>
  </si>
  <si>
    <t>Rat</t>
  </si>
  <si>
    <t>Raven</t>
  </si>
  <si>
    <t>Claws+4+0+2</t>
  </si>
  <si>
    <t>Remorhaz</t>
  </si>
  <si>
    <t>Rhinoceros</t>
  </si>
  <si>
    <t>Sailsnake</t>
  </si>
  <si>
    <t>poor</t>
  </si>
  <si>
    <t>Sea Cat</t>
  </si>
  <si>
    <t>Shark, Huge</t>
  </si>
  <si>
    <t>Shark, Large</t>
  </si>
  <si>
    <t>Shark, Medium</t>
  </si>
  <si>
    <t>Shocker Lizard</t>
  </si>
  <si>
    <t>Snake, Constrictor</t>
  </si>
  <si>
    <t>Bite+3+0+2</t>
  </si>
  <si>
    <t>Snake, Giant Constrictor</t>
  </si>
  <si>
    <t>Bite+4+0+2</t>
  </si>
  <si>
    <t>Snake, Huge Viper</t>
  </si>
  <si>
    <t>Snake, Large Viper</t>
  </si>
  <si>
    <t>Snake, Medium Viper</t>
  </si>
  <si>
    <t>Snake, Small Viper</t>
  </si>
  <si>
    <t>Snake, Tiny Viper</t>
  </si>
  <si>
    <t>Sparrow</t>
  </si>
  <si>
    <t>Fine</t>
  </si>
  <si>
    <t>Spider Eater</t>
  </si>
  <si>
    <t>Spider, Hairy</t>
  </si>
  <si>
    <t>Vermin</t>
  </si>
  <si>
    <t>Squid</t>
  </si>
  <si>
    <t>Squid, Giant</t>
  </si>
  <si>
    <t>10 Tentacles+3+0+1,Bite+14+0+0</t>
  </si>
  <si>
    <t>Stirge</t>
  </si>
  <si>
    <t>Touch;</t>
  </si>
  <si>
    <t>Tiger</t>
  </si>
  <si>
    <t>2 Claws+5+0+1,Bite+6+0+0,Rake+5+0+0</t>
  </si>
  <si>
    <t>Toad</t>
  </si>
  <si>
    <t xml:space="preserve"> ;</t>
  </si>
  <si>
    <t>Tressym</t>
  </si>
  <si>
    <t>Bite+5+0+1,2 Claws+4+0+0</t>
  </si>
  <si>
    <t>Triceratops</t>
  </si>
  <si>
    <t>Gore+14+0+2,Trample+16+0+2</t>
  </si>
  <si>
    <t>Tyrannosaurus</t>
  </si>
  <si>
    <t>Unicorn</t>
  </si>
  <si>
    <t>Horn+5+0+2,2 Hooves+3+0+0</t>
  </si>
  <si>
    <t>Vargouille</t>
  </si>
  <si>
    <t>Weasel</t>
  </si>
  <si>
    <t>Whale, Orca</t>
  </si>
  <si>
    <t>Winter Wolf</t>
  </si>
  <si>
    <t>Wolf</t>
  </si>
  <si>
    <t>Wolverine</t>
  </si>
  <si>
    <t>Worg</t>
  </si>
  <si>
    <t>Breath Weapon(Su): 30" line of force;</t>
  </si>
  <si>
    <t>Breath Weapon(Su): 15" cone of sonic energy;</t>
  </si>
  <si>
    <t>Breath Weapon(Su): 30" line of acid, 2d4, acid;</t>
  </si>
  <si>
    <t>Breath Weapon(Su): 30" line of lightning, 2d8, electricity;</t>
  </si>
  <si>
    <t>Breath Weapon(Su): 30" line of fire, 1d6, fire;</t>
  </si>
  <si>
    <t>Breath Weapon(Su): 30" line of lightning, 2d6, electricity;</t>
  </si>
  <si>
    <t>Breath Weapon(Su): 30" line of acid;</t>
  </si>
  <si>
    <t>Breath Weapon(Su): 30" line of random energy;</t>
  </si>
  <si>
    <t>Breath Weapon(Su): 30" line of solid ice;</t>
  </si>
  <si>
    <t>Breath Weapon(Su): 30" line of pulsing energy;</t>
  </si>
  <si>
    <t>Breath Weapon(Su): 15" cone of light;</t>
  </si>
  <si>
    <t>Breath Weapon(Su): 15" cone of acid gas;</t>
  </si>
  <si>
    <t>Breath Weapon(Su): 15" cone of force;</t>
  </si>
  <si>
    <t>Ability drain;</t>
  </si>
  <si>
    <t>Breath Weapon(Su): 15" cone of fire, 2d10, fire;</t>
  </si>
  <si>
    <t>Breath Weapon(Su): 15" cone of acid gas, 2d6, acid;</t>
  </si>
  <si>
    <t>Breath Weapon(Su): 15" cone of superheated sparks;</t>
  </si>
  <si>
    <t>Breath Weapon(Su): 15" cone of steam;</t>
  </si>
  <si>
    <t>Breath Weapon(Su): 30" line of electricity;</t>
  </si>
  <si>
    <t>Breath Weapon(Su): 15" cone of fire and sonic;</t>
  </si>
  <si>
    <t>Breath Weapon(Su): 15" cone of grit;</t>
  </si>
  <si>
    <t>Breath Weapon(Su): 15" cone of Steam, 2d8, fire;</t>
  </si>
  <si>
    <t>Breath Weapon(Su): 15" cone of energy drain;</t>
  </si>
  <si>
    <t>Breath Weapon(Su): 15" cone of cold, 2d8, cold;</t>
  </si>
  <si>
    <t>Breath Weapon(Su): 15" cone of electricity-charged gas;</t>
  </si>
  <si>
    <t>Breath Weapon(Su): 15" cone of fire;</t>
  </si>
  <si>
    <t>Breath Weapon(Su): 15" cone of dehydration;</t>
  </si>
  <si>
    <t>Breath Weapon(Su): 15" cone of blasting sand;</t>
  </si>
  <si>
    <t>Breath Weapon(Su): 15" cone of cold, 1d6, cold;</t>
  </si>
  <si>
    <t>Detect Good, Detect Evil (at will)</t>
  </si>
  <si>
    <t>electricity,petrification</t>
  </si>
  <si>
    <t>10/evil and magic</t>
  </si>
  <si>
    <t>electricity</t>
  </si>
  <si>
    <t>compulsion</t>
  </si>
  <si>
    <t>force</t>
  </si>
  <si>
    <t>charm effects</t>
  </si>
  <si>
    <t>earth</t>
  </si>
  <si>
    <t>any one energy type</t>
  </si>
  <si>
    <t>blindness,light</t>
  </si>
  <si>
    <t>fire or sonic</t>
  </si>
  <si>
    <t>fire and sonic</t>
  </si>
  <si>
    <t>light</t>
  </si>
  <si>
    <t>energy drain</t>
  </si>
  <si>
    <t>disease, poison</t>
  </si>
  <si>
    <t>disease,cold</t>
  </si>
  <si>
    <t>disease,earth</t>
  </si>
  <si>
    <t>disease,fire</t>
  </si>
  <si>
    <t>disease,water</t>
  </si>
  <si>
    <t>cold,petrification,poison</t>
  </si>
  <si>
    <t>elecricity 10, fire 10, sonic 10</t>
  </si>
  <si>
    <t>mind affecting effects, poison, sleep, paralysis, stunning, disease, death effects, necromantic effects, effect that requires a Fortitude save
unless it also works on objects, critical hits, subdual damage, ability damage, ability drain, energy drain, death from massive damage</t>
  </si>
  <si>
    <t>5/good or silver</t>
  </si>
  <si>
    <t>sleep,paralysis</t>
  </si>
  <si>
    <t>5/cold iron or good</t>
  </si>
  <si>
    <t>-</t>
  </si>
  <si>
    <t>Concentration,Diplomacy,Escape Artist,Handle Animal,Knowledge (any),Listen,Move Silently,Perform,Ride,Sense Motive,Spot,Use Rope</t>
  </si>
  <si>
    <t>Climb+8,Listen,Spot</t>
  </si>
  <si>
    <t>Alertness;Toughness</t>
  </si>
  <si>
    <t>Lawful Good</t>
  </si>
  <si>
    <t>Neutral</t>
  </si>
  <si>
    <t>Iron Will;Run;Track;</t>
  </si>
  <si>
    <t>Weapon Finesse</t>
  </si>
  <si>
    <t>Spring Attack;Weapon Finesse;</t>
  </si>
  <si>
    <t>Lawful Neutral</t>
  </si>
  <si>
    <t>Alertness;Weapon Finesse;</t>
  </si>
  <si>
    <t>Neutral Evil</t>
  </si>
  <si>
    <t>Neutral Good</t>
  </si>
  <si>
    <t>Chaotic Evil</t>
  </si>
  <si>
    <t>Lawful Evil</t>
  </si>
  <si>
    <t>Chaotic Good</t>
  </si>
  <si>
    <t>Chaotic</t>
  </si>
  <si>
    <t>Chaotic Neutral</t>
  </si>
  <si>
    <t>Weapon Finesse;</t>
  </si>
  <si>
    <t>Auran</t>
  </si>
  <si>
    <t>Improved Initiative; Weapon Finesse</t>
  </si>
  <si>
    <t>Ignan</t>
  </si>
  <si>
    <t>Track;Improved Natural Attack (bite)</t>
  </si>
  <si>
    <t>Skill Focus(Craft);</t>
  </si>
  <si>
    <t>Alertness;Iron Will</t>
  </si>
  <si>
    <t>Improved Initiative;Run;Track;</t>
  </si>
  <si>
    <t>Dodge;Wingover;</t>
  </si>
  <si>
    <t>Alertness;Combat Reflexes;Improved Initiative;</t>
  </si>
  <si>
    <t>Dodge;Weapon Finesse;</t>
  </si>
  <si>
    <t>Multiattack;Track;</t>
  </si>
  <si>
    <t>Dodge;Improved Initiative;</t>
  </si>
  <si>
    <t>Power Attack;Toughness;</t>
  </si>
  <si>
    <t>Weapon Focus(bite);</t>
  </si>
  <si>
    <t>Weapon Finesse;Alertness;</t>
  </si>
  <si>
    <t>Improved Initiative;Weapon Finesse;</t>
  </si>
  <si>
    <t>Improved Natural Weapon;Weapon Finesse;</t>
  </si>
  <si>
    <t>Improved Initiative;</t>
  </si>
  <si>
    <t>Alertness;Improved Initiative;Track;</t>
  </si>
  <si>
    <t>Alertness;Track;</t>
  </si>
  <si>
    <t>Familiar Level</t>
  </si>
  <si>
    <t>Companion Level</t>
  </si>
  <si>
    <t>Familiar Type</t>
  </si>
  <si>
    <t>Companion  Type</t>
  </si>
  <si>
    <t>Special</t>
  </si>
  <si>
    <t>Index</t>
  </si>
  <si>
    <t>Species</t>
  </si>
  <si>
    <t>Src</t>
  </si>
  <si>
    <t>Pg</t>
  </si>
  <si>
    <t>Special Qualities</t>
  </si>
  <si>
    <t>MM</t>
  </si>
  <si>
    <t>Scent</t>
  </si>
  <si>
    <t>Spell-like abilities;Aura of menace;magic circle agaist evil;Teleport;Tongues</t>
  </si>
  <si>
    <t>Celestial, Planar</t>
  </si>
  <si>
    <t>PlH</t>
  </si>
  <si>
    <t>MM2</t>
  </si>
  <si>
    <t>Blindsense 10"</t>
  </si>
  <si>
    <t>Normal</t>
  </si>
  <si>
    <t>Blink;Dimension Door;Scent</t>
  </si>
  <si>
    <t>Improved</t>
  </si>
  <si>
    <t>CW</t>
  </si>
  <si>
    <t>PGtA</t>
  </si>
  <si>
    <t>OA</t>
  </si>
  <si>
    <t>Construct Immunities;Aligned Strike;Poison;Repairing Touch</t>
  </si>
  <si>
    <t>MM4</t>
  </si>
  <si>
    <t>Chilling Bite;Improved Grab;Constrict;Undead</t>
  </si>
  <si>
    <t>RoF</t>
  </si>
  <si>
    <t>PGtF</t>
  </si>
  <si>
    <t>Dinosaur</t>
  </si>
  <si>
    <t>Dire Animal</t>
  </si>
  <si>
    <t>color=lavender;</t>
  </si>
  <si>
    <t>Gem</t>
  </si>
  <si>
    <t>color=brown;</t>
  </si>
  <si>
    <t>Planar</t>
  </si>
  <si>
    <t>Dr</t>
  </si>
  <si>
    <t>color=black;DrShSkill=Hide, Move Silently, Swim;DrShAdaptation=Water Breathing (Ex);SpawnStr=2;SpawnCon=2;SpawnCha=2;SpawnCR=2;SpawnLA=2;</t>
  </si>
  <si>
    <t>Chromatic</t>
  </si>
  <si>
    <t>color=blue;DrShSkill=Bluff, Hide, Spellcraft;DrShAdaptation=Ventriloquism (Sp);SpawnStr=6;SpawnCon=4;SpawnWis=2;SpawnCha=4;SpawnCR=2;SpawnLA=3;</t>
  </si>
  <si>
    <t>color=brass;DrShSkill=Bluff, Gather Information, Survival;DrShAdaptation=Endure Elements (Sp);</t>
  </si>
  <si>
    <t>Metallic</t>
  </si>
  <si>
    <t>color=bronze;DrShSkill=Disguise, Survival, Swim;DrShAdaptation=Water Breathing (Ex);</t>
  </si>
  <si>
    <t>Faerunian</t>
  </si>
  <si>
    <t>MoF</t>
  </si>
  <si>
    <t>color=;</t>
  </si>
  <si>
    <t>Lung</t>
  </si>
  <si>
    <t>color=chromium;</t>
  </si>
  <si>
    <t>Ferreous</t>
  </si>
  <si>
    <t>DMag</t>
  </si>
  <si>
    <t>color=copper;DrShSkill=Bluff, Hide, Jump;DrShAdaptation=Spider Climb (Sp);</t>
  </si>
  <si>
    <t>color=translucent;</t>
  </si>
  <si>
    <t>color=purple;</t>
  </si>
  <si>
    <t>color=green;</t>
  </si>
  <si>
    <t>color=brown-grey;</t>
  </si>
  <si>
    <t>color=grey;</t>
  </si>
  <si>
    <t>Epic</t>
  </si>
  <si>
    <t>ELH</t>
  </si>
  <si>
    <t>color=gold;DrShSkill=Disguise, Heal, Swim;DrShAdaptation=Water Breathing (Ex);</t>
  </si>
  <si>
    <t>color=green;DrShSkill=Bluff, Hide, Move Silently;DrShAdaptation=Water Breathing (Ex);SpawnStr=2;SpawnCon=2;SpawnCha=2;SpawnCR=2;SpawnLA=2;</t>
  </si>
  <si>
    <t>color=iron;</t>
  </si>
  <si>
    <t>color=nickel;</t>
  </si>
  <si>
    <t>color=platinum;</t>
  </si>
  <si>
    <t>color=orange;</t>
  </si>
  <si>
    <t>color=gold;</t>
  </si>
  <si>
    <t>color=red;DrShSkill=Appraise, Bluff, Jump;DrShAdaptation=Treasure Seeker (Ex);SpawnStr=8;SpawnDex=2;SpawnCon=4;SpawnInt=2;SpawnWis=2;SpawnCha=4;SpawnCR=3;SpawnLA=4;</t>
  </si>
  <si>
    <t>color=rust;</t>
  </si>
  <si>
    <t>Independant</t>
  </si>
  <si>
    <t>Sand</t>
  </si>
  <si>
    <t>color=blue;</t>
  </si>
  <si>
    <t>SpawnStr=6;SpawnCon=4;SpawnWis=2;SpawnCha=4;SpawnCR=2;SpawnLA=2;</t>
  </si>
  <si>
    <t>Dragonlance</t>
  </si>
  <si>
    <t>BoK</t>
  </si>
  <si>
    <t>color=silver;DrShSkill=Bluff, Disguise, Jump;DrShAdaptation=Feather Fall (Sp);</t>
  </si>
  <si>
    <t>color=silver-blue;</t>
  </si>
  <si>
    <t>color=olive green;</t>
  </si>
  <si>
    <t>color=yellow;</t>
  </si>
  <si>
    <t>color=white;DrShSkill=Hide, Move Silently, Swim;DrShAdaptation=Icewalker (Ex);SpawnDex=2;SpawnCon=2;SpawnCR=1;SpawnLA=1;</t>
  </si>
  <si>
    <t>Alternate form;Magic circle against evil;Tongues</t>
  </si>
  <si>
    <t>BoED</t>
  </si>
  <si>
    <t>MotP</t>
  </si>
  <si>
    <t>Air mastery;Whirlwind;Elemental traits</t>
  </si>
  <si>
    <t>Earth mastery;Push;Elemental traits</t>
  </si>
  <si>
    <t>Burn;Elemental traits</t>
  </si>
  <si>
    <t>Water mastery;Drench;Vortex;Elemental traits</t>
  </si>
  <si>
    <t>Scent;Sprint</t>
  </si>
  <si>
    <t>RotW</t>
  </si>
  <si>
    <t>Acid Spit;Improved Grab;Constrict;Scent</t>
  </si>
  <si>
    <t>Cure Serious Wounds;Hive mind;Make Whole</t>
  </si>
  <si>
    <t>Gaze of terror;meld;visage;mind shielding</t>
  </si>
  <si>
    <t>Restricted</t>
  </si>
  <si>
    <t>FF</t>
  </si>
  <si>
    <t>HH</t>
  </si>
  <si>
    <t>Focused movement;Resistance to acid 10;Resistance to cold 10;Tongues</t>
  </si>
  <si>
    <t>Grants +3 bonus to spot in bright light</t>
  </si>
  <si>
    <t>Breath Weapon;Fiery Bite</t>
  </si>
  <si>
    <t>Quills;Howl</t>
  </si>
  <si>
    <t>Poison;Spell-like abilities;Alternate form</t>
  </si>
  <si>
    <t>Improved, Planar</t>
  </si>
  <si>
    <t>Scare;Scent</t>
  </si>
  <si>
    <t>Spit Acid</t>
  </si>
  <si>
    <t>FRCS</t>
  </si>
  <si>
    <t>Pounce;Scent</t>
  </si>
  <si>
    <t>Breath weapon;Spell-like abilities;Summon mephit</t>
  </si>
  <si>
    <t>Breath weapon;Spell-like abilities;Summon mephit;Change size</t>
  </si>
  <si>
    <t>Grants +3 bonus to Spot in shadows;Gains +8 bonus to Spot in shadows</t>
  </si>
  <si>
    <t>Poison;Blindsense 60 ft.;Telepathy 60 ft.</t>
  </si>
  <si>
    <t>Scent;Venom Spray</t>
  </si>
  <si>
    <t>Stunning shock;Lethal shock;Electricity sense</t>
  </si>
  <si>
    <t>Poison;Scent</t>
  </si>
  <si>
    <t>Poison</t>
  </si>
  <si>
    <t>Attach;Blood drain</t>
  </si>
  <si>
    <t>Amphibious</t>
  </si>
  <si>
    <t>Shriek;Kiss;Poison</t>
  </si>
  <si>
    <t>Breath Weapon;Freezing Bite;Trip</t>
  </si>
  <si>
    <t>Trip;Scent</t>
  </si>
  <si>
    <t>CUST`</t>
  </si>
  <si>
    <t>CUST</t>
  </si>
  <si>
    <t>Mon</t>
  </si>
  <si>
    <t>RoD</t>
  </si>
  <si>
    <t>SoX</t>
  </si>
  <si>
    <t>MM3</t>
  </si>
  <si>
    <t>LGCS</t>
  </si>
  <si>
    <t>Sto</t>
  </si>
  <si>
    <t>MoI</t>
  </si>
  <si>
    <t>Und</t>
  </si>
  <si>
    <t>LF</t>
  </si>
  <si>
    <t>XPH</t>
  </si>
  <si>
    <t>FCII</t>
  </si>
  <si>
    <t>RCS</t>
  </si>
  <si>
    <t>MH</t>
  </si>
  <si>
    <t>ECS</t>
  </si>
  <si>
    <t>MoE</t>
  </si>
  <si>
    <t>COD</t>
  </si>
  <si>
    <t>Frost</t>
  </si>
  <si>
    <t>DCS</t>
  </si>
  <si>
    <t>CR</t>
  </si>
  <si>
    <t>RotD</t>
  </si>
  <si>
    <t>DC</t>
  </si>
  <si>
    <t>RoS</t>
  </si>
  <si>
    <t>DrM</t>
  </si>
  <si>
    <t>AoM</t>
  </si>
  <si>
    <t>Sa</t>
  </si>
  <si>
    <t>TM</t>
  </si>
  <si>
    <t>Rdr</t>
  </si>
  <si>
    <t>CP</t>
  </si>
  <si>
    <t>FN</t>
  </si>
  <si>
    <t>Race</t>
  </si>
  <si>
    <t>Size</t>
  </si>
  <si>
    <t>Type</t>
  </si>
  <si>
    <t>Automatic Languages</t>
  </si>
  <si>
    <t>Favored Class</t>
  </si>
  <si>
    <t>PHB</t>
  </si>
  <si>
    <t>Falxugon (Harvester Devil)</t>
  </si>
  <si>
    <t>AltSrc</t>
  </si>
  <si>
    <t>MM,PG,PlH</t>
  </si>
  <si>
    <t>BoED,MotP</t>
  </si>
  <si>
    <t>RotW,DCS,RoF,LGCS</t>
  </si>
  <si>
    <t>DH,Sand</t>
  </si>
  <si>
    <t>DCS,LGCS</t>
  </si>
  <si>
    <t>Sto,RoF</t>
  </si>
  <si>
    <t>FRCS,PGtF</t>
  </si>
  <si>
    <t>MotP,XPH</t>
  </si>
  <si>
    <t>DCS,MM</t>
  </si>
  <si>
    <t>ShS,Sand</t>
  </si>
  <si>
    <t>ECS,RoE</t>
  </si>
  <si>
    <t>FRCS,MM,PGtF,PlH</t>
  </si>
  <si>
    <t>StrAdj</t>
  </si>
  <si>
    <t>DexAdj</t>
  </si>
  <si>
    <t>ConAdj</t>
  </si>
  <si>
    <t>IntAdj</t>
  </si>
  <si>
    <t>WisAdj</t>
  </si>
  <si>
    <t>ChaAdj</t>
  </si>
  <si>
    <t>Racial Weapon Familiarity</t>
  </si>
  <si>
    <t>Racial Weapon Proficiency</t>
  </si>
  <si>
    <t>Annulat</t>
  </si>
  <si>
    <t>Claw, Eagle's</t>
  </si>
  <si>
    <t>Chatchka;Gythka</t>
  </si>
  <si>
    <t>Hammer, Gnome Hooked</t>
  </si>
  <si>
    <t>Urgrosh, Dwarven;Waraxe, Dwarven</t>
  </si>
  <si>
    <t>fire 5, cold 5</t>
  </si>
  <si>
    <t>Axe, Throwing;Greatsword</t>
  </si>
  <si>
    <t>5'10"/5'2"+2d10</t>
  </si>
  <si>
    <t>160/125+2d6</t>
  </si>
  <si>
    <t>Battleaxe</t>
  </si>
  <si>
    <t>Bolas;Lasso;Longsword;Rapier</t>
  </si>
  <si>
    <t>Chain, Spiked</t>
  </si>
  <si>
    <t>Longbow;Longbow, Composite;Longsword;Rapier;Shortbow;Shortbow, Composite</t>
  </si>
  <si>
    <t>Crossbow, Hand;Rapier;Sword, Short</t>
  </si>
  <si>
    <t>Crossbow, Light;Sword, Short</t>
  </si>
  <si>
    <t>Dagger, Ribbon</t>
  </si>
  <si>
    <t>Etherblade</t>
  </si>
  <si>
    <t>Flindbar</t>
  </si>
  <si>
    <t>Flutter Blade</t>
  </si>
  <si>
    <t>Greataxe</t>
  </si>
  <si>
    <t>Greatclub</t>
  </si>
  <si>
    <t>Blowgun;Handaxe</t>
  </si>
  <si>
    <t>Javelin</t>
  </si>
  <si>
    <t>Greataxe;Javelin</t>
  </si>
  <si>
    <t>Longsword</t>
  </si>
  <si>
    <t>Net</t>
  </si>
  <si>
    <t>Notbora</t>
  </si>
  <si>
    <t>Sandblaster</t>
  </si>
  <si>
    <t>Longbow;Longbow, Composite;Longspear;Shortbow;Shortbow, Composite;Sword, Short</t>
  </si>
  <si>
    <t>Longspear;Net;Trident</t>
  </si>
  <si>
    <t>Longbow;Longbow, Composite;Shortbow;Shortbow, Composite</t>
  </si>
  <si>
    <t>Shortspear</t>
  </si>
  <si>
    <t>Longbow;Longbow, Composite;Longsword</t>
  </si>
  <si>
    <t>Battleaxe;Longbow;Longbow, Composite</t>
  </si>
  <si>
    <t>Longbow;Longbow, Composite;Sword, Short</t>
  </si>
  <si>
    <t>Greataxe;Longbow;Longbow, Composite</t>
  </si>
  <si>
    <t>Longbow;Longbow, Composite;Scimitar</t>
  </si>
  <si>
    <t>Shortbow;Shortbow, Composite;Sword, Short</t>
  </si>
  <si>
    <t>Shortbow;Shortbow, Composite</t>
  </si>
  <si>
    <t>Select a Race/Creature</t>
  </si>
  <si>
    <t>Wildshape Special</t>
  </si>
  <si>
    <t>Exalted</t>
  </si>
  <si>
    <t>Bulette</t>
  </si>
  <si>
    <t>Listen+8,Move Silently+14,Spot</t>
  </si>
  <si>
    <t>Listen:3,Spot:6,Swim:0+4</t>
  </si>
  <si>
    <t>Hide:1,Listen:4,Spot:6,Swim:0+8</t>
  </si>
  <si>
    <t>Climb:0+8,Listen:4,Spot:4</t>
  </si>
  <si>
    <t>Balance:2,Escape Artist:2+4,Listen:2,Spot:2</t>
  </si>
  <si>
    <t>Climb,Listen:3,Spot:3,Swim:0+4</t>
  </si>
  <si>
    <t>Hide,Listen:4+4,Move Silently,Spot:4+4</t>
  </si>
  <si>
    <t>ref:SkarnSpines</t>
  </si>
  <si>
    <t>ref:RaptoranFlySpeed</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</si>
</sst>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color theme="1"/>
      <name val="Calibri"/>
      <family val="2"/>
      <scheme val="minor"/>
    </font>
    <font>
      <sz val="8"/>
      <name val="Arial"/>
      <family val="2"/>
    </font>
    <font>
      <b/>
      <sz val="8"/>
      <name val="Arial"/>
      <family val="2"/>
    </font>
    <font>
      <sz val="9"/>
      <name val="ScalaSansLF-Regular"/>
    </font>
  </fonts>
  <fills count="3">
    <fill>
      <patternFill patternType="none"/>
    </fill>
    <fill>
      <patternFill patternType="gray125"/>
    </fill>
    <fill>
      <patternFill patternType="solid">
        <fgColor indexed="22"/>
        <bgColor indexed="64"/>
      </patternFill>
    </fill>
  </fills>
  <borders count="4">
    <border>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s>
  <cellStyleXfs count="1">
    <xf numFmtId="0" fontId="0" fillId="0" borderId="0"/>
  </cellStyleXfs>
  <cellXfs count="11">
    <xf numFmtId="0" fontId="0" fillId="0" borderId="0" xfId="0"/>
    <xf numFmtId="0" fontId="1" fillId="0" borderId="1" xfId="0" applyFont="1" applyBorder="1" applyAlignment="1">
      <alignment wrapText="1"/>
    </xf>
    <xf numFmtId="0" fontId="1" fillId="0" borderId="2" xfId="0" applyFont="1" applyBorder="1" applyAlignment="1">
      <alignment wrapText="1"/>
    </xf>
    <xf numFmtId="0" fontId="1" fillId="0" borderId="2" xfId="0" applyFont="1" applyBorder="1" applyAlignment="1"/>
    <xf numFmtId="0" fontId="1" fillId="0" borderId="3" xfId="0" applyFont="1" applyBorder="1"/>
    <xf numFmtId="0" fontId="1" fillId="0" borderId="0" xfId="0" applyFont="1" applyBorder="1"/>
    <xf numFmtId="0" fontId="1" fillId="0" borderId="0" xfId="0" applyFont="1" applyBorder="1" applyAlignment="1"/>
    <xf numFmtId="0" fontId="0" fillId="0" borderId="0" xfId="0" applyBorder="1"/>
    <xf numFmtId="0" fontId="1" fillId="0" borderId="0" xfId="0" applyFont="1" applyFill="1" applyBorder="1"/>
    <xf numFmtId="0" fontId="2" fillId="2" borderId="2" xfId="0" applyFont="1" applyFill="1" applyBorder="1" applyAlignment="1">
      <alignment wrapText="1"/>
    </xf>
    <xf numFmtId="0" fontId="3" fillId="0" borderId="0" xfId="0" applyFont="1" applyBorder="1"/>
  </cellXfs>
  <cellStyles count="1">
    <cellStyle name="Normal" xfId="0" builtinId="0"/>
  </cellStyles>
  <dxfs count="4">
    <dxf>
      <font>
        <b/>
        <i val="0"/>
        <condense val="0"/>
        <extend val="0"/>
      </font>
      <fill>
        <patternFill>
          <bgColor indexed="22"/>
        </patternFill>
      </fill>
    </dxf>
    <dxf>
      <font>
        <b/>
        <i val="0"/>
        <condense val="0"/>
        <extend val="0"/>
        <color indexed="10"/>
      </font>
      <fill>
        <patternFill>
          <bgColor indexed="22"/>
        </patternFill>
      </fill>
    </dxf>
    <dxf>
      <font>
        <b/>
        <i val="0"/>
        <condense val="0"/>
        <extend val="0"/>
      </font>
      <fill>
        <patternFill>
          <bgColor indexed="22"/>
        </patternFill>
      </fill>
    </dxf>
    <dxf>
      <font>
        <b/>
        <i val="0"/>
        <condense val="0"/>
        <extend val="0"/>
        <color indexed="10"/>
      </font>
      <fill>
        <patternFill>
          <bgColor indexed="2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7" Type="http://schemas.openxmlformats.org/officeDocument/2006/relationships/calcChain" Target="calcChain.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cotont/Dropbox/GitHub/HeroForge-Anew/HeroForge%20Anew%203.5%20v7.4.0.1.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WeaponInfo.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xportSheet"/>
      <sheetName val="Custom Race"/>
      <sheetName val="Custom Template"/>
      <sheetName val="Custom Class"/>
      <sheetName val="Custom Familiar"/>
      <sheetName val="Options"/>
      <sheetName val="Sources"/>
      <sheetName val="Option Info"/>
      <sheetName val="Stats &amp; Character Details"/>
      <sheetName val="Interfaces"/>
      <sheetName val="Creature Info"/>
      <sheetName val="Race Info"/>
      <sheetName val="Racial Abilities"/>
      <sheetName val="Race &amp; Templates"/>
      <sheetName val="Template Info"/>
      <sheetName val="Classes"/>
      <sheetName val="Class Info"/>
      <sheetName val="Variants"/>
      <sheetName val="Domain Select"/>
      <sheetName val="Prestige Classes I"/>
      <sheetName val="Prestige Classes II"/>
      <sheetName val="Prestige Classes III"/>
      <sheetName val="Binder Vestiges"/>
      <sheetName val="Marshal Auras"/>
      <sheetName val="Soulmelds"/>
      <sheetName val="SoulmeldsInfo"/>
      <sheetName val="SoulmeldAbilities"/>
      <sheetName val="Incarnum Abilities"/>
      <sheetName val="Skills"/>
      <sheetName val="Skill Tricks"/>
      <sheetName val="Languages"/>
      <sheetName val="Grafts"/>
      <sheetName val="Traits"/>
      <sheetName val="Flaws"/>
      <sheetName val="Maneuvers &amp; Stances"/>
      <sheetName val="Feats"/>
      <sheetName val="Armor"/>
      <sheetName val="Attacks"/>
      <sheetName val="Enhancements"/>
      <sheetName val="Magic Equipment"/>
      <sheetName val="Buffs"/>
      <sheetName val="Character Sheet I"/>
      <sheetName val="Character Sheet II"/>
      <sheetName val="Character Sheet III"/>
      <sheetName val="Familiar"/>
      <sheetName val="Character Sheet IV"/>
      <sheetName val="Character Sheet V"/>
      <sheetName val="Animal Companion"/>
      <sheetName val="CS Calc."/>
      <sheetName val="Class Abilities"/>
      <sheetName val="Class Weapons &amp; Armor"/>
      <sheetName val="Graft Abilities"/>
      <sheetName val="Deities"/>
      <sheetName val="Domains"/>
      <sheetName val="Spell Info"/>
      <sheetName val="Spells per Day"/>
      <sheetName val="Spells Known"/>
      <sheetName val="Psionic Info"/>
      <sheetName val="Initiative Card"/>
      <sheetName val="Table Tent"/>
      <sheetName val="Game Log"/>
      <sheetName val="LG Game Log"/>
      <sheetName val="LG Item Access Tracking"/>
      <sheetName val="LG MIL"/>
      <sheetName val="Tables"/>
    </sheetNames>
    <sheetDataSet>
      <sheetData sheetId="0">
        <row r="18">
          <cell r="BV18" t="str">
            <v>Ardent</v>
          </cell>
        </row>
        <row r="26">
          <cell r="A26">
            <v>1</v>
          </cell>
        </row>
        <row r="31">
          <cell r="B31" t="b">
            <v>0</v>
          </cell>
        </row>
        <row r="43">
          <cell r="B43" t="b">
            <v>0</v>
          </cell>
        </row>
        <row r="50">
          <cell r="M50">
            <v>1</v>
          </cell>
        </row>
        <row r="56">
          <cell r="B56" t="b">
            <v>0</v>
          </cell>
        </row>
        <row r="68">
          <cell r="B68" t="b">
            <v>0</v>
          </cell>
        </row>
        <row r="77">
          <cell r="W77">
            <v>1</v>
          </cell>
        </row>
        <row r="105">
          <cell r="B105" t="b">
            <v>0</v>
          </cell>
        </row>
        <row r="110">
          <cell r="B110" t="b">
            <v>0</v>
          </cell>
          <cell r="BU110" t="b">
            <v>0</v>
          </cell>
        </row>
        <row r="167">
          <cell r="BU167" t="b">
            <v>0</v>
          </cell>
        </row>
        <row r="183">
          <cell r="BU183" t="b">
            <v>0</v>
          </cell>
        </row>
      </sheetData>
      <sheetData sheetId="1"/>
      <sheetData sheetId="2" refreshError="1"/>
      <sheetData sheetId="3" refreshError="1"/>
      <sheetData sheetId="4">
        <row r="31">
          <cell r="M31" t="str">
            <v/>
          </cell>
        </row>
        <row r="34">
          <cell r="M34" t="str">
            <v/>
          </cell>
        </row>
        <row r="37">
          <cell r="M37" t="str">
            <v/>
          </cell>
        </row>
      </sheetData>
      <sheetData sheetId="5" refreshError="1"/>
      <sheetData sheetId="6" refreshError="1"/>
      <sheetData sheetId="7" refreshError="1"/>
      <sheetData sheetId="8">
        <row r="3">
          <cell r="BO3">
            <v>-1</v>
          </cell>
        </row>
        <row r="8">
          <cell r="BN8">
            <v>8</v>
          </cell>
          <cell r="BO8">
            <v>-1</v>
          </cell>
        </row>
      </sheetData>
      <sheetData sheetId="9" refreshError="1"/>
      <sheetData sheetId="10">
        <row r="4">
          <cell r="C4">
            <v>3</v>
          </cell>
          <cell r="H4">
            <v>8</v>
          </cell>
          <cell r="I4">
            <v>9</v>
          </cell>
          <cell r="J4">
            <v>10</v>
          </cell>
          <cell r="K4">
            <v>11</v>
          </cell>
          <cell r="L4">
            <v>12</v>
          </cell>
          <cell r="N4">
            <v>14</v>
          </cell>
        </row>
        <row r="6">
          <cell r="A6" t="str">
            <v>Creature</v>
          </cell>
          <cell r="B6" t="str">
            <v>Short Description</v>
          </cell>
          <cell r="C6" t="str">
            <v>Size</v>
          </cell>
          <cell r="D6" t="str">
            <v>Type</v>
          </cell>
          <cell r="E6" t="str">
            <v>Subtype</v>
          </cell>
          <cell r="F6" t="str">
            <v>HD</v>
          </cell>
          <cell r="G6" t="str">
            <v>Land Speed</v>
          </cell>
          <cell r="H6" t="str">
            <v>Burrow</v>
          </cell>
          <cell r="I6" t="str">
            <v>Climb</v>
          </cell>
          <cell r="J6" t="str">
            <v>Fly</v>
          </cell>
          <cell r="K6" t="str">
            <v>Maneuverability</v>
          </cell>
          <cell r="L6" t="str">
            <v>Swim</v>
          </cell>
          <cell r="M6" t="str">
            <v>Natural Armor</v>
          </cell>
          <cell r="N6" t="str">
            <v>Natural Attacks</v>
          </cell>
          <cell r="O6" t="str">
            <v>Natural Attacks Dmg</v>
          </cell>
          <cell r="P6" t="str">
            <v>Special Attacks</v>
          </cell>
          <cell r="Q6" t="str">
            <v>Spell-Like Abilities</v>
          </cell>
          <cell r="R6" t="str">
            <v>Psionics Abilities</v>
          </cell>
          <cell r="S6" t="str">
            <v>LowLight</v>
          </cell>
          <cell r="T6" t="str">
            <v>Darkvision</v>
          </cell>
          <cell r="U6" t="str">
            <v>Immunities</v>
          </cell>
          <cell r="V6" t="str">
            <v>Vulnerabilities</v>
          </cell>
          <cell r="W6" t="str">
            <v>Energy Resistance</v>
          </cell>
          <cell r="X6" t="str">
            <v>Spell Resistance</v>
          </cell>
          <cell r="Y6" t="str">
            <v>DR</v>
          </cell>
          <cell r="Z6" t="str">
            <v>Fast Healing</v>
          </cell>
          <cell r="AA6" t="str">
            <v>Str</v>
          </cell>
          <cell r="AB6" t="str">
            <v>Dex</v>
          </cell>
          <cell r="AC6" t="str">
            <v>Con</v>
          </cell>
          <cell r="AD6" t="str">
            <v>Int</v>
          </cell>
          <cell r="AE6" t="str">
            <v>Wis</v>
          </cell>
          <cell r="AF6" t="str">
            <v>Cha</v>
          </cell>
          <cell r="AG6" t="str">
            <v xml:space="preserve"> Balance</v>
          </cell>
          <cell r="AH6" t="str">
            <v xml:space="preserve"> Bluff</v>
          </cell>
          <cell r="AI6" t="str">
            <v xml:space="preserve"> Climb</v>
          </cell>
          <cell r="AJ6" t="str">
            <v xml:space="preserve"> Diplomacy</v>
          </cell>
          <cell r="AK6" t="str">
            <v xml:space="preserve"> Disguise</v>
          </cell>
          <cell r="AL6" t="str">
            <v xml:space="preserve"> Hide</v>
          </cell>
          <cell r="AM6" t="str">
            <v>Iaijutsu Focus</v>
          </cell>
          <cell r="AN6" t="str">
            <v xml:space="preserve"> Intimidate</v>
          </cell>
          <cell r="AO6" t="str">
            <v xml:space="preserve"> Jump</v>
          </cell>
          <cell r="AP6" t="str">
            <v xml:space="preserve"> Listen</v>
          </cell>
          <cell r="AQ6" t="str">
            <v xml:space="preserve"> Move Silently</v>
          </cell>
          <cell r="AR6" t="str">
            <v xml:space="preserve"> Search</v>
          </cell>
          <cell r="AS6" t="str">
            <v xml:space="preserve"> Sense Motive</v>
          </cell>
          <cell r="AT6" t="str">
            <v xml:space="preserve"> Spellcraft</v>
          </cell>
          <cell r="AU6" t="str">
            <v xml:space="preserve"> Spot</v>
          </cell>
          <cell r="AV6" t="str">
            <v xml:space="preserve"> Survival</v>
          </cell>
          <cell r="AW6" t="str">
            <v xml:space="preserve"> Swim</v>
          </cell>
          <cell r="AX6" t="str">
            <v>Bonus Feats</v>
          </cell>
          <cell r="AY6" t="str">
            <v>Automatic Languages</v>
          </cell>
          <cell r="AZ6" t="str">
            <v>Bonus Languages</v>
          </cell>
          <cell r="BA6" t="str">
            <v>CR Adj</v>
          </cell>
          <cell r="BB6" t="str">
            <v>Alignment</v>
          </cell>
          <cell r="BC6" t="str">
            <v>Lvl Adj.</v>
          </cell>
          <cell r="BD6" t="str">
            <v>Special Abilities</v>
          </cell>
          <cell r="BF6" t="str">
            <v>Familiar Level</v>
          </cell>
          <cell r="BG6" t="str">
            <v>Companion Level</v>
          </cell>
          <cell r="BH6" t="str">
            <v>Familiar Type</v>
          </cell>
          <cell r="BI6" t="str">
            <v>Companion  Type</v>
          </cell>
          <cell r="BJ6" t="str">
            <v>Special</v>
          </cell>
          <cell r="BK6" t="str">
            <v>Index</v>
          </cell>
          <cell r="BL6" t="str">
            <v>Species</v>
          </cell>
          <cell r="BM6" t="str">
            <v>Src</v>
          </cell>
          <cell r="BN6" t="str">
            <v>Pg</v>
          </cell>
          <cell r="BO6" t="str">
            <v>AltSrc</v>
          </cell>
          <cell r="BP6" t="str">
            <v>Src Sel</v>
          </cell>
          <cell r="BQ6" t="str">
            <v>Lycan Prereq</v>
          </cell>
          <cell r="BR6" t="str">
            <v>Lycan Available</v>
          </cell>
          <cell r="BS6">
            <v>6</v>
          </cell>
          <cell r="BT6">
            <v>6</v>
          </cell>
          <cell r="BU6" t="str">
            <v>Familiar Prereq</v>
          </cell>
          <cell r="BV6" t="str">
            <v>Familiar Available</v>
          </cell>
          <cell r="BW6">
            <v>6</v>
          </cell>
          <cell r="BX6" t="str">
            <v>Select Familiar</v>
          </cell>
          <cell r="BY6" t="str">
            <v>Companion Prereq</v>
          </cell>
          <cell r="BZ6" t="str">
            <v>Companion Available</v>
          </cell>
          <cell r="CA6">
            <v>6</v>
          </cell>
          <cell r="CB6" t="str">
            <v>Select Companion</v>
          </cell>
          <cell r="CC6" t="str">
            <v>Wild Shape Prereq</v>
          </cell>
          <cell r="CD6" t="str">
            <v>Wild Shape Available</v>
          </cell>
          <cell r="CE6">
            <v>6</v>
          </cell>
          <cell r="CF6" t="str">
            <v>Select Wild Shape Form</v>
          </cell>
          <cell r="CG6" t="str">
            <v>Dragon Prereq</v>
          </cell>
        </row>
        <row r="7">
          <cell r="A7" t="str">
            <v>Ankheg</v>
          </cell>
          <cell r="D7" t="str">
            <v>Magical Beast</v>
          </cell>
          <cell r="N7" t="str">
            <v/>
          </cell>
          <cell r="BG7">
            <v>7</v>
          </cell>
          <cell r="BM7" t="str">
            <v>MM</v>
          </cell>
          <cell r="BN7">
            <v>14</v>
          </cell>
          <cell r="BP7" t="b">
            <v>1</v>
          </cell>
          <cell r="BQ7" t="b">
            <v>0</v>
          </cell>
          <cell r="BR7" t="b">
            <v>0</v>
          </cell>
          <cell r="BS7">
            <v>6</v>
          </cell>
          <cell r="BT7" t="str">
            <v/>
          </cell>
          <cell r="BV7" t="b">
            <v>0</v>
          </cell>
          <cell r="BW7">
            <v>6</v>
          </cell>
          <cell r="BX7" t="str">
            <v>Bat</v>
          </cell>
          <cell r="BY7" t="b">
            <v>0</v>
          </cell>
          <cell r="BZ7" t="b">
            <v>0</v>
          </cell>
          <cell r="CA7">
            <v>6</v>
          </cell>
          <cell r="CB7" t="str">
            <v>Ape</v>
          </cell>
          <cell r="CD7" t="b">
            <v>0</v>
          </cell>
          <cell r="CE7">
            <v>6</v>
          </cell>
          <cell r="CF7" t="str">
            <v>Baboon</v>
          </cell>
          <cell r="CN7">
            <v>209</v>
          </cell>
        </row>
        <row r="8">
          <cell r="A8" t="str">
            <v>Ape</v>
          </cell>
          <cell r="C8" t="str">
            <v>Large</v>
          </cell>
          <cell r="D8" t="str">
            <v>Animal</v>
          </cell>
          <cell r="F8">
            <v>4</v>
          </cell>
          <cell r="G8">
            <v>30</v>
          </cell>
          <cell r="I8">
            <v>30</v>
          </cell>
          <cell r="M8">
            <v>3</v>
          </cell>
          <cell r="N8" t="str">
            <v>2 Claws+4+0+1,Bite+4+0+0</v>
          </cell>
          <cell r="S8" t="str">
            <v>normal</v>
          </cell>
          <cell r="AA8">
            <v>21</v>
          </cell>
          <cell r="AB8">
            <v>15</v>
          </cell>
          <cell r="AC8">
            <v>14</v>
          </cell>
          <cell r="AD8">
            <v>2</v>
          </cell>
          <cell r="AE8">
            <v>12</v>
          </cell>
          <cell r="AF8">
            <v>7</v>
          </cell>
          <cell r="AG8" t="str">
            <v>climb+8,listen,spot</v>
          </cell>
          <cell r="AX8" t="str">
            <v>Alertness;Toughness</v>
          </cell>
          <cell r="BD8" t="str">
            <v>Scent</v>
          </cell>
          <cell r="BG8">
            <v>4</v>
          </cell>
          <cell r="BM8" t="str">
            <v>MM</v>
          </cell>
          <cell r="BN8">
            <v>268</v>
          </cell>
          <cell r="BP8" t="b">
            <v>1</v>
          </cell>
          <cell r="BQ8" t="b">
            <v>0</v>
          </cell>
          <cell r="BR8" t="b">
            <v>0</v>
          </cell>
          <cell r="BS8">
            <v>6</v>
          </cell>
          <cell r="BT8" t="str">
            <v/>
          </cell>
          <cell r="BV8" t="b">
            <v>0</v>
          </cell>
          <cell r="BW8">
            <v>6</v>
          </cell>
          <cell r="BX8" t="str">
            <v>Cat</v>
          </cell>
          <cell r="BY8" t="b">
            <v>1</v>
          </cell>
          <cell r="BZ8" t="b">
            <v>1</v>
          </cell>
          <cell r="CA8">
            <v>7</v>
          </cell>
          <cell r="CB8" t="str">
            <v>Badger</v>
          </cell>
          <cell r="CD8" t="b">
            <v>0</v>
          </cell>
          <cell r="CE8">
            <v>6</v>
          </cell>
          <cell r="CF8" t="str">
            <v>Badger</v>
          </cell>
        </row>
        <row r="9">
          <cell r="A9" t="str">
            <v>Archon, Lantern</v>
          </cell>
          <cell r="C9" t="str">
            <v>Small</v>
          </cell>
          <cell r="D9" t="str">
            <v>Outsider</v>
          </cell>
          <cell r="F9">
            <v>1</v>
          </cell>
          <cell r="J9">
            <v>60</v>
          </cell>
          <cell r="K9" t="str">
            <v>perfect</v>
          </cell>
          <cell r="M9">
            <v>4</v>
          </cell>
          <cell r="N9" t="str">
            <v>2 light rays+6+0-1</v>
          </cell>
          <cell r="O9" t="str">
            <v>1d6;</v>
          </cell>
          <cell r="T9">
            <v>60</v>
          </cell>
          <cell r="U9" t="str">
            <v>electricity,petrification</v>
          </cell>
          <cell r="Y9" t="str">
            <v>10/evil and magic</v>
          </cell>
          <cell r="AA9">
            <v>1</v>
          </cell>
          <cell r="AB9">
            <v>11</v>
          </cell>
          <cell r="AC9">
            <v>10</v>
          </cell>
          <cell r="AD9">
            <v>6</v>
          </cell>
          <cell r="AE9">
            <v>11</v>
          </cell>
          <cell r="AF9">
            <v>10</v>
          </cell>
          <cell r="AG9" t="str">
            <v>0;0</v>
          </cell>
          <cell r="AH9" t="str">
            <v>0;0</v>
          </cell>
          <cell r="AI9" t="str">
            <v>0;0</v>
          </cell>
          <cell r="AJ9" t="str">
            <v>4;0</v>
          </cell>
          <cell r="AK9" t="str">
            <v>0;0</v>
          </cell>
          <cell r="AL9" t="str">
            <v>6;4</v>
          </cell>
          <cell r="AN9" t="str">
            <v>0;0</v>
          </cell>
          <cell r="AO9" t="str">
            <v>0;0</v>
          </cell>
          <cell r="AP9" t="str">
            <v>4;0</v>
          </cell>
          <cell r="AQ9" t="str">
            <v>0;0</v>
          </cell>
          <cell r="AR9" t="str">
            <v>0;0</v>
          </cell>
          <cell r="AS9" t="str">
            <v>4;0</v>
          </cell>
          <cell r="AT9" t="str">
            <v>0;0</v>
          </cell>
          <cell r="AU9" t="str">
            <v>4;0</v>
          </cell>
          <cell r="AV9" t="str">
            <v>0;0</v>
          </cell>
          <cell r="AW9" t="str">
            <v>0;0</v>
          </cell>
          <cell r="AX9" t="str">
            <v>Improved Initiative</v>
          </cell>
          <cell r="BB9" t="str">
            <v>Lawful Good</v>
          </cell>
          <cell r="BD9" t="str">
            <v>Spell-like abilities;Aura of menace;magic circle agaist evil;Teleport;Tongues</v>
          </cell>
          <cell r="BF9">
            <v>7</v>
          </cell>
          <cell r="BH9" t="str">
            <v>Celestial, Planar</v>
          </cell>
          <cell r="BM9" t="str">
            <v>MM</v>
          </cell>
          <cell r="BN9">
            <v>16</v>
          </cell>
          <cell r="BO9" t="str">
            <v>PlH</v>
          </cell>
          <cell r="BP9" t="b">
            <v>1</v>
          </cell>
          <cell r="BQ9" t="b">
            <v>0</v>
          </cell>
          <cell r="BR9" t="b">
            <v>0</v>
          </cell>
          <cell r="BS9">
            <v>6</v>
          </cell>
          <cell r="BT9" t="str">
            <v/>
          </cell>
          <cell r="BU9" t="b">
            <v>0</v>
          </cell>
          <cell r="BV9" t="b">
            <v>0</v>
          </cell>
          <cell r="BW9">
            <v>6</v>
          </cell>
          <cell r="BX9" t="str">
            <v>Hawk</v>
          </cell>
          <cell r="BZ9" t="b">
            <v>0</v>
          </cell>
          <cell r="CA9">
            <v>7</v>
          </cell>
          <cell r="CB9" t="str">
            <v>Bear, Black</v>
          </cell>
          <cell r="CD9" t="b">
            <v>0</v>
          </cell>
          <cell r="CE9">
            <v>6</v>
          </cell>
          <cell r="CF9" t="str">
            <v>Bear, Black</v>
          </cell>
        </row>
        <row r="10">
          <cell r="A10" t="str">
            <v>Asperi</v>
          </cell>
          <cell r="D10" t="str">
            <v>Magical Beast</v>
          </cell>
          <cell r="N10" t="str">
            <v/>
          </cell>
          <cell r="BG10">
            <v>7</v>
          </cell>
          <cell r="BM10" t="str">
            <v>MM2</v>
          </cell>
          <cell r="BN10">
            <v>25</v>
          </cell>
          <cell r="BP10" t="b">
            <v>0</v>
          </cell>
          <cell r="BQ10" t="b">
            <v>0</v>
          </cell>
          <cell r="BR10" t="b">
            <v>0</v>
          </cell>
          <cell r="BS10">
            <v>6</v>
          </cell>
          <cell r="BT10" t="str">
            <v/>
          </cell>
          <cell r="BV10" t="b">
            <v>0</v>
          </cell>
          <cell r="BW10">
            <v>6</v>
          </cell>
          <cell r="BX10" t="str">
            <v>Lizard</v>
          </cell>
          <cell r="BY10" t="b">
            <v>0</v>
          </cell>
          <cell r="BZ10" t="b">
            <v>0</v>
          </cell>
          <cell r="CA10">
            <v>7</v>
          </cell>
          <cell r="CB10" t="str">
            <v>Bison</v>
          </cell>
          <cell r="CD10" t="b">
            <v>0</v>
          </cell>
          <cell r="CE10">
            <v>6</v>
          </cell>
          <cell r="CF10" t="str">
            <v>Boar</v>
          </cell>
        </row>
        <row r="11">
          <cell r="A11" t="str">
            <v>Baboon</v>
          </cell>
          <cell r="C11" t="str">
            <v>Medium</v>
          </cell>
          <cell r="D11" t="str">
            <v>Animal</v>
          </cell>
          <cell r="F11">
            <v>1</v>
          </cell>
          <cell r="G11">
            <v>40</v>
          </cell>
          <cell r="I11">
            <v>30</v>
          </cell>
          <cell r="M11">
            <v>1</v>
          </cell>
          <cell r="N11" t="str">
            <v>Bite+5+0+2</v>
          </cell>
          <cell r="S11" t="str">
            <v>normal</v>
          </cell>
          <cell r="AA11">
            <v>15</v>
          </cell>
          <cell r="AB11">
            <v>14</v>
          </cell>
          <cell r="AC11">
            <v>12</v>
          </cell>
          <cell r="AD11">
            <v>2</v>
          </cell>
          <cell r="AE11">
            <v>12</v>
          </cell>
          <cell r="AF11">
            <v>4</v>
          </cell>
          <cell r="BG11">
            <v>1</v>
          </cell>
          <cell r="BM11" t="str">
            <v>MM</v>
          </cell>
          <cell r="BN11">
            <v>268</v>
          </cell>
          <cell r="BP11" t="b">
            <v>1</v>
          </cell>
          <cell r="BQ11" t="b">
            <v>0</v>
          </cell>
          <cell r="BR11" t="b">
            <v>0</v>
          </cell>
          <cell r="BS11">
            <v>6</v>
          </cell>
          <cell r="BT11" t="str">
            <v/>
          </cell>
          <cell r="BV11" t="b">
            <v>0</v>
          </cell>
          <cell r="BW11">
            <v>6</v>
          </cell>
          <cell r="BX11" t="str">
            <v>Owl</v>
          </cell>
          <cell r="BY11" t="b">
            <v>0</v>
          </cell>
          <cell r="BZ11" t="b">
            <v>0</v>
          </cell>
          <cell r="CA11">
            <v>7</v>
          </cell>
          <cell r="CB11" t="str">
            <v>Boar</v>
          </cell>
          <cell r="CD11" t="b">
            <v>1</v>
          </cell>
          <cell r="CE11">
            <v>7</v>
          </cell>
          <cell r="CF11" t="str">
            <v>Cheetah</v>
          </cell>
        </row>
        <row r="12">
          <cell r="A12" t="str">
            <v>Badger</v>
          </cell>
          <cell r="C12" t="str">
            <v>Small</v>
          </cell>
          <cell r="D12" t="str">
            <v>Animal</v>
          </cell>
          <cell r="F12">
            <v>1</v>
          </cell>
          <cell r="G12">
            <v>30</v>
          </cell>
          <cell r="H12">
            <v>10</v>
          </cell>
          <cell r="M12">
            <v>1</v>
          </cell>
          <cell r="N12" t="str">
            <v>2 Claws+3+0+1,Bite+4+0+0</v>
          </cell>
          <cell r="S12" t="str">
            <v>normal</v>
          </cell>
          <cell r="AA12">
            <v>8</v>
          </cell>
          <cell r="AB12">
            <v>17</v>
          </cell>
          <cell r="AC12">
            <v>15</v>
          </cell>
          <cell r="AD12">
            <v>3</v>
          </cell>
          <cell r="AE12">
            <v>12</v>
          </cell>
          <cell r="AF12">
            <v>6</v>
          </cell>
          <cell r="BG12">
            <v>1</v>
          </cell>
          <cell r="BM12" t="str">
            <v>MM</v>
          </cell>
          <cell r="BN12">
            <v>268</v>
          </cell>
          <cell r="BP12" t="b">
            <v>1</v>
          </cell>
          <cell r="BQ12" t="b">
            <v>0</v>
          </cell>
          <cell r="BR12" t="b">
            <v>0</v>
          </cell>
          <cell r="BS12">
            <v>6</v>
          </cell>
          <cell r="BT12" t="str">
            <v/>
          </cell>
          <cell r="BV12" t="b">
            <v>0</v>
          </cell>
          <cell r="BW12">
            <v>6</v>
          </cell>
          <cell r="BX12" t="str">
            <v>Rat</v>
          </cell>
          <cell r="BY12" t="b">
            <v>1</v>
          </cell>
          <cell r="BZ12" t="b">
            <v>1</v>
          </cell>
          <cell r="CA12">
            <v>8</v>
          </cell>
          <cell r="CB12" t="str">
            <v>Camel</v>
          </cell>
          <cell r="CD12" t="b">
            <v>1</v>
          </cell>
          <cell r="CE12">
            <v>8</v>
          </cell>
          <cell r="CF12" t="str">
            <v>Crocodile</v>
          </cell>
        </row>
        <row r="13">
          <cell r="A13" t="str">
            <v>Basilisk</v>
          </cell>
          <cell r="D13" t="str">
            <v>Magical Beast</v>
          </cell>
          <cell r="N13" t="str">
            <v/>
          </cell>
          <cell r="BG13">
            <v>10</v>
          </cell>
          <cell r="BM13" t="str">
            <v>MM</v>
          </cell>
          <cell r="BN13">
            <v>23</v>
          </cell>
          <cell r="BP13" t="b">
            <v>1</v>
          </cell>
          <cell r="BQ13" t="b">
            <v>0</v>
          </cell>
          <cell r="BR13" t="b">
            <v>0</v>
          </cell>
          <cell r="BS13">
            <v>6</v>
          </cell>
          <cell r="BT13" t="str">
            <v/>
          </cell>
          <cell r="BV13" t="b">
            <v>0</v>
          </cell>
          <cell r="BW13">
            <v>6</v>
          </cell>
          <cell r="BX13" t="str">
            <v>Raven</v>
          </cell>
          <cell r="BY13" t="b">
            <v>0</v>
          </cell>
          <cell r="BZ13" t="b">
            <v>0</v>
          </cell>
          <cell r="CA13">
            <v>8</v>
          </cell>
          <cell r="CB13" t="str">
            <v>Cheetah</v>
          </cell>
          <cell r="CD13" t="b">
            <v>0</v>
          </cell>
          <cell r="CE13">
            <v>8</v>
          </cell>
          <cell r="CF13" t="str">
            <v>Deinonychus</v>
          </cell>
        </row>
        <row r="14">
          <cell r="A14" t="str">
            <v>Bat</v>
          </cell>
          <cell r="C14" t="str">
            <v>Diminutive</v>
          </cell>
          <cell r="D14" t="str">
            <v>Animal</v>
          </cell>
          <cell r="F14">
            <v>0.25</v>
          </cell>
          <cell r="G14">
            <v>5</v>
          </cell>
          <cell r="J14">
            <v>40</v>
          </cell>
          <cell r="K14" t="str">
            <v>good</v>
          </cell>
          <cell r="M14">
            <v>0</v>
          </cell>
          <cell r="O14" t="str">
            <v xml:space="preserve"> ;</v>
          </cell>
          <cell r="S14" t="str">
            <v>normal</v>
          </cell>
          <cell r="AA14">
            <v>1</v>
          </cell>
          <cell r="AB14">
            <v>15</v>
          </cell>
          <cell r="AC14">
            <v>10</v>
          </cell>
          <cell r="AD14">
            <v>2</v>
          </cell>
          <cell r="AE14">
            <v>14</v>
          </cell>
          <cell r="AF14">
            <v>4</v>
          </cell>
          <cell r="AG14" t="str">
            <v>0;0</v>
          </cell>
          <cell r="AH14" t="str">
            <v>0;0</v>
          </cell>
          <cell r="AI14" t="str">
            <v>0;0</v>
          </cell>
          <cell r="AJ14" t="str">
            <v>0;0</v>
          </cell>
          <cell r="AK14" t="str">
            <v>0;0</v>
          </cell>
          <cell r="AL14" t="str">
            <v>0;12</v>
          </cell>
          <cell r="AN14" t="str">
            <v>0;0</v>
          </cell>
          <cell r="AO14" t="str">
            <v>0;-12</v>
          </cell>
          <cell r="AP14" t="str">
            <v>0;6</v>
          </cell>
          <cell r="AQ14" t="str">
            <v>4;0</v>
          </cell>
          <cell r="AR14" t="str">
            <v>0;0</v>
          </cell>
          <cell r="AS14" t="str">
            <v>0;0</v>
          </cell>
          <cell r="AT14" t="str">
            <v>0;0</v>
          </cell>
          <cell r="AU14" t="str">
            <v>0;6</v>
          </cell>
          <cell r="AV14" t="str">
            <v>0;0</v>
          </cell>
          <cell r="AW14" t="str">
            <v>0;0</v>
          </cell>
          <cell r="AX14" t="str">
            <v>Alertness</v>
          </cell>
          <cell r="BA14">
            <v>0</v>
          </cell>
          <cell r="BB14" t="str">
            <v>Neutral</v>
          </cell>
          <cell r="BD14" t="str">
            <v>Blindsense 10"</v>
          </cell>
          <cell r="BF14">
            <v>1</v>
          </cell>
          <cell r="BH14" t="str">
            <v>Normal</v>
          </cell>
          <cell r="BM14" t="str">
            <v>MM</v>
          </cell>
          <cell r="BN14">
            <v>268</v>
          </cell>
          <cell r="BP14" t="b">
            <v>1</v>
          </cell>
          <cell r="BQ14" t="b">
            <v>1</v>
          </cell>
          <cell r="BR14" t="b">
            <v>0</v>
          </cell>
          <cell r="BS14">
            <v>6</v>
          </cell>
          <cell r="BT14" t="str">
            <v/>
          </cell>
          <cell r="BV14" t="b">
            <v>1</v>
          </cell>
          <cell r="BW14">
            <v>7</v>
          </cell>
          <cell r="BX14" t="str">
            <v>Snake, Tiny Viper</v>
          </cell>
          <cell r="BZ14" t="b">
            <v>0</v>
          </cell>
          <cell r="CA14">
            <v>8</v>
          </cell>
          <cell r="CB14" t="str">
            <v>Crocodile</v>
          </cell>
          <cell r="CD14" t="b">
            <v>0</v>
          </cell>
          <cell r="CE14">
            <v>8</v>
          </cell>
          <cell r="CF14" t="str">
            <v>Dire Badger</v>
          </cell>
        </row>
        <row r="15">
          <cell r="A15" t="str">
            <v>Bear, Black</v>
          </cell>
          <cell r="C15" t="str">
            <v>Medium</v>
          </cell>
          <cell r="D15" t="str">
            <v>Animal</v>
          </cell>
          <cell r="F15">
            <v>3</v>
          </cell>
          <cell r="G15">
            <v>40</v>
          </cell>
          <cell r="M15">
            <v>2</v>
          </cell>
          <cell r="N15" t="str">
            <v>2 Claws+4+0+1,Bite+5+0+0</v>
          </cell>
          <cell r="O15" t="str">
            <v>1d4;1d6</v>
          </cell>
          <cell r="S15" t="str">
            <v>normal</v>
          </cell>
          <cell r="AA15">
            <v>19</v>
          </cell>
          <cell r="AB15">
            <v>13</v>
          </cell>
          <cell r="AC15">
            <v>15</v>
          </cell>
          <cell r="AD15">
            <v>2</v>
          </cell>
          <cell r="AE15">
            <v>12</v>
          </cell>
          <cell r="AF15">
            <v>6</v>
          </cell>
          <cell r="BG15">
            <v>4</v>
          </cell>
          <cell r="BM15" t="str">
            <v>MM</v>
          </cell>
          <cell r="BN15">
            <v>269</v>
          </cell>
          <cell r="BP15" t="b">
            <v>1</v>
          </cell>
          <cell r="BQ15" t="b">
            <v>0</v>
          </cell>
          <cell r="BR15" t="b">
            <v>0</v>
          </cell>
          <cell r="BS15">
            <v>6</v>
          </cell>
          <cell r="BT15" t="str">
            <v/>
          </cell>
          <cell r="BV15" t="b">
            <v>0</v>
          </cell>
          <cell r="BW15">
            <v>7</v>
          </cell>
          <cell r="BX15" t="str">
            <v>Toad</v>
          </cell>
          <cell r="BY15" t="b">
            <v>1</v>
          </cell>
          <cell r="BZ15" t="b">
            <v>1</v>
          </cell>
          <cell r="CA15">
            <v>9</v>
          </cell>
          <cell r="CB15" t="str">
            <v>Dire Badger</v>
          </cell>
          <cell r="CD15" t="b">
            <v>1</v>
          </cell>
          <cell r="CE15">
            <v>9</v>
          </cell>
          <cell r="CF15" t="str">
            <v>Dire Rat</v>
          </cell>
        </row>
        <row r="16">
          <cell r="A16" t="str">
            <v>Bear, Brown</v>
          </cell>
          <cell r="C16" t="str">
            <v>Large</v>
          </cell>
          <cell r="D16" t="str">
            <v>Animal</v>
          </cell>
          <cell r="F16">
            <v>6</v>
          </cell>
          <cell r="G16">
            <v>40</v>
          </cell>
          <cell r="M16">
            <v>2</v>
          </cell>
          <cell r="N16" t="str">
            <v>2 Claws+5+0+1,Bite+6-1+0</v>
          </cell>
          <cell r="S16" t="str">
            <v>normal</v>
          </cell>
          <cell r="AA16">
            <v>27</v>
          </cell>
          <cell r="AB16">
            <v>13</v>
          </cell>
          <cell r="AC16">
            <v>19</v>
          </cell>
          <cell r="AD16">
            <v>2</v>
          </cell>
          <cell r="AE16">
            <v>12</v>
          </cell>
          <cell r="AF16">
            <v>6</v>
          </cell>
          <cell r="AG16" t="str">
            <v>listen,spot,swim</v>
          </cell>
          <cell r="BA16">
            <v>4</v>
          </cell>
          <cell r="BB16" t="str">
            <v>Lawful Good</v>
          </cell>
          <cell r="BG16">
            <v>7</v>
          </cell>
          <cell r="BM16" t="str">
            <v>MM</v>
          </cell>
          <cell r="BN16">
            <v>269</v>
          </cell>
          <cell r="BP16" t="b">
            <v>1</v>
          </cell>
          <cell r="BQ16" t="b">
            <v>1</v>
          </cell>
          <cell r="BR16" t="b">
            <v>0</v>
          </cell>
          <cell r="BS16">
            <v>6</v>
          </cell>
          <cell r="BT16" t="str">
            <v/>
          </cell>
          <cell r="BV16" t="b">
            <v>0</v>
          </cell>
          <cell r="BW16">
            <v>7</v>
          </cell>
          <cell r="BX16" t="str">
            <v>Weasel</v>
          </cell>
          <cell r="BY16" t="b">
            <v>1</v>
          </cell>
          <cell r="BZ16" t="b">
            <v>0</v>
          </cell>
          <cell r="CA16">
            <v>9</v>
          </cell>
          <cell r="CB16" t="str">
            <v>Dire Bat</v>
          </cell>
          <cell r="CD16" t="b">
            <v>0</v>
          </cell>
          <cell r="CE16">
            <v>9</v>
          </cell>
          <cell r="CF16" t="str">
            <v>Dire Weasel</v>
          </cell>
        </row>
        <row r="17">
          <cell r="A17" t="str">
            <v>Bear, Polar</v>
          </cell>
          <cell r="C17" t="str">
            <v>Large</v>
          </cell>
          <cell r="D17" t="str">
            <v>Animal</v>
          </cell>
          <cell r="F17">
            <v>8</v>
          </cell>
          <cell r="G17">
            <v>40</v>
          </cell>
          <cell r="L17">
            <v>30</v>
          </cell>
          <cell r="M17">
            <v>5</v>
          </cell>
          <cell r="N17" t="str">
            <v>2 Claws+5+0+1,Bite+7+0+0</v>
          </cell>
          <cell r="O17" t="str">
            <v>1d8;2d8</v>
          </cell>
          <cell r="S17" t="str">
            <v>normal</v>
          </cell>
          <cell r="AA17">
            <v>27</v>
          </cell>
          <cell r="AB17">
            <v>13</v>
          </cell>
          <cell r="AC17">
            <v>19</v>
          </cell>
          <cell r="AD17">
            <v>2</v>
          </cell>
          <cell r="AE17">
            <v>12</v>
          </cell>
          <cell r="AF17">
            <v>6</v>
          </cell>
          <cell r="BG17">
            <v>10</v>
          </cell>
          <cell r="BM17" t="str">
            <v>MM</v>
          </cell>
          <cell r="BN17">
            <v>269</v>
          </cell>
          <cell r="BP17" t="b">
            <v>1</v>
          </cell>
          <cell r="BQ17" t="b">
            <v>0</v>
          </cell>
          <cell r="BR17" t="b">
            <v>0</v>
          </cell>
          <cell r="BS17">
            <v>6</v>
          </cell>
          <cell r="BT17" t="str">
            <v/>
          </cell>
          <cell r="BV17" t="b">
            <v>0</v>
          </cell>
          <cell r="BW17">
            <v>7</v>
          </cell>
          <cell r="BX17" t="str">
            <v>Custom Familiar</v>
          </cell>
          <cell r="BY17" t="b">
            <v>1</v>
          </cell>
          <cell r="BZ17" t="b">
            <v>0</v>
          </cell>
          <cell r="CA17">
            <v>9</v>
          </cell>
          <cell r="CB17" t="str">
            <v>Dire Rat</v>
          </cell>
          <cell r="CD17" t="b">
            <v>0</v>
          </cell>
          <cell r="CE17">
            <v>9</v>
          </cell>
          <cell r="CF17" t="str">
            <v>Dog</v>
          </cell>
        </row>
        <row r="18">
          <cell r="A18" t="str">
            <v>Bison</v>
          </cell>
          <cell r="C18" t="str">
            <v>Large</v>
          </cell>
          <cell r="D18" t="str">
            <v>Animal</v>
          </cell>
          <cell r="N18" t="str">
            <v/>
          </cell>
          <cell r="BG18">
            <v>4</v>
          </cell>
          <cell r="BM18" t="str">
            <v>MM</v>
          </cell>
          <cell r="BN18">
            <v>269</v>
          </cell>
          <cell r="BP18" t="b">
            <v>1</v>
          </cell>
          <cell r="BQ18" t="b">
            <v>0</v>
          </cell>
          <cell r="BR18" t="b">
            <v>0</v>
          </cell>
          <cell r="BS18">
            <v>6</v>
          </cell>
          <cell r="BT18" t="str">
            <v/>
          </cell>
          <cell r="BV18" t="b">
            <v>0</v>
          </cell>
          <cell r="BW18">
            <v>7</v>
          </cell>
          <cell r="BX18" t="str">
            <v/>
          </cell>
          <cell r="BY18" t="b">
            <v>1</v>
          </cell>
          <cell r="BZ18" t="b">
            <v>1</v>
          </cell>
          <cell r="CA18">
            <v>10</v>
          </cell>
          <cell r="CB18" t="str">
            <v>Dire Weasel</v>
          </cell>
          <cell r="CD18" t="b">
            <v>0</v>
          </cell>
          <cell r="CE18">
            <v>9</v>
          </cell>
          <cell r="CF18" t="str">
            <v>Dog, Riding</v>
          </cell>
        </row>
        <row r="19">
          <cell r="A19" t="str">
            <v>Blink Dog</v>
          </cell>
          <cell r="C19" t="str">
            <v>Medium</v>
          </cell>
          <cell r="D19" t="str">
            <v>Magical Beast</v>
          </cell>
          <cell r="F19">
            <v>4</v>
          </cell>
          <cell r="G19">
            <v>40</v>
          </cell>
          <cell r="M19">
            <v>3</v>
          </cell>
          <cell r="N19" t="str">
            <v>Bite+5+0+2</v>
          </cell>
          <cell r="O19" t="str">
            <v>1d6;</v>
          </cell>
          <cell r="S19" t="str">
            <v>normal</v>
          </cell>
          <cell r="T19">
            <v>60</v>
          </cell>
          <cell r="AA19">
            <v>10</v>
          </cell>
          <cell r="AB19">
            <v>17</v>
          </cell>
          <cell r="AC19">
            <v>10</v>
          </cell>
          <cell r="AD19">
            <v>10</v>
          </cell>
          <cell r="AE19">
            <v>13</v>
          </cell>
          <cell r="AF19">
            <v>11</v>
          </cell>
          <cell r="AG19" t="str">
            <v>0;0</v>
          </cell>
          <cell r="AH19" t="str">
            <v>0;0</v>
          </cell>
          <cell r="AI19" t="str">
            <v>0;0</v>
          </cell>
          <cell r="AJ19" t="str">
            <v>0;0</v>
          </cell>
          <cell r="AK19" t="str">
            <v>0;0</v>
          </cell>
          <cell r="AL19" t="str">
            <v>0;0</v>
          </cell>
          <cell r="AN19" t="str">
            <v>0;0</v>
          </cell>
          <cell r="AO19" t="str">
            <v>0;4</v>
          </cell>
          <cell r="AP19" t="str">
            <v>4;0</v>
          </cell>
          <cell r="AQ19" t="str">
            <v>0;0</v>
          </cell>
          <cell r="AR19" t="str">
            <v>0;0</v>
          </cell>
          <cell r="AS19" t="str">
            <v>2;0</v>
          </cell>
          <cell r="AT19" t="str">
            <v>0;0</v>
          </cell>
          <cell r="AU19" t="str">
            <v>4;0</v>
          </cell>
          <cell r="AV19" t="str">
            <v>3;0</v>
          </cell>
          <cell r="AW19" t="str">
            <v>0;0</v>
          </cell>
          <cell r="AX19" t="str">
            <v>Iron Will;Run;Track;</v>
          </cell>
          <cell r="BB19" t="str">
            <v>Lawful Good</v>
          </cell>
          <cell r="BD19" t="str">
            <v>Blink;Dimension Door;Scent</v>
          </cell>
          <cell r="BF19">
            <v>5</v>
          </cell>
          <cell r="BG19">
            <v>4</v>
          </cell>
          <cell r="BH19" t="str">
            <v>Improved</v>
          </cell>
          <cell r="BM19" t="str">
            <v>MM</v>
          </cell>
          <cell r="BN19">
            <v>28</v>
          </cell>
          <cell r="BO19" t="str">
            <v>CW</v>
          </cell>
          <cell r="BP19" t="b">
            <v>1</v>
          </cell>
          <cell r="BQ19" t="b">
            <v>0</v>
          </cell>
          <cell r="BR19" t="b">
            <v>0</v>
          </cell>
          <cell r="BS19">
            <v>6</v>
          </cell>
          <cell r="BT19" t="str">
            <v/>
          </cell>
          <cell r="BU19" t="b">
            <v>0</v>
          </cell>
          <cell r="BV19" t="b">
            <v>0</v>
          </cell>
          <cell r="BW19">
            <v>7</v>
          </cell>
          <cell r="BX19" t="str">
            <v/>
          </cell>
          <cell r="BY19" t="b">
            <v>0</v>
          </cell>
          <cell r="BZ19" t="b">
            <v>0</v>
          </cell>
          <cell r="CA19">
            <v>10</v>
          </cell>
          <cell r="CB19" t="str">
            <v>Dog</v>
          </cell>
          <cell r="CC19" t="b">
            <v>0</v>
          </cell>
          <cell r="CD19" t="b">
            <v>0</v>
          </cell>
          <cell r="CE19">
            <v>9</v>
          </cell>
          <cell r="CF19" t="str">
            <v>Eagle</v>
          </cell>
        </row>
        <row r="20">
          <cell r="A20" t="str">
            <v>Boar</v>
          </cell>
          <cell r="C20" t="str">
            <v>Medium</v>
          </cell>
          <cell r="D20" t="str">
            <v>Animal</v>
          </cell>
          <cell r="F20">
            <v>3</v>
          </cell>
          <cell r="G20">
            <v>40</v>
          </cell>
          <cell r="M20">
            <v>2</v>
          </cell>
          <cell r="N20" t="str">
            <v>Gore+6+0+2</v>
          </cell>
          <cell r="S20" t="str">
            <v>normal</v>
          </cell>
          <cell r="AA20">
            <v>15</v>
          </cell>
          <cell r="AB20">
            <v>10</v>
          </cell>
          <cell r="AC20">
            <v>17</v>
          </cell>
          <cell r="AD20">
            <v>2</v>
          </cell>
          <cell r="AE20">
            <v>13</v>
          </cell>
          <cell r="AF20">
            <v>4</v>
          </cell>
          <cell r="AG20" t="str">
            <v>listen,spot</v>
          </cell>
          <cell r="BA20">
            <v>3</v>
          </cell>
          <cell r="BB20" t="str">
            <v>Neutral</v>
          </cell>
          <cell r="BG20">
            <v>4</v>
          </cell>
          <cell r="BM20" t="str">
            <v>MM</v>
          </cell>
          <cell r="BN20">
            <v>270</v>
          </cell>
          <cell r="BP20" t="b">
            <v>1</v>
          </cell>
          <cell r="BQ20" t="b">
            <v>1</v>
          </cell>
          <cell r="BR20" t="b">
            <v>0</v>
          </cell>
          <cell r="BS20">
            <v>6</v>
          </cell>
          <cell r="BT20" t="str">
            <v/>
          </cell>
          <cell r="BV20" t="b">
            <v>0</v>
          </cell>
          <cell r="BW20">
            <v>7</v>
          </cell>
          <cell r="BX20" t="str">
            <v/>
          </cell>
          <cell r="BY20" t="b">
            <v>1</v>
          </cell>
          <cell r="BZ20" t="b">
            <v>1</v>
          </cell>
          <cell r="CA20">
            <v>11</v>
          </cell>
          <cell r="CB20" t="str">
            <v>Dog, Riding</v>
          </cell>
          <cell r="CD20" t="b">
            <v>1</v>
          </cell>
          <cell r="CE20">
            <v>10</v>
          </cell>
          <cell r="CF20" t="str">
            <v>Leopard</v>
          </cell>
        </row>
        <row r="21">
          <cell r="A21" t="str">
            <v>Bull</v>
          </cell>
          <cell r="C21" t="str">
            <v>Large</v>
          </cell>
          <cell r="D21" t="str">
            <v>Animal</v>
          </cell>
          <cell r="N21" t="str">
            <v/>
          </cell>
          <cell r="BG21">
            <v>7</v>
          </cell>
          <cell r="BM21" t="str">
            <v>PGtA</v>
          </cell>
          <cell r="BP21" t="b">
            <v>0</v>
          </cell>
          <cell r="BQ21" t="b">
            <v>0</v>
          </cell>
          <cell r="BR21" t="b">
            <v>0</v>
          </cell>
          <cell r="BS21">
            <v>6</v>
          </cell>
          <cell r="BT21" t="str">
            <v/>
          </cell>
          <cell r="BV21" t="b">
            <v>0</v>
          </cell>
          <cell r="BW21">
            <v>7</v>
          </cell>
          <cell r="BX21" t="str">
            <v/>
          </cell>
          <cell r="BY21" t="b">
            <v>1</v>
          </cell>
          <cell r="BZ21" t="b">
            <v>0</v>
          </cell>
          <cell r="CA21">
            <v>11</v>
          </cell>
          <cell r="CB21" t="str">
            <v>Eagle</v>
          </cell>
          <cell r="CD21" t="b">
            <v>0</v>
          </cell>
          <cell r="CE21">
            <v>10</v>
          </cell>
          <cell r="CF21" t="str">
            <v>Lizard, Monitor</v>
          </cell>
        </row>
        <row r="22">
          <cell r="A22" t="str">
            <v>Bullete</v>
          </cell>
          <cell r="D22" t="str">
            <v>Magical Beast</v>
          </cell>
          <cell r="N22" t="str">
            <v/>
          </cell>
          <cell r="BG22">
            <v>13</v>
          </cell>
          <cell r="BM22" t="str">
            <v>MM</v>
          </cell>
          <cell r="BN22">
            <v>30</v>
          </cell>
          <cell r="BP22" t="b">
            <v>1</v>
          </cell>
          <cell r="BQ22" t="b">
            <v>0</v>
          </cell>
          <cell r="BR22" t="b">
            <v>0</v>
          </cell>
          <cell r="BS22">
            <v>6</v>
          </cell>
          <cell r="BT22" t="str">
            <v/>
          </cell>
          <cell r="BV22" t="b">
            <v>0</v>
          </cell>
          <cell r="BW22">
            <v>7</v>
          </cell>
          <cell r="BX22" t="str">
            <v/>
          </cell>
          <cell r="BY22" t="b">
            <v>0</v>
          </cell>
          <cell r="BZ22" t="b">
            <v>0</v>
          </cell>
          <cell r="CA22">
            <v>11</v>
          </cell>
          <cell r="CB22" t="str">
            <v>Hawk</v>
          </cell>
          <cell r="CD22" t="b">
            <v>0</v>
          </cell>
          <cell r="CE22">
            <v>10</v>
          </cell>
          <cell r="CF22" t="str">
            <v>Pony</v>
          </cell>
        </row>
        <row r="23">
          <cell r="A23" t="str">
            <v>Camel</v>
          </cell>
          <cell r="C23" t="str">
            <v>Large</v>
          </cell>
          <cell r="D23" t="str">
            <v>Animal</v>
          </cell>
          <cell r="N23" t="str">
            <v/>
          </cell>
          <cell r="BG23">
            <v>1</v>
          </cell>
          <cell r="BM23" t="str">
            <v>MM</v>
          </cell>
          <cell r="BN23">
            <v>270</v>
          </cell>
          <cell r="BP23" t="b">
            <v>1</v>
          </cell>
          <cell r="BQ23" t="b">
            <v>0</v>
          </cell>
          <cell r="BR23" t="b">
            <v>0</v>
          </cell>
          <cell r="BS23">
            <v>6</v>
          </cell>
          <cell r="BT23" t="str">
            <v/>
          </cell>
          <cell r="BV23" t="b">
            <v>0</v>
          </cell>
          <cell r="BW23">
            <v>7</v>
          </cell>
          <cell r="BX23" t="str">
            <v/>
          </cell>
          <cell r="BY23" t="b">
            <v>1</v>
          </cell>
          <cell r="BZ23" t="b">
            <v>1</v>
          </cell>
          <cell r="CA23">
            <v>12</v>
          </cell>
          <cell r="CB23" t="str">
            <v>Horse, Heavy</v>
          </cell>
          <cell r="CD23" t="b">
            <v>0</v>
          </cell>
          <cell r="CE23">
            <v>10</v>
          </cell>
          <cell r="CF23" t="str">
            <v>Porpoise</v>
          </cell>
        </row>
        <row r="24">
          <cell r="A24" t="str">
            <v>Carp</v>
          </cell>
          <cell r="C24" t="str">
            <v>Diminutive</v>
          </cell>
          <cell r="D24" t="str">
            <v>Animal</v>
          </cell>
          <cell r="E24" t="str">
            <v>Aquatic</v>
          </cell>
          <cell r="F24">
            <v>1</v>
          </cell>
          <cell r="L24">
            <v>10</v>
          </cell>
          <cell r="S24" t="str">
            <v>normal</v>
          </cell>
          <cell r="AA24">
            <v>1</v>
          </cell>
          <cell r="AB24">
            <v>20</v>
          </cell>
          <cell r="AC24">
            <v>10</v>
          </cell>
          <cell r="BM24" t="str">
            <v>OA</v>
          </cell>
          <cell r="BP24" t="b">
            <v>0</v>
          </cell>
          <cell r="BQ24" t="b">
            <v>0</v>
          </cell>
          <cell r="BR24" t="b">
            <v>0</v>
          </cell>
          <cell r="BS24">
            <v>6</v>
          </cell>
          <cell r="BT24" t="str">
            <v/>
          </cell>
          <cell r="BV24" t="b">
            <v>0</v>
          </cell>
          <cell r="BW24">
            <v>7</v>
          </cell>
          <cell r="BX24" t="str">
            <v/>
          </cell>
          <cell r="BZ24" t="b">
            <v>0</v>
          </cell>
          <cell r="CA24">
            <v>12</v>
          </cell>
          <cell r="CB24" t="str">
            <v>Horse, Light</v>
          </cell>
          <cell r="CD24" t="b">
            <v>0</v>
          </cell>
          <cell r="CE24">
            <v>10</v>
          </cell>
          <cell r="CF24" t="str">
            <v>Shark, Medium</v>
          </cell>
        </row>
        <row r="25">
          <cell r="A25" t="str">
            <v>Cat</v>
          </cell>
          <cell r="C25" t="str">
            <v>Tiny</v>
          </cell>
          <cell r="D25" t="str">
            <v>Animal</v>
          </cell>
          <cell r="F25">
            <v>0.5</v>
          </cell>
          <cell r="G25">
            <v>30</v>
          </cell>
          <cell r="M25">
            <v>0</v>
          </cell>
          <cell r="N25" t="str">
            <v>2 Claws+4+0+1,Bite+5+0+0</v>
          </cell>
          <cell r="O25" t="str">
            <v>1d2;1d3;</v>
          </cell>
          <cell r="S25" t="str">
            <v>normal</v>
          </cell>
          <cell r="AA25">
            <v>3</v>
          </cell>
          <cell r="AB25">
            <v>15</v>
          </cell>
          <cell r="AC25">
            <v>10</v>
          </cell>
          <cell r="AD25">
            <v>2</v>
          </cell>
          <cell r="AE25">
            <v>12</v>
          </cell>
          <cell r="AF25">
            <v>7</v>
          </cell>
          <cell r="AG25" t="str">
            <v>0;8</v>
          </cell>
          <cell r="AH25" t="str">
            <v>0;0</v>
          </cell>
          <cell r="AI25" t="str">
            <v>0;4</v>
          </cell>
          <cell r="AJ25" t="str">
            <v>0;0</v>
          </cell>
          <cell r="AK25" t="str">
            <v>0;0</v>
          </cell>
          <cell r="AL25" t="str">
            <v>0;12</v>
          </cell>
          <cell r="AN25" t="str">
            <v>0;0</v>
          </cell>
          <cell r="AO25" t="str">
            <v>0;8</v>
          </cell>
          <cell r="AP25" t="str">
            <v>2;0</v>
          </cell>
          <cell r="AQ25" t="str">
            <v>0;4</v>
          </cell>
          <cell r="AR25" t="str">
            <v>0;0</v>
          </cell>
          <cell r="AS25" t="str">
            <v>0;0</v>
          </cell>
          <cell r="AT25" t="str">
            <v>0;0</v>
          </cell>
          <cell r="AU25" t="str">
            <v>2;0</v>
          </cell>
          <cell r="AV25" t="str">
            <v>0;0</v>
          </cell>
          <cell r="AW25" t="str">
            <v>0;0</v>
          </cell>
          <cell r="AX25" t="str">
            <v>Weapon Finesse</v>
          </cell>
          <cell r="BA25">
            <v>0</v>
          </cell>
          <cell r="BB25" t="str">
            <v>Neutral</v>
          </cell>
          <cell r="BD25" t="str">
            <v>Scent</v>
          </cell>
          <cell r="BF25">
            <v>1</v>
          </cell>
          <cell r="BH25" t="str">
            <v>Normal</v>
          </cell>
          <cell r="BM25" t="str">
            <v>MM</v>
          </cell>
          <cell r="BN25">
            <v>270</v>
          </cell>
          <cell r="BP25" t="b">
            <v>1</v>
          </cell>
          <cell r="BQ25" t="b">
            <v>0</v>
          </cell>
          <cell r="BR25" t="b">
            <v>0</v>
          </cell>
          <cell r="BS25">
            <v>6</v>
          </cell>
          <cell r="BT25" t="str">
            <v/>
          </cell>
          <cell r="BV25" t="b">
            <v>1</v>
          </cell>
          <cell r="BW25">
            <v>8</v>
          </cell>
          <cell r="BX25" t="str">
            <v/>
          </cell>
          <cell r="BZ25" t="b">
            <v>0</v>
          </cell>
          <cell r="CA25">
            <v>12</v>
          </cell>
          <cell r="CB25" t="str">
            <v>Leopard</v>
          </cell>
          <cell r="CD25" t="b">
            <v>0</v>
          </cell>
          <cell r="CE25">
            <v>10</v>
          </cell>
          <cell r="CF25" t="str">
            <v>Snake, Constrictor</v>
          </cell>
        </row>
        <row r="26">
          <cell r="A26" t="str">
            <v>Cheetah</v>
          </cell>
          <cell r="C26" t="str">
            <v>Medium</v>
          </cell>
          <cell r="D26" t="str">
            <v>Animal</v>
          </cell>
          <cell r="F26">
            <v>3</v>
          </cell>
          <cell r="G26">
            <v>50</v>
          </cell>
          <cell r="M26">
            <v>1</v>
          </cell>
          <cell r="N26" t="str">
            <v>Bite+5+0+1,2 Claws+2+0+0</v>
          </cell>
          <cell r="S26" t="str">
            <v>normal</v>
          </cell>
          <cell r="AA26">
            <v>16</v>
          </cell>
          <cell r="AB26">
            <v>19</v>
          </cell>
          <cell r="AC26">
            <v>15</v>
          </cell>
          <cell r="AD26">
            <v>2</v>
          </cell>
          <cell r="AE26">
            <v>12</v>
          </cell>
          <cell r="AF26">
            <v>6</v>
          </cell>
          <cell r="BG26">
            <v>4</v>
          </cell>
          <cell r="BM26" t="str">
            <v>MM</v>
          </cell>
          <cell r="BN26">
            <v>271</v>
          </cell>
          <cell r="BP26" t="b">
            <v>1</v>
          </cell>
          <cell r="BQ26" t="b">
            <v>0</v>
          </cell>
          <cell r="BR26" t="b">
            <v>0</v>
          </cell>
          <cell r="BS26">
            <v>6</v>
          </cell>
          <cell r="BT26" t="str">
            <v/>
          </cell>
          <cell r="BV26" t="b">
            <v>0</v>
          </cell>
          <cell r="BW26">
            <v>8</v>
          </cell>
          <cell r="BX26" t="str">
            <v/>
          </cell>
          <cell r="BY26" t="b">
            <v>1</v>
          </cell>
          <cell r="BZ26" t="b">
            <v>1</v>
          </cell>
          <cell r="CA26">
            <v>13</v>
          </cell>
          <cell r="CB26" t="str">
            <v>Lizard, Monitor</v>
          </cell>
          <cell r="CD26" t="b">
            <v>1</v>
          </cell>
          <cell r="CE26">
            <v>11</v>
          </cell>
          <cell r="CF26" t="str">
            <v>Snake, Medium Viper</v>
          </cell>
        </row>
        <row r="27">
          <cell r="A27" t="str">
            <v>Chimera</v>
          </cell>
          <cell r="D27" t="str">
            <v>Magical Beast</v>
          </cell>
          <cell r="N27" t="str">
            <v/>
          </cell>
          <cell r="BG27">
            <v>13</v>
          </cell>
          <cell r="BM27" t="str">
            <v>MM</v>
          </cell>
          <cell r="BN27">
            <v>34</v>
          </cell>
          <cell r="BP27" t="b">
            <v>1</v>
          </cell>
          <cell r="BQ27" t="b">
            <v>0</v>
          </cell>
          <cell r="BR27" t="b">
            <v>0</v>
          </cell>
          <cell r="BS27">
            <v>6</v>
          </cell>
          <cell r="BT27" t="str">
            <v/>
          </cell>
          <cell r="BV27" t="b">
            <v>0</v>
          </cell>
          <cell r="BW27">
            <v>8</v>
          </cell>
          <cell r="BX27" t="str">
            <v/>
          </cell>
          <cell r="BY27" t="b">
            <v>0</v>
          </cell>
          <cell r="BZ27" t="b">
            <v>0</v>
          </cell>
          <cell r="CA27">
            <v>13</v>
          </cell>
          <cell r="CB27" t="str">
            <v>Owl</v>
          </cell>
          <cell r="CD27" t="b">
            <v>0</v>
          </cell>
          <cell r="CE27">
            <v>11</v>
          </cell>
          <cell r="CF27" t="str">
            <v>Snake, Small Viper</v>
          </cell>
        </row>
        <row r="28">
          <cell r="A28" t="str">
            <v>Clockwork Mender</v>
          </cell>
          <cell r="C28" t="str">
            <v>Tiny</v>
          </cell>
          <cell r="D28" t="str">
            <v>Magical Beast</v>
          </cell>
          <cell r="F28">
            <v>1</v>
          </cell>
          <cell r="G28">
            <v>10</v>
          </cell>
          <cell r="J28">
            <v>30</v>
          </cell>
          <cell r="K28" t="str">
            <v>perfect</v>
          </cell>
          <cell r="M28">
            <v>2</v>
          </cell>
          <cell r="N28" t="str">
            <v>Sting</v>
          </cell>
          <cell r="O28" t="str">
            <v>1d2;</v>
          </cell>
          <cell r="S28" t="str">
            <v>normal</v>
          </cell>
          <cell r="T28">
            <v>60</v>
          </cell>
          <cell r="AA28">
            <v>3</v>
          </cell>
          <cell r="AB28">
            <v>19</v>
          </cell>
          <cell r="AC28" t="str">
            <v>-</v>
          </cell>
          <cell r="AD28">
            <v>4</v>
          </cell>
          <cell r="AE28">
            <v>12</v>
          </cell>
          <cell r="AF28">
            <v>10</v>
          </cell>
          <cell r="AG28" t="str">
            <v>0;0</v>
          </cell>
          <cell r="AH28" t="str">
            <v>0;0</v>
          </cell>
          <cell r="AI28" t="str">
            <v>0;0</v>
          </cell>
          <cell r="AJ28" t="str">
            <v>0;0</v>
          </cell>
          <cell r="AK28" t="str">
            <v>0;0</v>
          </cell>
          <cell r="AL28" t="str">
            <v>0;12</v>
          </cell>
          <cell r="AN28" t="str">
            <v>0;0</v>
          </cell>
          <cell r="AO28" t="str">
            <v>0;0</v>
          </cell>
          <cell r="AP28" t="str">
            <v>0;1</v>
          </cell>
          <cell r="AQ28" t="str">
            <v>0;0</v>
          </cell>
          <cell r="AR28" t="str">
            <v>0;0</v>
          </cell>
          <cell r="AS28" t="str">
            <v>0;0</v>
          </cell>
          <cell r="AT28" t="str">
            <v>0;0</v>
          </cell>
          <cell r="AU28" t="str">
            <v>0;1</v>
          </cell>
          <cell r="AV28" t="str">
            <v>0;0</v>
          </cell>
          <cell r="AW28" t="str">
            <v>0;0</v>
          </cell>
          <cell r="AX28" t="str">
            <v>Spring Attack;Weapon Finesse;</v>
          </cell>
          <cell r="BB28" t="str">
            <v>Lawful Neutral</v>
          </cell>
          <cell r="BD28" t="str">
            <v>Construct Immunities;Aligned Strike;Poison;Repairing Touch</v>
          </cell>
          <cell r="BF28">
            <v>5</v>
          </cell>
          <cell r="BH28" t="str">
            <v>Improved</v>
          </cell>
          <cell r="BM28" t="str">
            <v>MM4</v>
          </cell>
          <cell r="BP28" t="b">
            <v>0</v>
          </cell>
          <cell r="BQ28" t="b">
            <v>0</v>
          </cell>
          <cell r="BR28" t="b">
            <v>0</v>
          </cell>
          <cell r="BS28">
            <v>6</v>
          </cell>
          <cell r="BT28" t="str">
            <v/>
          </cell>
          <cell r="BU28" t="b">
            <v>1</v>
          </cell>
          <cell r="BV28" t="b">
            <v>0</v>
          </cell>
          <cell r="BW28">
            <v>8</v>
          </cell>
          <cell r="BX28" t="str">
            <v/>
          </cell>
          <cell r="BZ28" t="b">
            <v>0</v>
          </cell>
          <cell r="CA28">
            <v>13</v>
          </cell>
          <cell r="CB28" t="str">
            <v>Pony</v>
          </cell>
          <cell r="CD28" t="b">
            <v>0</v>
          </cell>
          <cell r="CE28">
            <v>11</v>
          </cell>
          <cell r="CF28" t="str">
            <v>Wolf</v>
          </cell>
        </row>
        <row r="29">
          <cell r="A29" t="str">
            <v>Cockatrice</v>
          </cell>
          <cell r="D29" t="str">
            <v>Magical Beast</v>
          </cell>
          <cell r="N29" t="str">
            <v/>
          </cell>
          <cell r="BG29">
            <v>7</v>
          </cell>
          <cell r="BM29" t="str">
            <v>MM</v>
          </cell>
          <cell r="BN29">
            <v>37</v>
          </cell>
          <cell r="BP29" t="b">
            <v>1</v>
          </cell>
          <cell r="BQ29" t="b">
            <v>0</v>
          </cell>
          <cell r="BR29" t="b">
            <v>0</v>
          </cell>
          <cell r="BS29">
            <v>6</v>
          </cell>
          <cell r="BT29" t="str">
            <v/>
          </cell>
          <cell r="BV29" t="b">
            <v>0</v>
          </cell>
          <cell r="BW29">
            <v>8</v>
          </cell>
          <cell r="BX29" t="str">
            <v/>
          </cell>
          <cell r="BY29" t="b">
            <v>0</v>
          </cell>
          <cell r="BZ29" t="b">
            <v>0</v>
          </cell>
          <cell r="CA29">
            <v>13</v>
          </cell>
          <cell r="CB29" t="str">
            <v>Porpoise</v>
          </cell>
          <cell r="CD29" t="b">
            <v>0</v>
          </cell>
          <cell r="CE29">
            <v>11</v>
          </cell>
          <cell r="CF29" t="str">
            <v/>
          </cell>
        </row>
        <row r="30">
          <cell r="A30" t="str">
            <v>Crab</v>
          </cell>
          <cell r="C30" t="str">
            <v>Diminutive</v>
          </cell>
          <cell r="D30" t="str">
            <v>Animal</v>
          </cell>
          <cell r="F30">
            <v>1</v>
          </cell>
          <cell r="G30">
            <v>15</v>
          </cell>
          <cell r="M30">
            <v>1</v>
          </cell>
          <cell r="N30" t="str">
            <v>2 Claws+5+0+1</v>
          </cell>
          <cell r="S30" t="str">
            <v>normal</v>
          </cell>
          <cell r="AA30">
            <v>1</v>
          </cell>
          <cell r="AB30">
            <v>17</v>
          </cell>
          <cell r="AC30">
            <v>10</v>
          </cell>
          <cell r="BM30" t="str">
            <v>OA</v>
          </cell>
          <cell r="BP30" t="b">
            <v>0</v>
          </cell>
          <cell r="BQ30" t="b">
            <v>0</v>
          </cell>
          <cell r="BR30" t="b">
            <v>0</v>
          </cell>
          <cell r="BS30">
            <v>6</v>
          </cell>
          <cell r="BT30" t="str">
            <v/>
          </cell>
          <cell r="BV30" t="b">
            <v>0</v>
          </cell>
          <cell r="BW30">
            <v>8</v>
          </cell>
          <cell r="BX30" t="str">
            <v/>
          </cell>
          <cell r="BZ30" t="b">
            <v>0</v>
          </cell>
          <cell r="CA30">
            <v>13</v>
          </cell>
          <cell r="CB30" t="str">
            <v>Shark, Large</v>
          </cell>
          <cell r="CD30" t="b">
            <v>0</v>
          </cell>
          <cell r="CE30">
            <v>11</v>
          </cell>
          <cell r="CF30" t="str">
            <v/>
          </cell>
        </row>
        <row r="31">
          <cell r="A31" t="str">
            <v>Crane</v>
          </cell>
          <cell r="C31" t="str">
            <v>Small</v>
          </cell>
          <cell r="D31" t="str">
            <v>Animal</v>
          </cell>
          <cell r="F31">
            <v>1</v>
          </cell>
          <cell r="G31">
            <v>5</v>
          </cell>
          <cell r="J31">
            <v>60</v>
          </cell>
          <cell r="K31" t="str">
            <v>average</v>
          </cell>
          <cell r="N31" t="str">
            <v>Bite+5+0+2</v>
          </cell>
          <cell r="S31" t="str">
            <v>normal</v>
          </cell>
          <cell r="AA31">
            <v>6</v>
          </cell>
          <cell r="AB31">
            <v>16</v>
          </cell>
          <cell r="AC31">
            <v>10</v>
          </cell>
          <cell r="BM31" t="str">
            <v>OA</v>
          </cell>
          <cell r="BP31" t="b">
            <v>0</v>
          </cell>
          <cell r="BQ31" t="b">
            <v>0</v>
          </cell>
          <cell r="BR31" t="b">
            <v>0</v>
          </cell>
          <cell r="BS31">
            <v>6</v>
          </cell>
          <cell r="BT31" t="str">
            <v/>
          </cell>
          <cell r="BV31" t="b">
            <v>0</v>
          </cell>
          <cell r="BW31">
            <v>8</v>
          </cell>
          <cell r="BX31" t="str">
            <v/>
          </cell>
          <cell r="BZ31" t="b">
            <v>0</v>
          </cell>
          <cell r="CA31">
            <v>13</v>
          </cell>
          <cell r="CB31" t="str">
            <v>Shark, Medium</v>
          </cell>
          <cell r="CD31" t="b">
            <v>0</v>
          </cell>
          <cell r="CE31">
            <v>11</v>
          </cell>
          <cell r="CF31" t="str">
            <v/>
          </cell>
        </row>
        <row r="32">
          <cell r="A32" t="str">
            <v>Crocodile</v>
          </cell>
          <cell r="C32" t="str">
            <v>Medium</v>
          </cell>
          <cell r="D32" t="str">
            <v>Animal</v>
          </cell>
          <cell r="F32">
            <v>3</v>
          </cell>
          <cell r="G32">
            <v>20</v>
          </cell>
          <cell r="L32">
            <v>30</v>
          </cell>
          <cell r="M32">
            <v>4</v>
          </cell>
          <cell r="N32" t="str">
            <v>Bite+6+0+2,Tail Slap+8+0+2</v>
          </cell>
          <cell r="S32" t="str">
            <v>normal</v>
          </cell>
          <cell r="AA32">
            <v>19</v>
          </cell>
          <cell r="AB32">
            <v>12</v>
          </cell>
          <cell r="AC32">
            <v>17</v>
          </cell>
          <cell r="AD32">
            <v>1</v>
          </cell>
          <cell r="AE32">
            <v>12</v>
          </cell>
          <cell r="AF32">
            <v>2</v>
          </cell>
          <cell r="BG32">
            <v>4</v>
          </cell>
          <cell r="BM32" t="str">
            <v>MM</v>
          </cell>
          <cell r="BN32">
            <v>271</v>
          </cell>
          <cell r="BP32" t="b">
            <v>1</v>
          </cell>
          <cell r="BQ32" t="b">
            <v>0</v>
          </cell>
          <cell r="BR32" t="b">
            <v>0</v>
          </cell>
          <cell r="BS32">
            <v>6</v>
          </cell>
          <cell r="BT32" t="str">
            <v/>
          </cell>
          <cell r="BV32" t="b">
            <v>0</v>
          </cell>
          <cell r="BW32">
            <v>8</v>
          </cell>
          <cell r="BX32" t="str">
            <v/>
          </cell>
          <cell r="BZ32" t="b">
            <v>1</v>
          </cell>
          <cell r="CA32">
            <v>14</v>
          </cell>
          <cell r="CB32" t="str">
            <v>Snake, Constrictor</v>
          </cell>
          <cell r="CD32" t="b">
            <v>1</v>
          </cell>
          <cell r="CE32">
            <v>12</v>
          </cell>
          <cell r="CF32" t="str">
            <v/>
          </cell>
        </row>
        <row r="33">
          <cell r="A33" t="str">
            <v>Crocodile, Giant</v>
          </cell>
          <cell r="C33" t="str">
            <v>Huge</v>
          </cell>
          <cell r="D33" t="str">
            <v>Animal</v>
          </cell>
          <cell r="F33">
            <v>7</v>
          </cell>
          <cell r="G33">
            <v>20</v>
          </cell>
          <cell r="L33">
            <v>30</v>
          </cell>
          <cell r="M33">
            <v>7</v>
          </cell>
          <cell r="N33" t="str">
            <v>Bite+14+0+2,Tail Slap+13+0+2</v>
          </cell>
          <cell r="S33" t="str">
            <v>normal</v>
          </cell>
          <cell r="AA33">
            <v>27</v>
          </cell>
          <cell r="AB33">
            <v>12</v>
          </cell>
          <cell r="AC33">
            <v>19</v>
          </cell>
          <cell r="AD33">
            <v>1</v>
          </cell>
          <cell r="AE33">
            <v>12</v>
          </cell>
          <cell r="AF33">
            <v>2</v>
          </cell>
          <cell r="BG33">
            <v>7</v>
          </cell>
          <cell r="BM33" t="str">
            <v>MM</v>
          </cell>
          <cell r="BN33">
            <v>271</v>
          </cell>
          <cell r="BP33" t="b">
            <v>1</v>
          </cell>
          <cell r="BQ33" t="b">
            <v>0</v>
          </cell>
          <cell r="BR33" t="b">
            <v>0</v>
          </cell>
          <cell r="BS33">
            <v>6</v>
          </cell>
          <cell r="BT33" t="str">
            <v/>
          </cell>
          <cell r="BV33" t="b">
            <v>0</v>
          </cell>
          <cell r="BW33">
            <v>8</v>
          </cell>
          <cell r="BX33" t="str">
            <v/>
          </cell>
          <cell r="BY33" t="b">
            <v>1</v>
          </cell>
          <cell r="BZ33" t="b">
            <v>0</v>
          </cell>
          <cell r="CA33">
            <v>14</v>
          </cell>
          <cell r="CB33" t="str">
            <v>Snake, Large Viper</v>
          </cell>
          <cell r="CD33" t="b">
            <v>0</v>
          </cell>
          <cell r="CE33">
            <v>12</v>
          </cell>
          <cell r="CF33" t="str">
            <v/>
          </cell>
        </row>
        <row r="34">
          <cell r="A34" t="str">
            <v>Darkmantle</v>
          </cell>
          <cell r="D34" t="str">
            <v>Magical Beast</v>
          </cell>
          <cell r="N34" t="str">
            <v/>
          </cell>
          <cell r="BG34">
            <v>1</v>
          </cell>
          <cell r="BM34" t="str">
            <v>MM</v>
          </cell>
          <cell r="BN34">
            <v>38</v>
          </cell>
          <cell r="BP34" t="b">
            <v>1</v>
          </cell>
          <cell r="BQ34" t="b">
            <v>0</v>
          </cell>
          <cell r="BR34" t="b">
            <v>0</v>
          </cell>
          <cell r="BS34">
            <v>6</v>
          </cell>
          <cell r="BT34" t="str">
            <v/>
          </cell>
          <cell r="BV34" t="b">
            <v>0</v>
          </cell>
          <cell r="BW34">
            <v>8</v>
          </cell>
          <cell r="BX34" t="str">
            <v/>
          </cell>
          <cell r="BY34" t="b">
            <v>0</v>
          </cell>
          <cell r="BZ34" t="b">
            <v>0</v>
          </cell>
          <cell r="CA34">
            <v>14</v>
          </cell>
          <cell r="CB34" t="str">
            <v>Snake, Medium Viper</v>
          </cell>
          <cell r="CD34" t="b">
            <v>0</v>
          </cell>
          <cell r="CE34">
            <v>12</v>
          </cell>
          <cell r="CF34" t="str">
            <v/>
          </cell>
        </row>
        <row r="35">
          <cell r="A35" t="str">
            <v>Deathfang</v>
          </cell>
          <cell r="C35" t="str">
            <v>Small</v>
          </cell>
          <cell r="D35" t="str">
            <v>Magical Beast</v>
          </cell>
          <cell r="F35">
            <v>1</v>
          </cell>
          <cell r="G35">
            <v>20</v>
          </cell>
          <cell r="I35">
            <v>20</v>
          </cell>
          <cell r="J35">
            <v>20</v>
          </cell>
          <cell r="K35" t="str">
            <v>avg</v>
          </cell>
          <cell r="M35">
            <v>3</v>
          </cell>
          <cell r="N35" t="str">
            <v>Bite;</v>
          </cell>
          <cell r="O35" t="str">
            <v>1d3;</v>
          </cell>
          <cell r="AA35">
            <v>6</v>
          </cell>
          <cell r="AB35">
            <v>17</v>
          </cell>
          <cell r="AC35" t="str">
            <v>-</v>
          </cell>
          <cell r="AD35">
            <v>1</v>
          </cell>
          <cell r="AE35">
            <v>12</v>
          </cell>
          <cell r="AF35">
            <v>2</v>
          </cell>
          <cell r="AG35" t="str">
            <v>0;8</v>
          </cell>
          <cell r="AH35" t="str">
            <v>0;0</v>
          </cell>
          <cell r="AI35" t="str">
            <v>1;8</v>
          </cell>
          <cell r="AJ35" t="str">
            <v>0;0</v>
          </cell>
          <cell r="AK35" t="str">
            <v>0;0</v>
          </cell>
          <cell r="AL35" t="str">
            <v>1;8</v>
          </cell>
          <cell r="AN35" t="str">
            <v>0;0</v>
          </cell>
          <cell r="AO35" t="str">
            <v>0;-6</v>
          </cell>
          <cell r="AP35" t="str">
            <v>1;6</v>
          </cell>
          <cell r="AQ35" t="str">
            <v>0;0</v>
          </cell>
          <cell r="AR35" t="str">
            <v>0;0</v>
          </cell>
          <cell r="AS35" t="str">
            <v>0;0</v>
          </cell>
          <cell r="AT35" t="str">
            <v>0;0</v>
          </cell>
          <cell r="AU35" t="str">
            <v>1;6</v>
          </cell>
          <cell r="AV35" t="str">
            <v>0;0</v>
          </cell>
          <cell r="AW35" t="str">
            <v>0;0</v>
          </cell>
          <cell r="AX35" t="str">
            <v>Alertness;Weapon Finesse;</v>
          </cell>
          <cell r="BB35" t="str">
            <v>Neutral Evil</v>
          </cell>
          <cell r="BD35" t="str">
            <v>Chilling Bite;Improved Grab;Constrict;Undead</v>
          </cell>
          <cell r="BF35">
            <v>9</v>
          </cell>
          <cell r="BH35" t="str">
            <v>Improved</v>
          </cell>
          <cell r="BM35" t="str">
            <v>RoF</v>
          </cell>
          <cell r="BO35" t="str">
            <v>PGtF</v>
          </cell>
          <cell r="BP35" t="b">
            <v>0</v>
          </cell>
          <cell r="BQ35" t="b">
            <v>0</v>
          </cell>
          <cell r="BR35" t="b">
            <v>0</v>
          </cell>
          <cell r="BS35">
            <v>6</v>
          </cell>
          <cell r="BT35" t="str">
            <v/>
          </cell>
          <cell r="BU35" t="b">
            <v>0</v>
          </cell>
          <cell r="BV35" t="b">
            <v>0</v>
          </cell>
          <cell r="BW35">
            <v>8</v>
          </cell>
          <cell r="BX35" t="str">
            <v/>
          </cell>
          <cell r="BZ35" t="b">
            <v>0</v>
          </cell>
          <cell r="CA35">
            <v>14</v>
          </cell>
          <cell r="CB35" t="str">
            <v>Snake, Small Viper</v>
          </cell>
          <cell r="CD35" t="b">
            <v>0</v>
          </cell>
          <cell r="CE35">
            <v>12</v>
          </cell>
          <cell r="CF35" t="str">
            <v/>
          </cell>
        </row>
        <row r="36">
          <cell r="A36" t="str">
            <v>Deinonychus</v>
          </cell>
          <cell r="C36" t="str">
            <v>Medium</v>
          </cell>
          <cell r="D36" t="str">
            <v>Animal</v>
          </cell>
          <cell r="F36">
            <v>4</v>
          </cell>
          <cell r="G36">
            <v>60</v>
          </cell>
          <cell r="M36">
            <v>5</v>
          </cell>
          <cell r="N36" t="str">
            <v>Talons+6+0+1,2 Foreclaws+3+0+0,Bite+9+0+0</v>
          </cell>
          <cell r="S36" t="str">
            <v>normal</v>
          </cell>
          <cell r="AA36">
            <v>19</v>
          </cell>
          <cell r="AB36">
            <v>15</v>
          </cell>
          <cell r="AC36">
            <v>19</v>
          </cell>
          <cell r="AD36">
            <v>2</v>
          </cell>
          <cell r="AE36">
            <v>12</v>
          </cell>
          <cell r="AF36">
            <v>10</v>
          </cell>
          <cell r="BG36">
            <v>7</v>
          </cell>
          <cell r="BL36" t="str">
            <v>Dinosaur</v>
          </cell>
          <cell r="BM36" t="str">
            <v>MM</v>
          </cell>
          <cell r="BN36">
            <v>60</v>
          </cell>
          <cell r="BP36" t="b">
            <v>1</v>
          </cell>
          <cell r="BQ36" t="b">
            <v>0</v>
          </cell>
          <cell r="BR36" t="b">
            <v>0</v>
          </cell>
          <cell r="BS36">
            <v>6</v>
          </cell>
          <cell r="BT36" t="str">
            <v/>
          </cell>
          <cell r="BV36" t="b">
            <v>0</v>
          </cell>
          <cell r="BW36">
            <v>8</v>
          </cell>
          <cell r="BX36" t="str">
            <v/>
          </cell>
          <cell r="BY36" t="b">
            <v>1</v>
          </cell>
          <cell r="BZ36" t="b">
            <v>0</v>
          </cell>
          <cell r="CA36">
            <v>14</v>
          </cell>
          <cell r="CB36" t="str">
            <v>Squid</v>
          </cell>
          <cell r="CD36" t="b">
            <v>1</v>
          </cell>
          <cell r="CE36">
            <v>13</v>
          </cell>
          <cell r="CF36" t="str">
            <v/>
          </cell>
        </row>
        <row r="37">
          <cell r="A37" t="str">
            <v>Digester</v>
          </cell>
          <cell r="D37" t="str">
            <v>Magical Beast</v>
          </cell>
          <cell r="N37" t="str">
            <v/>
          </cell>
          <cell r="BG37">
            <v>10</v>
          </cell>
          <cell r="BM37" t="str">
            <v>MM</v>
          </cell>
          <cell r="BN37">
            <v>59</v>
          </cell>
          <cell r="BP37" t="b">
            <v>1</v>
          </cell>
          <cell r="BQ37" t="b">
            <v>0</v>
          </cell>
          <cell r="BR37" t="b">
            <v>0</v>
          </cell>
          <cell r="BS37">
            <v>6</v>
          </cell>
          <cell r="BT37" t="str">
            <v/>
          </cell>
          <cell r="BV37" t="b">
            <v>0</v>
          </cell>
          <cell r="BW37">
            <v>8</v>
          </cell>
          <cell r="BX37" t="str">
            <v/>
          </cell>
          <cell r="BY37" t="b">
            <v>0</v>
          </cell>
          <cell r="BZ37" t="b">
            <v>0</v>
          </cell>
          <cell r="CA37">
            <v>14</v>
          </cell>
          <cell r="CB37" t="str">
            <v>Wolf</v>
          </cell>
          <cell r="CD37" t="b">
            <v>0</v>
          </cell>
          <cell r="CE37">
            <v>13</v>
          </cell>
          <cell r="CF37" t="str">
            <v/>
          </cell>
        </row>
        <row r="38">
          <cell r="A38" t="str">
            <v>Dire Ape</v>
          </cell>
          <cell r="C38" t="str">
            <v>Large</v>
          </cell>
          <cell r="D38" t="str">
            <v>Animal</v>
          </cell>
          <cell r="F38">
            <v>5</v>
          </cell>
          <cell r="G38">
            <v>30</v>
          </cell>
          <cell r="I38">
            <v>15</v>
          </cell>
          <cell r="M38">
            <v>4</v>
          </cell>
          <cell r="N38" t="str">
            <v>2 Claws+4+0+1,Bite+5+0+0</v>
          </cell>
          <cell r="S38" t="str">
            <v>normal</v>
          </cell>
          <cell r="AA38">
            <v>22</v>
          </cell>
          <cell r="AB38">
            <v>15</v>
          </cell>
          <cell r="AC38">
            <v>14</v>
          </cell>
          <cell r="AD38">
            <v>2</v>
          </cell>
          <cell r="AE38">
            <v>12</v>
          </cell>
          <cell r="AF38">
            <v>7</v>
          </cell>
          <cell r="BG38">
            <v>7</v>
          </cell>
          <cell r="BL38" t="str">
            <v>Dire Animal</v>
          </cell>
          <cell r="BM38" t="str">
            <v>MM</v>
          </cell>
          <cell r="BN38">
            <v>62</v>
          </cell>
          <cell r="BP38" t="b">
            <v>1</v>
          </cell>
          <cell r="BQ38" t="b">
            <v>0</v>
          </cell>
          <cell r="BR38" t="b">
            <v>0</v>
          </cell>
          <cell r="BS38">
            <v>6</v>
          </cell>
          <cell r="BT38" t="str">
            <v/>
          </cell>
          <cell r="BV38" t="b">
            <v>0</v>
          </cell>
          <cell r="BW38">
            <v>8</v>
          </cell>
          <cell r="BX38" t="str">
            <v/>
          </cell>
          <cell r="BY38" t="b">
            <v>1</v>
          </cell>
          <cell r="BZ38" t="b">
            <v>0</v>
          </cell>
          <cell r="CA38">
            <v>14</v>
          </cell>
          <cell r="CB38" t="str">
            <v>Wolverine</v>
          </cell>
          <cell r="CD38" t="b">
            <v>0</v>
          </cell>
          <cell r="CE38">
            <v>13</v>
          </cell>
          <cell r="CF38" t="str">
            <v/>
          </cell>
        </row>
        <row r="39">
          <cell r="A39" t="str">
            <v>Dire Badger</v>
          </cell>
          <cell r="C39" t="str">
            <v>Medium</v>
          </cell>
          <cell r="D39" t="str">
            <v>Animal</v>
          </cell>
          <cell r="F39">
            <v>3</v>
          </cell>
          <cell r="G39">
            <v>30</v>
          </cell>
          <cell r="H39">
            <v>10</v>
          </cell>
          <cell r="M39">
            <v>3</v>
          </cell>
          <cell r="N39" t="str">
            <v>2 Claws+4+0+1,Bite+5+0+0</v>
          </cell>
          <cell r="S39" t="str">
            <v>normal</v>
          </cell>
          <cell r="AA39">
            <v>14</v>
          </cell>
          <cell r="AB39">
            <v>17</v>
          </cell>
          <cell r="AC39">
            <v>19</v>
          </cell>
          <cell r="AD39">
            <v>2</v>
          </cell>
          <cell r="AE39">
            <v>12</v>
          </cell>
          <cell r="AF39">
            <v>10</v>
          </cell>
          <cell r="BG39">
            <v>4</v>
          </cell>
          <cell r="BL39" t="str">
            <v>Dire Animal</v>
          </cell>
          <cell r="BM39" t="str">
            <v>MM</v>
          </cell>
          <cell r="BN39">
            <v>62</v>
          </cell>
          <cell r="BP39" t="b">
            <v>1</v>
          </cell>
          <cell r="BQ39" t="b">
            <v>0</v>
          </cell>
          <cell r="BR39" t="b">
            <v>0</v>
          </cell>
          <cell r="BS39">
            <v>6</v>
          </cell>
          <cell r="BT39" t="str">
            <v/>
          </cell>
          <cell r="BV39" t="b">
            <v>0</v>
          </cell>
          <cell r="BW39">
            <v>8</v>
          </cell>
          <cell r="BX39" t="str">
            <v/>
          </cell>
          <cell r="BY39" t="b">
            <v>1</v>
          </cell>
          <cell r="BZ39" t="b">
            <v>1</v>
          </cell>
          <cell r="CA39">
            <v>15</v>
          </cell>
          <cell r="CB39" t="str">
            <v/>
          </cell>
          <cell r="CD39" t="b">
            <v>1</v>
          </cell>
          <cell r="CE39">
            <v>14</v>
          </cell>
          <cell r="CF39" t="str">
            <v/>
          </cell>
        </row>
        <row r="40">
          <cell r="A40" t="str">
            <v>Dire Bat</v>
          </cell>
          <cell r="C40" t="str">
            <v>Large</v>
          </cell>
          <cell r="D40" t="str">
            <v>Animal</v>
          </cell>
          <cell r="F40">
            <v>4</v>
          </cell>
          <cell r="G40">
            <v>20</v>
          </cell>
          <cell r="J40">
            <v>40</v>
          </cell>
          <cell r="K40" t="str">
            <v>good</v>
          </cell>
          <cell r="M40">
            <v>5</v>
          </cell>
          <cell r="N40" t="str">
            <v>Bite+5+0+2</v>
          </cell>
          <cell r="S40" t="str">
            <v>normal</v>
          </cell>
          <cell r="AA40">
            <v>17</v>
          </cell>
          <cell r="AB40">
            <v>22</v>
          </cell>
          <cell r="AC40">
            <v>17</v>
          </cell>
          <cell r="AD40">
            <v>2</v>
          </cell>
          <cell r="AE40">
            <v>14</v>
          </cell>
          <cell r="AF40">
            <v>6</v>
          </cell>
          <cell r="BG40">
            <v>4</v>
          </cell>
          <cell r="BL40" t="str">
            <v>Dire Animal</v>
          </cell>
          <cell r="BM40" t="str">
            <v>MM</v>
          </cell>
          <cell r="BN40">
            <v>62</v>
          </cell>
          <cell r="BP40" t="b">
            <v>1</v>
          </cell>
          <cell r="BQ40" t="b">
            <v>0</v>
          </cell>
          <cell r="BR40" t="b">
            <v>0</v>
          </cell>
          <cell r="BS40">
            <v>6</v>
          </cell>
          <cell r="BT40" t="str">
            <v/>
          </cell>
          <cell r="BV40" t="b">
            <v>0</v>
          </cell>
          <cell r="BW40">
            <v>8</v>
          </cell>
          <cell r="BX40" t="str">
            <v/>
          </cell>
          <cell r="BY40" t="b">
            <v>1</v>
          </cell>
          <cell r="BZ40" t="b">
            <v>1</v>
          </cell>
          <cell r="CA40">
            <v>16</v>
          </cell>
          <cell r="CB40" t="str">
            <v/>
          </cell>
          <cell r="CD40" t="b">
            <v>0</v>
          </cell>
          <cell r="CE40">
            <v>14</v>
          </cell>
          <cell r="CF40" t="str">
            <v/>
          </cell>
        </row>
        <row r="41">
          <cell r="A41" t="str">
            <v>Dire Bear</v>
          </cell>
          <cell r="C41" t="str">
            <v>Large</v>
          </cell>
          <cell r="D41" t="str">
            <v>Animal</v>
          </cell>
          <cell r="F41">
            <v>12</v>
          </cell>
          <cell r="G41">
            <v>40</v>
          </cell>
          <cell r="M41">
            <v>7</v>
          </cell>
          <cell r="N41" t="str">
            <v>2 Claws+15+0+1,Bite+7+0+0</v>
          </cell>
          <cell r="S41" t="str">
            <v>normal</v>
          </cell>
          <cell r="AA41">
            <v>31</v>
          </cell>
          <cell r="AB41">
            <v>13</v>
          </cell>
          <cell r="AC41">
            <v>19</v>
          </cell>
          <cell r="AD41">
            <v>2</v>
          </cell>
          <cell r="AE41">
            <v>12</v>
          </cell>
          <cell r="AF41">
            <v>10</v>
          </cell>
          <cell r="BG41">
            <v>13</v>
          </cell>
          <cell r="BL41" t="str">
            <v>Dire Animal</v>
          </cell>
          <cell r="BM41" t="str">
            <v>MM</v>
          </cell>
          <cell r="BN41">
            <v>63</v>
          </cell>
          <cell r="BP41" t="b">
            <v>1</v>
          </cell>
          <cell r="BQ41" t="b">
            <v>0</v>
          </cell>
          <cell r="BR41" t="b">
            <v>0</v>
          </cell>
          <cell r="BS41">
            <v>6</v>
          </cell>
          <cell r="BT41" t="str">
            <v/>
          </cell>
          <cell r="BV41" t="b">
            <v>0</v>
          </cell>
          <cell r="BW41">
            <v>8</v>
          </cell>
          <cell r="BX41" t="str">
            <v/>
          </cell>
          <cell r="BY41" t="b">
            <v>1</v>
          </cell>
          <cell r="BZ41" t="b">
            <v>0</v>
          </cell>
          <cell r="CA41">
            <v>16</v>
          </cell>
          <cell r="CB41" t="str">
            <v/>
          </cell>
          <cell r="CD41" t="b">
            <v>0</v>
          </cell>
          <cell r="CE41">
            <v>14</v>
          </cell>
          <cell r="CF41" t="str">
            <v/>
          </cell>
        </row>
        <row r="42">
          <cell r="A42" t="str">
            <v>Dire Boar</v>
          </cell>
          <cell r="C42" t="str">
            <v>Large</v>
          </cell>
          <cell r="D42" t="str">
            <v>Animal</v>
          </cell>
          <cell r="F42">
            <v>7</v>
          </cell>
          <cell r="G42">
            <v>40</v>
          </cell>
          <cell r="M42">
            <v>6</v>
          </cell>
          <cell r="N42" t="str">
            <v>Gore+5+0+2</v>
          </cell>
          <cell r="S42" t="str">
            <v>normal</v>
          </cell>
          <cell r="AA42">
            <v>27</v>
          </cell>
          <cell r="AB42">
            <v>10</v>
          </cell>
          <cell r="AC42">
            <v>17</v>
          </cell>
          <cell r="AD42">
            <v>2</v>
          </cell>
          <cell r="AE42">
            <v>13</v>
          </cell>
          <cell r="AF42">
            <v>8</v>
          </cell>
          <cell r="AG42" t="str">
            <v>listen,spot</v>
          </cell>
          <cell r="BA42">
            <v>4</v>
          </cell>
          <cell r="BB42" t="str">
            <v>Neutral</v>
          </cell>
          <cell r="BG42">
            <v>7</v>
          </cell>
          <cell r="BL42" t="str">
            <v>Dire Animal</v>
          </cell>
          <cell r="BM42" t="str">
            <v>MM</v>
          </cell>
          <cell r="BN42">
            <v>63</v>
          </cell>
          <cell r="BP42" t="b">
            <v>1</v>
          </cell>
          <cell r="BQ42" t="b">
            <v>1</v>
          </cell>
          <cell r="BR42" t="b">
            <v>0</v>
          </cell>
          <cell r="BS42">
            <v>6</v>
          </cell>
          <cell r="BT42" t="str">
            <v/>
          </cell>
          <cell r="BV42" t="b">
            <v>0</v>
          </cell>
          <cell r="BW42">
            <v>8</v>
          </cell>
          <cell r="BX42" t="str">
            <v/>
          </cell>
          <cell r="BY42" t="b">
            <v>1</v>
          </cell>
          <cell r="BZ42" t="b">
            <v>0</v>
          </cell>
          <cell r="CA42">
            <v>16</v>
          </cell>
          <cell r="CB42" t="str">
            <v/>
          </cell>
          <cell r="CD42" t="b">
            <v>0</v>
          </cell>
          <cell r="CE42">
            <v>14</v>
          </cell>
          <cell r="CF42" t="str">
            <v/>
          </cell>
        </row>
        <row r="43">
          <cell r="A43" t="str">
            <v>Dire Bull</v>
          </cell>
          <cell r="C43" t="str">
            <v>Large</v>
          </cell>
          <cell r="D43" t="str">
            <v>Animal</v>
          </cell>
          <cell r="N43" t="str">
            <v/>
          </cell>
          <cell r="S43" t="str">
            <v>normal</v>
          </cell>
          <cell r="BG43">
            <v>10</v>
          </cell>
          <cell r="BL43" t="str">
            <v>Dire Animal</v>
          </cell>
          <cell r="BM43" t="str">
            <v>PGtA</v>
          </cell>
          <cell r="BP43" t="b">
            <v>0</v>
          </cell>
          <cell r="BQ43" t="b">
            <v>0</v>
          </cell>
          <cell r="BR43" t="b">
            <v>0</v>
          </cell>
          <cell r="BS43">
            <v>6</v>
          </cell>
          <cell r="BT43" t="str">
            <v/>
          </cell>
          <cell r="BV43" t="b">
            <v>0</v>
          </cell>
          <cell r="BW43">
            <v>8</v>
          </cell>
          <cell r="BX43" t="str">
            <v/>
          </cell>
          <cell r="BY43" t="b">
            <v>1</v>
          </cell>
          <cell r="BZ43" t="b">
            <v>0</v>
          </cell>
          <cell r="CA43">
            <v>16</v>
          </cell>
          <cell r="CB43" t="str">
            <v/>
          </cell>
          <cell r="CD43" t="b">
            <v>0</v>
          </cell>
          <cell r="CE43">
            <v>14</v>
          </cell>
          <cell r="CF43" t="str">
            <v/>
          </cell>
        </row>
        <row r="44">
          <cell r="A44" t="str">
            <v>Dire Lion</v>
          </cell>
          <cell r="C44" t="str">
            <v>Large</v>
          </cell>
          <cell r="D44" t="str">
            <v>Animal</v>
          </cell>
          <cell r="F44">
            <v>8</v>
          </cell>
          <cell r="G44">
            <v>40</v>
          </cell>
          <cell r="M44">
            <v>4</v>
          </cell>
          <cell r="N44" t="str">
            <v>2 Claws+4+0+1,Bite+5+0+0,Rake+4+0+0</v>
          </cell>
          <cell r="S44" t="str">
            <v>normal</v>
          </cell>
          <cell r="AA44">
            <v>25</v>
          </cell>
          <cell r="AB44">
            <v>15</v>
          </cell>
          <cell r="AC44">
            <v>17</v>
          </cell>
          <cell r="AD44">
            <v>2</v>
          </cell>
          <cell r="AE44">
            <v>12</v>
          </cell>
          <cell r="AF44">
            <v>10</v>
          </cell>
          <cell r="BG44">
            <v>10</v>
          </cell>
          <cell r="BL44" t="str">
            <v>Dire Animal</v>
          </cell>
          <cell r="BM44" t="str">
            <v>MM</v>
          </cell>
          <cell r="BN44">
            <v>63</v>
          </cell>
          <cell r="BP44" t="b">
            <v>1</v>
          </cell>
          <cell r="BQ44" t="b">
            <v>0</v>
          </cell>
          <cell r="BR44" t="b">
            <v>0</v>
          </cell>
          <cell r="BS44">
            <v>6</v>
          </cell>
          <cell r="BT44" t="str">
            <v/>
          </cell>
          <cell r="BV44" t="b">
            <v>0</v>
          </cell>
          <cell r="BW44">
            <v>8</v>
          </cell>
          <cell r="BX44" t="str">
            <v/>
          </cell>
          <cell r="BY44" t="b">
            <v>1</v>
          </cell>
          <cell r="BZ44" t="b">
            <v>0</v>
          </cell>
          <cell r="CA44">
            <v>16</v>
          </cell>
          <cell r="CB44" t="str">
            <v/>
          </cell>
          <cell r="CD44" t="b">
            <v>0</v>
          </cell>
          <cell r="CE44">
            <v>14</v>
          </cell>
          <cell r="CF44" t="str">
            <v/>
          </cell>
        </row>
        <row r="45">
          <cell r="A45" t="str">
            <v>Dire Ram</v>
          </cell>
          <cell r="C45" t="str">
            <v>Large</v>
          </cell>
          <cell r="D45" t="str">
            <v>Animal</v>
          </cell>
          <cell r="N45" t="str">
            <v/>
          </cell>
          <cell r="S45" t="str">
            <v>normal</v>
          </cell>
          <cell r="BG45">
            <v>7</v>
          </cell>
          <cell r="BL45" t="str">
            <v>Dire Animal</v>
          </cell>
          <cell r="BM45" t="str">
            <v>PGtA</v>
          </cell>
          <cell r="BP45" t="b">
            <v>0</v>
          </cell>
          <cell r="BQ45" t="b">
            <v>0</v>
          </cell>
          <cell r="BR45" t="b">
            <v>0</v>
          </cell>
          <cell r="BS45">
            <v>6</v>
          </cell>
          <cell r="BT45" t="str">
            <v/>
          </cell>
          <cell r="BV45" t="b">
            <v>0</v>
          </cell>
          <cell r="BW45">
            <v>8</v>
          </cell>
          <cell r="BX45" t="str">
            <v/>
          </cell>
          <cell r="BY45" t="b">
            <v>1</v>
          </cell>
          <cell r="BZ45" t="b">
            <v>0</v>
          </cell>
          <cell r="CA45">
            <v>16</v>
          </cell>
          <cell r="CB45" t="str">
            <v/>
          </cell>
          <cell r="CD45" t="b">
            <v>0</v>
          </cell>
          <cell r="CE45">
            <v>14</v>
          </cell>
          <cell r="CF45" t="str">
            <v/>
          </cell>
        </row>
        <row r="46">
          <cell r="A46" t="str">
            <v>Dire Rat</v>
          </cell>
          <cell r="C46" t="str">
            <v>Small</v>
          </cell>
          <cell r="D46" t="str">
            <v>Animal</v>
          </cell>
          <cell r="F46">
            <v>1</v>
          </cell>
          <cell r="G46">
            <v>40</v>
          </cell>
          <cell r="I46">
            <v>20</v>
          </cell>
          <cell r="M46">
            <v>1</v>
          </cell>
          <cell r="N46" t="str">
            <v>Bite+5+0+2</v>
          </cell>
          <cell r="S46" t="str">
            <v>normal</v>
          </cell>
          <cell r="AA46">
            <v>10</v>
          </cell>
          <cell r="AB46">
            <v>17</v>
          </cell>
          <cell r="AC46">
            <v>12</v>
          </cell>
          <cell r="AD46">
            <v>1</v>
          </cell>
          <cell r="AE46">
            <v>12</v>
          </cell>
          <cell r="AF46">
            <v>4</v>
          </cell>
          <cell r="AG46" t="str">
            <v>climb+8,hide,listen,move silently,spot,swim+8</v>
          </cell>
          <cell r="BA46">
            <v>2</v>
          </cell>
          <cell r="BB46" t="str">
            <v>Neutral</v>
          </cell>
          <cell r="BG46">
            <v>1</v>
          </cell>
          <cell r="BL46" t="str">
            <v>Dire Animal</v>
          </cell>
          <cell r="BM46" t="str">
            <v>MM</v>
          </cell>
          <cell r="BN46">
            <v>64</v>
          </cell>
          <cell r="BP46" t="b">
            <v>1</v>
          </cell>
          <cell r="BQ46" t="b">
            <v>1</v>
          </cell>
          <cell r="BR46" t="b">
            <v>0</v>
          </cell>
          <cell r="BS46">
            <v>6</v>
          </cell>
          <cell r="BT46" t="str">
            <v/>
          </cell>
          <cell r="BV46" t="b">
            <v>0</v>
          </cell>
          <cell r="BW46">
            <v>8</v>
          </cell>
          <cell r="BX46" t="str">
            <v/>
          </cell>
          <cell r="BY46" t="b">
            <v>1</v>
          </cell>
          <cell r="BZ46" t="b">
            <v>1</v>
          </cell>
          <cell r="CA46">
            <v>17</v>
          </cell>
          <cell r="CB46" t="str">
            <v/>
          </cell>
          <cell r="CD46" t="b">
            <v>1</v>
          </cell>
          <cell r="CE46">
            <v>15</v>
          </cell>
          <cell r="CF46" t="str">
            <v/>
          </cell>
        </row>
        <row r="47">
          <cell r="A47" t="str">
            <v>Dire Shark</v>
          </cell>
          <cell r="C47" t="str">
            <v>Huge</v>
          </cell>
          <cell r="D47" t="str">
            <v>Animal</v>
          </cell>
          <cell r="E47" t="str">
            <v>Aquatic</v>
          </cell>
          <cell r="F47">
            <v>18</v>
          </cell>
          <cell r="L47">
            <v>60</v>
          </cell>
          <cell r="M47">
            <v>7</v>
          </cell>
          <cell r="N47" t="str">
            <v>Bite+14+0+2</v>
          </cell>
          <cell r="S47" t="str">
            <v>normal</v>
          </cell>
          <cell r="AA47">
            <v>23</v>
          </cell>
          <cell r="AB47">
            <v>15</v>
          </cell>
          <cell r="AC47">
            <v>17</v>
          </cell>
          <cell r="AD47">
            <v>1</v>
          </cell>
          <cell r="AE47">
            <v>12</v>
          </cell>
          <cell r="AF47">
            <v>10</v>
          </cell>
          <cell r="BG47">
            <v>16</v>
          </cell>
          <cell r="BL47" t="str">
            <v>Dire Animal</v>
          </cell>
          <cell r="BM47" t="str">
            <v>MM</v>
          </cell>
          <cell r="BN47">
            <v>64</v>
          </cell>
          <cell r="BP47" t="b">
            <v>1</v>
          </cell>
          <cell r="BQ47" t="b">
            <v>0</v>
          </cell>
          <cell r="BR47" t="b">
            <v>0</v>
          </cell>
          <cell r="BS47">
            <v>6</v>
          </cell>
          <cell r="BT47" t="str">
            <v/>
          </cell>
          <cell r="BV47" t="b">
            <v>0</v>
          </cell>
          <cell r="BW47">
            <v>8</v>
          </cell>
          <cell r="BX47" t="str">
            <v/>
          </cell>
          <cell r="BY47" t="b">
            <v>1</v>
          </cell>
          <cell r="BZ47" t="b">
            <v>0</v>
          </cell>
          <cell r="CA47">
            <v>17</v>
          </cell>
          <cell r="CB47" t="str">
            <v/>
          </cell>
          <cell r="CD47" t="b">
            <v>0</v>
          </cell>
          <cell r="CE47">
            <v>15</v>
          </cell>
          <cell r="CF47" t="str">
            <v/>
          </cell>
        </row>
        <row r="48">
          <cell r="A48" t="str">
            <v>Dire Tiger</v>
          </cell>
          <cell r="C48" t="str">
            <v>Large</v>
          </cell>
          <cell r="D48" t="str">
            <v>Animal</v>
          </cell>
          <cell r="F48">
            <v>16</v>
          </cell>
          <cell r="G48">
            <v>40</v>
          </cell>
          <cell r="M48">
            <v>6</v>
          </cell>
          <cell r="N48" t="str">
            <v>2 Claws+15+0+1,Bite+6+0+0,Rake+15+0+0</v>
          </cell>
          <cell r="S48" t="str">
            <v>normal</v>
          </cell>
          <cell r="AA48">
            <v>25</v>
          </cell>
          <cell r="AB48">
            <v>15</v>
          </cell>
          <cell r="AC48">
            <v>17</v>
          </cell>
          <cell r="AD48">
            <v>2</v>
          </cell>
          <cell r="AE48">
            <v>12</v>
          </cell>
          <cell r="AF48">
            <v>10</v>
          </cell>
          <cell r="BG48">
            <v>16</v>
          </cell>
          <cell r="BL48" t="str">
            <v>Dire Animal</v>
          </cell>
          <cell r="BM48" t="str">
            <v>MM</v>
          </cell>
          <cell r="BN48">
            <v>65</v>
          </cell>
          <cell r="BP48" t="b">
            <v>1</v>
          </cell>
          <cell r="BQ48" t="b">
            <v>0</v>
          </cell>
          <cell r="BR48" t="b">
            <v>0</v>
          </cell>
          <cell r="BS48">
            <v>6</v>
          </cell>
          <cell r="BT48" t="str">
            <v/>
          </cell>
          <cell r="BV48" t="b">
            <v>0</v>
          </cell>
          <cell r="BW48">
            <v>8</v>
          </cell>
          <cell r="BX48" t="str">
            <v/>
          </cell>
          <cell r="BY48" t="b">
            <v>1</v>
          </cell>
          <cell r="BZ48" t="b">
            <v>0</v>
          </cell>
          <cell r="CA48">
            <v>17</v>
          </cell>
          <cell r="CB48" t="str">
            <v/>
          </cell>
          <cell r="CD48" t="b">
            <v>0</v>
          </cell>
          <cell r="CE48">
            <v>15</v>
          </cell>
          <cell r="CF48" t="str">
            <v/>
          </cell>
        </row>
        <row r="49">
          <cell r="A49" t="str">
            <v>Dire Weasel</v>
          </cell>
          <cell r="C49" t="str">
            <v>Medium</v>
          </cell>
          <cell r="D49" t="str">
            <v>Animal</v>
          </cell>
          <cell r="F49">
            <v>3</v>
          </cell>
          <cell r="G49">
            <v>40</v>
          </cell>
          <cell r="M49">
            <v>2</v>
          </cell>
          <cell r="N49" t="str">
            <v>Bite+5+0+2</v>
          </cell>
          <cell r="S49" t="str">
            <v>normal</v>
          </cell>
          <cell r="AA49">
            <v>14</v>
          </cell>
          <cell r="AB49">
            <v>19</v>
          </cell>
          <cell r="AC49">
            <v>10</v>
          </cell>
          <cell r="AD49">
            <v>2</v>
          </cell>
          <cell r="AE49">
            <v>12</v>
          </cell>
          <cell r="AF49">
            <v>11</v>
          </cell>
          <cell r="BG49">
            <v>4</v>
          </cell>
          <cell r="BL49" t="str">
            <v>Dire Animal</v>
          </cell>
          <cell r="BM49" t="str">
            <v>MM</v>
          </cell>
          <cell r="BN49">
            <v>65</v>
          </cell>
          <cell r="BP49" t="b">
            <v>1</v>
          </cell>
          <cell r="BQ49" t="b">
            <v>0</v>
          </cell>
          <cell r="BR49" t="b">
            <v>0</v>
          </cell>
          <cell r="BS49">
            <v>6</v>
          </cell>
          <cell r="BT49" t="str">
            <v/>
          </cell>
          <cell r="BV49" t="b">
            <v>0</v>
          </cell>
          <cell r="BW49">
            <v>8</v>
          </cell>
          <cell r="BX49" t="str">
            <v/>
          </cell>
          <cell r="BY49" t="b">
            <v>1</v>
          </cell>
          <cell r="BZ49" t="b">
            <v>1</v>
          </cell>
          <cell r="CA49">
            <v>18</v>
          </cell>
          <cell r="CB49" t="str">
            <v/>
          </cell>
          <cell r="CD49" t="b">
            <v>1</v>
          </cell>
          <cell r="CE49">
            <v>16</v>
          </cell>
          <cell r="CF49" t="str">
            <v/>
          </cell>
        </row>
        <row r="50">
          <cell r="A50" t="str">
            <v>Dire Wolf</v>
          </cell>
          <cell r="C50" t="str">
            <v>Large</v>
          </cell>
          <cell r="D50" t="str">
            <v>Animal</v>
          </cell>
          <cell r="F50">
            <v>6</v>
          </cell>
          <cell r="G50">
            <v>50</v>
          </cell>
          <cell r="M50">
            <v>3</v>
          </cell>
          <cell r="N50" t="str">
            <v>Bite+5+0+2</v>
          </cell>
          <cell r="S50" t="str">
            <v>normal</v>
          </cell>
          <cell r="AA50">
            <v>25</v>
          </cell>
          <cell r="AB50">
            <v>15</v>
          </cell>
          <cell r="AC50">
            <v>17</v>
          </cell>
          <cell r="AD50">
            <v>2</v>
          </cell>
          <cell r="AE50">
            <v>12</v>
          </cell>
          <cell r="AF50">
            <v>10</v>
          </cell>
          <cell r="BG50">
            <v>7</v>
          </cell>
          <cell r="BL50" t="str">
            <v>Dire Animal</v>
          </cell>
          <cell r="BM50" t="str">
            <v>MM</v>
          </cell>
          <cell r="BN50">
            <v>65</v>
          </cell>
          <cell r="BP50" t="b">
            <v>1</v>
          </cell>
          <cell r="BQ50" t="b">
            <v>0</v>
          </cell>
          <cell r="BR50" t="b">
            <v>0</v>
          </cell>
          <cell r="BS50">
            <v>6</v>
          </cell>
          <cell r="BT50" t="str">
            <v/>
          </cell>
          <cell r="BV50" t="b">
            <v>0</v>
          </cell>
          <cell r="BW50">
            <v>8</v>
          </cell>
          <cell r="BX50" t="str">
            <v/>
          </cell>
          <cell r="BY50" t="b">
            <v>1</v>
          </cell>
          <cell r="BZ50" t="b">
            <v>0</v>
          </cell>
          <cell r="CA50">
            <v>18</v>
          </cell>
          <cell r="CB50" t="str">
            <v/>
          </cell>
          <cell r="CD50" t="b">
            <v>0</v>
          </cell>
          <cell r="CE50">
            <v>16</v>
          </cell>
          <cell r="CF50" t="str">
            <v/>
          </cell>
        </row>
        <row r="51">
          <cell r="A51" t="str">
            <v>Dire Wolf Lizard</v>
          </cell>
          <cell r="N51" t="str">
            <v/>
          </cell>
          <cell r="S51" t="str">
            <v>normal</v>
          </cell>
          <cell r="BG51">
            <v>4</v>
          </cell>
          <cell r="BL51" t="str">
            <v>Dire Animal</v>
          </cell>
          <cell r="BM51" t="str">
            <v>PGtA</v>
          </cell>
          <cell r="BP51" t="b">
            <v>0</v>
          </cell>
          <cell r="BQ51" t="b">
            <v>0</v>
          </cell>
          <cell r="BR51" t="b">
            <v>0</v>
          </cell>
          <cell r="BS51">
            <v>6</v>
          </cell>
          <cell r="BT51" t="str">
            <v/>
          </cell>
          <cell r="BV51" t="b">
            <v>0</v>
          </cell>
          <cell r="BW51">
            <v>8</v>
          </cell>
          <cell r="BX51" t="str">
            <v/>
          </cell>
          <cell r="BY51" t="b">
            <v>1</v>
          </cell>
          <cell r="BZ51" t="b">
            <v>0</v>
          </cell>
          <cell r="CA51">
            <v>18</v>
          </cell>
          <cell r="CB51" t="str">
            <v/>
          </cell>
          <cell r="CD51" t="b">
            <v>0</v>
          </cell>
          <cell r="CE51">
            <v>16</v>
          </cell>
          <cell r="CF51" t="str">
            <v/>
          </cell>
        </row>
        <row r="52">
          <cell r="A52" t="str">
            <v>Dire Wolverine</v>
          </cell>
          <cell r="C52" t="str">
            <v>Large</v>
          </cell>
          <cell r="D52" t="str">
            <v>Animal</v>
          </cell>
          <cell r="F52">
            <v>5</v>
          </cell>
          <cell r="G52">
            <v>30</v>
          </cell>
          <cell r="I52">
            <v>10</v>
          </cell>
          <cell r="M52">
            <v>4</v>
          </cell>
          <cell r="N52" t="str">
            <v>2 Claws+4+0+1,Bite+5+0+0</v>
          </cell>
          <cell r="S52" t="str">
            <v>normal</v>
          </cell>
          <cell r="AA52">
            <v>22</v>
          </cell>
          <cell r="AB52">
            <v>17</v>
          </cell>
          <cell r="AC52">
            <v>19</v>
          </cell>
          <cell r="AD52">
            <v>2</v>
          </cell>
          <cell r="AE52">
            <v>12</v>
          </cell>
          <cell r="AF52">
            <v>10</v>
          </cell>
          <cell r="BG52">
            <v>7</v>
          </cell>
          <cell r="BL52" t="str">
            <v>Dire Animal</v>
          </cell>
          <cell r="BM52" t="str">
            <v>MM</v>
          </cell>
          <cell r="BN52">
            <v>66</v>
          </cell>
          <cell r="BP52" t="b">
            <v>1</v>
          </cell>
          <cell r="BQ52" t="b">
            <v>0</v>
          </cell>
          <cell r="BR52" t="b">
            <v>0</v>
          </cell>
          <cell r="BS52">
            <v>6</v>
          </cell>
          <cell r="BT52" t="str">
            <v/>
          </cell>
          <cell r="BV52" t="b">
            <v>0</v>
          </cell>
          <cell r="BW52">
            <v>8</v>
          </cell>
          <cell r="BX52" t="str">
            <v/>
          </cell>
          <cell r="BY52" t="b">
            <v>1</v>
          </cell>
          <cell r="BZ52" t="b">
            <v>0</v>
          </cell>
          <cell r="CA52">
            <v>18</v>
          </cell>
          <cell r="CB52" t="str">
            <v/>
          </cell>
          <cell r="CD52" t="b">
            <v>0</v>
          </cell>
          <cell r="CE52">
            <v>16</v>
          </cell>
          <cell r="CF52" t="str">
            <v/>
          </cell>
        </row>
        <row r="53">
          <cell r="A53" t="str">
            <v>Dog</v>
          </cell>
          <cell r="C53" t="str">
            <v>Small</v>
          </cell>
          <cell r="D53" t="str">
            <v>Animal</v>
          </cell>
          <cell r="F53">
            <v>1</v>
          </cell>
          <cell r="G53">
            <v>40</v>
          </cell>
          <cell r="M53">
            <v>1</v>
          </cell>
          <cell r="N53" t="str">
            <v>Bite+5+0+2</v>
          </cell>
          <cell r="S53" t="str">
            <v>normal</v>
          </cell>
          <cell r="AA53">
            <v>13</v>
          </cell>
          <cell r="AB53">
            <v>17</v>
          </cell>
          <cell r="AC53">
            <v>15</v>
          </cell>
          <cell r="AD53">
            <v>2</v>
          </cell>
          <cell r="AE53">
            <v>12</v>
          </cell>
          <cell r="AF53">
            <v>6</v>
          </cell>
          <cell r="BG53">
            <v>1</v>
          </cell>
          <cell r="BM53" t="str">
            <v>MM</v>
          </cell>
          <cell r="BN53">
            <v>271</v>
          </cell>
          <cell r="BP53" t="b">
            <v>1</v>
          </cell>
          <cell r="BQ53" t="b">
            <v>0</v>
          </cell>
          <cell r="BR53" t="b">
            <v>0</v>
          </cell>
          <cell r="BS53">
            <v>6</v>
          </cell>
          <cell r="BT53" t="str">
            <v/>
          </cell>
          <cell r="BV53" t="b">
            <v>0</v>
          </cell>
          <cell r="BW53">
            <v>8</v>
          </cell>
          <cell r="BX53" t="str">
            <v/>
          </cell>
          <cell r="BY53" t="b">
            <v>1</v>
          </cell>
          <cell r="BZ53" t="b">
            <v>1</v>
          </cell>
          <cell r="CA53">
            <v>19</v>
          </cell>
          <cell r="CB53" t="str">
            <v/>
          </cell>
          <cell r="CD53" t="b">
            <v>1</v>
          </cell>
          <cell r="CE53">
            <v>17</v>
          </cell>
          <cell r="CF53" t="str">
            <v/>
          </cell>
        </row>
        <row r="54">
          <cell r="A54" t="str">
            <v>Dog, Riding</v>
          </cell>
          <cell r="C54" t="str">
            <v>Medium</v>
          </cell>
          <cell r="D54" t="str">
            <v>Animal</v>
          </cell>
          <cell r="F54">
            <v>2</v>
          </cell>
          <cell r="G54">
            <v>40</v>
          </cell>
          <cell r="M54">
            <v>4</v>
          </cell>
          <cell r="N54" t="str">
            <v>Bite+5+0+2</v>
          </cell>
          <cell r="S54" t="str">
            <v>normal</v>
          </cell>
          <cell r="AA54">
            <v>15</v>
          </cell>
          <cell r="AB54">
            <v>15</v>
          </cell>
          <cell r="AC54">
            <v>15</v>
          </cell>
          <cell r="AD54">
            <v>2</v>
          </cell>
          <cell r="AE54">
            <v>12</v>
          </cell>
          <cell r="AF54">
            <v>6</v>
          </cell>
          <cell r="BG54">
            <v>1</v>
          </cell>
          <cell r="BM54" t="str">
            <v>MM</v>
          </cell>
          <cell r="BN54">
            <v>272</v>
          </cell>
          <cell r="BP54" t="b">
            <v>1</v>
          </cell>
          <cell r="BQ54" t="b">
            <v>0</v>
          </cell>
          <cell r="BR54" t="b">
            <v>0</v>
          </cell>
          <cell r="BS54">
            <v>6</v>
          </cell>
          <cell r="BT54" t="str">
            <v/>
          </cell>
          <cell r="BV54" t="b">
            <v>0</v>
          </cell>
          <cell r="BW54">
            <v>8</v>
          </cell>
          <cell r="BX54" t="str">
            <v/>
          </cell>
          <cell r="BY54" t="b">
            <v>1</v>
          </cell>
          <cell r="BZ54" t="b">
            <v>1</v>
          </cell>
          <cell r="CA54">
            <v>20</v>
          </cell>
          <cell r="CB54" t="str">
            <v/>
          </cell>
          <cell r="CD54" t="b">
            <v>1</v>
          </cell>
          <cell r="CE54">
            <v>18</v>
          </cell>
          <cell r="CF54" t="str">
            <v/>
          </cell>
        </row>
        <row r="55">
          <cell r="A55" t="str">
            <v>Dragon, Amethyst</v>
          </cell>
          <cell r="D55" t="str">
            <v>Dragon</v>
          </cell>
          <cell r="E55" t="str">
            <v>Earth</v>
          </cell>
          <cell r="N55" t="str">
            <v/>
          </cell>
          <cell r="P55" t="str">
            <v>Breath Weapon(Su): 30" line of force;</v>
          </cell>
          <cell r="U55" t="str">
            <v>poison</v>
          </cell>
          <cell r="AG55" t="str">
            <v>Diplomacy</v>
          </cell>
          <cell r="BB55" t="str">
            <v>Neutral</v>
          </cell>
          <cell r="BJ55" t="str">
            <v>color=lavender;</v>
          </cell>
          <cell r="BL55" t="str">
            <v>Gem</v>
          </cell>
          <cell r="BM55" t="str">
            <v>MM2</v>
          </cell>
          <cell r="BN55">
            <v>79</v>
          </cell>
          <cell r="BP55" t="b">
            <v>0</v>
          </cell>
          <cell r="BQ55" t="b">
            <v>0</v>
          </cell>
          <cell r="BR55" t="b">
            <v>0</v>
          </cell>
          <cell r="BS55">
            <v>6</v>
          </cell>
          <cell r="BT55" t="str">
            <v/>
          </cell>
          <cell r="BV55" t="b">
            <v>0</v>
          </cell>
          <cell r="BW55">
            <v>8</v>
          </cell>
          <cell r="BX55" t="str">
            <v/>
          </cell>
          <cell r="BZ55" t="b">
            <v>0</v>
          </cell>
          <cell r="CA55">
            <v>20</v>
          </cell>
          <cell r="CB55" t="str">
            <v/>
          </cell>
          <cell r="CD55" t="b">
            <v>0</v>
          </cell>
          <cell r="CE55">
            <v>18</v>
          </cell>
          <cell r="CF55" t="str">
            <v/>
          </cell>
        </row>
        <row r="56">
          <cell r="A56" t="str">
            <v>Dragon, Battle</v>
          </cell>
          <cell r="D56" t="str">
            <v>Dragon</v>
          </cell>
          <cell r="E56" t="str">
            <v>Extraplanar</v>
          </cell>
          <cell r="N56" t="str">
            <v/>
          </cell>
          <cell r="P56" t="str">
            <v>Breath Weapon(Su): 15" cone of sonic energy;</v>
          </cell>
          <cell r="U56" t="str">
            <v>sonic</v>
          </cell>
          <cell r="W56" t="str">
            <v>sonic</v>
          </cell>
          <cell r="AG56" t="str">
            <v>Perform (any)</v>
          </cell>
          <cell r="BB56" t="str">
            <v>Neutral Good</v>
          </cell>
          <cell r="BJ56" t="str">
            <v>color=brown;</v>
          </cell>
          <cell r="BL56" t="str">
            <v>Planar</v>
          </cell>
          <cell r="BM56" t="str">
            <v>Dr</v>
          </cell>
          <cell r="BN56">
            <v>176</v>
          </cell>
          <cell r="BP56" t="b">
            <v>0</v>
          </cell>
          <cell r="BQ56" t="b">
            <v>0</v>
          </cell>
          <cell r="BR56" t="b">
            <v>0</v>
          </cell>
          <cell r="BS56">
            <v>6</v>
          </cell>
          <cell r="BT56" t="str">
            <v/>
          </cell>
          <cell r="BV56" t="b">
            <v>0</v>
          </cell>
          <cell r="BW56">
            <v>8</v>
          </cell>
          <cell r="BX56" t="str">
            <v/>
          </cell>
          <cell r="BZ56" t="b">
            <v>0</v>
          </cell>
          <cell r="CA56">
            <v>20</v>
          </cell>
          <cell r="CB56" t="str">
            <v/>
          </cell>
          <cell r="CD56" t="b">
            <v>0</v>
          </cell>
          <cell r="CE56">
            <v>18</v>
          </cell>
          <cell r="CF56" t="str">
            <v/>
          </cell>
        </row>
        <row r="57">
          <cell r="A57" t="str">
            <v>Dragon, Black</v>
          </cell>
          <cell r="D57" t="str">
            <v>Dragon</v>
          </cell>
          <cell r="E57" t="str">
            <v>Water</v>
          </cell>
          <cell r="J57">
            <v>60</v>
          </cell>
          <cell r="M57">
            <v>7</v>
          </cell>
          <cell r="N57" t="str">
            <v/>
          </cell>
          <cell r="P57" t="str">
            <v>Breath Weapon(Su): 30" line of acid, 2d4, acid;</v>
          </cell>
          <cell r="U57" t="str">
            <v>acid</v>
          </cell>
          <cell r="W57" t="str">
            <v>acid</v>
          </cell>
          <cell r="AA57">
            <v>2</v>
          </cell>
          <cell r="AC57">
            <v>2</v>
          </cell>
          <cell r="AF57">
            <v>2</v>
          </cell>
          <cell r="AG57" t="str">
            <v>Hide</v>
          </cell>
          <cell r="BA57">
            <v>2</v>
          </cell>
          <cell r="BB57" t="str">
            <v>Chaotic Evil</v>
          </cell>
          <cell r="BC57">
            <v>2</v>
          </cell>
          <cell r="BF57">
            <v>8</v>
          </cell>
          <cell r="BH57" t="str">
            <v>Dragon</v>
          </cell>
          <cell r="BJ57" t="str">
            <v>color=black;DrShSkill=Hide, Move Silently, Swim;DrShAdaptation=Water Breathing (Ex);SpawnStr=2;SpawnCon=2;SpawnCha=2;SpawnCR=2;SpawnLA=2;</v>
          </cell>
          <cell r="BL57" t="str">
            <v>Chromatic</v>
          </cell>
          <cell r="BM57" t="str">
            <v>MM</v>
          </cell>
          <cell r="BN57">
            <v>70</v>
          </cell>
          <cell r="BP57" t="b">
            <v>1</v>
          </cell>
          <cell r="BQ57" t="b">
            <v>0</v>
          </cell>
          <cell r="BR57" t="b">
            <v>0</v>
          </cell>
          <cell r="BS57">
            <v>6</v>
          </cell>
          <cell r="BT57" t="str">
            <v/>
          </cell>
          <cell r="BU57" t="b">
            <v>0</v>
          </cell>
          <cell r="BV57" t="b">
            <v>0</v>
          </cell>
          <cell r="BW57">
            <v>8</v>
          </cell>
          <cell r="BX57" t="str">
            <v/>
          </cell>
          <cell r="BZ57" t="b">
            <v>0</v>
          </cell>
          <cell r="CA57">
            <v>20</v>
          </cell>
          <cell r="CB57" t="str">
            <v/>
          </cell>
          <cell r="CC57" t="b">
            <v>0</v>
          </cell>
          <cell r="CD57" t="b">
            <v>0</v>
          </cell>
          <cell r="CE57">
            <v>18</v>
          </cell>
          <cell r="CF57" t="str">
            <v/>
          </cell>
        </row>
        <row r="58">
          <cell r="A58" t="str">
            <v>Dragon, Blue</v>
          </cell>
          <cell r="D58" t="str">
            <v>Dragon</v>
          </cell>
          <cell r="E58" t="str">
            <v>Earth</v>
          </cell>
          <cell r="J58">
            <v>60</v>
          </cell>
          <cell r="M58">
            <v>7</v>
          </cell>
          <cell r="N58" t="str">
            <v/>
          </cell>
          <cell r="P58" t="str">
            <v>Breath Weapon(Su): 30" line of lightning, 2d8, electricity;</v>
          </cell>
          <cell r="U58" t="str">
            <v>electricity</v>
          </cell>
          <cell r="W58" t="str">
            <v>electricity</v>
          </cell>
          <cell r="AA58">
            <v>6</v>
          </cell>
          <cell r="AC58">
            <v>4</v>
          </cell>
          <cell r="AE58">
            <v>2</v>
          </cell>
          <cell r="AF58">
            <v>4</v>
          </cell>
          <cell r="AG58" t="str">
            <v>Hide</v>
          </cell>
          <cell r="BA58">
            <v>2</v>
          </cell>
          <cell r="BB58" t="str">
            <v>Lawful Evil</v>
          </cell>
          <cell r="BC58">
            <v>3</v>
          </cell>
          <cell r="BF58">
            <v>10</v>
          </cell>
          <cell r="BH58" t="str">
            <v>Dragon</v>
          </cell>
          <cell r="BJ58" t="str">
            <v>color=blue;DrShSkill=Bluff, Hide, Spellcraft;DrShAdaptation=Ventriloquism (Sp);SpawnStr=6;SpawnCon=4;SpawnWis=2;SpawnCha=4;SpawnCR=2;SpawnLA=3;</v>
          </cell>
          <cell r="BL58" t="str">
            <v>Chromatic</v>
          </cell>
          <cell r="BM58" t="str">
            <v>MM</v>
          </cell>
          <cell r="BN58">
            <v>72</v>
          </cell>
          <cell r="BP58" t="b">
            <v>1</v>
          </cell>
          <cell r="BQ58" t="b">
            <v>0</v>
          </cell>
          <cell r="BR58" t="b">
            <v>0</v>
          </cell>
          <cell r="BS58">
            <v>6</v>
          </cell>
          <cell r="BT58" t="str">
            <v/>
          </cell>
          <cell r="BU58" t="b">
            <v>0</v>
          </cell>
          <cell r="BV58" t="b">
            <v>0</v>
          </cell>
          <cell r="BW58">
            <v>8</v>
          </cell>
          <cell r="BX58" t="str">
            <v/>
          </cell>
          <cell r="BZ58" t="b">
            <v>0</v>
          </cell>
          <cell r="CA58">
            <v>20</v>
          </cell>
          <cell r="CB58" t="str">
            <v/>
          </cell>
          <cell r="CC58" t="b">
            <v>0</v>
          </cell>
          <cell r="CD58" t="b">
            <v>0</v>
          </cell>
          <cell r="CE58">
            <v>18</v>
          </cell>
          <cell r="CF58" t="str">
            <v/>
          </cell>
        </row>
        <row r="59">
          <cell r="A59" t="str">
            <v>Dragon, Brass</v>
          </cell>
          <cell r="D59" t="str">
            <v>Dragon</v>
          </cell>
          <cell r="N59" t="str">
            <v/>
          </cell>
          <cell r="P59" t="str">
            <v>Breath Weapon(Su): 30" line of fire, 1d6, fire;</v>
          </cell>
          <cell r="U59" t="str">
            <v>fire</v>
          </cell>
          <cell r="W59" t="str">
            <v>fire</v>
          </cell>
          <cell r="AG59" t="str">
            <v>Gather Information</v>
          </cell>
          <cell r="BB59" t="str">
            <v>Chaotic Good</v>
          </cell>
          <cell r="BF59">
            <v>9</v>
          </cell>
          <cell r="BH59" t="str">
            <v>Dragon</v>
          </cell>
          <cell r="BJ59" t="str">
            <v>color=brass;DrShSkill=Bluff, Gather Information, Survival;DrShAdaptation=Endure Elements (Sp);</v>
          </cell>
          <cell r="BL59" t="str">
            <v>Metallic</v>
          </cell>
          <cell r="BM59" t="str">
            <v>MM</v>
          </cell>
          <cell r="BN59">
            <v>79</v>
          </cell>
          <cell r="BP59" t="b">
            <v>1</v>
          </cell>
          <cell r="BQ59" t="b">
            <v>0</v>
          </cell>
          <cell r="BR59" t="b">
            <v>0</v>
          </cell>
          <cell r="BS59">
            <v>6</v>
          </cell>
          <cell r="BT59" t="str">
            <v/>
          </cell>
          <cell r="BU59" t="b">
            <v>0</v>
          </cell>
          <cell r="BV59" t="b">
            <v>0</v>
          </cell>
          <cell r="BW59">
            <v>8</v>
          </cell>
          <cell r="BX59" t="str">
            <v/>
          </cell>
          <cell r="BZ59" t="b">
            <v>0</v>
          </cell>
          <cell r="CA59">
            <v>20</v>
          </cell>
          <cell r="CB59" t="str">
            <v/>
          </cell>
          <cell r="CC59" t="b">
            <v>0</v>
          </cell>
          <cell r="CD59" t="b">
            <v>0</v>
          </cell>
          <cell r="CE59">
            <v>18</v>
          </cell>
          <cell r="CF59" t="str">
            <v/>
          </cell>
        </row>
        <row r="60">
          <cell r="A60" t="str">
            <v>Dragon, Bronze</v>
          </cell>
          <cell r="D60" t="str">
            <v>Dragon</v>
          </cell>
          <cell r="N60" t="str">
            <v/>
          </cell>
          <cell r="P60" t="str">
            <v>Breath Weapon(Su): 30" line of lightning, 2d6, electricity;</v>
          </cell>
          <cell r="U60" t="str">
            <v>electricity</v>
          </cell>
          <cell r="W60" t="str">
            <v>electricity</v>
          </cell>
          <cell r="AG60" t="str">
            <v>Survival</v>
          </cell>
          <cell r="BB60" t="str">
            <v>Lawful Good</v>
          </cell>
          <cell r="BF60">
            <v>11</v>
          </cell>
          <cell r="BH60" t="str">
            <v>Dragon</v>
          </cell>
          <cell r="BJ60" t="str">
            <v>color=bronze;DrShSkill=Disguise, Survival, Swim;DrShAdaptation=Water Breathing (Ex);</v>
          </cell>
          <cell r="BL60" t="str">
            <v>Metallic</v>
          </cell>
          <cell r="BM60" t="str">
            <v>MM</v>
          </cell>
          <cell r="BN60">
            <v>80</v>
          </cell>
          <cell r="BP60" t="b">
            <v>1</v>
          </cell>
          <cell r="BQ60" t="b">
            <v>0</v>
          </cell>
          <cell r="BR60" t="b">
            <v>0</v>
          </cell>
          <cell r="BS60">
            <v>6</v>
          </cell>
          <cell r="BT60" t="str">
            <v/>
          </cell>
          <cell r="BU60" t="b">
            <v>1</v>
          </cell>
          <cell r="BV60" t="b">
            <v>0</v>
          </cell>
          <cell r="BW60">
            <v>8</v>
          </cell>
          <cell r="BX60" t="str">
            <v/>
          </cell>
          <cell r="BZ60" t="b">
            <v>0</v>
          </cell>
          <cell r="CA60">
            <v>20</v>
          </cell>
          <cell r="CB60" t="str">
            <v/>
          </cell>
          <cell r="CC60" t="b">
            <v>0</v>
          </cell>
          <cell r="CD60" t="b">
            <v>0</v>
          </cell>
          <cell r="CE60">
            <v>18</v>
          </cell>
          <cell r="CF60" t="str">
            <v/>
          </cell>
        </row>
        <row r="61">
          <cell r="A61" t="str">
            <v>Dragon, Brown</v>
          </cell>
          <cell r="D61" t="str">
            <v>Dragon</v>
          </cell>
          <cell r="E61" t="str">
            <v>Earth</v>
          </cell>
          <cell r="N61" t="str">
            <v/>
          </cell>
          <cell r="P61" t="str">
            <v>Breath Weapon(Su): 30" line of acid;</v>
          </cell>
          <cell r="U61" t="str">
            <v>acid</v>
          </cell>
          <cell r="W61" t="str">
            <v>acid</v>
          </cell>
          <cell r="AG61" t="str">
            <v>Listen</v>
          </cell>
          <cell r="BB61" t="str">
            <v>Neutral Evil</v>
          </cell>
          <cell r="BJ61" t="str">
            <v>color=brown;</v>
          </cell>
          <cell r="BL61" t="str">
            <v>Faerunian</v>
          </cell>
          <cell r="BM61" t="str">
            <v>MoF</v>
          </cell>
          <cell r="BN61">
            <v>38</v>
          </cell>
          <cell r="BO61" t="str">
            <v>Dr</v>
          </cell>
          <cell r="BP61" t="b">
            <v>0</v>
          </cell>
          <cell r="BQ61" t="b">
            <v>0</v>
          </cell>
          <cell r="BR61" t="b">
            <v>0</v>
          </cell>
          <cell r="BS61">
            <v>6</v>
          </cell>
          <cell r="BT61" t="str">
            <v/>
          </cell>
          <cell r="BV61" t="b">
            <v>0</v>
          </cell>
          <cell r="BW61">
            <v>8</v>
          </cell>
          <cell r="BX61" t="str">
            <v/>
          </cell>
          <cell r="BZ61" t="b">
            <v>0</v>
          </cell>
          <cell r="CA61">
            <v>20</v>
          </cell>
          <cell r="CB61" t="str">
            <v/>
          </cell>
          <cell r="CD61" t="b">
            <v>0</v>
          </cell>
          <cell r="CE61">
            <v>18</v>
          </cell>
          <cell r="CF61" t="str">
            <v/>
          </cell>
        </row>
        <row r="62">
          <cell r="A62" t="str">
            <v>Dragon, Chaos</v>
          </cell>
          <cell r="D62" t="str">
            <v>Dragon</v>
          </cell>
          <cell r="E62" t="str">
            <v>Chaos,Extraplanar</v>
          </cell>
          <cell r="N62" t="str">
            <v/>
          </cell>
          <cell r="P62" t="str">
            <v>Breath Weapon(Su): 30" line of random energy;</v>
          </cell>
          <cell r="U62" t="str">
            <v>compulsion</v>
          </cell>
          <cell r="AG62" t="str">
            <v>Bluff</v>
          </cell>
          <cell r="BB62" t="str">
            <v>Chaotic</v>
          </cell>
          <cell r="BJ62" t="str">
            <v>color=;</v>
          </cell>
          <cell r="BL62" t="str">
            <v>Planar</v>
          </cell>
          <cell r="BM62" t="str">
            <v>Dr</v>
          </cell>
          <cell r="BN62">
            <v>177</v>
          </cell>
          <cell r="BP62" t="b">
            <v>0</v>
          </cell>
          <cell r="BQ62" t="b">
            <v>0</v>
          </cell>
          <cell r="BR62" t="b">
            <v>0</v>
          </cell>
          <cell r="BS62">
            <v>6</v>
          </cell>
          <cell r="BT62" t="str">
            <v/>
          </cell>
          <cell r="BV62" t="b">
            <v>0</v>
          </cell>
          <cell r="BW62">
            <v>8</v>
          </cell>
          <cell r="BX62" t="str">
            <v/>
          </cell>
          <cell r="BZ62" t="b">
            <v>0</v>
          </cell>
          <cell r="CA62">
            <v>20</v>
          </cell>
          <cell r="CB62" t="str">
            <v/>
          </cell>
          <cell r="CD62" t="b">
            <v>0</v>
          </cell>
          <cell r="CE62">
            <v>18</v>
          </cell>
          <cell r="CF62" t="str">
            <v/>
          </cell>
        </row>
        <row r="63">
          <cell r="A63" t="str">
            <v>Dragon, Chiang Lung</v>
          </cell>
          <cell r="D63" t="str">
            <v>Dragon</v>
          </cell>
          <cell r="N63" t="str">
            <v/>
          </cell>
          <cell r="P63" t="str">
            <v/>
          </cell>
          <cell r="U63" t="str">
            <v/>
          </cell>
          <cell r="AG63" t="str">
            <v>Swim</v>
          </cell>
          <cell r="BB63" t="str">
            <v>Lawful Neutral</v>
          </cell>
          <cell r="BJ63" t="str">
            <v>color=;</v>
          </cell>
          <cell r="BL63" t="str">
            <v>Lung</v>
          </cell>
          <cell r="BM63" t="str">
            <v>OA</v>
          </cell>
          <cell r="BN63">
            <v>155</v>
          </cell>
          <cell r="BP63" t="b">
            <v>0</v>
          </cell>
          <cell r="BQ63" t="b">
            <v>0</v>
          </cell>
          <cell r="BR63" t="b">
            <v>0</v>
          </cell>
          <cell r="BS63">
            <v>6</v>
          </cell>
          <cell r="BT63" t="str">
            <v/>
          </cell>
          <cell r="BV63" t="b">
            <v>0</v>
          </cell>
          <cell r="BW63">
            <v>8</v>
          </cell>
          <cell r="BX63" t="str">
            <v/>
          </cell>
          <cell r="BZ63" t="b">
            <v>0</v>
          </cell>
          <cell r="CA63">
            <v>20</v>
          </cell>
          <cell r="CB63" t="str">
            <v/>
          </cell>
          <cell r="CD63" t="b">
            <v>0</v>
          </cell>
          <cell r="CE63">
            <v>18</v>
          </cell>
          <cell r="CF63" t="str">
            <v/>
          </cell>
        </row>
        <row r="64">
          <cell r="A64" t="str">
            <v>Dragon, Chromium</v>
          </cell>
          <cell r="D64" t="str">
            <v>Dragon</v>
          </cell>
          <cell r="N64" t="str">
            <v/>
          </cell>
          <cell r="P64" t="str">
            <v>Breath Weapon(Su): 30" line of solid ice;</v>
          </cell>
          <cell r="U64" t="str">
            <v>cold</v>
          </cell>
          <cell r="W64" t="str">
            <v>cold</v>
          </cell>
          <cell r="BB64" t="str">
            <v>Lawful Evil</v>
          </cell>
          <cell r="BJ64" t="str">
            <v>color=chromium;</v>
          </cell>
          <cell r="BL64" t="str">
            <v>Ferreous</v>
          </cell>
          <cell r="BM64" t="str">
            <v>DMag</v>
          </cell>
          <cell r="BN64">
            <v>356</v>
          </cell>
          <cell r="BP64" t="b">
            <v>0</v>
          </cell>
          <cell r="BQ64" t="b">
            <v>0</v>
          </cell>
          <cell r="BR64" t="b">
            <v>0</v>
          </cell>
          <cell r="BS64">
            <v>6</v>
          </cell>
          <cell r="BT64" t="str">
            <v/>
          </cell>
          <cell r="BV64" t="b">
            <v>0</v>
          </cell>
          <cell r="BW64">
            <v>8</v>
          </cell>
          <cell r="BX64" t="str">
            <v/>
          </cell>
          <cell r="BZ64" t="b">
            <v>0</v>
          </cell>
          <cell r="CA64">
            <v>20</v>
          </cell>
          <cell r="CB64" t="str">
            <v/>
          </cell>
          <cell r="CD64" t="b">
            <v>0</v>
          </cell>
          <cell r="CE64">
            <v>18</v>
          </cell>
          <cell r="CF64" t="str">
            <v/>
          </cell>
        </row>
        <row r="65">
          <cell r="A65" t="str">
            <v>Dragon, Cobalt</v>
          </cell>
          <cell r="D65" t="str">
            <v>Dragon</v>
          </cell>
          <cell r="N65" t="str">
            <v/>
          </cell>
          <cell r="P65" t="str">
            <v>Breath Weapon(Su): 30" line of pulsing energy;</v>
          </cell>
          <cell r="U65" t="str">
            <v>force</v>
          </cell>
          <cell r="W65" t="str">
            <v>electricity</v>
          </cell>
          <cell r="BB65" t="str">
            <v>Lawful Evil</v>
          </cell>
          <cell r="BJ65" t="str">
            <v>color=;</v>
          </cell>
          <cell r="BL65" t="str">
            <v>Ferreous</v>
          </cell>
          <cell r="BM65" t="str">
            <v>DMag</v>
          </cell>
          <cell r="BN65">
            <v>356</v>
          </cell>
          <cell r="BP65" t="b">
            <v>0</v>
          </cell>
          <cell r="BQ65" t="b">
            <v>0</v>
          </cell>
          <cell r="BR65" t="b">
            <v>0</v>
          </cell>
          <cell r="BS65">
            <v>6</v>
          </cell>
          <cell r="BT65" t="str">
            <v/>
          </cell>
          <cell r="BV65" t="b">
            <v>0</v>
          </cell>
          <cell r="BW65">
            <v>8</v>
          </cell>
          <cell r="BX65" t="str">
            <v/>
          </cell>
          <cell r="BZ65" t="b">
            <v>0</v>
          </cell>
          <cell r="CA65">
            <v>20</v>
          </cell>
          <cell r="CB65" t="str">
            <v/>
          </cell>
          <cell r="CD65" t="b">
            <v>0</v>
          </cell>
          <cell r="CE65">
            <v>18</v>
          </cell>
          <cell r="CF65" t="str">
            <v/>
          </cell>
        </row>
        <row r="66">
          <cell r="A66" t="str">
            <v>Dragon, Copper</v>
          </cell>
          <cell r="D66" t="str">
            <v>Dragon</v>
          </cell>
          <cell r="N66" t="str">
            <v/>
          </cell>
          <cell r="P66" t="str">
            <v>Breath Weapon(Su): 30" line of acid, 2d4, acid;</v>
          </cell>
          <cell r="U66" t="str">
            <v>acid</v>
          </cell>
          <cell r="W66" t="str">
            <v>acid</v>
          </cell>
          <cell r="AG66" t="str">
            <v>Hide</v>
          </cell>
          <cell r="BB66" t="str">
            <v>Chaotic Good</v>
          </cell>
          <cell r="BF66">
            <v>10</v>
          </cell>
          <cell r="BH66" t="str">
            <v>Dragon</v>
          </cell>
          <cell r="BJ66" t="str">
            <v>color=copper;DrShSkill=Bluff, Hide, Jump;DrShAdaptation=Spider Climb (Sp);</v>
          </cell>
          <cell r="BL66" t="str">
            <v>Metallic</v>
          </cell>
          <cell r="BM66" t="str">
            <v>MM</v>
          </cell>
          <cell r="BN66">
            <v>82</v>
          </cell>
          <cell r="BP66" t="b">
            <v>1</v>
          </cell>
          <cell r="BQ66" t="b">
            <v>0</v>
          </cell>
          <cell r="BR66" t="b">
            <v>0</v>
          </cell>
          <cell r="BS66">
            <v>6</v>
          </cell>
          <cell r="BT66" t="str">
            <v/>
          </cell>
          <cell r="BU66" t="b">
            <v>0</v>
          </cell>
          <cell r="BV66" t="b">
            <v>0</v>
          </cell>
          <cell r="BW66">
            <v>8</v>
          </cell>
          <cell r="BX66" t="str">
            <v/>
          </cell>
          <cell r="BZ66" t="b">
            <v>0</v>
          </cell>
          <cell r="CA66">
            <v>20</v>
          </cell>
          <cell r="CB66" t="str">
            <v/>
          </cell>
          <cell r="CC66" t="b">
            <v>0</v>
          </cell>
          <cell r="CD66" t="b">
            <v>0</v>
          </cell>
          <cell r="CE66">
            <v>18</v>
          </cell>
          <cell r="CF66" t="str">
            <v/>
          </cell>
        </row>
        <row r="67">
          <cell r="A67" t="str">
            <v>Dragon, Crystal</v>
          </cell>
          <cell r="D67" t="str">
            <v>Dragon</v>
          </cell>
          <cell r="E67" t="str">
            <v>Air</v>
          </cell>
          <cell r="N67" t="str">
            <v/>
          </cell>
          <cell r="P67" t="str">
            <v>Breath Weapon(Su): 15" cone of light;</v>
          </cell>
          <cell r="U67" t="str">
            <v>cold</v>
          </cell>
          <cell r="W67" t="str">
            <v>cold</v>
          </cell>
          <cell r="AG67" t="str">
            <v>Diplomacy</v>
          </cell>
          <cell r="BB67" t="str">
            <v>Chaotic Neutral</v>
          </cell>
          <cell r="BJ67" t="str">
            <v>color=translucent;</v>
          </cell>
          <cell r="BL67" t="str">
            <v>Gem</v>
          </cell>
          <cell r="BM67" t="str">
            <v>MM2</v>
          </cell>
          <cell r="BN67">
            <v>81</v>
          </cell>
          <cell r="BP67" t="b">
            <v>0</v>
          </cell>
          <cell r="BQ67" t="b">
            <v>0</v>
          </cell>
          <cell r="BR67" t="b">
            <v>0</v>
          </cell>
          <cell r="BS67">
            <v>6</v>
          </cell>
          <cell r="BT67" t="str">
            <v/>
          </cell>
          <cell r="BV67" t="b">
            <v>0</v>
          </cell>
          <cell r="BW67">
            <v>8</v>
          </cell>
          <cell r="BX67" t="str">
            <v/>
          </cell>
          <cell r="BZ67" t="b">
            <v>0</v>
          </cell>
          <cell r="CA67">
            <v>20</v>
          </cell>
          <cell r="CB67" t="str">
            <v/>
          </cell>
          <cell r="CD67" t="b">
            <v>0</v>
          </cell>
          <cell r="CE67">
            <v>18</v>
          </cell>
          <cell r="CF67" t="str">
            <v/>
          </cell>
        </row>
        <row r="68">
          <cell r="A68" t="str">
            <v>Dragon, Deep</v>
          </cell>
          <cell r="D68" t="str">
            <v>Dragon</v>
          </cell>
          <cell r="E68" t="str">
            <v>Earth</v>
          </cell>
          <cell r="N68" t="str">
            <v/>
          </cell>
          <cell r="P68" t="str">
            <v>Breath Weapon(Su): 15" cone of acid gas;</v>
          </cell>
          <cell r="U68" t="str">
            <v>charm effects</v>
          </cell>
          <cell r="W68" t="str">
            <v>acid</v>
          </cell>
          <cell r="AG68" t="str">
            <v>Spot</v>
          </cell>
          <cell r="BB68" t="str">
            <v>Chaotic Evil</v>
          </cell>
          <cell r="BJ68" t="str">
            <v>color=purple;</v>
          </cell>
          <cell r="BL68" t="str">
            <v>Faerunian</v>
          </cell>
          <cell r="BM68" t="str">
            <v>MoF</v>
          </cell>
          <cell r="BN68">
            <v>40</v>
          </cell>
          <cell r="BP68" t="b">
            <v>0</v>
          </cell>
          <cell r="BQ68" t="b">
            <v>0</v>
          </cell>
          <cell r="BR68" t="b">
            <v>0</v>
          </cell>
          <cell r="BS68">
            <v>6</v>
          </cell>
          <cell r="BT68" t="str">
            <v/>
          </cell>
          <cell r="BV68" t="b">
            <v>0</v>
          </cell>
          <cell r="BW68">
            <v>8</v>
          </cell>
          <cell r="BX68" t="str">
            <v/>
          </cell>
          <cell r="BZ68" t="b">
            <v>0</v>
          </cell>
          <cell r="CA68">
            <v>20</v>
          </cell>
          <cell r="CB68" t="str">
            <v/>
          </cell>
          <cell r="CD68" t="b">
            <v>0</v>
          </cell>
          <cell r="CE68">
            <v>18</v>
          </cell>
          <cell r="CF68" t="str">
            <v/>
          </cell>
        </row>
        <row r="69">
          <cell r="A69" t="str">
            <v>Dragon, Emerald</v>
          </cell>
          <cell r="D69" t="str">
            <v>Dragon</v>
          </cell>
          <cell r="E69" t="str">
            <v>Air</v>
          </cell>
          <cell r="N69" t="str">
            <v/>
          </cell>
          <cell r="P69" t="str">
            <v>Breath Weapon(Su): 15" cone of sonic energy;</v>
          </cell>
          <cell r="U69" t="str">
            <v>sonic</v>
          </cell>
          <cell r="W69" t="str">
            <v>sonic</v>
          </cell>
          <cell r="AG69" t="str">
            <v>Knowledge (local)</v>
          </cell>
          <cell r="BB69" t="str">
            <v>Lawful Neutral</v>
          </cell>
          <cell r="BJ69" t="str">
            <v>color=green;</v>
          </cell>
          <cell r="BL69" t="str">
            <v>Gem</v>
          </cell>
          <cell r="BM69" t="str">
            <v>MM2</v>
          </cell>
          <cell r="BN69">
            <v>82</v>
          </cell>
          <cell r="BP69" t="b">
            <v>0</v>
          </cell>
          <cell r="BQ69" t="b">
            <v>0</v>
          </cell>
          <cell r="BR69" t="b">
            <v>0</v>
          </cell>
          <cell r="BS69">
            <v>6</v>
          </cell>
          <cell r="BT69" t="str">
            <v/>
          </cell>
          <cell r="BV69" t="b">
            <v>0</v>
          </cell>
          <cell r="BW69">
            <v>8</v>
          </cell>
          <cell r="BX69" t="str">
            <v/>
          </cell>
          <cell r="BZ69" t="b">
            <v>0</v>
          </cell>
          <cell r="CA69">
            <v>20</v>
          </cell>
          <cell r="CB69" t="str">
            <v/>
          </cell>
          <cell r="CD69" t="b">
            <v>0</v>
          </cell>
          <cell r="CE69">
            <v>18</v>
          </cell>
          <cell r="CF69" t="str">
            <v/>
          </cell>
        </row>
        <row r="70">
          <cell r="A70" t="str">
            <v>Dragon, Ethereal</v>
          </cell>
          <cell r="D70" t="str">
            <v>Dragon</v>
          </cell>
          <cell r="E70" t="str">
            <v>Extraplanar</v>
          </cell>
          <cell r="N70" t="str">
            <v/>
          </cell>
          <cell r="P70" t="str">
            <v>Breath Weapon(Su): 15" cone of force;</v>
          </cell>
          <cell r="U70" t="str">
            <v>force</v>
          </cell>
          <cell r="AG70" t="str">
            <v>Escape Artist</v>
          </cell>
          <cell r="BB70" t="str">
            <v>Neutral</v>
          </cell>
          <cell r="BJ70" t="str">
            <v>color=brown-grey;</v>
          </cell>
          <cell r="BL70" t="str">
            <v>Planar</v>
          </cell>
          <cell r="BM70" t="str">
            <v>Dr</v>
          </cell>
          <cell r="BN70">
            <v>179</v>
          </cell>
          <cell r="BP70" t="b">
            <v>0</v>
          </cell>
          <cell r="BQ70" t="b">
            <v>0</v>
          </cell>
          <cell r="BR70" t="b">
            <v>0</v>
          </cell>
          <cell r="BS70">
            <v>6</v>
          </cell>
          <cell r="BT70" t="str">
            <v/>
          </cell>
          <cell r="BV70" t="b">
            <v>0</v>
          </cell>
          <cell r="BW70">
            <v>8</v>
          </cell>
          <cell r="BX70" t="str">
            <v/>
          </cell>
          <cell r="BZ70" t="b">
            <v>0</v>
          </cell>
          <cell r="CA70">
            <v>20</v>
          </cell>
          <cell r="CB70" t="str">
            <v/>
          </cell>
          <cell r="CD70" t="b">
            <v>0</v>
          </cell>
          <cell r="CE70">
            <v>18</v>
          </cell>
          <cell r="CF70" t="str">
            <v/>
          </cell>
        </row>
        <row r="71">
          <cell r="A71" t="str">
            <v>Dragon, Fang</v>
          </cell>
          <cell r="D71" t="str">
            <v>Dragon</v>
          </cell>
          <cell r="E71" t="str">
            <v>Air</v>
          </cell>
          <cell r="N71" t="str">
            <v/>
          </cell>
          <cell r="P71" t="str">
            <v>Ability drain;</v>
          </cell>
          <cell r="U71" t="str">
            <v/>
          </cell>
          <cell r="AG71" t="str">
            <v>Listen</v>
          </cell>
          <cell r="BB71" t="str">
            <v>Chaotic Neutral</v>
          </cell>
          <cell r="BJ71" t="str">
            <v>color=grey;</v>
          </cell>
          <cell r="BL71" t="str">
            <v>Faerunian</v>
          </cell>
          <cell r="BM71" t="str">
            <v>MoF</v>
          </cell>
          <cell r="BN71">
            <v>159</v>
          </cell>
          <cell r="BO71" t="str">
            <v>Dr</v>
          </cell>
          <cell r="BP71" t="b">
            <v>0</v>
          </cell>
          <cell r="BQ71" t="b">
            <v>0</v>
          </cell>
          <cell r="BR71" t="b">
            <v>0</v>
          </cell>
          <cell r="BS71">
            <v>6</v>
          </cell>
          <cell r="BT71" t="str">
            <v/>
          </cell>
          <cell r="BV71" t="b">
            <v>0</v>
          </cell>
          <cell r="BW71">
            <v>8</v>
          </cell>
          <cell r="BX71" t="str">
            <v/>
          </cell>
          <cell r="BZ71" t="b">
            <v>0</v>
          </cell>
          <cell r="CA71">
            <v>20</v>
          </cell>
          <cell r="CB71" t="str">
            <v/>
          </cell>
          <cell r="CD71" t="b">
            <v>0</v>
          </cell>
          <cell r="CE71">
            <v>18</v>
          </cell>
          <cell r="CF71" t="str">
            <v/>
          </cell>
        </row>
        <row r="72">
          <cell r="A72" t="str">
            <v>Dragon, Force</v>
          </cell>
          <cell r="D72" t="str">
            <v>Dragon</v>
          </cell>
          <cell r="N72" t="str">
            <v/>
          </cell>
          <cell r="P72" t="str">
            <v>Breath Weapon(Su): 15" cone of force;</v>
          </cell>
          <cell r="U72" t="str">
            <v>force</v>
          </cell>
          <cell r="AG72" t="str">
            <v>Spot</v>
          </cell>
          <cell r="BB72" t="str">
            <v>Neutral</v>
          </cell>
          <cell r="BJ72" t="str">
            <v>color=;</v>
          </cell>
          <cell r="BL72" t="str">
            <v>Epic</v>
          </cell>
          <cell r="BM72" t="str">
            <v>ELH</v>
          </cell>
          <cell r="BP72" t="b">
            <v>1</v>
          </cell>
          <cell r="BQ72" t="b">
            <v>0</v>
          </cell>
          <cell r="BR72" t="b">
            <v>0</v>
          </cell>
          <cell r="BS72">
            <v>6</v>
          </cell>
          <cell r="BT72" t="str">
            <v/>
          </cell>
          <cell r="BV72" t="b">
            <v>0</v>
          </cell>
          <cell r="BW72">
            <v>8</v>
          </cell>
          <cell r="BX72" t="str">
            <v/>
          </cell>
          <cell r="BZ72" t="b">
            <v>0</v>
          </cell>
          <cell r="CA72">
            <v>20</v>
          </cell>
          <cell r="CB72" t="str">
            <v/>
          </cell>
          <cell r="CD72" t="b">
            <v>0</v>
          </cell>
          <cell r="CE72">
            <v>18</v>
          </cell>
          <cell r="CF72" t="str">
            <v/>
          </cell>
        </row>
        <row r="73">
          <cell r="A73" t="str">
            <v>Dragon, Gold</v>
          </cell>
          <cell r="D73" t="str">
            <v>Dragon</v>
          </cell>
          <cell r="N73" t="str">
            <v/>
          </cell>
          <cell r="P73" t="str">
            <v>Breath Weapon(Su): 15" cone of fire, 2d10, fire;</v>
          </cell>
          <cell r="U73" t="str">
            <v>fire</v>
          </cell>
          <cell r="W73" t="str">
            <v>fire</v>
          </cell>
          <cell r="AG73" t="str">
            <v>Heal</v>
          </cell>
          <cell r="BB73" t="str">
            <v>Lawful Good</v>
          </cell>
          <cell r="BF73">
            <v>14</v>
          </cell>
          <cell r="BH73" t="str">
            <v>Dragon</v>
          </cell>
          <cell r="BJ73" t="str">
            <v>color=gold;DrShSkill=Disguise, Heal, Swim;DrShAdaptation=Water Breathing (Ex);</v>
          </cell>
          <cell r="BL73" t="str">
            <v>Metallic</v>
          </cell>
          <cell r="BM73" t="str">
            <v>MM</v>
          </cell>
          <cell r="BN73">
            <v>84</v>
          </cell>
          <cell r="BP73" t="b">
            <v>1</v>
          </cell>
          <cell r="BQ73" t="b">
            <v>0</v>
          </cell>
          <cell r="BR73" t="b">
            <v>0</v>
          </cell>
          <cell r="BS73">
            <v>6</v>
          </cell>
          <cell r="BT73" t="str">
            <v/>
          </cell>
          <cell r="BU73" t="b">
            <v>1</v>
          </cell>
          <cell r="BV73" t="b">
            <v>0</v>
          </cell>
          <cell r="BW73">
            <v>8</v>
          </cell>
          <cell r="BX73" t="str">
            <v/>
          </cell>
          <cell r="BZ73" t="b">
            <v>0</v>
          </cell>
          <cell r="CA73">
            <v>20</v>
          </cell>
          <cell r="CB73" t="str">
            <v/>
          </cell>
          <cell r="CC73" t="b">
            <v>0</v>
          </cell>
          <cell r="CD73" t="b">
            <v>0</v>
          </cell>
          <cell r="CE73">
            <v>18</v>
          </cell>
          <cell r="CF73" t="str">
            <v/>
          </cell>
        </row>
        <row r="74">
          <cell r="A74" t="str">
            <v>Dragon, Green</v>
          </cell>
          <cell r="D74" t="str">
            <v>Dragon</v>
          </cell>
          <cell r="E74" t="str">
            <v>Air</v>
          </cell>
          <cell r="J74">
            <v>60</v>
          </cell>
          <cell r="M74">
            <v>7</v>
          </cell>
          <cell r="N74" t="str">
            <v/>
          </cell>
          <cell r="P74" t="str">
            <v>Breath Weapon(Su): 15" cone of acid gas, 2d6, acid;</v>
          </cell>
          <cell r="U74" t="str">
            <v>acid</v>
          </cell>
          <cell r="W74" t="str">
            <v>acid</v>
          </cell>
          <cell r="AA74">
            <v>2</v>
          </cell>
          <cell r="AC74">
            <v>2</v>
          </cell>
          <cell r="AF74">
            <v>2</v>
          </cell>
          <cell r="AG74" t="str">
            <v>Move Silently</v>
          </cell>
          <cell r="BA74">
            <v>2</v>
          </cell>
          <cell r="BB74" t="str">
            <v>Lawful Evil</v>
          </cell>
          <cell r="BC74">
            <v>2</v>
          </cell>
          <cell r="BF74">
            <v>9</v>
          </cell>
          <cell r="BH74" t="str">
            <v>Dragon</v>
          </cell>
          <cell r="BJ74" t="str">
            <v>color=green;DrShSkill=Bluff, Hide, Move Silently;DrShAdaptation=Water Breathing (Ex);SpawnStr=2;SpawnCon=2;SpawnCha=2;SpawnCR=2;SpawnLA=2;</v>
          </cell>
          <cell r="BL74" t="str">
            <v>Chromatic</v>
          </cell>
          <cell r="BM74" t="str">
            <v>MM</v>
          </cell>
          <cell r="BN74">
            <v>74</v>
          </cell>
          <cell r="BP74" t="b">
            <v>1</v>
          </cell>
          <cell r="BQ74" t="b">
            <v>0</v>
          </cell>
          <cell r="BR74" t="b">
            <v>0</v>
          </cell>
          <cell r="BS74">
            <v>6</v>
          </cell>
          <cell r="BT74" t="str">
            <v/>
          </cell>
          <cell r="BU74" t="b">
            <v>0</v>
          </cell>
          <cell r="BV74" t="b">
            <v>0</v>
          </cell>
          <cell r="BW74">
            <v>8</v>
          </cell>
          <cell r="BX74" t="str">
            <v/>
          </cell>
          <cell r="BZ74" t="b">
            <v>0</v>
          </cell>
          <cell r="CA74">
            <v>20</v>
          </cell>
          <cell r="CB74" t="str">
            <v/>
          </cell>
          <cell r="CC74" t="b">
            <v>0</v>
          </cell>
          <cell r="CD74" t="b">
            <v>0</v>
          </cell>
          <cell r="CE74">
            <v>18</v>
          </cell>
          <cell r="CF74" t="str">
            <v/>
          </cell>
        </row>
        <row r="75">
          <cell r="A75" t="str">
            <v>Dragon, Howling</v>
          </cell>
          <cell r="D75" t="str">
            <v>Dragon</v>
          </cell>
          <cell r="E75" t="str">
            <v>Extraplanar</v>
          </cell>
          <cell r="N75" t="str">
            <v/>
          </cell>
          <cell r="P75" t="str">
            <v>Breath Weapon(Su): 15" cone of sonic energy;</v>
          </cell>
          <cell r="U75" t="str">
            <v>sonic</v>
          </cell>
          <cell r="W75" t="str">
            <v>sonic</v>
          </cell>
          <cell r="AG75" t="str">
            <v>Survival</v>
          </cell>
          <cell r="BB75" t="str">
            <v>Chaotic Evil</v>
          </cell>
          <cell r="BJ75" t="str">
            <v>color=purple;</v>
          </cell>
          <cell r="BL75" t="str">
            <v>Planar</v>
          </cell>
          <cell r="BM75" t="str">
            <v>Dr</v>
          </cell>
          <cell r="BN75">
            <v>180</v>
          </cell>
          <cell r="BP75" t="b">
            <v>0</v>
          </cell>
          <cell r="BQ75" t="b">
            <v>0</v>
          </cell>
          <cell r="BR75" t="b">
            <v>0</v>
          </cell>
          <cell r="BS75">
            <v>6</v>
          </cell>
          <cell r="BT75" t="str">
            <v/>
          </cell>
          <cell r="BV75" t="b">
            <v>0</v>
          </cell>
          <cell r="BW75">
            <v>8</v>
          </cell>
          <cell r="BX75" t="str">
            <v/>
          </cell>
          <cell r="BZ75" t="b">
            <v>0</v>
          </cell>
          <cell r="CA75">
            <v>20</v>
          </cell>
          <cell r="CB75" t="str">
            <v/>
          </cell>
          <cell r="CD75" t="b">
            <v>0</v>
          </cell>
          <cell r="CE75">
            <v>18</v>
          </cell>
          <cell r="CF75" t="str">
            <v/>
          </cell>
        </row>
        <row r="76">
          <cell r="A76" t="str">
            <v>Dragon, Iron</v>
          </cell>
          <cell r="D76" t="str">
            <v>Dragon</v>
          </cell>
          <cell r="N76" t="str">
            <v/>
          </cell>
          <cell r="P76" t="str">
            <v>Breath Weapon(Su): 15" cone of superheated sparks;</v>
          </cell>
          <cell r="U76" t="str">
            <v>fire</v>
          </cell>
          <cell r="W76" t="str">
            <v>electricity</v>
          </cell>
          <cell r="BB76" t="str">
            <v>Lawful Neutral</v>
          </cell>
          <cell r="BJ76" t="str">
            <v>color=iron;</v>
          </cell>
          <cell r="BL76" t="str">
            <v>Ferreous</v>
          </cell>
          <cell r="BM76" t="str">
            <v>DMag</v>
          </cell>
          <cell r="BP76" t="b">
            <v>0</v>
          </cell>
          <cell r="BQ76" t="b">
            <v>0</v>
          </cell>
          <cell r="BR76" t="b">
            <v>0</v>
          </cell>
          <cell r="BS76">
            <v>6</v>
          </cell>
          <cell r="BT76" t="str">
            <v/>
          </cell>
          <cell r="BV76" t="b">
            <v>0</v>
          </cell>
          <cell r="BW76">
            <v>8</v>
          </cell>
          <cell r="BX76" t="str">
            <v/>
          </cell>
          <cell r="BZ76" t="b">
            <v>0</v>
          </cell>
          <cell r="CA76">
            <v>20</v>
          </cell>
          <cell r="CB76" t="str">
            <v/>
          </cell>
          <cell r="CD76" t="b">
            <v>0</v>
          </cell>
          <cell r="CE76">
            <v>18</v>
          </cell>
          <cell r="CF76" t="str">
            <v/>
          </cell>
        </row>
        <row r="77">
          <cell r="A77" t="str">
            <v>Dragon, Li Lung</v>
          </cell>
          <cell r="D77" t="str">
            <v>Dragon</v>
          </cell>
          <cell r="H77">
            <v>10</v>
          </cell>
          <cell r="N77" t="str">
            <v/>
          </cell>
          <cell r="P77" t="str">
            <v/>
          </cell>
          <cell r="U77" t="str">
            <v>earth</v>
          </cell>
          <cell r="AG77" t="str">
            <v>Hide</v>
          </cell>
          <cell r="BB77" t="str">
            <v>Neutral</v>
          </cell>
          <cell r="BJ77" t="str">
            <v>color=;</v>
          </cell>
          <cell r="BL77" t="str">
            <v>Lung</v>
          </cell>
          <cell r="BM77" t="str">
            <v>OA</v>
          </cell>
          <cell r="BN77">
            <v>156</v>
          </cell>
          <cell r="BP77" t="b">
            <v>0</v>
          </cell>
          <cell r="BQ77" t="b">
            <v>0</v>
          </cell>
          <cell r="BR77" t="b">
            <v>0</v>
          </cell>
          <cell r="BS77">
            <v>6</v>
          </cell>
          <cell r="BT77" t="str">
            <v/>
          </cell>
          <cell r="BV77" t="b">
            <v>0</v>
          </cell>
          <cell r="BW77">
            <v>8</v>
          </cell>
          <cell r="BX77" t="str">
            <v/>
          </cell>
          <cell r="BZ77" t="b">
            <v>0</v>
          </cell>
          <cell r="CA77">
            <v>20</v>
          </cell>
          <cell r="CB77" t="str">
            <v/>
          </cell>
          <cell r="CD77" t="b">
            <v>0</v>
          </cell>
          <cell r="CE77">
            <v>18</v>
          </cell>
          <cell r="CF77" t="str">
            <v/>
          </cell>
        </row>
        <row r="78">
          <cell r="A78" t="str">
            <v>Dragon, Lung Wang</v>
          </cell>
          <cell r="D78" t="str">
            <v>Dragon</v>
          </cell>
          <cell r="N78" t="str">
            <v/>
          </cell>
          <cell r="P78" t="str">
            <v>Breath Weapon(Su): 15" cone of steam;</v>
          </cell>
          <cell r="U78" t="str">
            <v>fire</v>
          </cell>
          <cell r="W78" t="str">
            <v>fire</v>
          </cell>
          <cell r="AG78" t="str">
            <v>Swim</v>
          </cell>
          <cell r="BB78" t="str">
            <v>Neutral</v>
          </cell>
          <cell r="BJ78" t="str">
            <v>color=;</v>
          </cell>
          <cell r="BL78" t="str">
            <v>Lung</v>
          </cell>
          <cell r="BM78" t="str">
            <v>OA</v>
          </cell>
          <cell r="BN78">
            <v>157</v>
          </cell>
          <cell r="BP78" t="b">
            <v>0</v>
          </cell>
          <cell r="BQ78" t="b">
            <v>0</v>
          </cell>
          <cell r="BR78" t="b">
            <v>0</v>
          </cell>
          <cell r="BS78">
            <v>6</v>
          </cell>
          <cell r="BT78" t="str">
            <v/>
          </cell>
          <cell r="BV78" t="b">
            <v>0</v>
          </cell>
          <cell r="BW78">
            <v>8</v>
          </cell>
          <cell r="BX78" t="str">
            <v/>
          </cell>
          <cell r="BZ78" t="b">
            <v>0</v>
          </cell>
          <cell r="CA78">
            <v>20</v>
          </cell>
          <cell r="CB78" t="str">
            <v/>
          </cell>
          <cell r="CD78" t="b">
            <v>0</v>
          </cell>
          <cell r="CE78">
            <v>18</v>
          </cell>
          <cell r="CF78" t="str">
            <v/>
          </cell>
        </row>
        <row r="79">
          <cell r="A79" t="str">
            <v>Dragon, Nickel</v>
          </cell>
          <cell r="D79" t="str">
            <v>Dragon</v>
          </cell>
          <cell r="N79" t="str">
            <v/>
          </cell>
          <cell r="P79" t="str">
            <v>Breath Weapon(Su): 15" cone of acid gas;</v>
          </cell>
          <cell r="U79" t="str">
            <v>acid</v>
          </cell>
          <cell r="W79" t="str">
            <v>acid</v>
          </cell>
          <cell r="BB79" t="str">
            <v>Lawful Evil</v>
          </cell>
          <cell r="BJ79" t="str">
            <v>color=nickel;</v>
          </cell>
          <cell r="BL79" t="str">
            <v>Ferreous</v>
          </cell>
          <cell r="BM79" t="str">
            <v>DMag</v>
          </cell>
          <cell r="BN79">
            <v>356</v>
          </cell>
          <cell r="BP79" t="b">
            <v>0</v>
          </cell>
          <cell r="BQ79" t="b">
            <v>0</v>
          </cell>
          <cell r="BR79" t="b">
            <v>0</v>
          </cell>
          <cell r="BS79">
            <v>6</v>
          </cell>
          <cell r="BT79" t="str">
            <v/>
          </cell>
          <cell r="BV79" t="b">
            <v>0</v>
          </cell>
          <cell r="BW79">
            <v>8</v>
          </cell>
          <cell r="BX79" t="str">
            <v/>
          </cell>
          <cell r="BZ79" t="b">
            <v>0</v>
          </cell>
          <cell r="CA79">
            <v>20</v>
          </cell>
          <cell r="CB79" t="str">
            <v/>
          </cell>
          <cell r="CD79" t="b">
            <v>0</v>
          </cell>
          <cell r="CE79">
            <v>18</v>
          </cell>
          <cell r="CF79" t="str">
            <v/>
          </cell>
        </row>
        <row r="80">
          <cell r="A80" t="str">
            <v>Dragon, Oceanus</v>
          </cell>
          <cell r="D80" t="str">
            <v>Dragon</v>
          </cell>
          <cell r="E80" t="str">
            <v>Aquatic,Extraplanar</v>
          </cell>
          <cell r="N80" t="str">
            <v/>
          </cell>
          <cell r="P80" t="str">
            <v>Breath Weapon(Su): 30" line of electricity;</v>
          </cell>
          <cell r="U80" t="str">
            <v>electricity</v>
          </cell>
          <cell r="W80" t="str">
            <v>electricity</v>
          </cell>
          <cell r="AG80" t="str">
            <v>Swim</v>
          </cell>
          <cell r="BB80" t="str">
            <v>Neutral Good</v>
          </cell>
          <cell r="BJ80" t="str">
            <v>color=;</v>
          </cell>
          <cell r="BL80" t="str">
            <v>Planar</v>
          </cell>
          <cell r="BM80" t="str">
            <v>Dr</v>
          </cell>
          <cell r="BN80">
            <v>181</v>
          </cell>
          <cell r="BP80" t="b">
            <v>0</v>
          </cell>
          <cell r="BQ80" t="b">
            <v>0</v>
          </cell>
          <cell r="BR80" t="b">
            <v>0</v>
          </cell>
          <cell r="BS80">
            <v>6</v>
          </cell>
          <cell r="BT80" t="str">
            <v/>
          </cell>
          <cell r="BV80" t="b">
            <v>0</v>
          </cell>
          <cell r="BW80">
            <v>8</v>
          </cell>
          <cell r="BX80" t="str">
            <v/>
          </cell>
          <cell r="BZ80" t="b">
            <v>0</v>
          </cell>
          <cell r="CA80">
            <v>20</v>
          </cell>
          <cell r="CB80" t="str">
            <v/>
          </cell>
          <cell r="CD80" t="b">
            <v>0</v>
          </cell>
          <cell r="CE80">
            <v>18</v>
          </cell>
          <cell r="CF80" t="str">
            <v/>
          </cell>
        </row>
        <row r="81">
          <cell r="A81" t="str">
            <v>Dragon, Pan Lung</v>
          </cell>
          <cell r="D81" t="str">
            <v>Dragon</v>
          </cell>
          <cell r="N81" t="str">
            <v/>
          </cell>
          <cell r="P81" t="str">
            <v/>
          </cell>
          <cell r="U81" t="str">
            <v/>
          </cell>
          <cell r="AG81" t="str">
            <v>Diplomacy</v>
          </cell>
          <cell r="BB81" t="str">
            <v>Neutral</v>
          </cell>
          <cell r="BJ81" t="str">
            <v>color=;</v>
          </cell>
          <cell r="BL81" t="str">
            <v>Lung</v>
          </cell>
          <cell r="BM81" t="str">
            <v>OA</v>
          </cell>
          <cell r="BN81">
            <v>158</v>
          </cell>
          <cell r="BP81" t="b">
            <v>0</v>
          </cell>
          <cell r="BQ81" t="b">
            <v>0</v>
          </cell>
          <cell r="BR81" t="b">
            <v>0</v>
          </cell>
          <cell r="BS81">
            <v>6</v>
          </cell>
          <cell r="BT81" t="str">
            <v/>
          </cell>
          <cell r="BV81" t="b">
            <v>0</v>
          </cell>
          <cell r="BW81">
            <v>8</v>
          </cell>
          <cell r="BX81" t="str">
            <v/>
          </cell>
          <cell r="BZ81" t="b">
            <v>0</v>
          </cell>
          <cell r="CA81">
            <v>20</v>
          </cell>
          <cell r="CB81" t="str">
            <v/>
          </cell>
          <cell r="CD81" t="b">
            <v>0</v>
          </cell>
          <cell r="CE81">
            <v>18</v>
          </cell>
          <cell r="CF81" t="str">
            <v/>
          </cell>
        </row>
        <row r="82">
          <cell r="A82" t="str">
            <v>Dragon, Platinum</v>
          </cell>
          <cell r="D82" t="str">
            <v>Dragon</v>
          </cell>
          <cell r="N82" t="str">
            <v/>
          </cell>
          <cell r="P82" t="str">
            <v/>
          </cell>
          <cell r="U82" t="str">
            <v>any one energy type</v>
          </cell>
          <cell r="W82" t="str">
            <v>any one energy type</v>
          </cell>
          <cell r="AG82" t="str">
            <v>Concentration</v>
          </cell>
          <cell r="BJ82" t="str">
            <v>color=platinum;</v>
          </cell>
          <cell r="BL82" t="str">
            <v>Ferreous</v>
          </cell>
          <cell r="BM82" t="str">
            <v>DMag</v>
          </cell>
          <cell r="BN82">
            <v>356</v>
          </cell>
          <cell r="BP82" t="b">
            <v>0</v>
          </cell>
          <cell r="BQ82" t="b">
            <v>0</v>
          </cell>
          <cell r="BR82" t="b">
            <v>0</v>
          </cell>
          <cell r="BS82">
            <v>6</v>
          </cell>
          <cell r="BT82" t="str">
            <v/>
          </cell>
          <cell r="BV82" t="b">
            <v>0</v>
          </cell>
          <cell r="BW82">
            <v>8</v>
          </cell>
          <cell r="BX82" t="str">
            <v/>
          </cell>
          <cell r="BZ82" t="b">
            <v>0</v>
          </cell>
          <cell r="CA82">
            <v>20</v>
          </cell>
          <cell r="CB82" t="str">
            <v/>
          </cell>
          <cell r="CD82" t="b">
            <v>0</v>
          </cell>
          <cell r="CE82">
            <v>18</v>
          </cell>
          <cell r="CF82" t="str">
            <v/>
          </cell>
        </row>
        <row r="83">
          <cell r="A83" t="str">
            <v>Dragon, Prismatic</v>
          </cell>
          <cell r="D83" t="str">
            <v>Dragon</v>
          </cell>
          <cell r="N83" t="str">
            <v/>
          </cell>
          <cell r="P83" t="str">
            <v/>
          </cell>
          <cell r="U83" t="str">
            <v>blindness,light</v>
          </cell>
          <cell r="AG83" t="str">
            <v>Diplomacy</v>
          </cell>
          <cell r="BB83" t="str">
            <v>Neutral</v>
          </cell>
          <cell r="BL83" t="str">
            <v>Epic</v>
          </cell>
          <cell r="BM83" t="str">
            <v>ELH</v>
          </cell>
          <cell r="BP83" t="b">
            <v>1</v>
          </cell>
          <cell r="BQ83" t="b">
            <v>0</v>
          </cell>
          <cell r="BR83" t="b">
            <v>0</v>
          </cell>
          <cell r="BS83">
            <v>6</v>
          </cell>
          <cell r="BT83" t="str">
            <v/>
          </cell>
          <cell r="BV83" t="b">
            <v>0</v>
          </cell>
          <cell r="BW83">
            <v>8</v>
          </cell>
          <cell r="BX83" t="str">
            <v/>
          </cell>
          <cell r="BZ83" t="b">
            <v>0</v>
          </cell>
          <cell r="CA83">
            <v>20</v>
          </cell>
          <cell r="CB83" t="str">
            <v/>
          </cell>
          <cell r="CD83" t="b">
            <v>0</v>
          </cell>
          <cell r="CE83">
            <v>18</v>
          </cell>
          <cell r="CF83" t="str">
            <v/>
          </cell>
        </row>
        <row r="84">
          <cell r="A84" t="str">
            <v>Dragon, Pyroclastic</v>
          </cell>
          <cell r="D84" t="str">
            <v>Dragon</v>
          </cell>
          <cell r="E84" t="str">
            <v>Extraplanar</v>
          </cell>
          <cell r="N84" t="str">
            <v/>
          </cell>
          <cell r="P84" t="str">
            <v>Breath Weapon(Su): 15" cone of fire and sonic;</v>
          </cell>
          <cell r="U84" t="str">
            <v>fire or sonic</v>
          </cell>
          <cell r="W84" t="str">
            <v>fire and sonic</v>
          </cell>
          <cell r="AG84" t="str">
            <v>Listen</v>
          </cell>
          <cell r="BB84" t="str">
            <v>Lawful</v>
          </cell>
          <cell r="BJ84" t="str">
            <v>color=orange;</v>
          </cell>
          <cell r="BL84" t="str">
            <v>Planar</v>
          </cell>
          <cell r="BM84" t="str">
            <v>Dr</v>
          </cell>
          <cell r="BN84">
            <v>182</v>
          </cell>
          <cell r="BP84" t="b">
            <v>0</v>
          </cell>
          <cell r="BQ84" t="b">
            <v>0</v>
          </cell>
          <cell r="BR84" t="b">
            <v>0</v>
          </cell>
          <cell r="BS84">
            <v>6</v>
          </cell>
          <cell r="BT84" t="str">
            <v/>
          </cell>
          <cell r="BV84" t="b">
            <v>0</v>
          </cell>
          <cell r="BW84">
            <v>8</v>
          </cell>
          <cell r="BX84" t="str">
            <v/>
          </cell>
          <cell r="BZ84" t="b">
            <v>0</v>
          </cell>
          <cell r="CA84">
            <v>20</v>
          </cell>
          <cell r="CB84" t="str">
            <v/>
          </cell>
          <cell r="CD84" t="b">
            <v>0</v>
          </cell>
          <cell r="CE84">
            <v>18</v>
          </cell>
          <cell r="CF84" t="str">
            <v/>
          </cell>
        </row>
        <row r="85">
          <cell r="A85" t="str">
            <v>Dragon, Radiant</v>
          </cell>
          <cell r="D85" t="str">
            <v>Dragon</v>
          </cell>
          <cell r="E85" t="str">
            <v>Extraplanar</v>
          </cell>
          <cell r="N85" t="str">
            <v/>
          </cell>
          <cell r="P85" t="str">
            <v>Breath Weapon(Su): 30" line of force;</v>
          </cell>
          <cell r="U85" t="str">
            <v>light</v>
          </cell>
          <cell r="AG85" t="str">
            <v>Spot</v>
          </cell>
          <cell r="BB85" t="str">
            <v>Lawful Good</v>
          </cell>
          <cell r="BJ85" t="str">
            <v>color=gold;</v>
          </cell>
          <cell r="BL85" t="str">
            <v>Planar</v>
          </cell>
          <cell r="BM85" t="str">
            <v>Dr</v>
          </cell>
          <cell r="BN85">
            <v>185</v>
          </cell>
          <cell r="BP85" t="b">
            <v>0</v>
          </cell>
          <cell r="BQ85" t="b">
            <v>0</v>
          </cell>
          <cell r="BR85" t="b">
            <v>0</v>
          </cell>
          <cell r="BS85">
            <v>6</v>
          </cell>
          <cell r="BT85" t="str">
            <v/>
          </cell>
          <cell r="BV85" t="b">
            <v>0</v>
          </cell>
          <cell r="BW85">
            <v>8</v>
          </cell>
          <cell r="BX85" t="str">
            <v/>
          </cell>
          <cell r="BZ85" t="b">
            <v>0</v>
          </cell>
          <cell r="CA85">
            <v>20</v>
          </cell>
          <cell r="CB85" t="str">
            <v/>
          </cell>
          <cell r="CD85" t="b">
            <v>0</v>
          </cell>
          <cell r="CE85">
            <v>18</v>
          </cell>
          <cell r="CF85" t="str">
            <v/>
          </cell>
        </row>
        <row r="86">
          <cell r="A86" t="str">
            <v>Dragon, Red</v>
          </cell>
          <cell r="D86" t="str">
            <v>Dragon</v>
          </cell>
          <cell r="E86" t="str">
            <v>Fire</v>
          </cell>
          <cell r="J86">
            <v>60</v>
          </cell>
          <cell r="M86">
            <v>7</v>
          </cell>
          <cell r="N86" t="str">
            <v/>
          </cell>
          <cell r="P86" t="str">
            <v>Breath Weapon(Su): 15" cone of fire, 2d10, fire;</v>
          </cell>
          <cell r="U86" t="str">
            <v>fire</v>
          </cell>
          <cell r="W86" t="str">
            <v>fire</v>
          </cell>
          <cell r="AA86">
            <v>8</v>
          </cell>
          <cell r="AB86">
            <v>2</v>
          </cell>
          <cell r="AC86">
            <v>6</v>
          </cell>
          <cell r="AD86">
            <v>2</v>
          </cell>
          <cell r="AE86">
            <v>2</v>
          </cell>
          <cell r="AF86">
            <v>4</v>
          </cell>
          <cell r="AG86" t="str">
            <v>Appraise</v>
          </cell>
          <cell r="BA86">
            <v>3</v>
          </cell>
          <cell r="BB86" t="str">
            <v>Chaotic Evil</v>
          </cell>
          <cell r="BC86">
            <v>4</v>
          </cell>
          <cell r="BF86">
            <v>12</v>
          </cell>
          <cell r="BH86" t="str">
            <v>Dragon</v>
          </cell>
          <cell r="BJ86" t="str">
            <v>color=red;DrShSkill=Appraise, Bluff, Jump;DrShAdaptation=Treasure Seeker (Ex);SpawnStr=8;SpawnDex=2;SpawnCon=4;SpawnInt=2;SpawnWis=2;SpawnCha=4;SpawnCR=3;SpawnLA=4;</v>
          </cell>
          <cell r="BL86" t="str">
            <v>Chromatic</v>
          </cell>
          <cell r="BM86" t="str">
            <v>MM</v>
          </cell>
          <cell r="BN86">
            <v>75</v>
          </cell>
          <cell r="BP86" t="b">
            <v>1</v>
          </cell>
          <cell r="BQ86" t="b">
            <v>0</v>
          </cell>
          <cell r="BR86" t="b">
            <v>0</v>
          </cell>
          <cell r="BS86">
            <v>6</v>
          </cell>
          <cell r="BT86" t="str">
            <v/>
          </cell>
          <cell r="BU86" t="b">
            <v>0</v>
          </cell>
          <cell r="BV86" t="b">
            <v>0</v>
          </cell>
          <cell r="BW86">
            <v>8</v>
          </cell>
          <cell r="BX86" t="str">
            <v/>
          </cell>
          <cell r="BZ86" t="b">
            <v>0</v>
          </cell>
          <cell r="CA86">
            <v>20</v>
          </cell>
          <cell r="CB86" t="str">
            <v/>
          </cell>
          <cell r="CC86" t="b">
            <v>0</v>
          </cell>
          <cell r="CD86" t="b">
            <v>0</v>
          </cell>
          <cell r="CE86">
            <v>18</v>
          </cell>
          <cell r="CF86" t="str">
            <v/>
          </cell>
        </row>
        <row r="87">
          <cell r="A87" t="str">
            <v>Dragon, Rust</v>
          </cell>
          <cell r="D87" t="str">
            <v>Dragon</v>
          </cell>
          <cell r="E87" t="str">
            <v>Extraplanar</v>
          </cell>
          <cell r="N87" t="str">
            <v/>
          </cell>
          <cell r="P87" t="str">
            <v>Breath Weapon(Su): 30" line of acid;</v>
          </cell>
          <cell r="U87" t="str">
            <v>acid</v>
          </cell>
          <cell r="W87" t="str">
            <v>acid</v>
          </cell>
          <cell r="AG87" t="str">
            <v>Search</v>
          </cell>
          <cell r="BB87" t="str">
            <v>Lawful</v>
          </cell>
          <cell r="BJ87" t="str">
            <v>color=rust;</v>
          </cell>
          <cell r="BL87" t="str">
            <v>Planar</v>
          </cell>
          <cell r="BM87" t="str">
            <v>Dr</v>
          </cell>
          <cell r="BN87">
            <v>186</v>
          </cell>
          <cell r="BP87" t="b">
            <v>0</v>
          </cell>
          <cell r="BQ87" t="b">
            <v>0</v>
          </cell>
          <cell r="BR87" t="b">
            <v>0</v>
          </cell>
          <cell r="BS87">
            <v>6</v>
          </cell>
          <cell r="BT87" t="str">
            <v/>
          </cell>
          <cell r="BV87" t="b">
            <v>0</v>
          </cell>
          <cell r="BW87">
            <v>8</v>
          </cell>
          <cell r="BX87" t="str">
            <v/>
          </cell>
          <cell r="BZ87" t="b">
            <v>0</v>
          </cell>
          <cell r="CA87">
            <v>20</v>
          </cell>
          <cell r="CB87" t="str">
            <v/>
          </cell>
          <cell r="CD87" t="b">
            <v>0</v>
          </cell>
          <cell r="CE87">
            <v>18</v>
          </cell>
          <cell r="CF87" t="str">
            <v/>
          </cell>
        </row>
        <row r="88">
          <cell r="A88" t="str">
            <v>Dragon, Sand</v>
          </cell>
          <cell r="D88" t="str">
            <v>Dragon</v>
          </cell>
          <cell r="N88" t="str">
            <v/>
          </cell>
          <cell r="P88" t="str">
            <v>Breath Weapon(Su): 15" cone of grit;</v>
          </cell>
          <cell r="U88" t="str">
            <v>fire</v>
          </cell>
          <cell r="W88" t="str">
            <v>fire</v>
          </cell>
          <cell r="AG88" t="str">
            <v>Survival</v>
          </cell>
          <cell r="BB88" t="str">
            <v>Chaotic Neutral</v>
          </cell>
          <cell r="BL88" t="str">
            <v>Independant</v>
          </cell>
          <cell r="BM88" t="str">
            <v>Sand</v>
          </cell>
          <cell r="BN88">
            <v>152</v>
          </cell>
          <cell r="BP88" t="b">
            <v>0</v>
          </cell>
          <cell r="BQ88" t="b">
            <v>0</v>
          </cell>
          <cell r="BR88" t="b">
            <v>0</v>
          </cell>
          <cell r="BS88">
            <v>6</v>
          </cell>
          <cell r="BT88" t="str">
            <v/>
          </cell>
          <cell r="BV88" t="b">
            <v>0</v>
          </cell>
          <cell r="BW88">
            <v>8</v>
          </cell>
          <cell r="BX88" t="str">
            <v/>
          </cell>
          <cell r="BZ88" t="b">
            <v>0</v>
          </cell>
          <cell r="CA88">
            <v>20</v>
          </cell>
          <cell r="CB88" t="str">
            <v/>
          </cell>
          <cell r="CD88" t="b">
            <v>0</v>
          </cell>
          <cell r="CE88">
            <v>18</v>
          </cell>
          <cell r="CF88" t="str">
            <v/>
          </cell>
        </row>
        <row r="89">
          <cell r="A89" t="str">
            <v>Dragon, Sapphire</v>
          </cell>
          <cell r="D89" t="str">
            <v>Dragon</v>
          </cell>
          <cell r="E89" t="str">
            <v>Earth</v>
          </cell>
          <cell r="N89" t="str">
            <v/>
          </cell>
          <cell r="P89" t="str">
            <v>Breath Weapon(Su): 15" cone of sonic energy;</v>
          </cell>
          <cell r="U89" t="str">
            <v>electricity</v>
          </cell>
          <cell r="W89" t="str">
            <v>sonic</v>
          </cell>
          <cell r="AG89" t="str">
            <v>Knowledge (dungeoneering)</v>
          </cell>
          <cell r="BB89" t="str">
            <v>Lawful Neutral</v>
          </cell>
          <cell r="BJ89" t="str">
            <v>color=blue;</v>
          </cell>
          <cell r="BL89" t="str">
            <v>Gem</v>
          </cell>
          <cell r="BM89" t="str">
            <v>MM2</v>
          </cell>
          <cell r="BN89">
            <v>84</v>
          </cell>
          <cell r="BP89" t="b">
            <v>0</v>
          </cell>
          <cell r="BQ89" t="b">
            <v>0</v>
          </cell>
          <cell r="BR89" t="b">
            <v>0</v>
          </cell>
          <cell r="BS89">
            <v>6</v>
          </cell>
          <cell r="BT89" t="str">
            <v/>
          </cell>
          <cell r="BV89" t="b">
            <v>0</v>
          </cell>
          <cell r="BW89">
            <v>8</v>
          </cell>
          <cell r="BX89" t="str">
            <v/>
          </cell>
          <cell r="BZ89" t="b">
            <v>0</v>
          </cell>
          <cell r="CA89">
            <v>20</v>
          </cell>
          <cell r="CB89" t="str">
            <v/>
          </cell>
          <cell r="CD89" t="b">
            <v>0</v>
          </cell>
          <cell r="CE89">
            <v>18</v>
          </cell>
          <cell r="CF89" t="str">
            <v/>
          </cell>
        </row>
        <row r="90">
          <cell r="A90" t="str">
            <v>Dragon, Sea</v>
          </cell>
          <cell r="D90" t="str">
            <v>Dragon</v>
          </cell>
          <cell r="E90" t="str">
            <v>Aquatic, Water</v>
          </cell>
          <cell r="L90">
            <v>50</v>
          </cell>
          <cell r="M90">
            <v>10</v>
          </cell>
          <cell r="N90" t="str">
            <v/>
          </cell>
          <cell r="P90" t="str">
            <v>Breath Weapon(Su): 15" cone of Steam, 2d8, fire;</v>
          </cell>
          <cell r="U90" t="str">
            <v>fire</v>
          </cell>
          <cell r="W90" t="str">
            <v>fire</v>
          </cell>
          <cell r="AA90">
            <v>6</v>
          </cell>
          <cell r="AC90">
            <v>4</v>
          </cell>
          <cell r="AE90">
            <v>2</v>
          </cell>
          <cell r="AF90">
            <v>4</v>
          </cell>
          <cell r="BA90">
            <v>2</v>
          </cell>
          <cell r="BB90" t="str">
            <v>Neutral Evil</v>
          </cell>
          <cell r="BC90">
            <v>2</v>
          </cell>
          <cell r="BJ90" t="str">
            <v>SpawnStr=6;SpawnCon=4;SpawnWis=2;SpawnCha=4;SpawnCR=2;SpawnLA=2;</v>
          </cell>
          <cell r="BL90" t="str">
            <v>Dragonlance</v>
          </cell>
          <cell r="BM90" t="str">
            <v>BoK</v>
          </cell>
          <cell r="BP90" t="b">
            <v>0</v>
          </cell>
          <cell r="BQ90" t="b">
            <v>0</v>
          </cell>
          <cell r="BR90" t="b">
            <v>0</v>
          </cell>
          <cell r="BS90">
            <v>6</v>
          </cell>
          <cell r="BT90" t="str">
            <v/>
          </cell>
          <cell r="BV90" t="b">
            <v>0</v>
          </cell>
          <cell r="BW90">
            <v>8</v>
          </cell>
          <cell r="BX90" t="str">
            <v/>
          </cell>
          <cell r="BZ90" t="b">
            <v>0</v>
          </cell>
          <cell r="CA90">
            <v>20</v>
          </cell>
          <cell r="CB90" t="str">
            <v/>
          </cell>
          <cell r="CD90" t="b">
            <v>0</v>
          </cell>
          <cell r="CE90">
            <v>18</v>
          </cell>
          <cell r="CF90" t="str">
            <v/>
          </cell>
        </row>
        <row r="91">
          <cell r="A91" t="str">
            <v>Dragon, Shadow</v>
          </cell>
          <cell r="D91" t="str">
            <v>Dragon</v>
          </cell>
          <cell r="E91" t="str">
            <v>Shadow</v>
          </cell>
          <cell r="N91" t="str">
            <v/>
          </cell>
          <cell r="P91" t="str">
            <v>Breath Weapon(Su): 15" cone of energy drain;</v>
          </cell>
          <cell r="U91" t="str">
            <v>energy drain</v>
          </cell>
          <cell r="AG91" t="str">
            <v>Escape Artist</v>
          </cell>
          <cell r="BB91" t="str">
            <v>Chaotic Evil</v>
          </cell>
          <cell r="BJ91" t="str">
            <v>color=translucent;</v>
          </cell>
          <cell r="BL91" t="str">
            <v>Faerunian</v>
          </cell>
          <cell r="BM91" t="str">
            <v>MoF</v>
          </cell>
          <cell r="BN91">
            <v>191</v>
          </cell>
          <cell r="BO91" t="str">
            <v>Dr</v>
          </cell>
          <cell r="BP91" t="b">
            <v>0</v>
          </cell>
          <cell r="BQ91" t="b">
            <v>0</v>
          </cell>
          <cell r="BR91" t="b">
            <v>0</v>
          </cell>
          <cell r="BS91">
            <v>6</v>
          </cell>
          <cell r="BT91" t="str">
            <v/>
          </cell>
          <cell r="BV91" t="b">
            <v>0</v>
          </cell>
          <cell r="BW91">
            <v>8</v>
          </cell>
          <cell r="BX91" t="str">
            <v/>
          </cell>
          <cell r="BZ91" t="b">
            <v>0</v>
          </cell>
          <cell r="CA91">
            <v>20</v>
          </cell>
          <cell r="CB91" t="str">
            <v/>
          </cell>
          <cell r="CD91" t="b">
            <v>0</v>
          </cell>
          <cell r="CE91">
            <v>18</v>
          </cell>
          <cell r="CF91" t="str">
            <v/>
          </cell>
        </row>
        <row r="92">
          <cell r="A92" t="str">
            <v>Dragon, Shen Lung</v>
          </cell>
          <cell r="D92" t="str">
            <v>Dragon</v>
          </cell>
          <cell r="N92" t="str">
            <v/>
          </cell>
          <cell r="P92" t="str">
            <v/>
          </cell>
          <cell r="U92" t="str">
            <v>cold</v>
          </cell>
          <cell r="W92" t="str">
            <v>electricity</v>
          </cell>
          <cell r="AG92" t="str">
            <v>Spot</v>
          </cell>
          <cell r="BB92" t="str">
            <v>Lawful Good</v>
          </cell>
          <cell r="BL92" t="str">
            <v>Lung</v>
          </cell>
          <cell r="BM92" t="str">
            <v>OA</v>
          </cell>
          <cell r="BN92">
            <v>159</v>
          </cell>
          <cell r="BP92" t="b">
            <v>0</v>
          </cell>
          <cell r="BQ92" t="b">
            <v>0</v>
          </cell>
          <cell r="BR92" t="b">
            <v>0</v>
          </cell>
          <cell r="BS92">
            <v>6</v>
          </cell>
          <cell r="BT92" t="str">
            <v/>
          </cell>
          <cell r="BV92" t="b">
            <v>0</v>
          </cell>
          <cell r="BW92">
            <v>8</v>
          </cell>
          <cell r="BX92" t="str">
            <v/>
          </cell>
          <cell r="BZ92" t="b">
            <v>0</v>
          </cell>
          <cell r="CA92">
            <v>20</v>
          </cell>
          <cell r="CB92" t="str">
            <v/>
          </cell>
          <cell r="CD92" t="b">
            <v>0</v>
          </cell>
          <cell r="CE92">
            <v>18</v>
          </cell>
          <cell r="CF92" t="str">
            <v/>
          </cell>
        </row>
        <row r="93">
          <cell r="A93" t="str">
            <v>Dragon, Silver</v>
          </cell>
          <cell r="D93" t="str">
            <v>Dragon</v>
          </cell>
          <cell r="N93" t="str">
            <v/>
          </cell>
          <cell r="P93" t="str">
            <v>Breath Weapon(Su): 15" cone of cold, 2d8, cold;</v>
          </cell>
          <cell r="U93" t="str">
            <v>cold</v>
          </cell>
          <cell r="W93" t="str">
            <v>cold</v>
          </cell>
          <cell r="AG93" t="str">
            <v>Disguise</v>
          </cell>
          <cell r="BB93" t="str">
            <v>Lawful Good</v>
          </cell>
          <cell r="BF93">
            <v>12</v>
          </cell>
          <cell r="BH93" t="str">
            <v>Dragon</v>
          </cell>
          <cell r="BJ93" t="str">
            <v>color=silver;DrShSkill=Bluff, Disguise, Jump;DrShAdaptation=Feather Fall (Sp);</v>
          </cell>
          <cell r="BL93" t="str">
            <v>Metallic</v>
          </cell>
          <cell r="BM93" t="str">
            <v>MM</v>
          </cell>
          <cell r="BN93">
            <v>86</v>
          </cell>
          <cell r="BP93" t="b">
            <v>1</v>
          </cell>
          <cell r="BQ93" t="b">
            <v>0</v>
          </cell>
          <cell r="BR93" t="b">
            <v>0</v>
          </cell>
          <cell r="BS93">
            <v>6</v>
          </cell>
          <cell r="BT93" t="str">
            <v/>
          </cell>
          <cell r="BU93" t="b">
            <v>1</v>
          </cell>
          <cell r="BV93" t="b">
            <v>0</v>
          </cell>
          <cell r="BW93">
            <v>8</v>
          </cell>
          <cell r="BX93" t="str">
            <v/>
          </cell>
          <cell r="BZ93" t="b">
            <v>0</v>
          </cell>
          <cell r="CA93">
            <v>20</v>
          </cell>
          <cell r="CB93" t="str">
            <v/>
          </cell>
          <cell r="CC93" t="b">
            <v>0</v>
          </cell>
          <cell r="CD93" t="b">
            <v>0</v>
          </cell>
          <cell r="CE93">
            <v>18</v>
          </cell>
          <cell r="CF93" t="str">
            <v/>
          </cell>
        </row>
        <row r="94">
          <cell r="A94" t="str">
            <v>Dragon, Song</v>
          </cell>
          <cell r="D94" t="str">
            <v>Dragon</v>
          </cell>
          <cell r="E94" t="str">
            <v>Electricity</v>
          </cell>
          <cell r="N94" t="str">
            <v/>
          </cell>
          <cell r="P94" t="str">
            <v>Breath Weapon(Su): 15" cone of electricity-charged gas;</v>
          </cell>
          <cell r="U94" t="str">
            <v>electricity</v>
          </cell>
          <cell r="W94" t="str">
            <v>electricity</v>
          </cell>
          <cell r="AG94" t="str">
            <v>Perform (sing)</v>
          </cell>
          <cell r="BB94" t="str">
            <v>Chaotic Neutral</v>
          </cell>
          <cell r="BJ94" t="str">
            <v>color=silver-blue;</v>
          </cell>
          <cell r="BL94" t="str">
            <v>Faerunian</v>
          </cell>
          <cell r="BM94" t="str">
            <v>MoF</v>
          </cell>
          <cell r="BN94">
            <v>44</v>
          </cell>
          <cell r="BP94" t="b">
            <v>0</v>
          </cell>
          <cell r="BQ94" t="b">
            <v>0</v>
          </cell>
          <cell r="BR94" t="b">
            <v>0</v>
          </cell>
          <cell r="BS94">
            <v>6</v>
          </cell>
          <cell r="BT94" t="str">
            <v/>
          </cell>
          <cell r="BV94" t="b">
            <v>0</v>
          </cell>
          <cell r="BW94">
            <v>8</v>
          </cell>
          <cell r="BX94" t="str">
            <v/>
          </cell>
          <cell r="BZ94" t="b">
            <v>0</v>
          </cell>
          <cell r="CA94">
            <v>20</v>
          </cell>
          <cell r="CB94" t="str">
            <v/>
          </cell>
          <cell r="CD94" t="b">
            <v>0</v>
          </cell>
          <cell r="CE94">
            <v>18</v>
          </cell>
          <cell r="CF94" t="str">
            <v/>
          </cell>
        </row>
        <row r="95">
          <cell r="A95" t="str">
            <v>Dragon, Styx</v>
          </cell>
          <cell r="D95" t="str">
            <v>Dragon</v>
          </cell>
          <cell r="E95" t="str">
            <v>Aquatic,Extraplanar</v>
          </cell>
          <cell r="N95" t="str">
            <v/>
          </cell>
          <cell r="P95" t="str">
            <v>Breath Weapon(Su): 30" line of acid;</v>
          </cell>
          <cell r="U95" t="str">
            <v>disease, poison</v>
          </cell>
          <cell r="W95" t="str">
            <v>acid</v>
          </cell>
          <cell r="AG95" t="str">
            <v>Swim</v>
          </cell>
          <cell r="BB95" t="str">
            <v>Neutral Evil</v>
          </cell>
          <cell r="BJ95" t="str">
            <v>color=brown;</v>
          </cell>
          <cell r="BL95" t="str">
            <v>Planar</v>
          </cell>
          <cell r="BM95" t="str">
            <v>Dr</v>
          </cell>
          <cell r="BN95">
            <v>187</v>
          </cell>
          <cell r="BP95" t="b">
            <v>0</v>
          </cell>
          <cell r="BQ95" t="b">
            <v>0</v>
          </cell>
          <cell r="BR95" t="b">
            <v>0</v>
          </cell>
          <cell r="BS95">
            <v>6</v>
          </cell>
          <cell r="BT95" t="str">
            <v/>
          </cell>
          <cell r="BV95" t="b">
            <v>0</v>
          </cell>
          <cell r="BW95">
            <v>8</v>
          </cell>
          <cell r="BX95" t="str">
            <v/>
          </cell>
          <cell r="BZ95" t="b">
            <v>0</v>
          </cell>
          <cell r="CA95">
            <v>20</v>
          </cell>
          <cell r="CB95" t="str">
            <v/>
          </cell>
          <cell r="CD95" t="b">
            <v>0</v>
          </cell>
          <cell r="CE95">
            <v>18</v>
          </cell>
          <cell r="CF95" t="str">
            <v/>
          </cell>
        </row>
        <row r="96">
          <cell r="A96" t="str">
            <v>Dragon, Tarterian</v>
          </cell>
          <cell r="D96" t="str">
            <v>Dragon</v>
          </cell>
          <cell r="E96" t="str">
            <v>Extraplanar</v>
          </cell>
          <cell r="N96" t="str">
            <v/>
          </cell>
          <cell r="P96" t="str">
            <v>Breath Weapon(Su): 30" line of force;</v>
          </cell>
          <cell r="U96" t="str">
            <v>force</v>
          </cell>
          <cell r="AG96" t="str">
            <v>Escape Artist</v>
          </cell>
          <cell r="BB96" t="str">
            <v>Chaotic Evil</v>
          </cell>
          <cell r="BJ96" t="str">
            <v>color=olive green;</v>
          </cell>
          <cell r="BL96" t="str">
            <v>Planar</v>
          </cell>
          <cell r="BM96" t="str">
            <v>Dr</v>
          </cell>
          <cell r="BN96">
            <v>189</v>
          </cell>
          <cell r="BP96" t="b">
            <v>0</v>
          </cell>
          <cell r="BQ96" t="b">
            <v>0</v>
          </cell>
          <cell r="BR96" t="b">
            <v>0</v>
          </cell>
          <cell r="BS96">
            <v>6</v>
          </cell>
          <cell r="BT96" t="str">
            <v/>
          </cell>
          <cell r="BV96" t="b">
            <v>0</v>
          </cell>
          <cell r="BW96">
            <v>8</v>
          </cell>
          <cell r="BX96" t="str">
            <v/>
          </cell>
          <cell r="BZ96" t="b">
            <v>0</v>
          </cell>
          <cell r="CA96">
            <v>20</v>
          </cell>
          <cell r="CB96" t="str">
            <v/>
          </cell>
          <cell r="CD96" t="b">
            <v>0</v>
          </cell>
          <cell r="CE96">
            <v>18</v>
          </cell>
          <cell r="CF96" t="str">
            <v/>
          </cell>
        </row>
        <row r="97">
          <cell r="A97" t="str">
            <v>Dragon, T'ien Lung</v>
          </cell>
          <cell r="D97" t="str">
            <v>Dragon</v>
          </cell>
          <cell r="N97" t="str">
            <v/>
          </cell>
          <cell r="P97" t="str">
            <v>Breath Weapon(Su): 15" cone of fire;</v>
          </cell>
          <cell r="U97" t="str">
            <v>fire</v>
          </cell>
          <cell r="W97" t="str">
            <v>fire</v>
          </cell>
          <cell r="AG97" t="str">
            <v>Diplomacy</v>
          </cell>
          <cell r="BB97" t="str">
            <v>Lawful Neutral</v>
          </cell>
          <cell r="BL97" t="str">
            <v>Lung</v>
          </cell>
          <cell r="BM97" t="str">
            <v>OA</v>
          </cell>
          <cell r="BN97">
            <v>161</v>
          </cell>
          <cell r="BP97" t="b">
            <v>0</v>
          </cell>
          <cell r="BQ97" t="b">
            <v>0</v>
          </cell>
          <cell r="BR97" t="b">
            <v>0</v>
          </cell>
          <cell r="BS97">
            <v>6</v>
          </cell>
          <cell r="BT97" t="str">
            <v/>
          </cell>
          <cell r="BV97" t="b">
            <v>0</v>
          </cell>
          <cell r="BW97">
            <v>8</v>
          </cell>
          <cell r="BX97" t="str">
            <v/>
          </cell>
          <cell r="BZ97" t="b">
            <v>0</v>
          </cell>
          <cell r="CA97">
            <v>20</v>
          </cell>
          <cell r="CB97" t="str">
            <v/>
          </cell>
          <cell r="CD97" t="b">
            <v>0</v>
          </cell>
          <cell r="CE97">
            <v>18</v>
          </cell>
          <cell r="CF97" t="str">
            <v/>
          </cell>
        </row>
        <row r="98">
          <cell r="A98" t="str">
            <v>Dragon, Topaz</v>
          </cell>
          <cell r="D98" t="str">
            <v>Dragon</v>
          </cell>
          <cell r="E98" t="str">
            <v>Water</v>
          </cell>
          <cell r="N98" t="str">
            <v/>
          </cell>
          <cell r="P98" t="str">
            <v>Breath Weapon(Su): 15" cone of dehydration;</v>
          </cell>
          <cell r="U98" t="str">
            <v>cold</v>
          </cell>
          <cell r="W98" t="str">
            <v>cold</v>
          </cell>
          <cell r="AG98" t="str">
            <v>Swim</v>
          </cell>
          <cell r="BB98" t="str">
            <v>Chaotic Neutral</v>
          </cell>
          <cell r="BJ98" t="str">
            <v>color=yellow;</v>
          </cell>
          <cell r="BL98" t="str">
            <v>Gem</v>
          </cell>
          <cell r="BM98" t="str">
            <v>MM2</v>
          </cell>
          <cell r="BN98">
            <v>85</v>
          </cell>
          <cell r="BP98" t="b">
            <v>0</v>
          </cell>
          <cell r="BQ98" t="b">
            <v>0</v>
          </cell>
          <cell r="BR98" t="b">
            <v>0</v>
          </cell>
          <cell r="BS98">
            <v>6</v>
          </cell>
          <cell r="BT98" t="str">
            <v/>
          </cell>
          <cell r="BV98" t="b">
            <v>0</v>
          </cell>
          <cell r="BW98">
            <v>8</v>
          </cell>
          <cell r="BX98" t="str">
            <v/>
          </cell>
          <cell r="BZ98" t="b">
            <v>0</v>
          </cell>
          <cell r="CA98">
            <v>20</v>
          </cell>
          <cell r="CB98" t="str">
            <v/>
          </cell>
          <cell r="CD98" t="b">
            <v>0</v>
          </cell>
          <cell r="CE98">
            <v>18</v>
          </cell>
          <cell r="CF98" t="str">
            <v/>
          </cell>
        </row>
        <row r="99">
          <cell r="A99" t="str">
            <v>Dragon, Tun Mi Lung</v>
          </cell>
          <cell r="D99" t="str">
            <v>Dragon</v>
          </cell>
          <cell r="N99" t="str">
            <v/>
          </cell>
          <cell r="P99" t="str">
            <v/>
          </cell>
          <cell r="U99" t="str">
            <v>electricity</v>
          </cell>
          <cell r="W99" t="str">
            <v>electricity</v>
          </cell>
          <cell r="AG99" t="str">
            <v>Swim</v>
          </cell>
          <cell r="BB99" t="str">
            <v>Neutral Evil</v>
          </cell>
          <cell r="BL99" t="str">
            <v>Lung</v>
          </cell>
          <cell r="BM99" t="str">
            <v>OA</v>
          </cell>
          <cell r="BN99">
            <v>162</v>
          </cell>
          <cell r="BP99" t="b">
            <v>0</v>
          </cell>
          <cell r="BQ99" t="b">
            <v>0</v>
          </cell>
          <cell r="BR99" t="b">
            <v>0</v>
          </cell>
          <cell r="BS99">
            <v>6</v>
          </cell>
          <cell r="BT99" t="str">
            <v/>
          </cell>
          <cell r="BV99" t="b">
            <v>0</v>
          </cell>
          <cell r="BW99">
            <v>8</v>
          </cell>
          <cell r="BX99" t="str">
            <v/>
          </cell>
          <cell r="BZ99" t="b">
            <v>0</v>
          </cell>
          <cell r="CA99">
            <v>20</v>
          </cell>
          <cell r="CB99" t="str">
            <v/>
          </cell>
          <cell r="CD99" t="b">
            <v>0</v>
          </cell>
          <cell r="CE99">
            <v>18</v>
          </cell>
          <cell r="CF99" t="str">
            <v/>
          </cell>
        </row>
        <row r="100">
          <cell r="A100" t="str">
            <v>Dragon, Tungsten</v>
          </cell>
          <cell r="D100" t="str">
            <v>Dragon</v>
          </cell>
          <cell r="N100" t="str">
            <v/>
          </cell>
          <cell r="P100" t="str">
            <v>Breath Weapon(Su): 15" cone of blasting sand;</v>
          </cell>
          <cell r="U100" t="str">
            <v>fire</v>
          </cell>
          <cell r="W100" t="str">
            <v>fire</v>
          </cell>
          <cell r="BB100" t="str">
            <v>Lawful Good</v>
          </cell>
          <cell r="BL100" t="str">
            <v>Ferreous</v>
          </cell>
          <cell r="BM100" t="str">
            <v>DMag</v>
          </cell>
          <cell r="BN100">
            <v>356</v>
          </cell>
          <cell r="BP100" t="b">
            <v>0</v>
          </cell>
          <cell r="BQ100" t="b">
            <v>0</v>
          </cell>
          <cell r="BR100" t="b">
            <v>0</v>
          </cell>
          <cell r="BS100">
            <v>6</v>
          </cell>
          <cell r="BT100" t="str">
            <v/>
          </cell>
          <cell r="BV100" t="b">
            <v>0</v>
          </cell>
          <cell r="BW100">
            <v>8</v>
          </cell>
          <cell r="BX100" t="str">
            <v/>
          </cell>
          <cell r="BZ100" t="b">
            <v>0</v>
          </cell>
          <cell r="CA100">
            <v>20</v>
          </cell>
          <cell r="CB100" t="str">
            <v/>
          </cell>
          <cell r="CD100" t="b">
            <v>0</v>
          </cell>
          <cell r="CE100">
            <v>18</v>
          </cell>
          <cell r="CF100" t="str">
            <v/>
          </cell>
        </row>
        <row r="101">
          <cell r="A101" t="str">
            <v>Dragon, White</v>
          </cell>
          <cell r="D101" t="str">
            <v>Dragon</v>
          </cell>
          <cell r="E101" t="str">
            <v>Cold</v>
          </cell>
          <cell r="J101">
            <v>60</v>
          </cell>
          <cell r="M101">
            <v>7</v>
          </cell>
          <cell r="N101" t="str">
            <v/>
          </cell>
          <cell r="P101" t="str">
            <v>Breath Weapon(Su): 15" cone of cold, 1d6, cold;</v>
          </cell>
          <cell r="U101" t="str">
            <v>cold</v>
          </cell>
          <cell r="W101" t="str">
            <v>cold</v>
          </cell>
          <cell r="AB101">
            <v>2</v>
          </cell>
          <cell r="AC101">
            <v>2</v>
          </cell>
          <cell r="AG101" t="str">
            <v>Hide</v>
          </cell>
          <cell r="BA101">
            <v>1</v>
          </cell>
          <cell r="BB101" t="str">
            <v>Chaotic Evil</v>
          </cell>
          <cell r="BC101">
            <v>1</v>
          </cell>
          <cell r="BF101">
            <v>7</v>
          </cell>
          <cell r="BH101" t="str">
            <v>Dragon</v>
          </cell>
          <cell r="BJ101" t="str">
            <v>color=white;DrShSkill=Hide, Move Silently, Swim;DrShAdaptation=Icewalker (Ex);SpawnDex=2;SpawnCon=2;SpawnCR=1;SpawnLA=1;</v>
          </cell>
          <cell r="BL101" t="str">
            <v>Chromatic</v>
          </cell>
          <cell r="BM101" t="str">
            <v>MM</v>
          </cell>
          <cell r="BN101">
            <v>77</v>
          </cell>
          <cell r="BP101" t="b">
            <v>1</v>
          </cell>
          <cell r="BQ101" t="b">
            <v>0</v>
          </cell>
          <cell r="BR101" t="b">
            <v>0</v>
          </cell>
          <cell r="BS101">
            <v>6</v>
          </cell>
          <cell r="BT101" t="str">
            <v/>
          </cell>
          <cell r="BU101" t="b">
            <v>0</v>
          </cell>
          <cell r="BV101" t="b">
            <v>0</v>
          </cell>
          <cell r="BW101">
            <v>8</v>
          </cell>
          <cell r="BX101" t="str">
            <v/>
          </cell>
          <cell r="BZ101" t="b">
            <v>0</v>
          </cell>
          <cell r="CA101">
            <v>20</v>
          </cell>
          <cell r="CB101" t="str">
            <v/>
          </cell>
          <cell r="CC101" t="b">
            <v>0</v>
          </cell>
          <cell r="CD101" t="b">
            <v>0</v>
          </cell>
          <cell r="CE101">
            <v>18</v>
          </cell>
          <cell r="CF101" t="str">
            <v/>
          </cell>
        </row>
        <row r="102">
          <cell r="A102" t="str">
            <v>Dragon, Yu Lung</v>
          </cell>
          <cell r="D102" t="str">
            <v>Dragon</v>
          </cell>
          <cell r="N102" t="str">
            <v/>
          </cell>
          <cell r="U102" t="str">
            <v/>
          </cell>
          <cell r="AG102" t="str">
            <v>Swim</v>
          </cell>
          <cell r="BB102" t="str">
            <v>Neutral</v>
          </cell>
          <cell r="BD102" t="str">
            <v/>
          </cell>
          <cell r="BL102" t="str">
            <v>Lung</v>
          </cell>
          <cell r="BM102" t="str">
            <v>OA</v>
          </cell>
          <cell r="BN102">
            <v>154</v>
          </cell>
          <cell r="BP102" t="b">
            <v>0</v>
          </cell>
          <cell r="BQ102" t="b">
            <v>0</v>
          </cell>
          <cell r="BR102" t="b">
            <v>0</v>
          </cell>
          <cell r="BS102">
            <v>6</v>
          </cell>
          <cell r="BT102" t="str">
            <v/>
          </cell>
          <cell r="BV102" t="b">
            <v>0</v>
          </cell>
          <cell r="BW102">
            <v>8</v>
          </cell>
          <cell r="BX102" t="str">
            <v/>
          </cell>
          <cell r="BZ102" t="b">
            <v>0</v>
          </cell>
          <cell r="CA102">
            <v>20</v>
          </cell>
          <cell r="CB102" t="str">
            <v/>
          </cell>
          <cell r="CD102" t="b">
            <v>0</v>
          </cell>
          <cell r="CE102">
            <v>18</v>
          </cell>
          <cell r="CF102" t="str">
            <v/>
          </cell>
        </row>
        <row r="103">
          <cell r="A103" t="str">
            <v>Eagle</v>
          </cell>
          <cell r="C103" t="str">
            <v>Small</v>
          </cell>
          <cell r="D103" t="str">
            <v>Animal</v>
          </cell>
          <cell r="F103">
            <v>1</v>
          </cell>
          <cell r="G103">
            <v>10</v>
          </cell>
          <cell r="J103">
            <v>80</v>
          </cell>
          <cell r="K103" t="str">
            <v>average</v>
          </cell>
          <cell r="M103">
            <v>1</v>
          </cell>
          <cell r="N103" t="str">
            <v>Talons+5+0+1,Bite+5+0+0</v>
          </cell>
          <cell r="AA103">
            <v>10</v>
          </cell>
          <cell r="AB103">
            <v>15</v>
          </cell>
          <cell r="AC103">
            <v>12</v>
          </cell>
          <cell r="AD103">
            <v>2</v>
          </cell>
          <cell r="AE103">
            <v>14</v>
          </cell>
          <cell r="AF103">
            <v>6</v>
          </cell>
          <cell r="BG103">
            <v>1</v>
          </cell>
          <cell r="BM103" t="str">
            <v>MM</v>
          </cell>
          <cell r="BN103">
            <v>272</v>
          </cell>
          <cell r="BP103" t="b">
            <v>1</v>
          </cell>
          <cell r="BQ103" t="b">
            <v>0</v>
          </cell>
          <cell r="BR103" t="b">
            <v>0</v>
          </cell>
          <cell r="BS103">
            <v>6</v>
          </cell>
          <cell r="BT103" t="str">
            <v/>
          </cell>
          <cell r="BV103" t="b">
            <v>0</v>
          </cell>
          <cell r="BW103">
            <v>8</v>
          </cell>
          <cell r="BX103" t="str">
            <v/>
          </cell>
          <cell r="BY103" t="b">
            <v>1</v>
          </cell>
          <cell r="BZ103" t="b">
            <v>1</v>
          </cell>
          <cell r="CA103">
            <v>21</v>
          </cell>
          <cell r="CB103" t="str">
            <v/>
          </cell>
          <cell r="CD103" t="b">
            <v>1</v>
          </cell>
          <cell r="CE103">
            <v>19</v>
          </cell>
          <cell r="CF103" t="str">
            <v/>
          </cell>
        </row>
        <row r="104">
          <cell r="A104" t="str">
            <v>Eagle, Giant</v>
          </cell>
          <cell r="C104" t="str">
            <v>Large</v>
          </cell>
          <cell r="D104" t="str">
            <v>Magical Beast</v>
          </cell>
          <cell r="F104">
            <v>4</v>
          </cell>
          <cell r="G104">
            <v>10</v>
          </cell>
          <cell r="J104">
            <v>80</v>
          </cell>
          <cell r="K104" t="str">
            <v>average</v>
          </cell>
          <cell r="M104">
            <v>3</v>
          </cell>
          <cell r="N104" t="str">
            <v>2 Claws+4+0+1,Bite+5+0+0</v>
          </cell>
          <cell r="AA104">
            <v>18</v>
          </cell>
          <cell r="AB104">
            <v>17</v>
          </cell>
          <cell r="AC104">
            <v>12</v>
          </cell>
          <cell r="AD104">
            <v>10</v>
          </cell>
          <cell r="AE104">
            <v>14</v>
          </cell>
          <cell r="AF104">
            <v>10</v>
          </cell>
          <cell r="BG104">
            <v>7</v>
          </cell>
          <cell r="BM104" t="str">
            <v>MM</v>
          </cell>
          <cell r="BN104">
            <v>93</v>
          </cell>
          <cell r="BP104" t="b">
            <v>1</v>
          </cell>
          <cell r="BQ104" t="b">
            <v>0</v>
          </cell>
          <cell r="BR104" t="b">
            <v>0</v>
          </cell>
          <cell r="BS104">
            <v>6</v>
          </cell>
          <cell r="BT104" t="str">
            <v/>
          </cell>
          <cell r="BV104" t="b">
            <v>0</v>
          </cell>
          <cell r="BW104">
            <v>8</v>
          </cell>
          <cell r="BX104" t="str">
            <v/>
          </cell>
          <cell r="BY104" t="b">
            <v>0</v>
          </cell>
          <cell r="BZ104" t="b">
            <v>0</v>
          </cell>
          <cell r="CA104">
            <v>21</v>
          </cell>
          <cell r="CB104" t="str">
            <v/>
          </cell>
          <cell r="CC104" t="b">
            <v>0</v>
          </cell>
          <cell r="CD104" t="b">
            <v>0</v>
          </cell>
          <cell r="CE104">
            <v>19</v>
          </cell>
          <cell r="CF104" t="str">
            <v/>
          </cell>
        </row>
        <row r="105">
          <cell r="A105" t="str">
            <v>Eladrin, Coure</v>
          </cell>
          <cell r="C105" t="str">
            <v>Tiny</v>
          </cell>
          <cell r="D105" t="str">
            <v>Outsider</v>
          </cell>
          <cell r="E105" t="str">
            <v>Eladrin</v>
          </cell>
          <cell r="F105">
            <v>0</v>
          </cell>
          <cell r="G105">
            <v>20</v>
          </cell>
          <cell r="J105">
            <v>60</v>
          </cell>
          <cell r="K105" t="str">
            <v>perfect</v>
          </cell>
          <cell r="M105">
            <v>4</v>
          </cell>
          <cell r="N105" t="str">
            <v>;</v>
          </cell>
          <cell r="O105" t="str">
            <v>;</v>
          </cell>
          <cell r="U105" t="str">
            <v>electricity,petrification</v>
          </cell>
          <cell r="W105" t="str">
            <v>acid 10, cold 10</v>
          </cell>
          <cell r="AA105">
            <v>6</v>
          </cell>
          <cell r="AB105">
            <v>24</v>
          </cell>
          <cell r="AC105">
            <v>12</v>
          </cell>
          <cell r="AD105">
            <v>12</v>
          </cell>
          <cell r="AE105">
            <v>10</v>
          </cell>
          <cell r="AF105">
            <v>14</v>
          </cell>
          <cell r="AG105" t="str">
            <v>0;0</v>
          </cell>
          <cell r="AH105" t="str">
            <v>0;0</v>
          </cell>
          <cell r="AI105" t="str">
            <v>0;0</v>
          </cell>
          <cell r="AJ105" t="str">
            <v>5;2</v>
          </cell>
          <cell r="AK105" t="str">
            <v>0;0</v>
          </cell>
          <cell r="AL105" t="str">
            <v>5;12</v>
          </cell>
          <cell r="AN105" t="str">
            <v>0;0</v>
          </cell>
          <cell r="AO105" t="str">
            <v>0;0</v>
          </cell>
          <cell r="AP105" t="str">
            <v>5;0</v>
          </cell>
          <cell r="AQ105" t="str">
            <v>5;4</v>
          </cell>
          <cell r="AR105" t="str">
            <v>0;0</v>
          </cell>
          <cell r="AS105" t="str">
            <v>5;0</v>
          </cell>
          <cell r="AT105" t="str">
            <v>0;0</v>
          </cell>
          <cell r="AU105" t="str">
            <v>5;0</v>
          </cell>
          <cell r="AV105" t="str">
            <v>0;0</v>
          </cell>
          <cell r="AW105" t="str">
            <v>0;0</v>
          </cell>
          <cell r="AX105" t="str">
            <v>Weapon Finesse;</v>
          </cell>
          <cell r="BB105" t="str">
            <v>Chaotic Good</v>
          </cell>
          <cell r="BD105" t="str">
            <v>Alternate form;Magic circle against evil;Tongues</v>
          </cell>
          <cell r="BF105">
            <v>7</v>
          </cell>
          <cell r="BH105" t="str">
            <v>Celestial</v>
          </cell>
          <cell r="BM105" t="str">
            <v>BoED</v>
          </cell>
          <cell r="BN105">
            <v>168</v>
          </cell>
          <cell r="BP105" t="b">
            <v>0</v>
          </cell>
          <cell r="BQ105" t="b">
            <v>0</v>
          </cell>
          <cell r="BR105" t="b">
            <v>0</v>
          </cell>
          <cell r="BS105">
            <v>6</v>
          </cell>
          <cell r="BT105" t="str">
            <v/>
          </cell>
          <cell r="BU105" t="b">
            <v>0</v>
          </cell>
          <cell r="BV105" t="b">
            <v>0</v>
          </cell>
          <cell r="BW105">
            <v>8</v>
          </cell>
          <cell r="BX105" t="str">
            <v/>
          </cell>
          <cell r="BZ105" t="b">
            <v>0</v>
          </cell>
          <cell r="CA105">
            <v>21</v>
          </cell>
          <cell r="CB105" t="str">
            <v/>
          </cell>
          <cell r="CD105" t="b">
            <v>0</v>
          </cell>
          <cell r="CE105">
            <v>19</v>
          </cell>
          <cell r="CF105" t="str">
            <v/>
          </cell>
        </row>
        <row r="106">
          <cell r="A106" t="str">
            <v>Elasmosaurus</v>
          </cell>
          <cell r="C106" t="str">
            <v>Huge</v>
          </cell>
          <cell r="D106" t="str">
            <v>Animal</v>
          </cell>
          <cell r="F106">
            <v>10</v>
          </cell>
          <cell r="G106">
            <v>10</v>
          </cell>
          <cell r="L106">
            <v>50</v>
          </cell>
          <cell r="M106">
            <v>3</v>
          </cell>
          <cell r="N106" t="str">
            <v>Bite+14+0+2</v>
          </cell>
          <cell r="AA106">
            <v>26</v>
          </cell>
          <cell r="AB106">
            <v>14</v>
          </cell>
          <cell r="AC106">
            <v>22</v>
          </cell>
          <cell r="AD106">
            <v>2</v>
          </cell>
          <cell r="AE106">
            <v>13</v>
          </cell>
          <cell r="AF106">
            <v>9</v>
          </cell>
          <cell r="BG106">
            <v>7</v>
          </cell>
          <cell r="BL106" t="str">
            <v>Dinosaur</v>
          </cell>
          <cell r="BM106" t="str">
            <v>MM</v>
          </cell>
          <cell r="BN106">
            <v>60</v>
          </cell>
          <cell r="BP106" t="b">
            <v>1</v>
          </cell>
          <cell r="BQ106" t="b">
            <v>0</v>
          </cell>
          <cell r="BR106" t="b">
            <v>0</v>
          </cell>
          <cell r="BS106">
            <v>6</v>
          </cell>
          <cell r="BT106" t="str">
            <v/>
          </cell>
          <cell r="BV106" t="b">
            <v>0</v>
          </cell>
          <cell r="BW106">
            <v>8</v>
          </cell>
          <cell r="BX106" t="str">
            <v/>
          </cell>
          <cell r="BY106" t="b">
            <v>1</v>
          </cell>
          <cell r="BZ106" t="b">
            <v>0</v>
          </cell>
          <cell r="CA106">
            <v>21</v>
          </cell>
          <cell r="CB106" t="str">
            <v/>
          </cell>
          <cell r="CD106" t="b">
            <v>0</v>
          </cell>
          <cell r="CE106">
            <v>19</v>
          </cell>
          <cell r="CF106" t="str">
            <v/>
          </cell>
        </row>
        <row r="107">
          <cell r="A107" t="str">
            <v>Elemental, Air</v>
          </cell>
          <cell r="D107" t="str">
            <v>Elemental</v>
          </cell>
          <cell r="E107" t="str">
            <v>Air</v>
          </cell>
          <cell r="M107">
            <v>1</v>
          </cell>
          <cell r="N107" t="str">
            <v/>
          </cell>
          <cell r="Q107" t="str">
            <v/>
          </cell>
          <cell r="U107" t="str">
            <v>disease,cold</v>
          </cell>
          <cell r="W107" t="str">
            <v>acid</v>
          </cell>
          <cell r="AA107">
            <v>0</v>
          </cell>
          <cell r="AB107">
            <v>2</v>
          </cell>
          <cell r="AC107">
            <v>2</v>
          </cell>
          <cell r="AD107">
            <v>2</v>
          </cell>
          <cell r="AE107">
            <v>2</v>
          </cell>
          <cell r="AF107">
            <v>2</v>
          </cell>
          <cell r="AY107" t="str">
            <v>Auran</v>
          </cell>
          <cell r="BJ107" t="str">
            <v>electricity</v>
          </cell>
          <cell r="BM107" t="str">
            <v>MM</v>
          </cell>
          <cell r="BN107">
            <v>95</v>
          </cell>
          <cell r="BO107" t="str">
            <v>MotP</v>
          </cell>
          <cell r="BP107" t="b">
            <v>1</v>
          </cell>
          <cell r="BQ107" t="b">
            <v>0</v>
          </cell>
          <cell r="BR107" t="b">
            <v>0</v>
          </cell>
          <cell r="BS107">
            <v>6</v>
          </cell>
          <cell r="BT107" t="str">
            <v/>
          </cell>
          <cell r="BV107" t="b">
            <v>0</v>
          </cell>
          <cell r="BW107">
            <v>8</v>
          </cell>
          <cell r="BX107" t="str">
            <v/>
          </cell>
          <cell r="BZ107" t="b">
            <v>0</v>
          </cell>
          <cell r="CA107">
            <v>21</v>
          </cell>
          <cell r="CB107" t="str">
            <v/>
          </cell>
          <cell r="CD107" t="b">
            <v>0</v>
          </cell>
          <cell r="CE107">
            <v>19</v>
          </cell>
          <cell r="CF107" t="str">
            <v/>
          </cell>
        </row>
        <row r="108">
          <cell r="A108" t="str">
            <v>Elemental, Air(Huge)</v>
          </cell>
          <cell r="C108" t="str">
            <v>Huge</v>
          </cell>
          <cell r="D108" t="str">
            <v>Elemental</v>
          </cell>
          <cell r="E108" t="str">
            <v>Air, Extraplanar</v>
          </cell>
          <cell r="F108">
            <v>16</v>
          </cell>
          <cell r="M108">
            <v>8</v>
          </cell>
          <cell r="N108" t="str">
            <v/>
          </cell>
          <cell r="T108">
            <v>60</v>
          </cell>
          <cell r="AA108">
            <v>18</v>
          </cell>
          <cell r="AB108">
            <v>29</v>
          </cell>
          <cell r="AC108">
            <v>18</v>
          </cell>
          <cell r="AD108">
            <v>6</v>
          </cell>
          <cell r="AE108">
            <v>11</v>
          </cell>
          <cell r="AF108">
            <v>11</v>
          </cell>
          <cell r="BA108">
            <v>7</v>
          </cell>
          <cell r="BB108" t="str">
            <v>Neutral</v>
          </cell>
          <cell r="BG108">
            <v>16</v>
          </cell>
          <cell r="BI108" t="str">
            <v>Elemental</v>
          </cell>
          <cell r="BM108" t="str">
            <v>MM</v>
          </cell>
          <cell r="BN108">
            <v>95</v>
          </cell>
          <cell r="BP108" t="b">
            <v>1</v>
          </cell>
          <cell r="BQ108" t="b">
            <v>0</v>
          </cell>
          <cell r="BR108" t="b">
            <v>0</v>
          </cell>
          <cell r="BS108">
            <v>6</v>
          </cell>
          <cell r="BT108" t="str">
            <v/>
          </cell>
          <cell r="BV108" t="b">
            <v>0</v>
          </cell>
          <cell r="BW108">
            <v>8</v>
          </cell>
          <cell r="BX108" t="str">
            <v/>
          </cell>
          <cell r="BY108" t="b">
            <v>0</v>
          </cell>
          <cell r="BZ108" t="b">
            <v>0</v>
          </cell>
          <cell r="CA108">
            <v>21</v>
          </cell>
          <cell r="CB108" t="str">
            <v/>
          </cell>
          <cell r="CC108" t="b">
            <v>0</v>
          </cell>
          <cell r="CD108" t="b">
            <v>0</v>
          </cell>
          <cell r="CE108">
            <v>19</v>
          </cell>
          <cell r="CF108" t="str">
            <v/>
          </cell>
        </row>
        <row r="109">
          <cell r="A109" t="str">
            <v>Elemental, Air(Large)</v>
          </cell>
          <cell r="C109" t="str">
            <v>Large</v>
          </cell>
          <cell r="D109" t="str">
            <v>Elemental</v>
          </cell>
          <cell r="E109" t="str">
            <v>Air, Extraplanar</v>
          </cell>
          <cell r="F109">
            <v>8</v>
          </cell>
          <cell r="M109">
            <v>4</v>
          </cell>
          <cell r="N109" t="str">
            <v/>
          </cell>
          <cell r="T109">
            <v>60</v>
          </cell>
          <cell r="AA109">
            <v>14</v>
          </cell>
          <cell r="AB109">
            <v>25</v>
          </cell>
          <cell r="AC109">
            <v>16</v>
          </cell>
          <cell r="AD109">
            <v>6</v>
          </cell>
          <cell r="AE109">
            <v>11</v>
          </cell>
          <cell r="AF109">
            <v>11</v>
          </cell>
          <cell r="BA109">
            <v>5</v>
          </cell>
          <cell r="BB109" t="str">
            <v>Neutral</v>
          </cell>
          <cell r="BG109">
            <v>10</v>
          </cell>
          <cell r="BI109" t="str">
            <v>Elemental</v>
          </cell>
          <cell r="BM109" t="str">
            <v>MM</v>
          </cell>
          <cell r="BN109">
            <v>95</v>
          </cell>
          <cell r="BP109" t="b">
            <v>1</v>
          </cell>
          <cell r="BQ109" t="b">
            <v>0</v>
          </cell>
          <cell r="BR109" t="b">
            <v>0</v>
          </cell>
          <cell r="BS109">
            <v>6</v>
          </cell>
          <cell r="BT109" t="str">
            <v/>
          </cell>
          <cell r="BV109" t="b">
            <v>0</v>
          </cell>
          <cell r="BW109">
            <v>8</v>
          </cell>
          <cell r="BX109" t="str">
            <v/>
          </cell>
          <cell r="BY109" t="b">
            <v>0</v>
          </cell>
          <cell r="BZ109" t="b">
            <v>0</v>
          </cell>
          <cell r="CA109">
            <v>21</v>
          </cell>
          <cell r="CB109" t="str">
            <v/>
          </cell>
          <cell r="CC109" t="b">
            <v>0</v>
          </cell>
          <cell r="CD109" t="b">
            <v>0</v>
          </cell>
          <cell r="CE109">
            <v>19</v>
          </cell>
          <cell r="CF109" t="str">
            <v/>
          </cell>
        </row>
        <row r="110">
          <cell r="A110" t="str">
            <v>Elemental, Air(Medium)</v>
          </cell>
          <cell r="C110" t="str">
            <v>Medium</v>
          </cell>
          <cell r="D110" t="str">
            <v>Elemental</v>
          </cell>
          <cell r="E110" t="str">
            <v>Air, Extraplanar</v>
          </cell>
          <cell r="F110">
            <v>4</v>
          </cell>
          <cell r="M110">
            <v>3</v>
          </cell>
          <cell r="N110" t="str">
            <v/>
          </cell>
          <cell r="T110">
            <v>60</v>
          </cell>
          <cell r="AA110">
            <v>12</v>
          </cell>
          <cell r="AB110">
            <v>21</v>
          </cell>
          <cell r="AC110">
            <v>14</v>
          </cell>
          <cell r="AD110">
            <v>4</v>
          </cell>
          <cell r="AE110">
            <v>11</v>
          </cell>
          <cell r="AF110">
            <v>11</v>
          </cell>
          <cell r="BA110">
            <v>3</v>
          </cell>
          <cell r="BB110" t="str">
            <v>Neutral</v>
          </cell>
          <cell r="BG110">
            <v>4</v>
          </cell>
          <cell r="BI110" t="str">
            <v>Elemental</v>
          </cell>
          <cell r="BM110" t="str">
            <v>MM</v>
          </cell>
          <cell r="BN110">
            <v>95</v>
          </cell>
          <cell r="BP110" t="b">
            <v>1</v>
          </cell>
          <cell r="BQ110" t="b">
            <v>0</v>
          </cell>
          <cell r="BR110" t="b">
            <v>0</v>
          </cell>
          <cell r="BS110">
            <v>6</v>
          </cell>
          <cell r="BT110" t="str">
            <v/>
          </cell>
          <cell r="BV110" t="b">
            <v>0</v>
          </cell>
          <cell r="BW110">
            <v>8</v>
          </cell>
          <cell r="BX110" t="str">
            <v/>
          </cell>
          <cell r="BY110" t="b">
            <v>0</v>
          </cell>
          <cell r="BZ110" t="b">
            <v>0</v>
          </cell>
          <cell r="CA110">
            <v>21</v>
          </cell>
          <cell r="CB110" t="str">
            <v/>
          </cell>
          <cell r="CC110" t="b">
            <v>0</v>
          </cell>
          <cell r="CD110" t="b">
            <v>0</v>
          </cell>
          <cell r="CE110">
            <v>19</v>
          </cell>
          <cell r="CF110" t="str">
            <v/>
          </cell>
        </row>
        <row r="111">
          <cell r="A111" t="str">
            <v>Elemental, Air(Small)</v>
          </cell>
          <cell r="C111" t="str">
            <v>Small</v>
          </cell>
          <cell r="D111" t="str">
            <v>Elemental</v>
          </cell>
          <cell r="E111" t="str">
            <v>Air, Extraplanar</v>
          </cell>
          <cell r="F111">
            <v>2</v>
          </cell>
          <cell r="J111">
            <v>100</v>
          </cell>
          <cell r="K111" t="str">
            <v>perfect</v>
          </cell>
          <cell r="M111">
            <v>3</v>
          </cell>
          <cell r="N111" t="str">
            <v>Slam;</v>
          </cell>
          <cell r="O111" t="str">
            <v>1d4;</v>
          </cell>
          <cell r="T111">
            <v>60</v>
          </cell>
          <cell r="AA111">
            <v>10</v>
          </cell>
          <cell r="AB111">
            <v>17</v>
          </cell>
          <cell r="AC111">
            <v>10</v>
          </cell>
          <cell r="AD111">
            <v>4</v>
          </cell>
          <cell r="AE111">
            <v>11</v>
          </cell>
          <cell r="AF111">
            <v>11</v>
          </cell>
          <cell r="AG111" t="str">
            <v>0;0</v>
          </cell>
          <cell r="AH111" t="str">
            <v>0;0</v>
          </cell>
          <cell r="AI111" t="str">
            <v>0;0</v>
          </cell>
          <cell r="AJ111" t="str">
            <v>0;0</v>
          </cell>
          <cell r="AK111" t="str">
            <v>0;0</v>
          </cell>
          <cell r="AL111" t="str">
            <v>0;4</v>
          </cell>
          <cell r="AN111" t="str">
            <v>0;0</v>
          </cell>
          <cell r="AO111" t="str">
            <v>0;0</v>
          </cell>
          <cell r="AP111" t="str">
            <v>2;0</v>
          </cell>
          <cell r="AQ111" t="str">
            <v>0;0</v>
          </cell>
          <cell r="AR111" t="str">
            <v>0;0</v>
          </cell>
          <cell r="AS111" t="str">
            <v>0;0</v>
          </cell>
          <cell r="AT111" t="str">
            <v>0;0</v>
          </cell>
          <cell r="AU111" t="str">
            <v>3;0</v>
          </cell>
          <cell r="AV111" t="str">
            <v>0;0</v>
          </cell>
          <cell r="AW111" t="str">
            <v>0;0</v>
          </cell>
          <cell r="AX111" t="str">
            <v>Improved Initiative; Weapon Finesse</v>
          </cell>
          <cell r="BA111">
            <v>1</v>
          </cell>
          <cell r="BB111" t="str">
            <v>Neutral</v>
          </cell>
          <cell r="BD111" t="str">
            <v>Air mastery;Whirlwind;Elemental traits</v>
          </cell>
          <cell r="BF111">
            <v>5</v>
          </cell>
          <cell r="BG111">
            <v>1</v>
          </cell>
          <cell r="BH111" t="str">
            <v>Planar</v>
          </cell>
          <cell r="BI111" t="str">
            <v>Elemental</v>
          </cell>
          <cell r="BM111" t="str">
            <v>MM</v>
          </cell>
          <cell r="BN111">
            <v>95</v>
          </cell>
          <cell r="BO111" t="str">
            <v>PlH</v>
          </cell>
          <cell r="BP111" t="b">
            <v>1</v>
          </cell>
          <cell r="BQ111" t="b">
            <v>0</v>
          </cell>
          <cell r="BR111" t="b">
            <v>0</v>
          </cell>
          <cell r="BS111">
            <v>6</v>
          </cell>
          <cell r="BT111" t="str">
            <v/>
          </cell>
          <cell r="BV111" t="b">
            <v>0</v>
          </cell>
          <cell r="BW111">
            <v>8</v>
          </cell>
          <cell r="BX111" t="str">
            <v/>
          </cell>
          <cell r="BY111" t="b">
            <v>0</v>
          </cell>
          <cell r="BZ111" t="b">
            <v>0</v>
          </cell>
          <cell r="CA111">
            <v>21</v>
          </cell>
          <cell r="CB111" t="str">
            <v/>
          </cell>
          <cell r="CC111" t="b">
            <v>0</v>
          </cell>
          <cell r="CD111" t="b">
            <v>0</v>
          </cell>
          <cell r="CE111">
            <v>19</v>
          </cell>
          <cell r="CF111" t="str">
            <v/>
          </cell>
        </row>
        <row r="112">
          <cell r="A112" t="str">
            <v>Elemental, Earth</v>
          </cell>
          <cell r="D112" t="str">
            <v>Elemental</v>
          </cell>
          <cell r="E112" t="str">
            <v>Earth</v>
          </cell>
          <cell r="M112">
            <v>3</v>
          </cell>
          <cell r="N112" t="str">
            <v/>
          </cell>
          <cell r="Q112" t="str">
            <v/>
          </cell>
          <cell r="T112">
            <v>60</v>
          </cell>
          <cell r="U112" t="str">
            <v>disease,earth</v>
          </cell>
          <cell r="W112" t="str">
            <v>cold</v>
          </cell>
          <cell r="AA112">
            <v>4</v>
          </cell>
          <cell r="AB112">
            <v>-2</v>
          </cell>
          <cell r="AC112">
            <v>4</v>
          </cell>
          <cell r="AD112">
            <v>0</v>
          </cell>
          <cell r="AE112">
            <v>0</v>
          </cell>
          <cell r="AF112">
            <v>0</v>
          </cell>
          <cell r="AY112" t="str">
            <v>Terran</v>
          </cell>
          <cell r="BB112" t="str">
            <v>Neutral</v>
          </cell>
          <cell r="BJ112" t="str">
            <v>acid</v>
          </cell>
          <cell r="BM112" t="str">
            <v>MM</v>
          </cell>
          <cell r="BN112">
            <v>98</v>
          </cell>
          <cell r="BO112" t="str">
            <v>MotP</v>
          </cell>
          <cell r="BP112" t="b">
            <v>1</v>
          </cell>
          <cell r="BQ112" t="b">
            <v>0</v>
          </cell>
          <cell r="BR112" t="b">
            <v>0</v>
          </cell>
          <cell r="BS112">
            <v>6</v>
          </cell>
          <cell r="BT112" t="str">
            <v/>
          </cell>
          <cell r="BV112" t="b">
            <v>0</v>
          </cell>
          <cell r="BW112">
            <v>8</v>
          </cell>
          <cell r="BX112" t="str">
            <v/>
          </cell>
          <cell r="BZ112" t="b">
            <v>0</v>
          </cell>
          <cell r="CA112">
            <v>21</v>
          </cell>
          <cell r="CB112" t="str">
            <v/>
          </cell>
          <cell r="CD112" t="b">
            <v>0</v>
          </cell>
          <cell r="CE112">
            <v>19</v>
          </cell>
          <cell r="CF112" t="str">
            <v/>
          </cell>
        </row>
        <row r="113">
          <cell r="A113" t="str">
            <v>Elemental, Earth(Huge)</v>
          </cell>
          <cell r="C113" t="str">
            <v>Huge</v>
          </cell>
          <cell r="D113" t="str">
            <v>Elemental</v>
          </cell>
          <cell r="E113" t="str">
            <v>Earth, Extraplanar</v>
          </cell>
          <cell r="F113">
            <v>16</v>
          </cell>
          <cell r="M113">
            <v>11</v>
          </cell>
          <cell r="N113" t="str">
            <v/>
          </cell>
          <cell r="T113">
            <v>60</v>
          </cell>
          <cell r="AA113">
            <v>29</v>
          </cell>
          <cell r="AB113">
            <v>8</v>
          </cell>
          <cell r="AC113">
            <v>21</v>
          </cell>
          <cell r="AD113">
            <v>6</v>
          </cell>
          <cell r="AE113">
            <v>11</v>
          </cell>
          <cell r="AF113">
            <v>11</v>
          </cell>
          <cell r="BA113">
            <v>7</v>
          </cell>
          <cell r="BB113" t="str">
            <v>Neutral</v>
          </cell>
          <cell r="BG113">
            <v>16</v>
          </cell>
          <cell r="BI113" t="str">
            <v>Elemental</v>
          </cell>
          <cell r="BM113" t="str">
            <v>MM</v>
          </cell>
          <cell r="BN113">
            <v>98</v>
          </cell>
          <cell r="BP113" t="b">
            <v>1</v>
          </cell>
          <cell r="BQ113" t="b">
            <v>0</v>
          </cell>
          <cell r="BR113" t="b">
            <v>0</v>
          </cell>
          <cell r="BS113">
            <v>6</v>
          </cell>
          <cell r="BT113" t="str">
            <v/>
          </cell>
          <cell r="BV113" t="b">
            <v>0</v>
          </cell>
          <cell r="BW113">
            <v>8</v>
          </cell>
          <cell r="BX113" t="str">
            <v/>
          </cell>
          <cell r="BY113" t="b">
            <v>0</v>
          </cell>
          <cell r="BZ113" t="b">
            <v>0</v>
          </cell>
          <cell r="CA113">
            <v>21</v>
          </cell>
          <cell r="CB113" t="str">
            <v/>
          </cell>
          <cell r="CC113" t="b">
            <v>0</v>
          </cell>
          <cell r="CD113" t="b">
            <v>0</v>
          </cell>
          <cell r="CE113">
            <v>19</v>
          </cell>
          <cell r="CF113" t="str">
            <v/>
          </cell>
        </row>
        <row r="114">
          <cell r="A114" t="str">
            <v>Elemental, Earth(Large)</v>
          </cell>
          <cell r="C114" t="str">
            <v>Large</v>
          </cell>
          <cell r="D114" t="str">
            <v>Elemental</v>
          </cell>
          <cell r="E114" t="str">
            <v>Earth, Extraplanar</v>
          </cell>
          <cell r="F114">
            <v>8</v>
          </cell>
          <cell r="M114">
            <v>10</v>
          </cell>
          <cell r="N114" t="str">
            <v/>
          </cell>
          <cell r="T114">
            <v>60</v>
          </cell>
          <cell r="AA114">
            <v>25</v>
          </cell>
          <cell r="AB114">
            <v>8</v>
          </cell>
          <cell r="AC114">
            <v>19</v>
          </cell>
          <cell r="AD114">
            <v>6</v>
          </cell>
          <cell r="AE114">
            <v>11</v>
          </cell>
          <cell r="AF114">
            <v>11</v>
          </cell>
          <cell r="BA114">
            <v>5</v>
          </cell>
          <cell r="BB114" t="str">
            <v>Neutral</v>
          </cell>
          <cell r="BG114">
            <v>10</v>
          </cell>
          <cell r="BI114" t="str">
            <v>Elemental</v>
          </cell>
          <cell r="BM114" t="str">
            <v>MM</v>
          </cell>
          <cell r="BN114">
            <v>98</v>
          </cell>
          <cell r="BP114" t="b">
            <v>1</v>
          </cell>
          <cell r="BQ114" t="b">
            <v>0</v>
          </cell>
          <cell r="BR114" t="b">
            <v>0</v>
          </cell>
          <cell r="BS114">
            <v>6</v>
          </cell>
          <cell r="BT114" t="str">
            <v/>
          </cell>
          <cell r="BV114" t="b">
            <v>0</v>
          </cell>
          <cell r="BW114">
            <v>8</v>
          </cell>
          <cell r="BX114" t="str">
            <v/>
          </cell>
          <cell r="BY114" t="b">
            <v>0</v>
          </cell>
          <cell r="BZ114" t="b">
            <v>0</v>
          </cell>
          <cell r="CA114">
            <v>21</v>
          </cell>
          <cell r="CB114" t="str">
            <v/>
          </cell>
          <cell r="CC114" t="b">
            <v>0</v>
          </cell>
          <cell r="CD114" t="b">
            <v>0</v>
          </cell>
          <cell r="CE114">
            <v>19</v>
          </cell>
          <cell r="CF114" t="str">
            <v/>
          </cell>
        </row>
        <row r="115">
          <cell r="A115" t="str">
            <v>Elemental, Earth(Medium)</v>
          </cell>
          <cell r="C115" t="str">
            <v>Medium</v>
          </cell>
          <cell r="D115" t="str">
            <v>Elemental</v>
          </cell>
          <cell r="E115" t="str">
            <v>Earth, Extraplanar</v>
          </cell>
          <cell r="F115">
            <v>4</v>
          </cell>
          <cell r="M115">
            <v>9</v>
          </cell>
          <cell r="N115" t="str">
            <v/>
          </cell>
          <cell r="T115">
            <v>60</v>
          </cell>
          <cell r="AA115">
            <v>21</v>
          </cell>
          <cell r="AB115">
            <v>8</v>
          </cell>
          <cell r="AC115">
            <v>17</v>
          </cell>
          <cell r="AD115">
            <v>4</v>
          </cell>
          <cell r="AE115">
            <v>11</v>
          </cell>
          <cell r="AF115">
            <v>11</v>
          </cell>
          <cell r="BA115">
            <v>3</v>
          </cell>
          <cell r="BB115" t="str">
            <v>Neutral</v>
          </cell>
          <cell r="BG115">
            <v>4</v>
          </cell>
          <cell r="BI115" t="str">
            <v>Elemental</v>
          </cell>
          <cell r="BM115" t="str">
            <v>MM</v>
          </cell>
          <cell r="BN115">
            <v>98</v>
          </cell>
          <cell r="BP115" t="b">
            <v>1</v>
          </cell>
          <cell r="BQ115" t="b">
            <v>0</v>
          </cell>
          <cell r="BR115" t="b">
            <v>0</v>
          </cell>
          <cell r="BS115">
            <v>6</v>
          </cell>
          <cell r="BT115" t="str">
            <v/>
          </cell>
          <cell r="BV115" t="b">
            <v>0</v>
          </cell>
          <cell r="BW115">
            <v>8</v>
          </cell>
          <cell r="BX115" t="str">
            <v/>
          </cell>
          <cell r="BY115" t="b">
            <v>0</v>
          </cell>
          <cell r="BZ115" t="b">
            <v>0</v>
          </cell>
          <cell r="CA115">
            <v>21</v>
          </cell>
          <cell r="CB115" t="str">
            <v/>
          </cell>
          <cell r="CC115" t="b">
            <v>0</v>
          </cell>
          <cell r="CD115" t="b">
            <v>0</v>
          </cell>
          <cell r="CE115">
            <v>19</v>
          </cell>
          <cell r="CF115" t="str">
            <v/>
          </cell>
        </row>
        <row r="116">
          <cell r="A116" t="str">
            <v>Elemental, Earth(Small)</v>
          </cell>
          <cell r="C116" t="str">
            <v>Small</v>
          </cell>
          <cell r="D116" t="str">
            <v>Elemental</v>
          </cell>
          <cell r="E116" t="str">
            <v>Earth, Extraplanar</v>
          </cell>
          <cell r="F116">
            <v>2</v>
          </cell>
          <cell r="G116">
            <v>30</v>
          </cell>
          <cell r="M116">
            <v>7</v>
          </cell>
          <cell r="N116" t="str">
            <v>Slam;</v>
          </cell>
          <cell r="O116" t="str">
            <v>1d6;</v>
          </cell>
          <cell r="T116">
            <v>60</v>
          </cell>
          <cell r="AA116">
            <v>17</v>
          </cell>
          <cell r="AB116">
            <v>8</v>
          </cell>
          <cell r="AC116">
            <v>13</v>
          </cell>
          <cell r="AD116">
            <v>4</v>
          </cell>
          <cell r="AE116">
            <v>11</v>
          </cell>
          <cell r="AF116">
            <v>11</v>
          </cell>
          <cell r="AG116" t="str">
            <v>0;0</v>
          </cell>
          <cell r="AH116" t="str">
            <v>0;0</v>
          </cell>
          <cell r="AI116" t="str">
            <v>0;0</v>
          </cell>
          <cell r="AJ116" t="str">
            <v>0;0</v>
          </cell>
          <cell r="AK116" t="str">
            <v>0;0</v>
          </cell>
          <cell r="AL116" t="str">
            <v>0;4</v>
          </cell>
          <cell r="AN116" t="str">
            <v>0;0</v>
          </cell>
          <cell r="AO116" t="str">
            <v>0;-6</v>
          </cell>
          <cell r="AP116" t="str">
            <v>3;0</v>
          </cell>
          <cell r="AQ116" t="str">
            <v>0;0</v>
          </cell>
          <cell r="AR116" t="str">
            <v>0;0</v>
          </cell>
          <cell r="AS116" t="str">
            <v>0;0</v>
          </cell>
          <cell r="AT116" t="str">
            <v>0;0</v>
          </cell>
          <cell r="AU116" t="str">
            <v>2;0</v>
          </cell>
          <cell r="AV116" t="str">
            <v>0;0</v>
          </cell>
          <cell r="AW116" t="str">
            <v>0;0</v>
          </cell>
          <cell r="BA116">
            <v>1</v>
          </cell>
          <cell r="BB116" t="str">
            <v>Neutral</v>
          </cell>
          <cell r="BD116" t="str">
            <v>Earth mastery;Push;Elemental traits</v>
          </cell>
          <cell r="BF116">
            <v>5</v>
          </cell>
          <cell r="BG116">
            <v>1</v>
          </cell>
          <cell r="BH116" t="str">
            <v>Planar</v>
          </cell>
          <cell r="BI116" t="str">
            <v>Elemental</v>
          </cell>
          <cell r="BM116" t="str">
            <v>MM</v>
          </cell>
          <cell r="BN116">
            <v>98</v>
          </cell>
          <cell r="BO116" t="str">
            <v>PlH</v>
          </cell>
          <cell r="BP116" t="b">
            <v>1</v>
          </cell>
          <cell r="BQ116" t="b">
            <v>0</v>
          </cell>
          <cell r="BR116" t="b">
            <v>0</v>
          </cell>
          <cell r="BS116">
            <v>6</v>
          </cell>
          <cell r="BT116" t="str">
            <v/>
          </cell>
          <cell r="BV116" t="b">
            <v>0</v>
          </cell>
          <cell r="BW116">
            <v>8</v>
          </cell>
          <cell r="BX116" t="str">
            <v/>
          </cell>
          <cell r="BY116" t="b">
            <v>0</v>
          </cell>
          <cell r="BZ116" t="b">
            <v>0</v>
          </cell>
          <cell r="CA116">
            <v>21</v>
          </cell>
          <cell r="CB116" t="str">
            <v/>
          </cell>
          <cell r="CC116" t="b">
            <v>0</v>
          </cell>
          <cell r="CD116" t="b">
            <v>0</v>
          </cell>
          <cell r="CE116">
            <v>19</v>
          </cell>
          <cell r="CF116" t="str">
            <v/>
          </cell>
        </row>
        <row r="117">
          <cell r="A117" t="str">
            <v>Elemental, Fire</v>
          </cell>
          <cell r="D117" t="str">
            <v>Elemental</v>
          </cell>
          <cell r="E117" t="str">
            <v>Fire</v>
          </cell>
          <cell r="M117">
            <v>1</v>
          </cell>
          <cell r="N117" t="str">
            <v/>
          </cell>
          <cell r="Q117" t="str">
            <v/>
          </cell>
          <cell r="T117">
            <v>60</v>
          </cell>
          <cell r="U117" t="str">
            <v>disease,fire</v>
          </cell>
          <cell r="W117" t="str">
            <v>electricity</v>
          </cell>
          <cell r="AA117">
            <v>0</v>
          </cell>
          <cell r="AB117">
            <v>4</v>
          </cell>
          <cell r="AC117">
            <v>0</v>
          </cell>
          <cell r="AD117">
            <v>2</v>
          </cell>
          <cell r="AE117">
            <v>0</v>
          </cell>
          <cell r="AF117">
            <v>2</v>
          </cell>
          <cell r="AY117" t="str">
            <v>Ignan</v>
          </cell>
          <cell r="BB117" t="str">
            <v>Neutral</v>
          </cell>
          <cell r="BJ117" t="str">
            <v>fire</v>
          </cell>
          <cell r="BM117" t="str">
            <v>MM</v>
          </cell>
          <cell r="BN117">
            <v>98</v>
          </cell>
          <cell r="BO117" t="str">
            <v>MotP</v>
          </cell>
          <cell r="BP117" t="b">
            <v>1</v>
          </cell>
          <cell r="BQ117" t="b">
            <v>0</v>
          </cell>
          <cell r="BR117" t="b">
            <v>0</v>
          </cell>
          <cell r="BS117">
            <v>6</v>
          </cell>
          <cell r="BT117" t="str">
            <v/>
          </cell>
          <cell r="BV117" t="b">
            <v>0</v>
          </cell>
          <cell r="BW117">
            <v>8</v>
          </cell>
          <cell r="BX117" t="str">
            <v/>
          </cell>
          <cell r="BZ117" t="b">
            <v>0</v>
          </cell>
          <cell r="CA117">
            <v>21</v>
          </cell>
          <cell r="CB117" t="str">
            <v/>
          </cell>
          <cell r="CD117" t="b">
            <v>0</v>
          </cell>
          <cell r="CE117">
            <v>19</v>
          </cell>
          <cell r="CF117" t="str">
            <v/>
          </cell>
        </row>
        <row r="118">
          <cell r="A118" t="str">
            <v>Elemental, Fire(Huge)</v>
          </cell>
          <cell r="C118" t="str">
            <v>Huge</v>
          </cell>
          <cell r="D118" t="str">
            <v>Elemental</v>
          </cell>
          <cell r="E118" t="str">
            <v>Fire, Extraplanar</v>
          </cell>
          <cell r="F118">
            <v>16</v>
          </cell>
          <cell r="N118" t="str">
            <v/>
          </cell>
          <cell r="T118">
            <v>60</v>
          </cell>
          <cell r="U118" t="str">
            <v>fire</v>
          </cell>
          <cell r="V118" t="str">
            <v>cold</v>
          </cell>
          <cell r="AA118">
            <v>18</v>
          </cell>
          <cell r="AB118">
            <v>25</v>
          </cell>
          <cell r="AC118">
            <v>18</v>
          </cell>
          <cell r="AD118">
            <v>6</v>
          </cell>
          <cell r="AE118">
            <v>11</v>
          </cell>
          <cell r="AF118">
            <v>11</v>
          </cell>
          <cell r="BA118">
            <v>7</v>
          </cell>
          <cell r="BB118" t="str">
            <v>Neutral</v>
          </cell>
          <cell r="BG118">
            <v>16</v>
          </cell>
          <cell r="BI118" t="str">
            <v>Elemental</v>
          </cell>
          <cell r="BM118" t="str">
            <v>MM</v>
          </cell>
          <cell r="BN118">
            <v>98</v>
          </cell>
          <cell r="BP118" t="b">
            <v>1</v>
          </cell>
          <cell r="BQ118" t="b">
            <v>0</v>
          </cell>
          <cell r="BR118" t="b">
            <v>0</v>
          </cell>
          <cell r="BS118">
            <v>6</v>
          </cell>
          <cell r="BT118" t="str">
            <v/>
          </cell>
          <cell r="BV118" t="b">
            <v>0</v>
          </cell>
          <cell r="BW118">
            <v>8</v>
          </cell>
          <cell r="BX118" t="str">
            <v/>
          </cell>
          <cell r="BY118" t="b">
            <v>0</v>
          </cell>
          <cell r="BZ118" t="b">
            <v>0</v>
          </cell>
          <cell r="CA118">
            <v>21</v>
          </cell>
          <cell r="CB118" t="str">
            <v/>
          </cell>
          <cell r="CC118" t="b">
            <v>0</v>
          </cell>
          <cell r="CD118" t="b">
            <v>0</v>
          </cell>
          <cell r="CE118">
            <v>19</v>
          </cell>
          <cell r="CF118" t="str">
            <v/>
          </cell>
        </row>
        <row r="119">
          <cell r="A119" t="str">
            <v>Elemental, Fire(Large)</v>
          </cell>
          <cell r="C119" t="str">
            <v>Large</v>
          </cell>
          <cell r="D119" t="str">
            <v>Elemental</v>
          </cell>
          <cell r="E119" t="str">
            <v>Fire, Extraplanar</v>
          </cell>
          <cell r="F119">
            <v>8</v>
          </cell>
          <cell r="N119" t="str">
            <v/>
          </cell>
          <cell r="T119">
            <v>60</v>
          </cell>
          <cell r="U119" t="str">
            <v>fire</v>
          </cell>
          <cell r="V119" t="str">
            <v>cold</v>
          </cell>
          <cell r="AA119">
            <v>14</v>
          </cell>
          <cell r="AB119">
            <v>21</v>
          </cell>
          <cell r="AC119">
            <v>16</v>
          </cell>
          <cell r="AD119">
            <v>6</v>
          </cell>
          <cell r="AE119">
            <v>11</v>
          </cell>
          <cell r="AF119">
            <v>11</v>
          </cell>
          <cell r="BA119">
            <v>5</v>
          </cell>
          <cell r="BB119" t="str">
            <v>Neutral</v>
          </cell>
          <cell r="BG119">
            <v>10</v>
          </cell>
          <cell r="BI119" t="str">
            <v>Elemental</v>
          </cell>
          <cell r="BM119" t="str">
            <v>MM</v>
          </cell>
          <cell r="BN119">
            <v>98</v>
          </cell>
          <cell r="BP119" t="b">
            <v>1</v>
          </cell>
          <cell r="BQ119" t="b">
            <v>0</v>
          </cell>
          <cell r="BR119" t="b">
            <v>0</v>
          </cell>
          <cell r="BS119">
            <v>6</v>
          </cell>
          <cell r="BT119" t="str">
            <v/>
          </cell>
          <cell r="BV119" t="b">
            <v>0</v>
          </cell>
          <cell r="BW119">
            <v>8</v>
          </cell>
          <cell r="BX119" t="str">
            <v/>
          </cell>
          <cell r="BY119" t="b">
            <v>0</v>
          </cell>
          <cell r="BZ119" t="b">
            <v>0</v>
          </cell>
          <cell r="CA119">
            <v>21</v>
          </cell>
          <cell r="CB119" t="str">
            <v/>
          </cell>
          <cell r="CC119" t="b">
            <v>0</v>
          </cell>
          <cell r="CD119" t="b">
            <v>0</v>
          </cell>
          <cell r="CE119">
            <v>19</v>
          </cell>
          <cell r="CF119" t="str">
            <v/>
          </cell>
        </row>
        <row r="120">
          <cell r="A120" t="str">
            <v>Elemental, Fire(Medium)</v>
          </cell>
          <cell r="C120" t="str">
            <v>Medium</v>
          </cell>
          <cell r="D120" t="str">
            <v>Elemental</v>
          </cell>
          <cell r="E120" t="str">
            <v>Fire, Extraplanar</v>
          </cell>
          <cell r="F120">
            <v>4</v>
          </cell>
          <cell r="N120" t="str">
            <v/>
          </cell>
          <cell r="T120">
            <v>60</v>
          </cell>
          <cell r="U120" t="str">
            <v>fire</v>
          </cell>
          <cell r="V120" t="str">
            <v>cold</v>
          </cell>
          <cell r="AA120">
            <v>12</v>
          </cell>
          <cell r="AB120">
            <v>17</v>
          </cell>
          <cell r="AC120">
            <v>14</v>
          </cell>
          <cell r="AD120">
            <v>4</v>
          </cell>
          <cell r="AE120">
            <v>11</v>
          </cell>
          <cell r="AF120">
            <v>11</v>
          </cell>
          <cell r="BA120">
            <v>3</v>
          </cell>
          <cell r="BB120" t="str">
            <v>Neutral</v>
          </cell>
          <cell r="BG120">
            <v>4</v>
          </cell>
          <cell r="BI120" t="str">
            <v>Elemental</v>
          </cell>
          <cell r="BM120" t="str">
            <v>MM</v>
          </cell>
          <cell r="BN120">
            <v>98</v>
          </cell>
          <cell r="BP120" t="b">
            <v>1</v>
          </cell>
          <cell r="BQ120" t="b">
            <v>0</v>
          </cell>
          <cell r="BR120" t="b">
            <v>0</v>
          </cell>
          <cell r="BS120">
            <v>6</v>
          </cell>
          <cell r="BT120" t="str">
            <v/>
          </cell>
          <cell r="BV120" t="b">
            <v>0</v>
          </cell>
          <cell r="BW120">
            <v>8</v>
          </cell>
          <cell r="BX120" t="str">
            <v/>
          </cell>
          <cell r="BY120" t="b">
            <v>0</v>
          </cell>
          <cell r="BZ120" t="b">
            <v>0</v>
          </cell>
          <cell r="CA120">
            <v>21</v>
          </cell>
          <cell r="CB120" t="str">
            <v/>
          </cell>
          <cell r="CC120" t="b">
            <v>0</v>
          </cell>
          <cell r="CD120" t="b">
            <v>0</v>
          </cell>
          <cell r="CE120">
            <v>19</v>
          </cell>
          <cell r="CF120" t="str">
            <v/>
          </cell>
        </row>
        <row r="121">
          <cell r="A121" t="str">
            <v>Elemental, Fire(Small)</v>
          </cell>
          <cell r="C121" t="str">
            <v>Small</v>
          </cell>
          <cell r="D121" t="str">
            <v>Elemental</v>
          </cell>
          <cell r="E121" t="str">
            <v>Fire, Extraplanar</v>
          </cell>
          <cell r="F121">
            <v>2</v>
          </cell>
          <cell r="G121">
            <v>50</v>
          </cell>
          <cell r="N121" t="str">
            <v>Slam;</v>
          </cell>
          <cell r="O121" t="str">
            <v>1d4+1d4 fire;</v>
          </cell>
          <cell r="T121">
            <v>60</v>
          </cell>
          <cell r="U121" t="str">
            <v>fire</v>
          </cell>
          <cell r="V121" t="str">
            <v>cold</v>
          </cell>
          <cell r="AA121">
            <v>10</v>
          </cell>
          <cell r="AB121">
            <v>13</v>
          </cell>
          <cell r="AC121">
            <v>10</v>
          </cell>
          <cell r="AD121">
            <v>4</v>
          </cell>
          <cell r="AE121">
            <v>11</v>
          </cell>
          <cell r="AF121">
            <v>11</v>
          </cell>
          <cell r="AG121" t="str">
            <v>0;0</v>
          </cell>
          <cell r="AH121" t="str">
            <v>0;0</v>
          </cell>
          <cell r="AI121" t="str">
            <v>0;0</v>
          </cell>
          <cell r="AJ121" t="str">
            <v>0;0</v>
          </cell>
          <cell r="AK121" t="str">
            <v>0;0</v>
          </cell>
          <cell r="AL121" t="str">
            <v>0;4</v>
          </cell>
          <cell r="AN121" t="str">
            <v>0;0</v>
          </cell>
          <cell r="AO121" t="str">
            <v>0;8</v>
          </cell>
          <cell r="AP121" t="str">
            <v>2;0</v>
          </cell>
          <cell r="AQ121" t="str">
            <v>0;0</v>
          </cell>
          <cell r="AR121" t="str">
            <v>0;0</v>
          </cell>
          <cell r="AS121" t="str">
            <v>0;0</v>
          </cell>
          <cell r="AT121" t="str">
            <v>0;0</v>
          </cell>
          <cell r="AU121" t="str">
            <v>3;0</v>
          </cell>
          <cell r="AV121" t="str">
            <v>0;0</v>
          </cell>
          <cell r="AW121" t="str">
            <v>0;0</v>
          </cell>
          <cell r="BA121">
            <v>1</v>
          </cell>
          <cell r="BB121" t="str">
            <v>Neutral</v>
          </cell>
          <cell r="BD121" t="str">
            <v>Burn;Elemental traits</v>
          </cell>
          <cell r="BF121">
            <v>5</v>
          </cell>
          <cell r="BG121">
            <v>1</v>
          </cell>
          <cell r="BH121" t="str">
            <v>Planar</v>
          </cell>
          <cell r="BI121" t="str">
            <v>Elemental</v>
          </cell>
          <cell r="BM121" t="str">
            <v>MM</v>
          </cell>
          <cell r="BN121">
            <v>98</v>
          </cell>
          <cell r="BO121" t="str">
            <v>PlH</v>
          </cell>
          <cell r="BP121" t="b">
            <v>1</v>
          </cell>
          <cell r="BQ121" t="b">
            <v>0</v>
          </cell>
          <cell r="BR121" t="b">
            <v>0</v>
          </cell>
          <cell r="BS121">
            <v>6</v>
          </cell>
          <cell r="BT121" t="str">
            <v/>
          </cell>
          <cell r="BV121" t="b">
            <v>0</v>
          </cell>
          <cell r="BW121">
            <v>8</v>
          </cell>
          <cell r="BX121" t="str">
            <v/>
          </cell>
          <cell r="BY121" t="b">
            <v>0</v>
          </cell>
          <cell r="BZ121" t="b">
            <v>0</v>
          </cell>
          <cell r="CA121">
            <v>21</v>
          </cell>
          <cell r="CB121" t="str">
            <v/>
          </cell>
          <cell r="CC121" t="b">
            <v>0</v>
          </cell>
          <cell r="CD121" t="b">
            <v>0</v>
          </cell>
          <cell r="CE121">
            <v>19</v>
          </cell>
          <cell r="CF121" t="str">
            <v/>
          </cell>
        </row>
        <row r="122">
          <cell r="A122" t="str">
            <v>Elemental, Water</v>
          </cell>
          <cell r="D122" t="str">
            <v>Elemental</v>
          </cell>
          <cell r="E122" t="str">
            <v>Water</v>
          </cell>
          <cell r="M122">
            <v>1</v>
          </cell>
          <cell r="N122" t="str">
            <v/>
          </cell>
          <cell r="Q122" t="str">
            <v/>
          </cell>
          <cell r="T122">
            <v>60</v>
          </cell>
          <cell r="U122" t="str">
            <v>disease,water</v>
          </cell>
          <cell r="W122" t="str">
            <v>fire</v>
          </cell>
          <cell r="AA122">
            <v>2</v>
          </cell>
          <cell r="AB122">
            <v>0</v>
          </cell>
          <cell r="AC122">
            <v>2</v>
          </cell>
          <cell r="AD122">
            <v>2</v>
          </cell>
          <cell r="AE122">
            <v>2</v>
          </cell>
          <cell r="AF122">
            <v>2</v>
          </cell>
          <cell r="AY122" t="str">
            <v>Aquan</v>
          </cell>
          <cell r="BB122" t="str">
            <v>Neutral</v>
          </cell>
          <cell r="BJ122" t="str">
            <v>cold</v>
          </cell>
          <cell r="BM122" t="str">
            <v>MM</v>
          </cell>
          <cell r="BN122">
            <v>98</v>
          </cell>
          <cell r="BO122" t="str">
            <v>MotP</v>
          </cell>
          <cell r="BP122" t="b">
            <v>1</v>
          </cell>
          <cell r="BQ122" t="b">
            <v>0</v>
          </cell>
          <cell r="BR122" t="b">
            <v>0</v>
          </cell>
          <cell r="BS122">
            <v>6</v>
          </cell>
          <cell r="BT122" t="str">
            <v/>
          </cell>
          <cell r="BV122" t="b">
            <v>0</v>
          </cell>
          <cell r="BW122">
            <v>8</v>
          </cell>
          <cell r="BX122" t="str">
            <v/>
          </cell>
          <cell r="BZ122" t="b">
            <v>0</v>
          </cell>
          <cell r="CA122">
            <v>21</v>
          </cell>
          <cell r="CB122" t="str">
            <v/>
          </cell>
          <cell r="CD122" t="b">
            <v>0</v>
          </cell>
          <cell r="CE122">
            <v>19</v>
          </cell>
          <cell r="CF122" t="str">
            <v/>
          </cell>
        </row>
        <row r="123">
          <cell r="A123" t="str">
            <v>Elemental, Water(Huge)</v>
          </cell>
          <cell r="C123" t="str">
            <v>Huge</v>
          </cell>
          <cell r="D123" t="str">
            <v>Elemental</v>
          </cell>
          <cell r="E123" t="str">
            <v>Water, Extraplanar</v>
          </cell>
          <cell r="F123">
            <v>16</v>
          </cell>
          <cell r="M123">
            <v>9</v>
          </cell>
          <cell r="N123" t="str">
            <v/>
          </cell>
          <cell r="T123">
            <v>60</v>
          </cell>
          <cell r="AA123">
            <v>24</v>
          </cell>
          <cell r="AB123">
            <v>18</v>
          </cell>
          <cell r="AC123">
            <v>21</v>
          </cell>
          <cell r="AD123">
            <v>6</v>
          </cell>
          <cell r="AE123">
            <v>11</v>
          </cell>
          <cell r="AF123">
            <v>11</v>
          </cell>
          <cell r="BA123">
            <v>7</v>
          </cell>
          <cell r="BB123" t="str">
            <v>Neutral</v>
          </cell>
          <cell r="BG123">
            <v>16</v>
          </cell>
          <cell r="BI123" t="str">
            <v>Elemental</v>
          </cell>
          <cell r="BM123" t="str">
            <v>MM</v>
          </cell>
          <cell r="BN123">
            <v>98</v>
          </cell>
          <cell r="BP123" t="b">
            <v>1</v>
          </cell>
          <cell r="BQ123" t="b">
            <v>0</v>
          </cell>
          <cell r="BR123" t="b">
            <v>0</v>
          </cell>
          <cell r="BS123">
            <v>6</v>
          </cell>
          <cell r="BT123" t="str">
            <v/>
          </cell>
          <cell r="BV123" t="b">
            <v>0</v>
          </cell>
          <cell r="BW123">
            <v>8</v>
          </cell>
          <cell r="BX123" t="str">
            <v/>
          </cell>
          <cell r="BY123" t="b">
            <v>0</v>
          </cell>
          <cell r="BZ123" t="b">
            <v>0</v>
          </cell>
          <cell r="CA123">
            <v>21</v>
          </cell>
          <cell r="CB123" t="str">
            <v/>
          </cell>
          <cell r="CC123" t="b">
            <v>0</v>
          </cell>
          <cell r="CD123" t="b">
            <v>0</v>
          </cell>
          <cell r="CE123">
            <v>19</v>
          </cell>
          <cell r="CF123" t="str">
            <v/>
          </cell>
        </row>
        <row r="124">
          <cell r="A124" t="str">
            <v>Elemental, Water(Large)</v>
          </cell>
          <cell r="C124" t="str">
            <v>Large</v>
          </cell>
          <cell r="D124" t="str">
            <v>Elemental</v>
          </cell>
          <cell r="E124" t="str">
            <v>Water, Extraplanar</v>
          </cell>
          <cell r="F124">
            <v>8</v>
          </cell>
          <cell r="M124">
            <v>9</v>
          </cell>
          <cell r="N124" t="str">
            <v/>
          </cell>
          <cell r="T124">
            <v>60</v>
          </cell>
          <cell r="AA124">
            <v>20</v>
          </cell>
          <cell r="AB124">
            <v>14</v>
          </cell>
          <cell r="AC124">
            <v>19</v>
          </cell>
          <cell r="AD124">
            <v>6</v>
          </cell>
          <cell r="AE124">
            <v>11</v>
          </cell>
          <cell r="AF124">
            <v>11</v>
          </cell>
          <cell r="BA124">
            <v>5</v>
          </cell>
          <cell r="BB124" t="str">
            <v>Neutral</v>
          </cell>
          <cell r="BG124">
            <v>10</v>
          </cell>
          <cell r="BI124" t="str">
            <v>Elemental</v>
          </cell>
          <cell r="BM124" t="str">
            <v>MM</v>
          </cell>
          <cell r="BN124">
            <v>98</v>
          </cell>
          <cell r="BP124" t="b">
            <v>1</v>
          </cell>
          <cell r="BQ124" t="b">
            <v>0</v>
          </cell>
          <cell r="BR124" t="b">
            <v>0</v>
          </cell>
          <cell r="BS124">
            <v>6</v>
          </cell>
          <cell r="BT124" t="str">
            <v/>
          </cell>
          <cell r="BV124" t="b">
            <v>0</v>
          </cell>
          <cell r="BW124">
            <v>8</v>
          </cell>
          <cell r="BX124" t="str">
            <v/>
          </cell>
          <cell r="BY124" t="b">
            <v>0</v>
          </cell>
          <cell r="BZ124" t="b">
            <v>0</v>
          </cell>
          <cell r="CA124">
            <v>21</v>
          </cell>
          <cell r="CB124" t="str">
            <v/>
          </cell>
          <cell r="CC124" t="b">
            <v>0</v>
          </cell>
          <cell r="CD124" t="b">
            <v>0</v>
          </cell>
          <cell r="CE124">
            <v>19</v>
          </cell>
          <cell r="CF124" t="str">
            <v/>
          </cell>
        </row>
        <row r="125">
          <cell r="A125" t="str">
            <v>Elemental, Water(Medium)</v>
          </cell>
          <cell r="C125" t="str">
            <v>Medium</v>
          </cell>
          <cell r="D125" t="str">
            <v>Elemental</v>
          </cell>
          <cell r="E125" t="str">
            <v>Water, Extraplanar</v>
          </cell>
          <cell r="F125">
            <v>4</v>
          </cell>
          <cell r="M125">
            <v>8</v>
          </cell>
          <cell r="N125" t="str">
            <v/>
          </cell>
          <cell r="T125">
            <v>60</v>
          </cell>
          <cell r="AA125">
            <v>16</v>
          </cell>
          <cell r="AB125">
            <v>12</v>
          </cell>
          <cell r="AC125">
            <v>17</v>
          </cell>
          <cell r="AD125">
            <v>4</v>
          </cell>
          <cell r="AE125">
            <v>11</v>
          </cell>
          <cell r="AF125">
            <v>11</v>
          </cell>
          <cell r="BA125">
            <v>3</v>
          </cell>
          <cell r="BB125" t="str">
            <v>Neutral</v>
          </cell>
          <cell r="BG125">
            <v>4</v>
          </cell>
          <cell r="BI125" t="str">
            <v>Elemental</v>
          </cell>
          <cell r="BM125" t="str">
            <v>MM</v>
          </cell>
          <cell r="BN125">
            <v>98</v>
          </cell>
          <cell r="BP125" t="b">
            <v>1</v>
          </cell>
          <cell r="BQ125" t="b">
            <v>0</v>
          </cell>
          <cell r="BR125" t="b">
            <v>0</v>
          </cell>
          <cell r="BS125">
            <v>6</v>
          </cell>
          <cell r="BT125" t="str">
            <v/>
          </cell>
          <cell r="BV125" t="b">
            <v>0</v>
          </cell>
          <cell r="BW125">
            <v>8</v>
          </cell>
          <cell r="BX125" t="str">
            <v/>
          </cell>
          <cell r="BY125" t="b">
            <v>0</v>
          </cell>
          <cell r="BZ125" t="b">
            <v>0</v>
          </cell>
          <cell r="CA125">
            <v>21</v>
          </cell>
          <cell r="CB125" t="str">
            <v/>
          </cell>
          <cell r="CC125" t="b">
            <v>0</v>
          </cell>
          <cell r="CD125" t="b">
            <v>0</v>
          </cell>
          <cell r="CE125">
            <v>19</v>
          </cell>
          <cell r="CF125" t="str">
            <v/>
          </cell>
        </row>
        <row r="126">
          <cell r="A126" t="str">
            <v>Elemental, Water(Small)</v>
          </cell>
          <cell r="C126" t="str">
            <v>Small</v>
          </cell>
          <cell r="D126" t="str">
            <v>Elemental</v>
          </cell>
          <cell r="E126" t="str">
            <v>Water, Extraplanar</v>
          </cell>
          <cell r="F126">
            <v>2</v>
          </cell>
          <cell r="G126">
            <v>20</v>
          </cell>
          <cell r="L126">
            <v>90</v>
          </cell>
          <cell r="M126">
            <v>6</v>
          </cell>
          <cell r="N126" t="str">
            <v>Slam;</v>
          </cell>
          <cell r="O126" t="str">
            <v>1d6;</v>
          </cell>
          <cell r="T126">
            <v>60</v>
          </cell>
          <cell r="AA126">
            <v>14</v>
          </cell>
          <cell r="AB126">
            <v>10</v>
          </cell>
          <cell r="AC126">
            <v>13</v>
          </cell>
          <cell r="AD126">
            <v>4</v>
          </cell>
          <cell r="AE126">
            <v>11</v>
          </cell>
          <cell r="AF126">
            <v>11</v>
          </cell>
          <cell r="AG126" t="str">
            <v>0;0</v>
          </cell>
          <cell r="AH126" t="str">
            <v>0;0</v>
          </cell>
          <cell r="AI126" t="str">
            <v>0;0</v>
          </cell>
          <cell r="AJ126" t="str">
            <v>0;0</v>
          </cell>
          <cell r="AK126" t="str">
            <v>0;0</v>
          </cell>
          <cell r="AL126" t="str">
            <v>0;4</v>
          </cell>
          <cell r="AN126" t="str">
            <v>0;0</v>
          </cell>
          <cell r="AO126" t="str">
            <v>0;-6</v>
          </cell>
          <cell r="AP126" t="str">
            <v>2;0</v>
          </cell>
          <cell r="AQ126" t="str">
            <v>0;0</v>
          </cell>
          <cell r="AR126" t="str">
            <v>0;0</v>
          </cell>
          <cell r="AS126" t="str">
            <v>0;0</v>
          </cell>
          <cell r="AT126" t="str">
            <v>0;0</v>
          </cell>
          <cell r="AU126" t="str">
            <v>3;0</v>
          </cell>
          <cell r="AV126" t="str">
            <v>0;0</v>
          </cell>
          <cell r="AW126" t="str">
            <v>0;0</v>
          </cell>
          <cell r="BA126">
            <v>1</v>
          </cell>
          <cell r="BB126" t="str">
            <v>Neutral</v>
          </cell>
          <cell r="BD126" t="str">
            <v>Water mastery;Drench;Vortex;Elemental traits</v>
          </cell>
          <cell r="BF126">
            <v>5</v>
          </cell>
          <cell r="BG126">
            <v>1</v>
          </cell>
          <cell r="BH126" t="str">
            <v>Planar</v>
          </cell>
          <cell r="BI126" t="str">
            <v>Elemental</v>
          </cell>
          <cell r="BM126" t="str">
            <v>MM</v>
          </cell>
          <cell r="BN126">
            <v>98</v>
          </cell>
          <cell r="BO126" t="str">
            <v>PlH</v>
          </cell>
          <cell r="BP126" t="b">
            <v>1</v>
          </cell>
          <cell r="BQ126" t="b">
            <v>0</v>
          </cell>
          <cell r="BR126" t="b">
            <v>0</v>
          </cell>
          <cell r="BS126">
            <v>6</v>
          </cell>
          <cell r="BT126" t="str">
            <v/>
          </cell>
          <cell r="BV126" t="b">
            <v>0</v>
          </cell>
          <cell r="BW126">
            <v>8</v>
          </cell>
          <cell r="BX126" t="str">
            <v/>
          </cell>
          <cell r="BY126" t="b">
            <v>0</v>
          </cell>
          <cell r="BZ126" t="b">
            <v>0</v>
          </cell>
          <cell r="CA126">
            <v>21</v>
          </cell>
          <cell r="CB126" t="str">
            <v/>
          </cell>
          <cell r="CC126" t="b">
            <v>0</v>
          </cell>
          <cell r="CD126" t="b">
            <v>0</v>
          </cell>
          <cell r="CE126">
            <v>19</v>
          </cell>
          <cell r="CF126" t="str">
            <v/>
          </cell>
        </row>
        <row r="127">
          <cell r="A127" t="str">
            <v>Elephant</v>
          </cell>
          <cell r="C127" t="str">
            <v>Huge</v>
          </cell>
          <cell r="D127" t="str">
            <v>Animal</v>
          </cell>
          <cell r="F127">
            <v>11</v>
          </cell>
          <cell r="G127">
            <v>40</v>
          </cell>
          <cell r="M127">
            <v>7</v>
          </cell>
          <cell r="N127" t="str">
            <v>Gore+14+0+2,Slam+5+0+1,2 Stamps+5+0+0,Trample+14+0+2</v>
          </cell>
          <cell r="S127" t="str">
            <v>normal</v>
          </cell>
          <cell r="AA127">
            <v>30</v>
          </cell>
          <cell r="AB127">
            <v>10</v>
          </cell>
          <cell r="AC127">
            <v>21</v>
          </cell>
          <cell r="AD127">
            <v>2</v>
          </cell>
          <cell r="AE127">
            <v>13</v>
          </cell>
          <cell r="AF127">
            <v>7</v>
          </cell>
          <cell r="BG127">
            <v>13</v>
          </cell>
          <cell r="BM127" t="str">
            <v>MM</v>
          </cell>
          <cell r="BN127">
            <v>272</v>
          </cell>
          <cell r="BP127" t="b">
            <v>1</v>
          </cell>
          <cell r="BQ127" t="b">
            <v>0</v>
          </cell>
          <cell r="BR127" t="b">
            <v>0</v>
          </cell>
          <cell r="BS127">
            <v>6</v>
          </cell>
          <cell r="BT127" t="str">
            <v/>
          </cell>
          <cell r="BV127" t="b">
            <v>0</v>
          </cell>
          <cell r="BW127">
            <v>8</v>
          </cell>
          <cell r="BX127" t="str">
            <v/>
          </cell>
          <cell r="BY127" t="b">
            <v>1</v>
          </cell>
          <cell r="BZ127" t="b">
            <v>0</v>
          </cell>
          <cell r="CA127">
            <v>21</v>
          </cell>
          <cell r="CB127" t="str">
            <v/>
          </cell>
          <cell r="CD127" t="b">
            <v>0</v>
          </cell>
          <cell r="CE127">
            <v>19</v>
          </cell>
          <cell r="CF127" t="str">
            <v/>
          </cell>
        </row>
        <row r="128">
          <cell r="A128" t="str">
            <v>Elven Hound</v>
          </cell>
          <cell r="C128" t="str">
            <v>Medium</v>
          </cell>
          <cell r="D128" t="str">
            <v>Magical Beast</v>
          </cell>
          <cell r="F128">
            <v>2</v>
          </cell>
          <cell r="G128">
            <v>50</v>
          </cell>
          <cell r="M128">
            <v>4</v>
          </cell>
          <cell r="N128" t="str">
            <v>Bite;</v>
          </cell>
          <cell r="O128" t="str">
            <v>1d8;</v>
          </cell>
          <cell r="S128" t="str">
            <v>normal</v>
          </cell>
          <cell r="U128" t="str">
            <v>sleep</v>
          </cell>
          <cell r="AA128">
            <v>17</v>
          </cell>
          <cell r="AB128">
            <v>17</v>
          </cell>
          <cell r="AC128">
            <v>13</v>
          </cell>
          <cell r="AD128">
            <v>2</v>
          </cell>
          <cell r="AE128">
            <v>12</v>
          </cell>
          <cell r="AF128">
            <v>8</v>
          </cell>
          <cell r="AG128" t="str">
            <v>0;4</v>
          </cell>
          <cell r="AH128" t="str">
            <v>0;0</v>
          </cell>
          <cell r="AI128" t="str">
            <v>0;0</v>
          </cell>
          <cell r="AJ128" t="str">
            <v>0;0</v>
          </cell>
          <cell r="AK128" t="str">
            <v>0;0</v>
          </cell>
          <cell r="AL128" t="str">
            <v>0;4</v>
          </cell>
          <cell r="AN128" t="str">
            <v>0;0</v>
          </cell>
          <cell r="AO128" t="str">
            <v>0;4</v>
          </cell>
          <cell r="AP128" t="str">
            <v>2;2</v>
          </cell>
          <cell r="AQ128" t="str">
            <v>0;0</v>
          </cell>
          <cell r="AR128" t="str">
            <v>0;0</v>
          </cell>
          <cell r="AS128" t="str">
            <v>0;0</v>
          </cell>
          <cell r="AT128" t="str">
            <v>0;0</v>
          </cell>
          <cell r="AU128" t="str">
            <v>2;2</v>
          </cell>
          <cell r="AV128" t="str">
            <v>1;0</v>
          </cell>
          <cell r="AW128" t="str">
            <v>0;4</v>
          </cell>
          <cell r="AX128" t="str">
            <v>Track;Improved Natural Attack (bite)</v>
          </cell>
          <cell r="BB128" t="str">
            <v>Neutral</v>
          </cell>
          <cell r="BD128" t="str">
            <v>Scent;Sprint</v>
          </cell>
          <cell r="BG128">
            <v>1</v>
          </cell>
          <cell r="BM128" t="str">
            <v>RotW</v>
          </cell>
          <cell r="BN128">
            <v>189</v>
          </cell>
          <cell r="BP128" t="b">
            <v>1</v>
          </cell>
          <cell r="BQ128" t="b">
            <v>0</v>
          </cell>
          <cell r="BR128" t="b">
            <v>0</v>
          </cell>
          <cell r="BS128">
            <v>6</v>
          </cell>
          <cell r="BT128" t="str">
            <v/>
          </cell>
          <cell r="BV128" t="b">
            <v>0</v>
          </cell>
          <cell r="BW128">
            <v>8</v>
          </cell>
          <cell r="BX128" t="str">
            <v/>
          </cell>
          <cell r="BY128" t="b">
            <v>0</v>
          </cell>
          <cell r="BZ128" t="b">
            <v>0</v>
          </cell>
          <cell r="CA128">
            <v>21</v>
          </cell>
          <cell r="CB128" t="str">
            <v/>
          </cell>
          <cell r="CD128" t="b">
            <v>0</v>
          </cell>
          <cell r="CE128">
            <v>19</v>
          </cell>
          <cell r="CF128" t="str">
            <v/>
          </cell>
        </row>
        <row r="129">
          <cell r="A129" t="str">
            <v>Flying Snake</v>
          </cell>
          <cell r="C129" t="str">
            <v>Small</v>
          </cell>
          <cell r="D129" t="str">
            <v>Magical Beast</v>
          </cell>
          <cell r="F129">
            <v>1</v>
          </cell>
          <cell r="G129">
            <v>20</v>
          </cell>
          <cell r="I129">
            <v>20</v>
          </cell>
          <cell r="J129">
            <v>20</v>
          </cell>
          <cell r="K129" t="str">
            <v>avg</v>
          </cell>
          <cell r="M129">
            <v>3</v>
          </cell>
          <cell r="N129" t="str">
            <v>Bite;</v>
          </cell>
          <cell r="O129" t="str">
            <v>1d3;</v>
          </cell>
          <cell r="AA129">
            <v>6</v>
          </cell>
          <cell r="AB129">
            <v>17</v>
          </cell>
          <cell r="AC129">
            <v>11</v>
          </cell>
          <cell r="AD129">
            <v>1</v>
          </cell>
          <cell r="AE129">
            <v>12</v>
          </cell>
          <cell r="AF129">
            <v>2</v>
          </cell>
          <cell r="AG129" t="str">
            <v>0;8</v>
          </cell>
          <cell r="AH129" t="str">
            <v>0;0</v>
          </cell>
          <cell r="AI129" t="str">
            <v>1;8</v>
          </cell>
          <cell r="AJ129" t="str">
            <v>0;0</v>
          </cell>
          <cell r="AK129" t="str">
            <v>0;0</v>
          </cell>
          <cell r="AL129" t="str">
            <v>1;8</v>
          </cell>
          <cell r="AN129" t="str">
            <v>0;0</v>
          </cell>
          <cell r="AO129" t="str">
            <v>0;-6</v>
          </cell>
          <cell r="AP129" t="str">
            <v>1;6</v>
          </cell>
          <cell r="AQ129" t="str">
            <v>0;0</v>
          </cell>
          <cell r="AR129" t="str">
            <v>0;0</v>
          </cell>
          <cell r="AS129" t="str">
            <v>0;0</v>
          </cell>
          <cell r="AT129" t="str">
            <v>0;0</v>
          </cell>
          <cell r="AU129" t="str">
            <v>1;6</v>
          </cell>
          <cell r="AV129" t="str">
            <v>0;0</v>
          </cell>
          <cell r="AW129" t="str">
            <v>0;0</v>
          </cell>
          <cell r="AX129" t="str">
            <v>Alertness;Weapon Finesse;</v>
          </cell>
          <cell r="BB129" t="str">
            <v>Neutral</v>
          </cell>
          <cell r="BD129" t="str">
            <v>Acid Spit;Improved Grab;Constrict;Scent</v>
          </cell>
          <cell r="BF129">
            <v>3</v>
          </cell>
          <cell r="BH129" t="str">
            <v>Improved</v>
          </cell>
          <cell r="BM129" t="str">
            <v>RoF</v>
          </cell>
          <cell r="BO129" t="str">
            <v>PGtF</v>
          </cell>
          <cell r="BP129" t="b">
            <v>0</v>
          </cell>
          <cell r="BQ129" t="b">
            <v>0</v>
          </cell>
          <cell r="BR129" t="b">
            <v>0</v>
          </cell>
          <cell r="BS129">
            <v>6</v>
          </cell>
          <cell r="BT129" t="str">
            <v/>
          </cell>
          <cell r="BV129" t="b">
            <v>0</v>
          </cell>
          <cell r="BW129">
            <v>8</v>
          </cell>
          <cell r="BX129" t="str">
            <v/>
          </cell>
          <cell r="BZ129" t="b">
            <v>0</v>
          </cell>
          <cell r="CA129">
            <v>21</v>
          </cell>
          <cell r="CB129" t="str">
            <v/>
          </cell>
          <cell r="CD129" t="b">
            <v>0</v>
          </cell>
          <cell r="CE129">
            <v>19</v>
          </cell>
          <cell r="CF129" t="str">
            <v/>
          </cell>
        </row>
        <row r="130">
          <cell r="A130" t="str">
            <v>Formian, Worker</v>
          </cell>
          <cell r="C130" t="str">
            <v>Small</v>
          </cell>
          <cell r="D130" t="str">
            <v>Magical Beast</v>
          </cell>
          <cell r="F130">
            <v>1</v>
          </cell>
          <cell r="G130">
            <v>40</v>
          </cell>
          <cell r="M130">
            <v>4</v>
          </cell>
          <cell r="N130" t="str">
            <v>Bite;</v>
          </cell>
          <cell r="O130" t="str">
            <v>1d4;</v>
          </cell>
          <cell r="U130" t="str">
            <v>cold,petrification,poison</v>
          </cell>
          <cell r="W130" t="str">
            <v>elecricity 10, fire 10, sonic 10</v>
          </cell>
          <cell r="AA130">
            <v>13</v>
          </cell>
          <cell r="AB130">
            <v>14</v>
          </cell>
          <cell r="AC130">
            <v>13</v>
          </cell>
          <cell r="AD130">
            <v>6</v>
          </cell>
          <cell r="AE130">
            <v>10</v>
          </cell>
          <cell r="AF130">
            <v>9</v>
          </cell>
          <cell r="AG130" t="str">
            <v>0;0</v>
          </cell>
          <cell r="AH130" t="str">
            <v>0;0</v>
          </cell>
          <cell r="AI130" t="str">
            <v>4;4</v>
          </cell>
          <cell r="AJ130" t="str">
            <v>0;0</v>
          </cell>
          <cell r="AK130" t="str">
            <v>0;0</v>
          </cell>
          <cell r="AL130" t="str">
            <v>0;4</v>
          </cell>
          <cell r="AN130" t="str">
            <v>0;0</v>
          </cell>
          <cell r="AO130" t="str">
            <v>0;4</v>
          </cell>
          <cell r="AP130" t="str">
            <v>4;0</v>
          </cell>
          <cell r="AQ130" t="str">
            <v>0;0</v>
          </cell>
          <cell r="AR130" t="str">
            <v>4;0</v>
          </cell>
          <cell r="AS130" t="str">
            <v>0;0</v>
          </cell>
          <cell r="AT130" t="str">
            <v>0;0</v>
          </cell>
          <cell r="AU130" t="str">
            <v>4;0</v>
          </cell>
          <cell r="AV130" t="str">
            <v>0;0</v>
          </cell>
          <cell r="AW130" t="str">
            <v>0;0</v>
          </cell>
          <cell r="AX130" t="str">
            <v>Skill Focus(Craft);</v>
          </cell>
          <cell r="BB130" t="str">
            <v>Lawful Neutral</v>
          </cell>
          <cell r="BD130" t="str">
            <v>Cure Serious Wounds;Hive mind;Make Whole</v>
          </cell>
          <cell r="BF130">
            <v>7</v>
          </cell>
          <cell r="BH130" t="str">
            <v>Improved</v>
          </cell>
          <cell r="BM130" t="str">
            <v>MM</v>
          </cell>
          <cell r="BN130">
            <v>108</v>
          </cell>
          <cell r="BP130" t="b">
            <v>1</v>
          </cell>
          <cell r="BQ130" t="b">
            <v>0</v>
          </cell>
          <cell r="BR130" t="b">
            <v>0</v>
          </cell>
          <cell r="BS130">
            <v>6</v>
          </cell>
          <cell r="BT130" t="str">
            <v/>
          </cell>
          <cell r="BU130" t="b">
            <v>1</v>
          </cell>
          <cell r="BV130" t="b">
            <v>0</v>
          </cell>
          <cell r="BW130">
            <v>8</v>
          </cell>
          <cell r="BX130" t="str">
            <v/>
          </cell>
          <cell r="BZ130" t="b">
            <v>0</v>
          </cell>
          <cell r="CA130">
            <v>21</v>
          </cell>
          <cell r="CB130" t="str">
            <v/>
          </cell>
          <cell r="CD130" t="b">
            <v>0</v>
          </cell>
          <cell r="CE130">
            <v>19</v>
          </cell>
          <cell r="CF130" t="str">
            <v/>
          </cell>
        </row>
        <row r="131">
          <cell r="A131" t="str">
            <v>Fox</v>
          </cell>
          <cell r="C131" t="str">
            <v>Small</v>
          </cell>
          <cell r="D131" t="str">
            <v>Animal</v>
          </cell>
          <cell r="F131">
            <v>1</v>
          </cell>
          <cell r="G131">
            <v>40</v>
          </cell>
          <cell r="N131" t="str">
            <v>Bite+5+0+2</v>
          </cell>
          <cell r="S131" t="str">
            <v>normal</v>
          </cell>
          <cell r="AA131">
            <v>11</v>
          </cell>
          <cell r="AB131">
            <v>19</v>
          </cell>
          <cell r="AC131">
            <v>11</v>
          </cell>
          <cell r="BM131" t="str">
            <v>OA</v>
          </cell>
          <cell r="BP131" t="b">
            <v>0</v>
          </cell>
          <cell r="BQ131" t="b">
            <v>0</v>
          </cell>
          <cell r="BR131" t="b">
            <v>0</v>
          </cell>
          <cell r="BS131">
            <v>6</v>
          </cell>
          <cell r="BT131" t="str">
            <v/>
          </cell>
          <cell r="BV131" t="b">
            <v>0</v>
          </cell>
          <cell r="BW131">
            <v>8</v>
          </cell>
          <cell r="BX131" t="str">
            <v/>
          </cell>
          <cell r="BZ131" t="b">
            <v>0</v>
          </cell>
          <cell r="CA131">
            <v>21</v>
          </cell>
          <cell r="CB131" t="str">
            <v/>
          </cell>
          <cell r="CD131" t="b">
            <v>0</v>
          </cell>
          <cell r="CE131">
            <v>19</v>
          </cell>
          <cell r="CF131" t="str">
            <v/>
          </cell>
        </row>
        <row r="132">
          <cell r="A132" t="str">
            <v>Ghostly Visage</v>
          </cell>
          <cell r="C132" t="str">
            <v>Tiny</v>
          </cell>
          <cell r="D132" t="str">
            <v>Undead</v>
          </cell>
          <cell r="E132" t="str">
            <v>Incorporeal, Symbiont</v>
          </cell>
          <cell r="F132">
            <v>1</v>
          </cell>
          <cell r="J132">
            <v>10</v>
          </cell>
          <cell r="K132" t="str">
            <v>perfect</v>
          </cell>
          <cell r="N132" t="str">
            <v/>
          </cell>
          <cell r="T132">
            <v>60</v>
          </cell>
          <cell r="U132" t="str">
            <v>mind affecting effects, poison, sleep, paralysis, stunning, disease, death effects, necromantic effects, effect that requires a Fortitude save
unless it also works on objects, critical hits, subdual damage, ability damage, ability drain, energy drain, death from massive damage</v>
          </cell>
          <cell r="AA132" t="str">
            <v>-</v>
          </cell>
          <cell r="AB132">
            <v>14</v>
          </cell>
          <cell r="AC132" t="str">
            <v>-</v>
          </cell>
          <cell r="AD132">
            <v>12</v>
          </cell>
          <cell r="AE132">
            <v>9</v>
          </cell>
          <cell r="AF132">
            <v>16</v>
          </cell>
          <cell r="AG132" t="str">
            <v>Bluff+4,Hide,Intimidate+4,Knowledge(arcana),Knowledge(religion),Listen,Search,Spot</v>
          </cell>
          <cell r="AX132" t="str">
            <v>Alertness;Iron Will</v>
          </cell>
          <cell r="BB132" t="str">
            <v>Chaotic Evil</v>
          </cell>
          <cell r="BD132" t="str">
            <v>Gaze of terror;meld;visage;mind shielding</v>
          </cell>
          <cell r="BF132">
            <v>7</v>
          </cell>
          <cell r="BH132" t="str">
            <v>Restricted</v>
          </cell>
          <cell r="BM132" t="str">
            <v>FF</v>
          </cell>
          <cell r="BN132">
            <v>221</v>
          </cell>
          <cell r="BO132" t="str">
            <v>HH</v>
          </cell>
          <cell r="BP132" t="b">
            <v>0</v>
          </cell>
          <cell r="BQ132" t="b">
            <v>0</v>
          </cell>
          <cell r="BR132" t="b">
            <v>0</v>
          </cell>
          <cell r="BS132">
            <v>6</v>
          </cell>
          <cell r="BT132" t="str">
            <v/>
          </cell>
          <cell r="BV132" t="b">
            <v>0</v>
          </cell>
          <cell r="BW132">
            <v>8</v>
          </cell>
          <cell r="BX132" t="str">
            <v/>
          </cell>
          <cell r="BZ132" t="b">
            <v>0</v>
          </cell>
          <cell r="CA132">
            <v>21</v>
          </cell>
          <cell r="CB132" t="str">
            <v/>
          </cell>
          <cell r="CD132" t="b">
            <v>0</v>
          </cell>
          <cell r="CE132">
            <v>19</v>
          </cell>
          <cell r="CF132" t="str">
            <v/>
          </cell>
        </row>
        <row r="133">
          <cell r="A133" t="str">
            <v>Girallon</v>
          </cell>
          <cell r="D133" t="str">
            <v>Magical Beast</v>
          </cell>
          <cell r="N133" t="str">
            <v/>
          </cell>
          <cell r="BG133">
            <v>10</v>
          </cell>
          <cell r="BM133" t="str">
            <v>MM</v>
          </cell>
          <cell r="BN133">
            <v>126</v>
          </cell>
          <cell r="BP133" t="b">
            <v>1</v>
          </cell>
          <cell r="BQ133" t="b">
            <v>0</v>
          </cell>
          <cell r="BR133" t="b">
            <v>0</v>
          </cell>
          <cell r="BS133">
            <v>6</v>
          </cell>
          <cell r="BT133" t="str">
            <v/>
          </cell>
          <cell r="BV133" t="b">
            <v>0</v>
          </cell>
          <cell r="BW133">
            <v>8</v>
          </cell>
          <cell r="BX133" t="str">
            <v/>
          </cell>
          <cell r="BY133" t="b">
            <v>0</v>
          </cell>
          <cell r="BZ133" t="b">
            <v>0</v>
          </cell>
          <cell r="CA133">
            <v>21</v>
          </cell>
          <cell r="CB133" t="str">
            <v/>
          </cell>
          <cell r="CD133" t="b">
            <v>0</v>
          </cell>
          <cell r="CE133">
            <v>19</v>
          </cell>
          <cell r="CF133" t="str">
            <v/>
          </cell>
        </row>
        <row r="134">
          <cell r="A134" t="str">
            <v>Gorgon</v>
          </cell>
          <cell r="D134" t="str">
            <v>Magical Beast</v>
          </cell>
          <cell r="N134" t="str">
            <v/>
          </cell>
          <cell r="BG134">
            <v>16</v>
          </cell>
          <cell r="BM134" t="str">
            <v>MM</v>
          </cell>
          <cell r="BN134">
            <v>137</v>
          </cell>
          <cell r="BP134" t="b">
            <v>1</v>
          </cell>
          <cell r="BQ134" t="b">
            <v>0</v>
          </cell>
          <cell r="BR134" t="b">
            <v>0</v>
          </cell>
          <cell r="BS134">
            <v>6</v>
          </cell>
          <cell r="BT134" t="str">
            <v/>
          </cell>
          <cell r="BV134" t="b">
            <v>0</v>
          </cell>
          <cell r="BW134">
            <v>8</v>
          </cell>
          <cell r="BX134" t="str">
            <v/>
          </cell>
          <cell r="BY134" t="b">
            <v>0</v>
          </cell>
          <cell r="BZ134" t="b">
            <v>0</v>
          </cell>
          <cell r="CA134">
            <v>21</v>
          </cell>
          <cell r="CB134" t="str">
            <v/>
          </cell>
          <cell r="CD134" t="b">
            <v>0</v>
          </cell>
          <cell r="CE134">
            <v>19</v>
          </cell>
          <cell r="CF134" t="str">
            <v/>
          </cell>
        </row>
        <row r="135">
          <cell r="A135" t="str">
            <v>Gray Render</v>
          </cell>
          <cell r="D135" t="str">
            <v>Magical Beast</v>
          </cell>
          <cell r="N135" t="str">
            <v/>
          </cell>
          <cell r="BG135">
            <v>16</v>
          </cell>
          <cell r="BM135" t="str">
            <v>MM</v>
          </cell>
          <cell r="BN135">
            <v>138</v>
          </cell>
          <cell r="BP135" t="b">
            <v>1</v>
          </cell>
          <cell r="BQ135" t="b">
            <v>0</v>
          </cell>
          <cell r="BR135" t="b">
            <v>0</v>
          </cell>
          <cell r="BS135">
            <v>6</v>
          </cell>
          <cell r="BT135" t="str">
            <v/>
          </cell>
          <cell r="BV135" t="b">
            <v>0</v>
          </cell>
          <cell r="BW135">
            <v>8</v>
          </cell>
          <cell r="BX135" t="str">
            <v/>
          </cell>
          <cell r="BY135" t="b">
            <v>0</v>
          </cell>
          <cell r="BZ135" t="b">
            <v>0</v>
          </cell>
          <cell r="CA135">
            <v>21</v>
          </cell>
          <cell r="CB135" t="str">
            <v/>
          </cell>
          <cell r="CD135" t="b">
            <v>0</v>
          </cell>
          <cell r="CE135">
            <v>19</v>
          </cell>
          <cell r="CF135" t="str">
            <v/>
          </cell>
        </row>
        <row r="136">
          <cell r="A136" t="str">
            <v>Griffon</v>
          </cell>
          <cell r="D136" t="str">
            <v>Magical Beast</v>
          </cell>
          <cell r="N136" t="str">
            <v/>
          </cell>
          <cell r="BG136">
            <v>7</v>
          </cell>
          <cell r="BM136" t="str">
            <v>MM</v>
          </cell>
          <cell r="BN136">
            <v>139</v>
          </cell>
          <cell r="BP136" t="b">
            <v>1</v>
          </cell>
          <cell r="BQ136" t="b">
            <v>0</v>
          </cell>
          <cell r="BR136" t="b">
            <v>0</v>
          </cell>
          <cell r="BS136">
            <v>6</v>
          </cell>
          <cell r="BT136" t="str">
            <v/>
          </cell>
          <cell r="BV136" t="b">
            <v>0</v>
          </cell>
          <cell r="BW136">
            <v>8</v>
          </cell>
          <cell r="BX136" t="str">
            <v/>
          </cell>
          <cell r="BY136" t="b">
            <v>0</v>
          </cell>
          <cell r="BZ136" t="b">
            <v>0</v>
          </cell>
          <cell r="CA136">
            <v>21</v>
          </cell>
          <cell r="CB136" t="str">
            <v/>
          </cell>
          <cell r="CD136" t="b">
            <v>0</v>
          </cell>
          <cell r="CE136">
            <v>19</v>
          </cell>
          <cell r="CF136" t="str">
            <v/>
          </cell>
        </row>
        <row r="137">
          <cell r="A137" t="str">
            <v>Guardinal, Musteval</v>
          </cell>
          <cell r="C137" t="str">
            <v>Tiny</v>
          </cell>
          <cell r="D137" t="str">
            <v>Outsider</v>
          </cell>
          <cell r="F137">
            <v>0</v>
          </cell>
          <cell r="G137">
            <v>30</v>
          </cell>
          <cell r="H137">
            <v>10</v>
          </cell>
          <cell r="M137">
            <v>4</v>
          </cell>
          <cell r="N137" t="str">
            <v>Bite;</v>
          </cell>
          <cell r="O137" t="str">
            <v>1d3;</v>
          </cell>
          <cell r="U137" t="str">
            <v>electricity,petrification</v>
          </cell>
          <cell r="W137" t="str">
            <v>acid 10, cold 10</v>
          </cell>
          <cell r="AA137">
            <v>7</v>
          </cell>
          <cell r="AB137">
            <v>18</v>
          </cell>
          <cell r="AC137">
            <v>12</v>
          </cell>
          <cell r="AD137">
            <v>11</v>
          </cell>
          <cell r="AE137">
            <v>14</v>
          </cell>
          <cell r="AF137">
            <v>13</v>
          </cell>
          <cell r="AG137" t="str">
            <v>3;0</v>
          </cell>
          <cell r="AH137" t="str">
            <v>0;0</v>
          </cell>
          <cell r="AI137" t="str">
            <v>5;4</v>
          </cell>
          <cell r="AJ137" t="str">
            <v>0;0</v>
          </cell>
          <cell r="AK137" t="str">
            <v>0;0</v>
          </cell>
          <cell r="AL137" t="str">
            <v>5;8</v>
          </cell>
          <cell r="AN137" t="str">
            <v>0;0</v>
          </cell>
          <cell r="AO137" t="str">
            <v>2;0</v>
          </cell>
          <cell r="AP137" t="str">
            <v>1;4</v>
          </cell>
          <cell r="AQ137" t="str">
            <v>5;0</v>
          </cell>
          <cell r="AR137" t="str">
            <v>0;0</v>
          </cell>
          <cell r="AS137" t="str">
            <v>0;0</v>
          </cell>
          <cell r="AT137" t="str">
            <v>0;0</v>
          </cell>
          <cell r="AU137" t="str">
            <v>0;0</v>
          </cell>
          <cell r="AV137" t="str">
            <v>5;0</v>
          </cell>
          <cell r="AW137" t="str">
            <v>0;0</v>
          </cell>
          <cell r="AX137" t="str">
            <v>Weapon Finesse;</v>
          </cell>
          <cell r="BB137" t="str">
            <v>Neutral Good</v>
          </cell>
          <cell r="BD137" t="str">
            <v>Focused movement;Resistance to acid 10;Resistance to cold 10;Tongues</v>
          </cell>
          <cell r="BF137">
            <v>7</v>
          </cell>
          <cell r="BH137" t="str">
            <v>Celestial</v>
          </cell>
          <cell r="BM137" t="str">
            <v>BoED</v>
          </cell>
          <cell r="BN137">
            <v>174</v>
          </cell>
          <cell r="BP137" t="b">
            <v>0</v>
          </cell>
          <cell r="BQ137" t="b">
            <v>0</v>
          </cell>
          <cell r="BR137" t="b">
            <v>0</v>
          </cell>
          <cell r="BS137">
            <v>6</v>
          </cell>
          <cell r="BT137" t="str">
            <v/>
          </cell>
          <cell r="BU137" t="b">
            <v>0</v>
          </cell>
          <cell r="BV137" t="b">
            <v>0</v>
          </cell>
          <cell r="BW137">
            <v>8</v>
          </cell>
          <cell r="BX137" t="str">
            <v/>
          </cell>
          <cell r="BZ137" t="b">
            <v>0</v>
          </cell>
          <cell r="CA137">
            <v>21</v>
          </cell>
          <cell r="CB137" t="str">
            <v/>
          </cell>
          <cell r="CD137" t="b">
            <v>0</v>
          </cell>
          <cell r="CE137">
            <v>19</v>
          </cell>
          <cell r="CF137" t="str">
            <v/>
          </cell>
        </row>
        <row r="138">
          <cell r="A138" t="str">
            <v>Hare</v>
          </cell>
          <cell r="C138" t="str">
            <v>Tiny</v>
          </cell>
          <cell r="D138" t="str">
            <v>Animal</v>
          </cell>
          <cell r="F138">
            <v>1</v>
          </cell>
          <cell r="G138">
            <v>40</v>
          </cell>
          <cell r="N138" t="str">
            <v>Bite+5+0+2</v>
          </cell>
          <cell r="AA138">
            <v>1</v>
          </cell>
          <cell r="AB138">
            <v>19</v>
          </cell>
          <cell r="AC138">
            <v>10</v>
          </cell>
          <cell r="BM138" t="str">
            <v>OA</v>
          </cell>
          <cell r="BP138" t="b">
            <v>0</v>
          </cell>
          <cell r="BQ138" t="b">
            <v>0</v>
          </cell>
          <cell r="BR138" t="b">
            <v>0</v>
          </cell>
          <cell r="BS138">
            <v>6</v>
          </cell>
          <cell r="BT138" t="str">
            <v/>
          </cell>
          <cell r="BV138" t="b">
            <v>0</v>
          </cell>
          <cell r="BW138">
            <v>8</v>
          </cell>
          <cell r="BX138" t="str">
            <v/>
          </cell>
          <cell r="BZ138" t="b">
            <v>0</v>
          </cell>
          <cell r="CA138">
            <v>21</v>
          </cell>
          <cell r="CB138" t="str">
            <v/>
          </cell>
          <cell r="CD138" t="b">
            <v>0</v>
          </cell>
          <cell r="CE138">
            <v>19</v>
          </cell>
          <cell r="CF138" t="str">
            <v/>
          </cell>
        </row>
        <row r="139">
          <cell r="A139" t="str">
            <v>Hawk</v>
          </cell>
          <cell r="C139" t="str">
            <v>Tiny</v>
          </cell>
          <cell r="D139" t="str">
            <v>Animal</v>
          </cell>
          <cell r="F139">
            <v>1</v>
          </cell>
          <cell r="G139">
            <v>10</v>
          </cell>
          <cell r="J139">
            <v>60</v>
          </cell>
          <cell r="K139" t="str">
            <v>average</v>
          </cell>
          <cell r="M139">
            <v>2</v>
          </cell>
          <cell r="N139" t="str">
            <v>Talons+6+0+2</v>
          </cell>
          <cell r="O139" t="str">
            <v>1d4;</v>
          </cell>
          <cell r="S139" t="str">
            <v>normal</v>
          </cell>
          <cell r="AA139">
            <v>6</v>
          </cell>
          <cell r="AB139">
            <v>17</v>
          </cell>
          <cell r="AC139">
            <v>10</v>
          </cell>
          <cell r="AD139">
            <v>2</v>
          </cell>
          <cell r="AE139">
            <v>14</v>
          </cell>
          <cell r="AF139">
            <v>6</v>
          </cell>
          <cell r="AG139" t="str">
            <v>0;0</v>
          </cell>
          <cell r="AH139" t="str">
            <v>0;0</v>
          </cell>
          <cell r="AI139" t="str">
            <v>0;0</v>
          </cell>
          <cell r="AJ139" t="str">
            <v>0;0</v>
          </cell>
          <cell r="AK139" t="str">
            <v>0;0</v>
          </cell>
          <cell r="AL139" t="str">
            <v>0;8</v>
          </cell>
          <cell r="AN139" t="str">
            <v>0;0</v>
          </cell>
          <cell r="AO139" t="str">
            <v>0;-12</v>
          </cell>
          <cell r="AP139" t="str">
            <v>0;0</v>
          </cell>
          <cell r="AQ139" t="str">
            <v>0;0</v>
          </cell>
          <cell r="AR139" t="str">
            <v>0;0</v>
          </cell>
          <cell r="AS139" t="str">
            <v>0;0</v>
          </cell>
          <cell r="AT139" t="str">
            <v>0;0</v>
          </cell>
          <cell r="AU139" t="str">
            <v>4;8</v>
          </cell>
          <cell r="AV139" t="str">
            <v>0;0</v>
          </cell>
          <cell r="AW139" t="str">
            <v>0;0</v>
          </cell>
          <cell r="AX139" t="str">
            <v>Weapon Finesse</v>
          </cell>
          <cell r="BA139">
            <v>0</v>
          </cell>
          <cell r="BB139" t="str">
            <v>Neutral</v>
          </cell>
          <cell r="BD139" t="str">
            <v>Grants +3 bonus to spot in bright light</v>
          </cell>
          <cell r="BF139">
            <v>1</v>
          </cell>
          <cell r="BG139">
            <v>1</v>
          </cell>
          <cell r="BH139" t="str">
            <v>Normal</v>
          </cell>
          <cell r="BM139" t="str">
            <v>MM</v>
          </cell>
          <cell r="BN139">
            <v>273</v>
          </cell>
          <cell r="BP139" t="b">
            <v>1</v>
          </cell>
          <cell r="BQ139" t="b">
            <v>0</v>
          </cell>
          <cell r="BR139" t="b">
            <v>0</v>
          </cell>
          <cell r="BS139">
            <v>6</v>
          </cell>
          <cell r="BT139" t="str">
            <v/>
          </cell>
          <cell r="BV139" t="b">
            <v>1</v>
          </cell>
          <cell r="BW139">
            <v>9</v>
          </cell>
          <cell r="BX139" t="str">
            <v/>
          </cell>
          <cell r="BZ139" t="b">
            <v>1</v>
          </cell>
          <cell r="CA139">
            <v>22</v>
          </cell>
          <cell r="CB139" t="str">
            <v/>
          </cell>
          <cell r="CD139" t="b">
            <v>0</v>
          </cell>
          <cell r="CE139">
            <v>19</v>
          </cell>
          <cell r="CF139" t="str">
            <v/>
          </cell>
        </row>
        <row r="140">
          <cell r="A140" t="str">
            <v>Hell Hound</v>
          </cell>
          <cell r="C140" t="str">
            <v>Medium</v>
          </cell>
          <cell r="D140" t="str">
            <v>Magical Beast</v>
          </cell>
          <cell r="F140">
            <v>4</v>
          </cell>
          <cell r="G140">
            <v>40</v>
          </cell>
          <cell r="M140">
            <v>5</v>
          </cell>
          <cell r="N140" t="str">
            <v>Bite;</v>
          </cell>
          <cell r="O140" t="str">
            <v>1d8;</v>
          </cell>
          <cell r="T140">
            <v>60</v>
          </cell>
          <cell r="U140" t="str">
            <v>fire</v>
          </cell>
          <cell r="V140" t="str">
            <v>cold</v>
          </cell>
          <cell r="AA140">
            <v>13</v>
          </cell>
          <cell r="AB140">
            <v>13</v>
          </cell>
          <cell r="AC140">
            <v>13</v>
          </cell>
          <cell r="AD140">
            <v>6</v>
          </cell>
          <cell r="AE140">
            <v>10</v>
          </cell>
          <cell r="AF140">
            <v>6</v>
          </cell>
          <cell r="AG140" t="str">
            <v>0;0</v>
          </cell>
          <cell r="AH140" t="str">
            <v>0;0</v>
          </cell>
          <cell r="AI140" t="str">
            <v>0;0</v>
          </cell>
          <cell r="AJ140" t="str">
            <v>0;0</v>
          </cell>
          <cell r="AK140" t="str">
            <v>0;0</v>
          </cell>
          <cell r="AL140" t="str">
            <v>7;5</v>
          </cell>
          <cell r="AN140" t="str">
            <v>0;0</v>
          </cell>
          <cell r="AO140" t="str">
            <v>7;4</v>
          </cell>
          <cell r="AP140" t="str">
            <v>7;0</v>
          </cell>
          <cell r="AQ140" t="str">
            <v>7;5</v>
          </cell>
          <cell r="AR140" t="str">
            <v>0;0</v>
          </cell>
          <cell r="AS140" t="str">
            <v>0;0</v>
          </cell>
          <cell r="AT140" t="str">
            <v>0;0</v>
          </cell>
          <cell r="AU140" t="str">
            <v>7;0</v>
          </cell>
          <cell r="AV140" t="str">
            <v>7;0</v>
          </cell>
          <cell r="AW140" t="str">
            <v>0;0</v>
          </cell>
          <cell r="AX140" t="str">
            <v>Improved Initiative;Run;Track;</v>
          </cell>
          <cell r="BB140" t="str">
            <v>Lawful Evil</v>
          </cell>
          <cell r="BD140" t="str">
            <v>Breath Weapon;Fiery Bite</v>
          </cell>
          <cell r="BF140">
            <v>5</v>
          </cell>
          <cell r="BH140" t="str">
            <v>Improved</v>
          </cell>
          <cell r="BM140" t="str">
            <v>MM</v>
          </cell>
          <cell r="BN140">
            <v>151</v>
          </cell>
          <cell r="BO140" t="str">
            <v>CW</v>
          </cell>
          <cell r="BP140" t="b">
            <v>1</v>
          </cell>
          <cell r="BQ140" t="b">
            <v>0</v>
          </cell>
          <cell r="BR140" t="b">
            <v>0</v>
          </cell>
          <cell r="BS140">
            <v>6</v>
          </cell>
          <cell r="BT140" t="str">
            <v/>
          </cell>
          <cell r="BU140" t="b">
            <v>0</v>
          </cell>
          <cell r="BV140" t="b">
            <v>0</v>
          </cell>
          <cell r="BW140">
            <v>9</v>
          </cell>
          <cell r="BX140" t="str">
            <v/>
          </cell>
          <cell r="BZ140" t="b">
            <v>0</v>
          </cell>
          <cell r="CA140">
            <v>22</v>
          </cell>
          <cell r="CB140" t="str">
            <v/>
          </cell>
          <cell r="CD140" t="b">
            <v>0</v>
          </cell>
          <cell r="CE140">
            <v>19</v>
          </cell>
          <cell r="CF140" t="str">
            <v/>
          </cell>
        </row>
        <row r="141">
          <cell r="A141" t="str">
            <v>Hippogriff</v>
          </cell>
          <cell r="C141" t="str">
            <v>Large</v>
          </cell>
          <cell r="D141" t="str">
            <v>Magical Beast</v>
          </cell>
          <cell r="F141">
            <v>3</v>
          </cell>
          <cell r="G141">
            <v>50</v>
          </cell>
          <cell r="J141">
            <v>100</v>
          </cell>
          <cell r="K141" t="str">
            <v>avg</v>
          </cell>
          <cell r="M141">
            <v>4</v>
          </cell>
          <cell r="N141" t="str">
            <v>2 Claws;Bite;</v>
          </cell>
          <cell r="O141" t="str">
            <v>1d4;1d8;</v>
          </cell>
          <cell r="S141" t="str">
            <v>normal</v>
          </cell>
          <cell r="T141">
            <v>60</v>
          </cell>
          <cell r="AA141">
            <v>18</v>
          </cell>
          <cell r="AB141">
            <v>15</v>
          </cell>
          <cell r="AC141">
            <v>16</v>
          </cell>
          <cell r="AD141">
            <v>2</v>
          </cell>
          <cell r="AE141">
            <v>13</v>
          </cell>
          <cell r="AF141">
            <v>8</v>
          </cell>
          <cell r="AG141" t="str">
            <v>0;0</v>
          </cell>
          <cell r="AH141" t="str">
            <v>0;0</v>
          </cell>
          <cell r="AI141" t="str">
            <v>0;0</v>
          </cell>
          <cell r="AJ141" t="str">
            <v>0;0</v>
          </cell>
          <cell r="AK141" t="str">
            <v>0;0</v>
          </cell>
          <cell r="AL141" t="str">
            <v>0;-4</v>
          </cell>
          <cell r="AN141" t="str">
            <v>0;0</v>
          </cell>
          <cell r="AO141" t="str">
            <v>0;8</v>
          </cell>
          <cell r="AP141" t="str">
            <v>3;0</v>
          </cell>
          <cell r="AQ141" t="str">
            <v>0;0</v>
          </cell>
          <cell r="AR141" t="str">
            <v>0;0</v>
          </cell>
          <cell r="AS141" t="str">
            <v>0;0</v>
          </cell>
          <cell r="AT141" t="str">
            <v>0;0</v>
          </cell>
          <cell r="AU141" t="str">
            <v>3;4</v>
          </cell>
          <cell r="AV141" t="str">
            <v>0;0</v>
          </cell>
          <cell r="AW141" t="str">
            <v>0;0</v>
          </cell>
          <cell r="AX141" t="str">
            <v>Dodge;Wingover;</v>
          </cell>
          <cell r="BB141" t="str">
            <v>Neutral</v>
          </cell>
          <cell r="BD141" t="str">
            <v>Scent</v>
          </cell>
          <cell r="BF141">
            <v>7</v>
          </cell>
          <cell r="BG141">
            <v>4</v>
          </cell>
          <cell r="BH141" t="str">
            <v>Improved</v>
          </cell>
          <cell r="BM141" t="str">
            <v>MM</v>
          </cell>
          <cell r="BN141">
            <v>152</v>
          </cell>
          <cell r="BO141" t="str">
            <v>CW</v>
          </cell>
          <cell r="BP141" t="b">
            <v>1</v>
          </cell>
          <cell r="BQ141" t="b">
            <v>0</v>
          </cell>
          <cell r="BR141" t="b">
            <v>0</v>
          </cell>
          <cell r="BS141">
            <v>6</v>
          </cell>
          <cell r="BT141" t="str">
            <v/>
          </cell>
          <cell r="BU141" t="b">
            <v>0</v>
          </cell>
          <cell r="BV141" t="b">
            <v>0</v>
          </cell>
          <cell r="BW141">
            <v>9</v>
          </cell>
          <cell r="BX141" t="str">
            <v/>
          </cell>
          <cell r="BY141" t="b">
            <v>0</v>
          </cell>
          <cell r="BZ141" t="b">
            <v>0</v>
          </cell>
          <cell r="CA141">
            <v>22</v>
          </cell>
          <cell r="CB141" t="str">
            <v/>
          </cell>
          <cell r="CD141" t="b">
            <v>0</v>
          </cell>
          <cell r="CE141">
            <v>19</v>
          </cell>
          <cell r="CF141" t="str">
            <v/>
          </cell>
        </row>
        <row r="142">
          <cell r="A142" t="str">
            <v>Horse, Heavy</v>
          </cell>
          <cell r="C142" t="str">
            <v>Large</v>
          </cell>
          <cell r="D142" t="str">
            <v>Animal</v>
          </cell>
          <cell r="N142" t="str">
            <v/>
          </cell>
          <cell r="BG142">
            <v>1</v>
          </cell>
          <cell r="BM142" t="str">
            <v>MM</v>
          </cell>
          <cell r="BN142">
            <v>273</v>
          </cell>
          <cell r="BP142" t="b">
            <v>1</v>
          </cell>
          <cell r="BQ142" t="b">
            <v>0</v>
          </cell>
          <cell r="BR142" t="b">
            <v>0</v>
          </cell>
          <cell r="BS142">
            <v>6</v>
          </cell>
          <cell r="BT142" t="str">
            <v/>
          </cell>
          <cell r="BV142" t="b">
            <v>0</v>
          </cell>
          <cell r="BW142">
            <v>9</v>
          </cell>
          <cell r="BX142" t="str">
            <v/>
          </cell>
          <cell r="BY142" t="b">
            <v>1</v>
          </cell>
          <cell r="BZ142" t="b">
            <v>1</v>
          </cell>
          <cell r="CA142">
            <v>23</v>
          </cell>
          <cell r="CB142" t="str">
            <v/>
          </cell>
          <cell r="CD142" t="b">
            <v>0</v>
          </cell>
          <cell r="CE142">
            <v>19</v>
          </cell>
          <cell r="CF142" t="str">
            <v/>
          </cell>
        </row>
        <row r="143">
          <cell r="A143" t="str">
            <v>Horse, Light</v>
          </cell>
          <cell r="C143" t="str">
            <v>Large</v>
          </cell>
          <cell r="D143" t="str">
            <v>Animal</v>
          </cell>
          <cell r="N143" t="str">
            <v/>
          </cell>
          <cell r="BG143">
            <v>1</v>
          </cell>
          <cell r="BM143" t="str">
            <v>MM</v>
          </cell>
          <cell r="BN143">
            <v>273</v>
          </cell>
          <cell r="BP143" t="b">
            <v>1</v>
          </cell>
          <cell r="BQ143" t="b">
            <v>0</v>
          </cell>
          <cell r="BR143" t="b">
            <v>0</v>
          </cell>
          <cell r="BS143">
            <v>6</v>
          </cell>
          <cell r="BT143" t="str">
            <v/>
          </cell>
          <cell r="BV143" t="b">
            <v>0</v>
          </cell>
          <cell r="BW143">
            <v>9</v>
          </cell>
          <cell r="BX143" t="str">
            <v/>
          </cell>
          <cell r="BY143" t="b">
            <v>1</v>
          </cell>
          <cell r="BZ143" t="b">
            <v>1</v>
          </cell>
          <cell r="CA143">
            <v>24</v>
          </cell>
          <cell r="CB143" t="str">
            <v/>
          </cell>
          <cell r="CD143" t="b">
            <v>0</v>
          </cell>
          <cell r="CE143">
            <v>19</v>
          </cell>
          <cell r="CF143" t="str">
            <v/>
          </cell>
        </row>
        <row r="144">
          <cell r="A144" t="str">
            <v>Howler</v>
          </cell>
          <cell r="C144" t="str">
            <v>Large</v>
          </cell>
          <cell r="D144" t="str">
            <v>Magical Beast</v>
          </cell>
          <cell r="F144">
            <v>6</v>
          </cell>
          <cell r="G144">
            <v>60</v>
          </cell>
          <cell r="M144">
            <v>5</v>
          </cell>
          <cell r="N144" t="str">
            <v>Bite;1d4 Quills;</v>
          </cell>
          <cell r="O144" t="str">
            <v>2d8;1d6;</v>
          </cell>
          <cell r="T144">
            <v>60</v>
          </cell>
          <cell r="AA144">
            <v>21</v>
          </cell>
          <cell r="AB144">
            <v>17</v>
          </cell>
          <cell r="AC144">
            <v>15</v>
          </cell>
          <cell r="AD144">
            <v>6</v>
          </cell>
          <cell r="AE144">
            <v>14</v>
          </cell>
          <cell r="AF144">
            <v>8</v>
          </cell>
          <cell r="AG144" t="str">
            <v>0;0</v>
          </cell>
          <cell r="AH144" t="str">
            <v>0;0</v>
          </cell>
          <cell r="AI144" t="str">
            <v>9;0</v>
          </cell>
          <cell r="AJ144" t="str">
            <v>0;0</v>
          </cell>
          <cell r="AK144" t="str">
            <v>0;0</v>
          </cell>
          <cell r="AL144" t="str">
            <v>9;-4</v>
          </cell>
          <cell r="AN144" t="str">
            <v>0;0</v>
          </cell>
          <cell r="AO144" t="str">
            <v>0;12</v>
          </cell>
          <cell r="AP144" t="str">
            <v>9;2</v>
          </cell>
          <cell r="AQ144" t="str">
            <v>9;0</v>
          </cell>
          <cell r="AR144" t="str">
            <v>9;0</v>
          </cell>
          <cell r="AS144" t="str">
            <v>0;0</v>
          </cell>
          <cell r="AT144" t="str">
            <v>0;0</v>
          </cell>
          <cell r="AU144" t="str">
            <v>9;2</v>
          </cell>
          <cell r="AV144" t="str">
            <v>0;0</v>
          </cell>
          <cell r="AW144" t="str">
            <v>0;0</v>
          </cell>
          <cell r="AX144" t="str">
            <v>Alertness;Combat Reflexes;Improved Initiative;</v>
          </cell>
          <cell r="BB144" t="str">
            <v>Chaotic Evil</v>
          </cell>
          <cell r="BD144" t="str">
            <v>Quills;Howl</v>
          </cell>
          <cell r="BF144">
            <v>7</v>
          </cell>
          <cell r="BH144" t="str">
            <v>Improved</v>
          </cell>
          <cell r="BM144" t="str">
            <v>MM</v>
          </cell>
          <cell r="BN144">
            <v>154</v>
          </cell>
          <cell r="BO144" t="str">
            <v>CW</v>
          </cell>
          <cell r="BP144" t="b">
            <v>1</v>
          </cell>
          <cell r="BQ144" t="b">
            <v>0</v>
          </cell>
          <cell r="BR144" t="b">
            <v>0</v>
          </cell>
          <cell r="BS144">
            <v>6</v>
          </cell>
          <cell r="BT144" t="str">
            <v/>
          </cell>
          <cell r="BU144" t="b">
            <v>0</v>
          </cell>
          <cell r="BV144" t="b">
            <v>0</v>
          </cell>
          <cell r="BW144">
            <v>9</v>
          </cell>
          <cell r="BX144" t="str">
            <v/>
          </cell>
          <cell r="BZ144" t="b">
            <v>0</v>
          </cell>
          <cell r="CA144">
            <v>24</v>
          </cell>
          <cell r="CB144" t="str">
            <v/>
          </cell>
          <cell r="CD144" t="b">
            <v>0</v>
          </cell>
          <cell r="CE144">
            <v>19</v>
          </cell>
          <cell r="CF144" t="str">
            <v/>
          </cell>
        </row>
        <row r="145">
          <cell r="A145" t="str">
            <v>Imp</v>
          </cell>
          <cell r="C145" t="str">
            <v>Tiny</v>
          </cell>
          <cell r="D145" t="str">
            <v>Outsider</v>
          </cell>
          <cell r="F145">
            <v>3</v>
          </cell>
          <cell r="G145">
            <v>20</v>
          </cell>
          <cell r="J145">
            <v>50</v>
          </cell>
          <cell r="K145" t="str">
            <v>perfect</v>
          </cell>
          <cell r="M145">
            <v>5</v>
          </cell>
          <cell r="N145" t="str">
            <v>Sting</v>
          </cell>
          <cell r="O145" t="str">
            <v>1d4;</v>
          </cell>
          <cell r="T145">
            <v>60</v>
          </cell>
          <cell r="U145" t="str">
            <v>poison</v>
          </cell>
          <cell r="W145" t="str">
            <v>fire 5</v>
          </cell>
          <cell r="Y145" t="str">
            <v>5/good or silver</v>
          </cell>
          <cell r="Z145">
            <v>2</v>
          </cell>
          <cell r="AA145">
            <v>10</v>
          </cell>
          <cell r="AB145">
            <v>17</v>
          </cell>
          <cell r="AC145">
            <v>10</v>
          </cell>
          <cell r="AD145">
            <v>10</v>
          </cell>
          <cell r="AE145">
            <v>12</v>
          </cell>
          <cell r="AF145">
            <v>14</v>
          </cell>
          <cell r="AG145" t="str">
            <v>0;0</v>
          </cell>
          <cell r="AH145" t="str">
            <v>0;0</v>
          </cell>
          <cell r="AI145" t="str">
            <v>0;0</v>
          </cell>
          <cell r="AJ145" t="str">
            <v>6;0</v>
          </cell>
          <cell r="AK145" t="str">
            <v>0;0</v>
          </cell>
          <cell r="AL145" t="str">
            <v>6;8</v>
          </cell>
          <cell r="AN145" t="str">
            <v>0;0</v>
          </cell>
          <cell r="AO145" t="str">
            <v>0;-6</v>
          </cell>
          <cell r="AP145" t="str">
            <v>6;0</v>
          </cell>
          <cell r="AQ145" t="str">
            <v>6;0</v>
          </cell>
          <cell r="AR145" t="str">
            <v>6;0</v>
          </cell>
          <cell r="AS145" t="str">
            <v>0;0</v>
          </cell>
          <cell r="AT145" t="str">
            <v>6;0</v>
          </cell>
          <cell r="AU145" t="str">
            <v>6;0</v>
          </cell>
          <cell r="AV145" t="str">
            <v>0;0</v>
          </cell>
          <cell r="AW145" t="str">
            <v>0;0</v>
          </cell>
          <cell r="AX145" t="str">
            <v>Dodge;Weapon Finesse;</v>
          </cell>
          <cell r="BB145" t="str">
            <v>Lawful Evil</v>
          </cell>
          <cell r="BD145" t="str">
            <v>Poison;Spell-like abilities;Alternate form</v>
          </cell>
          <cell r="BF145">
            <v>7</v>
          </cell>
          <cell r="BH145" t="str">
            <v>Improved, Planar</v>
          </cell>
          <cell r="BM145" t="str">
            <v>MM</v>
          </cell>
          <cell r="BN145">
            <v>56</v>
          </cell>
          <cell r="BO145" t="str">
            <v>PlH</v>
          </cell>
          <cell r="BP145" t="b">
            <v>1</v>
          </cell>
          <cell r="BQ145" t="b">
            <v>0</v>
          </cell>
          <cell r="BR145" t="b">
            <v>0</v>
          </cell>
          <cell r="BS145">
            <v>6</v>
          </cell>
          <cell r="BT145" t="str">
            <v/>
          </cell>
          <cell r="BU145" t="b">
            <v>0</v>
          </cell>
          <cell r="BV145" t="b">
            <v>0</v>
          </cell>
          <cell r="BW145">
            <v>9</v>
          </cell>
          <cell r="BX145" t="str">
            <v/>
          </cell>
          <cell r="BZ145" t="b">
            <v>0</v>
          </cell>
          <cell r="CA145">
            <v>24</v>
          </cell>
          <cell r="CB145" t="str">
            <v/>
          </cell>
          <cell r="CD145" t="b">
            <v>0</v>
          </cell>
          <cell r="CE145">
            <v>19</v>
          </cell>
          <cell r="CF145" t="str">
            <v/>
          </cell>
        </row>
        <row r="146">
          <cell r="A146" t="str">
            <v>Krenshar</v>
          </cell>
          <cell r="C146" t="str">
            <v>Medium</v>
          </cell>
          <cell r="D146" t="str">
            <v>Magical Beast</v>
          </cell>
          <cell r="F146">
            <v>2</v>
          </cell>
          <cell r="G146">
            <v>40</v>
          </cell>
          <cell r="M146">
            <v>3</v>
          </cell>
          <cell r="N146" t="str">
            <v>Bite;2 Claws;</v>
          </cell>
          <cell r="O146" t="str">
            <v>1d6;1d4;</v>
          </cell>
          <cell r="S146" t="str">
            <v>normal</v>
          </cell>
          <cell r="T146">
            <v>60</v>
          </cell>
          <cell r="AA146">
            <v>11</v>
          </cell>
          <cell r="AB146">
            <v>14</v>
          </cell>
          <cell r="AC146">
            <v>11</v>
          </cell>
          <cell r="AD146">
            <v>6</v>
          </cell>
          <cell r="AE146">
            <v>12</v>
          </cell>
          <cell r="AF146">
            <v>13</v>
          </cell>
          <cell r="AG146" t="str">
            <v>0;0</v>
          </cell>
          <cell r="AH146" t="str">
            <v>0;0</v>
          </cell>
          <cell r="AI146" t="str">
            <v>0;0</v>
          </cell>
          <cell r="AJ146" t="str">
            <v>0;0</v>
          </cell>
          <cell r="AK146" t="str">
            <v>0;0</v>
          </cell>
          <cell r="AL146" t="str">
            <v>2;0</v>
          </cell>
          <cell r="AN146" t="str">
            <v>0;0</v>
          </cell>
          <cell r="AO146" t="str">
            <v>1;8</v>
          </cell>
          <cell r="AP146" t="str">
            <v>2;0</v>
          </cell>
          <cell r="AQ146" t="str">
            <v>0;4</v>
          </cell>
          <cell r="AR146" t="str">
            <v>0;0</v>
          </cell>
          <cell r="AS146" t="str">
            <v>0;0</v>
          </cell>
          <cell r="AT146" t="str">
            <v>0;0</v>
          </cell>
          <cell r="AU146" t="str">
            <v>0;0</v>
          </cell>
          <cell r="AV146" t="str">
            <v>0;0</v>
          </cell>
          <cell r="AW146" t="str">
            <v>0;0</v>
          </cell>
          <cell r="AX146" t="str">
            <v>Multiattack;Track;</v>
          </cell>
          <cell r="BB146" t="str">
            <v>Neutral</v>
          </cell>
          <cell r="BD146" t="str">
            <v>Scare;Scent</v>
          </cell>
          <cell r="BF146">
            <v>3</v>
          </cell>
          <cell r="BH146" t="str">
            <v>Improved</v>
          </cell>
          <cell r="BM146" t="str">
            <v>MM</v>
          </cell>
          <cell r="BN146">
            <v>163</v>
          </cell>
          <cell r="BO146" t="str">
            <v>CW</v>
          </cell>
          <cell r="BP146" t="b">
            <v>1</v>
          </cell>
          <cell r="BQ146" t="b">
            <v>0</v>
          </cell>
          <cell r="BR146" t="b">
            <v>0</v>
          </cell>
          <cell r="BS146">
            <v>6</v>
          </cell>
          <cell r="BT146" t="str">
            <v/>
          </cell>
          <cell r="BU146" t="b">
            <v>1</v>
          </cell>
          <cell r="BV146" t="b">
            <v>0</v>
          </cell>
          <cell r="BW146">
            <v>9</v>
          </cell>
          <cell r="BX146" t="str">
            <v/>
          </cell>
          <cell r="BZ146" t="b">
            <v>0</v>
          </cell>
          <cell r="CA146">
            <v>24</v>
          </cell>
          <cell r="CB146" t="str">
            <v/>
          </cell>
          <cell r="CD146" t="b">
            <v>0</v>
          </cell>
          <cell r="CE146">
            <v>19</v>
          </cell>
          <cell r="CF146" t="str">
            <v/>
          </cell>
        </row>
        <row r="147">
          <cell r="A147" t="str">
            <v>Leopard</v>
          </cell>
          <cell r="C147" t="str">
            <v>Medium</v>
          </cell>
          <cell r="D147" t="str">
            <v>Animal</v>
          </cell>
          <cell r="F147">
            <v>3</v>
          </cell>
          <cell r="G147">
            <v>40</v>
          </cell>
          <cell r="I147">
            <v>20</v>
          </cell>
          <cell r="M147">
            <v>1</v>
          </cell>
          <cell r="N147" t="str">
            <v>Bite+5+0+1,2 Claws+3+0+0,Rake+3+0+0</v>
          </cell>
          <cell r="S147" t="str">
            <v>normal</v>
          </cell>
          <cell r="AA147">
            <v>16</v>
          </cell>
          <cell r="AB147">
            <v>19</v>
          </cell>
          <cell r="AC147">
            <v>15</v>
          </cell>
          <cell r="AD147">
            <v>2</v>
          </cell>
          <cell r="AE147">
            <v>12</v>
          </cell>
          <cell r="AF147">
            <v>6</v>
          </cell>
          <cell r="BG147">
            <v>4</v>
          </cell>
          <cell r="BM147" t="str">
            <v>MM</v>
          </cell>
          <cell r="BN147">
            <v>274</v>
          </cell>
          <cell r="BP147" t="b">
            <v>1</v>
          </cell>
          <cell r="BQ147" t="b">
            <v>0</v>
          </cell>
          <cell r="BR147" t="b">
            <v>0</v>
          </cell>
          <cell r="BS147">
            <v>6</v>
          </cell>
          <cell r="BT147" t="str">
            <v/>
          </cell>
          <cell r="BV147" t="b">
            <v>0</v>
          </cell>
          <cell r="BW147">
            <v>9</v>
          </cell>
          <cell r="BX147" t="str">
            <v/>
          </cell>
          <cell r="BY147" t="b">
            <v>1</v>
          </cell>
          <cell r="BZ147" t="b">
            <v>1</v>
          </cell>
          <cell r="CA147">
            <v>25</v>
          </cell>
          <cell r="CB147" t="str">
            <v/>
          </cell>
          <cell r="CD147" t="b">
            <v>1</v>
          </cell>
          <cell r="CE147">
            <v>20</v>
          </cell>
          <cell r="CF147" t="str">
            <v/>
          </cell>
        </row>
        <row r="148">
          <cell r="A148" t="str">
            <v>Lion</v>
          </cell>
          <cell r="C148" t="str">
            <v>Large</v>
          </cell>
          <cell r="D148" t="str">
            <v>Animal</v>
          </cell>
          <cell r="F148">
            <v>5</v>
          </cell>
          <cell r="G148">
            <v>40</v>
          </cell>
          <cell r="M148">
            <v>3</v>
          </cell>
          <cell r="N148" t="str">
            <v>2 Claws+3+0+1,Bite+5+0+0,Rake+3+0+0</v>
          </cell>
          <cell r="S148" t="str">
            <v>normal</v>
          </cell>
          <cell r="AA148">
            <v>21</v>
          </cell>
          <cell r="AB148">
            <v>17</v>
          </cell>
          <cell r="AC148">
            <v>15</v>
          </cell>
          <cell r="AD148">
            <v>2</v>
          </cell>
          <cell r="AE148">
            <v>12</v>
          </cell>
          <cell r="AF148">
            <v>6</v>
          </cell>
          <cell r="BG148">
            <v>7</v>
          </cell>
          <cell r="BM148" t="str">
            <v>MM</v>
          </cell>
          <cell r="BN148">
            <v>274</v>
          </cell>
          <cell r="BP148" t="b">
            <v>1</v>
          </cell>
          <cell r="BQ148" t="b">
            <v>0</v>
          </cell>
          <cell r="BR148" t="b">
            <v>0</v>
          </cell>
          <cell r="BS148">
            <v>6</v>
          </cell>
          <cell r="BT148" t="str">
            <v/>
          </cell>
          <cell r="BV148" t="b">
            <v>0</v>
          </cell>
          <cell r="BW148">
            <v>9</v>
          </cell>
          <cell r="BX148" t="str">
            <v/>
          </cell>
          <cell r="BY148" t="b">
            <v>1</v>
          </cell>
          <cell r="BZ148" t="b">
            <v>0</v>
          </cell>
          <cell r="CA148">
            <v>25</v>
          </cell>
          <cell r="CB148" t="str">
            <v/>
          </cell>
          <cell r="CD148" t="b">
            <v>0</v>
          </cell>
          <cell r="CE148">
            <v>20</v>
          </cell>
          <cell r="CF148" t="str">
            <v/>
          </cell>
        </row>
        <row r="149">
          <cell r="A149" t="str">
            <v>Lizard</v>
          </cell>
          <cell r="C149" t="str">
            <v>Tiny</v>
          </cell>
          <cell r="D149" t="str">
            <v>Animal</v>
          </cell>
          <cell r="F149">
            <v>0.5</v>
          </cell>
          <cell r="G149">
            <v>20</v>
          </cell>
          <cell r="I149">
            <v>20</v>
          </cell>
          <cell r="M149">
            <v>0</v>
          </cell>
          <cell r="N149" t="str">
            <v>Bite+6+0+2</v>
          </cell>
          <cell r="O149" t="str">
            <v>1d4;</v>
          </cell>
          <cell r="S149" t="str">
            <v>normal</v>
          </cell>
          <cell r="AA149">
            <v>3</v>
          </cell>
          <cell r="AB149">
            <v>15</v>
          </cell>
          <cell r="AC149">
            <v>10</v>
          </cell>
          <cell r="AD149">
            <v>1</v>
          </cell>
          <cell r="AE149">
            <v>12</v>
          </cell>
          <cell r="AF149">
            <v>2</v>
          </cell>
          <cell r="AG149" t="str">
            <v>0;8</v>
          </cell>
          <cell r="AH149" t="str">
            <v>0;0</v>
          </cell>
          <cell r="AI149" t="str">
            <v>2;8</v>
          </cell>
          <cell r="AJ149" t="str">
            <v>0;0</v>
          </cell>
          <cell r="AK149" t="str">
            <v>0;0</v>
          </cell>
          <cell r="AL149" t="str">
            <v>0;8</v>
          </cell>
          <cell r="AN149" t="str">
            <v>0;0</v>
          </cell>
          <cell r="AO149" t="str">
            <v>0;-6</v>
          </cell>
          <cell r="AP149" t="str">
            <v>2;0</v>
          </cell>
          <cell r="AQ149" t="str">
            <v>0;2</v>
          </cell>
          <cell r="AR149" t="str">
            <v>0;0</v>
          </cell>
          <cell r="AS149" t="str">
            <v>0;0</v>
          </cell>
          <cell r="AT149" t="str">
            <v>0;0</v>
          </cell>
          <cell r="AU149" t="str">
            <v>2;0</v>
          </cell>
          <cell r="AV149" t="str">
            <v>0;0</v>
          </cell>
          <cell r="AW149" t="str">
            <v>0;0</v>
          </cell>
          <cell r="AX149" t="str">
            <v>Weapon Finesse</v>
          </cell>
          <cell r="BA149">
            <v>0</v>
          </cell>
          <cell r="BB149" t="str">
            <v>Neutral</v>
          </cell>
          <cell r="BF149">
            <v>1</v>
          </cell>
          <cell r="BH149" t="str">
            <v>Normal</v>
          </cell>
          <cell r="BM149" t="str">
            <v>MM</v>
          </cell>
          <cell r="BN149">
            <v>275</v>
          </cell>
          <cell r="BO149" t="str">
            <v>PH</v>
          </cell>
          <cell r="BP149" t="b">
            <v>1</v>
          </cell>
          <cell r="BQ149" t="b">
            <v>0</v>
          </cell>
          <cell r="BR149" t="b">
            <v>0</v>
          </cell>
          <cell r="BS149">
            <v>6</v>
          </cell>
          <cell r="BT149" t="str">
            <v/>
          </cell>
          <cell r="BV149" t="b">
            <v>1</v>
          </cell>
          <cell r="BW149">
            <v>10</v>
          </cell>
          <cell r="BX149" t="str">
            <v/>
          </cell>
          <cell r="BZ149" t="b">
            <v>0</v>
          </cell>
          <cell r="CA149">
            <v>25</v>
          </cell>
          <cell r="CB149" t="str">
            <v/>
          </cell>
          <cell r="CD149" t="b">
            <v>0</v>
          </cell>
          <cell r="CE149">
            <v>20</v>
          </cell>
          <cell r="CF149" t="str">
            <v/>
          </cell>
        </row>
        <row r="150">
          <cell r="A150" t="str">
            <v>Lizard, Monitor</v>
          </cell>
          <cell r="C150" t="str">
            <v>Medium</v>
          </cell>
          <cell r="D150" t="str">
            <v>Animal</v>
          </cell>
          <cell r="F150">
            <v>3</v>
          </cell>
          <cell r="G150">
            <v>30</v>
          </cell>
          <cell r="L150">
            <v>30</v>
          </cell>
          <cell r="M150">
            <v>3</v>
          </cell>
          <cell r="N150" t="str">
            <v>Bite+6+0+2</v>
          </cell>
          <cell r="S150" t="str">
            <v>normal</v>
          </cell>
          <cell r="AA150">
            <v>17</v>
          </cell>
          <cell r="AB150">
            <v>15</v>
          </cell>
          <cell r="AC150">
            <v>17</v>
          </cell>
          <cell r="AD150">
            <v>1</v>
          </cell>
          <cell r="AE150">
            <v>12</v>
          </cell>
          <cell r="AF150">
            <v>2</v>
          </cell>
          <cell r="BG150">
            <v>4</v>
          </cell>
          <cell r="BM150" t="str">
            <v>MM</v>
          </cell>
          <cell r="BN150">
            <v>275</v>
          </cell>
          <cell r="BP150" t="b">
            <v>1</v>
          </cell>
          <cell r="BQ150" t="b">
            <v>0</v>
          </cell>
          <cell r="BR150" t="b">
            <v>0</v>
          </cell>
          <cell r="BS150">
            <v>6</v>
          </cell>
          <cell r="BT150" t="str">
            <v/>
          </cell>
          <cell r="BV150" t="b">
            <v>0</v>
          </cell>
          <cell r="BW150">
            <v>10</v>
          </cell>
          <cell r="BX150" t="str">
            <v/>
          </cell>
          <cell r="BY150" t="b">
            <v>1</v>
          </cell>
          <cell r="BZ150" t="b">
            <v>1</v>
          </cell>
          <cell r="CA150">
            <v>26</v>
          </cell>
          <cell r="CB150" t="str">
            <v/>
          </cell>
          <cell r="CD150" t="b">
            <v>1</v>
          </cell>
          <cell r="CE150">
            <v>21</v>
          </cell>
          <cell r="CF150" t="str">
            <v/>
          </cell>
        </row>
        <row r="151">
          <cell r="A151" t="str">
            <v>Lizard, Spitting Crawler</v>
          </cell>
          <cell r="C151" t="str">
            <v>Tiny</v>
          </cell>
          <cell r="D151" t="str">
            <v>Animal</v>
          </cell>
          <cell r="F151">
            <v>0.5</v>
          </cell>
          <cell r="G151">
            <v>20</v>
          </cell>
          <cell r="I151">
            <v>20</v>
          </cell>
          <cell r="M151">
            <v>0</v>
          </cell>
          <cell r="N151" t="str">
            <v>Bite;</v>
          </cell>
          <cell r="O151" t="str">
            <v>1d4;</v>
          </cell>
          <cell r="AA151">
            <v>3</v>
          </cell>
          <cell r="AB151">
            <v>15</v>
          </cell>
          <cell r="AC151">
            <v>10</v>
          </cell>
          <cell r="AD151">
            <v>2</v>
          </cell>
          <cell r="AE151">
            <v>12</v>
          </cell>
          <cell r="AF151">
            <v>2</v>
          </cell>
          <cell r="AG151" t="str">
            <v>4;0</v>
          </cell>
          <cell r="AH151" t="str">
            <v>0;0</v>
          </cell>
          <cell r="AI151" t="str">
            <v>4;2</v>
          </cell>
          <cell r="AJ151" t="str">
            <v>0;0</v>
          </cell>
          <cell r="AK151" t="str">
            <v>0;0</v>
          </cell>
          <cell r="AL151" t="str">
            <v>3;8</v>
          </cell>
          <cell r="AN151" t="str">
            <v>0;0</v>
          </cell>
          <cell r="AO151" t="str">
            <v>0;-6</v>
          </cell>
          <cell r="AP151" t="str">
            <v>2;0</v>
          </cell>
          <cell r="AQ151" t="str">
            <v>0;0</v>
          </cell>
          <cell r="AR151" t="str">
            <v>0;0</v>
          </cell>
          <cell r="AS151" t="str">
            <v>0;0</v>
          </cell>
          <cell r="AT151" t="str">
            <v>0;0</v>
          </cell>
          <cell r="AU151" t="str">
            <v>2;0</v>
          </cell>
          <cell r="AV151" t="str">
            <v>0;0</v>
          </cell>
          <cell r="AW151" t="str">
            <v>0;0</v>
          </cell>
          <cell r="AX151" t="str">
            <v>Weapon Finesse;</v>
          </cell>
          <cell r="BB151" t="str">
            <v>Neutral</v>
          </cell>
          <cell r="BD151" t="str">
            <v>Spit Acid</v>
          </cell>
          <cell r="BF151">
            <v>3</v>
          </cell>
          <cell r="BH151" t="str">
            <v>Improved</v>
          </cell>
          <cell r="BM151" t="str">
            <v>FRCS</v>
          </cell>
          <cell r="BN151">
            <v>308</v>
          </cell>
          <cell r="BO151" t="str">
            <v>PGtF</v>
          </cell>
          <cell r="BP151" t="b">
            <v>0</v>
          </cell>
          <cell r="BQ151" t="b">
            <v>0</v>
          </cell>
          <cell r="BR151" t="b">
            <v>0</v>
          </cell>
          <cell r="BS151">
            <v>6</v>
          </cell>
          <cell r="BT151" t="str">
            <v/>
          </cell>
          <cell r="BV151" t="b">
            <v>0</v>
          </cell>
          <cell r="BW151">
            <v>10</v>
          </cell>
          <cell r="BX151" t="str">
            <v/>
          </cell>
          <cell r="BZ151" t="b">
            <v>0</v>
          </cell>
          <cell r="CA151">
            <v>26</v>
          </cell>
          <cell r="CB151" t="str">
            <v/>
          </cell>
          <cell r="CD151" t="b">
            <v>0</v>
          </cell>
          <cell r="CE151">
            <v>21</v>
          </cell>
          <cell r="CF151" t="str">
            <v/>
          </cell>
        </row>
        <row r="152">
          <cell r="A152" t="str">
            <v>Lynx</v>
          </cell>
          <cell r="C152" t="str">
            <v>Small</v>
          </cell>
          <cell r="D152" t="str">
            <v>Animal</v>
          </cell>
          <cell r="F152">
            <v>1</v>
          </cell>
          <cell r="G152">
            <v>40</v>
          </cell>
          <cell r="M152">
            <v>0</v>
          </cell>
          <cell r="N152" t="str">
            <v>Bite;2 Claws;</v>
          </cell>
          <cell r="O152" t="str">
            <v>1d4;1d3;</v>
          </cell>
          <cell r="AA152">
            <v>7</v>
          </cell>
          <cell r="AB152">
            <v>17</v>
          </cell>
          <cell r="AC152">
            <v>12</v>
          </cell>
          <cell r="AD152">
            <v>2</v>
          </cell>
          <cell r="AE152">
            <v>12</v>
          </cell>
          <cell r="AF152">
            <v>7</v>
          </cell>
          <cell r="AG152" t="str">
            <v>1;8</v>
          </cell>
          <cell r="AH152" t="str">
            <v>0;0</v>
          </cell>
          <cell r="AI152" t="str">
            <v>1;0</v>
          </cell>
          <cell r="AJ152" t="str">
            <v>0;0</v>
          </cell>
          <cell r="AK152" t="str">
            <v>0;0</v>
          </cell>
          <cell r="AL152" t="str">
            <v>1;8</v>
          </cell>
          <cell r="AN152" t="str">
            <v>0;0</v>
          </cell>
          <cell r="AO152" t="str">
            <v>0;4</v>
          </cell>
          <cell r="AP152" t="str">
            <v>0;2</v>
          </cell>
          <cell r="AQ152" t="str">
            <v>1;4</v>
          </cell>
          <cell r="AR152" t="str">
            <v>0;0</v>
          </cell>
          <cell r="AS152" t="str">
            <v>0;0</v>
          </cell>
          <cell r="AT152" t="str">
            <v>0;0</v>
          </cell>
          <cell r="AU152" t="str">
            <v>0;2</v>
          </cell>
          <cell r="AV152" t="str">
            <v>0;0</v>
          </cell>
          <cell r="AW152" t="str">
            <v>0;0</v>
          </cell>
          <cell r="AX152" t="str">
            <v>Alertness;Weapon Finesse;</v>
          </cell>
          <cell r="BB152" t="str">
            <v>Neutral</v>
          </cell>
          <cell r="BD152" t="str">
            <v>Pounce;Scent</v>
          </cell>
          <cell r="BF152">
            <v>3</v>
          </cell>
          <cell r="BH152" t="str">
            <v>Improved</v>
          </cell>
          <cell r="BM152" t="str">
            <v>RoF</v>
          </cell>
          <cell r="BO152" t="str">
            <v>PGtF</v>
          </cell>
          <cell r="BP152" t="b">
            <v>0</v>
          </cell>
          <cell r="BQ152" t="b">
            <v>0</v>
          </cell>
          <cell r="BR152" t="b">
            <v>0</v>
          </cell>
          <cell r="BS152">
            <v>6</v>
          </cell>
          <cell r="BT152" t="str">
            <v/>
          </cell>
          <cell r="BV152" t="b">
            <v>0</v>
          </cell>
          <cell r="BW152">
            <v>10</v>
          </cell>
          <cell r="BX152" t="str">
            <v/>
          </cell>
          <cell r="BZ152" t="b">
            <v>0</v>
          </cell>
          <cell r="CA152">
            <v>26</v>
          </cell>
          <cell r="CB152" t="str">
            <v/>
          </cell>
          <cell r="CD152" t="b">
            <v>0</v>
          </cell>
          <cell r="CE152">
            <v>21</v>
          </cell>
          <cell r="CF152" t="str">
            <v/>
          </cell>
        </row>
        <row r="153">
          <cell r="A153" t="str">
            <v>Megaraptor</v>
          </cell>
          <cell r="C153" t="str">
            <v>Large</v>
          </cell>
          <cell r="D153" t="str">
            <v>Animal</v>
          </cell>
          <cell r="F153">
            <v>8</v>
          </cell>
          <cell r="G153">
            <v>60</v>
          </cell>
          <cell r="M153">
            <v>6</v>
          </cell>
          <cell r="N153" t="str">
            <v>Talons+6+0+1,2 Foreclaws+3+0+0,Bite+5+0+0</v>
          </cell>
          <cell r="AA153">
            <v>21</v>
          </cell>
          <cell r="AB153">
            <v>15</v>
          </cell>
          <cell r="AC153">
            <v>21</v>
          </cell>
          <cell r="AD153">
            <v>2</v>
          </cell>
          <cell r="AE153">
            <v>15</v>
          </cell>
          <cell r="AF153">
            <v>10</v>
          </cell>
          <cell r="BG153">
            <v>10</v>
          </cell>
          <cell r="BL153" t="str">
            <v>Dinosaur</v>
          </cell>
          <cell r="BM153" t="str">
            <v>MM</v>
          </cell>
          <cell r="BN153">
            <v>60</v>
          </cell>
          <cell r="BP153" t="b">
            <v>1</v>
          </cell>
          <cell r="BQ153" t="b">
            <v>0</v>
          </cell>
          <cell r="BR153" t="b">
            <v>0</v>
          </cell>
          <cell r="BS153">
            <v>6</v>
          </cell>
          <cell r="BT153" t="str">
            <v/>
          </cell>
          <cell r="BV153" t="b">
            <v>0</v>
          </cell>
          <cell r="BW153">
            <v>10</v>
          </cell>
          <cell r="BX153" t="str">
            <v/>
          </cell>
          <cell r="BY153" t="b">
            <v>1</v>
          </cell>
          <cell r="BZ153" t="b">
            <v>0</v>
          </cell>
          <cell r="CA153">
            <v>26</v>
          </cell>
          <cell r="CB153" t="str">
            <v/>
          </cell>
          <cell r="CD153" t="b">
            <v>0</v>
          </cell>
          <cell r="CE153">
            <v>21</v>
          </cell>
          <cell r="CF153" t="str">
            <v/>
          </cell>
        </row>
        <row r="154">
          <cell r="A154" t="str">
            <v>Mephit, Air</v>
          </cell>
          <cell r="C154" t="str">
            <v>Small</v>
          </cell>
          <cell r="D154" t="str">
            <v>Outsider</v>
          </cell>
          <cell r="F154">
            <v>3</v>
          </cell>
          <cell r="G154">
            <v>30</v>
          </cell>
          <cell r="J154">
            <v>50</v>
          </cell>
          <cell r="K154" t="str">
            <v>perfect</v>
          </cell>
          <cell r="M154">
            <v>3</v>
          </cell>
          <cell r="N154" t="str">
            <v>2 claws;</v>
          </cell>
          <cell r="O154" t="str">
            <v>1d3;</v>
          </cell>
          <cell r="T154">
            <v>60</v>
          </cell>
          <cell r="Y154" t="str">
            <v>5/magic</v>
          </cell>
          <cell r="Z154">
            <v>2</v>
          </cell>
          <cell r="AA154">
            <v>10</v>
          </cell>
          <cell r="AB154">
            <v>17</v>
          </cell>
          <cell r="AC154">
            <v>10</v>
          </cell>
          <cell r="AD154">
            <v>6</v>
          </cell>
          <cell r="AE154">
            <v>11</v>
          </cell>
          <cell r="AF154">
            <v>15</v>
          </cell>
          <cell r="AG154" t="str">
            <v>0;0</v>
          </cell>
          <cell r="AH154" t="str">
            <v>6;0</v>
          </cell>
          <cell r="AI154" t="str">
            <v>0;0</v>
          </cell>
          <cell r="AJ154" t="str">
            <v>2;0</v>
          </cell>
          <cell r="AK154" t="str">
            <v>0;0</v>
          </cell>
          <cell r="AL154" t="str">
            <v>6;4</v>
          </cell>
          <cell r="AN154" t="str">
            <v>2;0</v>
          </cell>
          <cell r="AO154" t="str">
            <v>0;0</v>
          </cell>
          <cell r="AP154" t="str">
            <v>6;0</v>
          </cell>
          <cell r="AQ154" t="str">
            <v>6;0</v>
          </cell>
          <cell r="AR154" t="str">
            <v>0;0</v>
          </cell>
          <cell r="AS154" t="str">
            <v>0;0</v>
          </cell>
          <cell r="AT154" t="str">
            <v>0;0</v>
          </cell>
          <cell r="AU154" t="str">
            <v>6;0</v>
          </cell>
          <cell r="AV154" t="str">
            <v>0;0</v>
          </cell>
          <cell r="AW154" t="str">
            <v>0;0</v>
          </cell>
          <cell r="AX154" t="str">
            <v>Dodge;Improved Initiative;</v>
          </cell>
          <cell r="BB154" t="str">
            <v>Neutral</v>
          </cell>
          <cell r="BD154" t="str">
            <v>Breath weapon;Spell-like abilities;Summon mephit</v>
          </cell>
          <cell r="BF154">
            <v>7</v>
          </cell>
          <cell r="BH154" t="str">
            <v>Planar</v>
          </cell>
          <cell r="BM154" t="str">
            <v>MM</v>
          </cell>
          <cell r="BN154">
            <v>181</v>
          </cell>
          <cell r="BO154" t="str">
            <v>PlH</v>
          </cell>
          <cell r="BP154" t="b">
            <v>1</v>
          </cell>
          <cell r="BQ154" t="b">
            <v>0</v>
          </cell>
          <cell r="BR154" t="b">
            <v>0</v>
          </cell>
          <cell r="BS154">
            <v>6</v>
          </cell>
          <cell r="BT154" t="str">
            <v/>
          </cell>
          <cell r="BV154" t="b">
            <v>0</v>
          </cell>
          <cell r="BW154">
            <v>10</v>
          </cell>
          <cell r="BX154" t="str">
            <v/>
          </cell>
          <cell r="BZ154" t="b">
            <v>0</v>
          </cell>
          <cell r="CA154">
            <v>26</v>
          </cell>
          <cell r="CB154" t="str">
            <v/>
          </cell>
          <cell r="CD154" t="b">
            <v>0</v>
          </cell>
          <cell r="CE154">
            <v>21</v>
          </cell>
          <cell r="CF154" t="str">
            <v/>
          </cell>
        </row>
        <row r="155">
          <cell r="A155" t="str">
            <v>Mephit, Dust</v>
          </cell>
          <cell r="C155" t="str">
            <v>Small</v>
          </cell>
          <cell r="D155" t="str">
            <v>Outsider</v>
          </cell>
          <cell r="F155">
            <v>3</v>
          </cell>
          <cell r="G155">
            <v>30</v>
          </cell>
          <cell r="J155">
            <v>40</v>
          </cell>
          <cell r="K155" t="str">
            <v>perfect</v>
          </cell>
          <cell r="M155">
            <v>3</v>
          </cell>
          <cell r="N155" t="str">
            <v>2 claws;</v>
          </cell>
          <cell r="O155" t="str">
            <v>1d3;</v>
          </cell>
          <cell r="T155">
            <v>60</v>
          </cell>
          <cell r="Y155" t="str">
            <v>5/magic</v>
          </cell>
          <cell r="Z155">
            <v>2</v>
          </cell>
          <cell r="AA155">
            <v>10</v>
          </cell>
          <cell r="AB155">
            <v>17</v>
          </cell>
          <cell r="AC155">
            <v>10</v>
          </cell>
          <cell r="AD155">
            <v>6</v>
          </cell>
          <cell r="AE155">
            <v>11</v>
          </cell>
          <cell r="AF155">
            <v>15</v>
          </cell>
          <cell r="AG155" t="str">
            <v>0;0</v>
          </cell>
          <cell r="AH155" t="str">
            <v>6;0</v>
          </cell>
          <cell r="AI155" t="str">
            <v>0;0</v>
          </cell>
          <cell r="AJ155" t="str">
            <v>2;0</v>
          </cell>
          <cell r="AK155" t="str">
            <v>0;0</v>
          </cell>
          <cell r="AL155" t="str">
            <v>6;4</v>
          </cell>
          <cell r="AN155" t="str">
            <v>2;0</v>
          </cell>
          <cell r="AO155" t="str">
            <v>0;0</v>
          </cell>
          <cell r="AP155" t="str">
            <v>6;0</v>
          </cell>
          <cell r="AQ155" t="str">
            <v>6;0</v>
          </cell>
          <cell r="AR155" t="str">
            <v>0;0</v>
          </cell>
          <cell r="AS155" t="str">
            <v>0;0</v>
          </cell>
          <cell r="AT155" t="str">
            <v>0;0</v>
          </cell>
          <cell r="AU155" t="str">
            <v>6;0</v>
          </cell>
          <cell r="AV155" t="str">
            <v>0;0</v>
          </cell>
          <cell r="AW155" t="str">
            <v>0;0</v>
          </cell>
          <cell r="AX155" t="str">
            <v>Dodge;Improved Initiative;</v>
          </cell>
          <cell r="BB155" t="str">
            <v>Neutral</v>
          </cell>
          <cell r="BD155" t="str">
            <v>Breath weapon;Spell-like abilities;Summon mephit</v>
          </cell>
          <cell r="BF155">
            <v>7</v>
          </cell>
          <cell r="BH155" t="str">
            <v>Planar</v>
          </cell>
          <cell r="BM155" t="str">
            <v>MM</v>
          </cell>
          <cell r="BN155">
            <v>181</v>
          </cell>
          <cell r="BO155" t="str">
            <v>PlH</v>
          </cell>
          <cell r="BP155" t="b">
            <v>1</v>
          </cell>
          <cell r="BQ155" t="b">
            <v>0</v>
          </cell>
          <cell r="BR155" t="b">
            <v>0</v>
          </cell>
          <cell r="BS155">
            <v>6</v>
          </cell>
          <cell r="BT155" t="str">
            <v/>
          </cell>
          <cell r="BV155" t="b">
            <v>0</v>
          </cell>
          <cell r="BW155">
            <v>10</v>
          </cell>
          <cell r="BX155" t="str">
            <v/>
          </cell>
          <cell r="BZ155" t="b">
            <v>0</v>
          </cell>
          <cell r="CA155">
            <v>26</v>
          </cell>
          <cell r="CB155" t="str">
            <v/>
          </cell>
          <cell r="CD155" t="b">
            <v>0</v>
          </cell>
          <cell r="CE155">
            <v>21</v>
          </cell>
          <cell r="CF155" t="str">
            <v/>
          </cell>
        </row>
        <row r="156">
          <cell r="A156" t="str">
            <v>Mephit, Earth</v>
          </cell>
          <cell r="C156" t="str">
            <v>Small</v>
          </cell>
          <cell r="D156" t="str">
            <v>Outsider</v>
          </cell>
          <cell r="F156">
            <v>3</v>
          </cell>
          <cell r="G156">
            <v>30</v>
          </cell>
          <cell r="J156">
            <v>50</v>
          </cell>
          <cell r="K156" t="str">
            <v>average</v>
          </cell>
          <cell r="M156">
            <v>6</v>
          </cell>
          <cell r="N156" t="str">
            <v>2 claws;</v>
          </cell>
          <cell r="O156" t="str">
            <v>1d3;</v>
          </cell>
          <cell r="T156">
            <v>60</v>
          </cell>
          <cell r="Y156" t="str">
            <v>5/magic</v>
          </cell>
          <cell r="Z156">
            <v>2</v>
          </cell>
          <cell r="AA156">
            <v>17</v>
          </cell>
          <cell r="AB156">
            <v>8</v>
          </cell>
          <cell r="AC156">
            <v>13</v>
          </cell>
          <cell r="AD156">
            <v>6</v>
          </cell>
          <cell r="AE156">
            <v>11</v>
          </cell>
          <cell r="AF156">
            <v>15</v>
          </cell>
          <cell r="AG156" t="str">
            <v>0;0</v>
          </cell>
          <cell r="AH156" t="str">
            <v>6;0</v>
          </cell>
          <cell r="AI156" t="str">
            <v>0;0</v>
          </cell>
          <cell r="AJ156" t="str">
            <v>2;0</v>
          </cell>
          <cell r="AK156" t="str">
            <v>0;0</v>
          </cell>
          <cell r="AL156" t="str">
            <v>6;4</v>
          </cell>
          <cell r="AN156" t="str">
            <v>2;0</v>
          </cell>
          <cell r="AO156" t="str">
            <v>0;0</v>
          </cell>
          <cell r="AP156" t="str">
            <v>6;0</v>
          </cell>
          <cell r="AQ156" t="str">
            <v>6;0</v>
          </cell>
          <cell r="AR156" t="str">
            <v>0;0</v>
          </cell>
          <cell r="AS156" t="str">
            <v>0;0</v>
          </cell>
          <cell r="AT156" t="str">
            <v>0;0</v>
          </cell>
          <cell r="AU156" t="str">
            <v>6;0</v>
          </cell>
          <cell r="AV156" t="str">
            <v>0;0</v>
          </cell>
          <cell r="AW156" t="str">
            <v>0;0</v>
          </cell>
          <cell r="AX156" t="str">
            <v>Power Attack;Toughness;</v>
          </cell>
          <cell r="BB156" t="str">
            <v>Neutral</v>
          </cell>
          <cell r="BD156" t="str">
            <v>Breath weapon;Spell-like abilities;Summon mephit;Change size</v>
          </cell>
          <cell r="BF156">
            <v>7</v>
          </cell>
          <cell r="BH156" t="str">
            <v>Planar</v>
          </cell>
          <cell r="BM156" t="str">
            <v>MM</v>
          </cell>
          <cell r="BN156">
            <v>182</v>
          </cell>
          <cell r="BO156" t="str">
            <v>PlH</v>
          </cell>
          <cell r="BP156" t="b">
            <v>1</v>
          </cell>
          <cell r="BQ156" t="b">
            <v>0</v>
          </cell>
          <cell r="BR156" t="b">
            <v>0</v>
          </cell>
          <cell r="BS156">
            <v>6</v>
          </cell>
          <cell r="BT156" t="str">
            <v/>
          </cell>
          <cell r="BV156" t="b">
            <v>0</v>
          </cell>
          <cell r="BW156">
            <v>10</v>
          </cell>
          <cell r="BX156" t="str">
            <v/>
          </cell>
          <cell r="BZ156" t="b">
            <v>0</v>
          </cell>
          <cell r="CA156">
            <v>26</v>
          </cell>
          <cell r="CB156" t="str">
            <v/>
          </cell>
          <cell r="CD156" t="b">
            <v>0</v>
          </cell>
          <cell r="CE156">
            <v>21</v>
          </cell>
          <cell r="CF156" t="str">
            <v/>
          </cell>
        </row>
        <row r="157">
          <cell r="A157" t="str">
            <v>Mephit, Fire</v>
          </cell>
          <cell r="C157" t="str">
            <v>Small</v>
          </cell>
          <cell r="D157" t="str">
            <v>Outsider</v>
          </cell>
          <cell r="F157">
            <v>3</v>
          </cell>
          <cell r="G157">
            <v>30</v>
          </cell>
          <cell r="J157">
            <v>50</v>
          </cell>
          <cell r="K157" t="str">
            <v>average</v>
          </cell>
          <cell r="M157">
            <v>4</v>
          </cell>
          <cell r="N157" t="str">
            <v>2 claws;</v>
          </cell>
          <cell r="O157" t="str">
            <v>1d3;</v>
          </cell>
          <cell r="T157">
            <v>60</v>
          </cell>
          <cell r="U157" t="str">
            <v>fire</v>
          </cell>
          <cell r="V157" t="str">
            <v>cold</v>
          </cell>
          <cell r="Y157" t="str">
            <v>5/magic</v>
          </cell>
          <cell r="Z157">
            <v>2</v>
          </cell>
          <cell r="AA157">
            <v>10</v>
          </cell>
          <cell r="AB157">
            <v>13</v>
          </cell>
          <cell r="AC157">
            <v>10</v>
          </cell>
          <cell r="AD157">
            <v>6</v>
          </cell>
          <cell r="AE157">
            <v>11</v>
          </cell>
          <cell r="AF157">
            <v>15</v>
          </cell>
          <cell r="AG157" t="str">
            <v>0;0</v>
          </cell>
          <cell r="AH157" t="str">
            <v>6;0</v>
          </cell>
          <cell r="AI157" t="str">
            <v>0;0</v>
          </cell>
          <cell r="AJ157" t="str">
            <v>2;0</v>
          </cell>
          <cell r="AK157" t="str">
            <v>0;0</v>
          </cell>
          <cell r="AL157" t="str">
            <v>6;4</v>
          </cell>
          <cell r="AN157" t="str">
            <v>2;0</v>
          </cell>
          <cell r="AO157" t="str">
            <v>0;0</v>
          </cell>
          <cell r="AP157" t="str">
            <v>6;0</v>
          </cell>
          <cell r="AQ157" t="str">
            <v>6;0</v>
          </cell>
          <cell r="AR157" t="str">
            <v>0;0</v>
          </cell>
          <cell r="AS157" t="str">
            <v>0;0</v>
          </cell>
          <cell r="AT157" t="str">
            <v>0;0</v>
          </cell>
          <cell r="AU157" t="str">
            <v>6;0</v>
          </cell>
          <cell r="AV157" t="str">
            <v>0;0</v>
          </cell>
          <cell r="AW157" t="str">
            <v>0;0</v>
          </cell>
          <cell r="AX157" t="str">
            <v>Dodge;Improved Initiative;</v>
          </cell>
          <cell r="BB157" t="str">
            <v>Neutral</v>
          </cell>
          <cell r="BD157" t="str">
            <v>Breath weapon;Spell-like abilities;Summon mephit</v>
          </cell>
          <cell r="BF157">
            <v>7</v>
          </cell>
          <cell r="BH157" t="str">
            <v>Planar</v>
          </cell>
          <cell r="BM157" t="str">
            <v>MM</v>
          </cell>
          <cell r="BN157">
            <v>182</v>
          </cell>
          <cell r="BO157" t="str">
            <v>PlH</v>
          </cell>
          <cell r="BP157" t="b">
            <v>1</v>
          </cell>
          <cell r="BQ157" t="b">
            <v>0</v>
          </cell>
          <cell r="BR157" t="b">
            <v>0</v>
          </cell>
          <cell r="BS157">
            <v>6</v>
          </cell>
          <cell r="BT157" t="str">
            <v/>
          </cell>
          <cell r="BV157" t="b">
            <v>0</v>
          </cell>
          <cell r="BW157">
            <v>10</v>
          </cell>
          <cell r="BX157" t="str">
            <v/>
          </cell>
          <cell r="BZ157" t="b">
            <v>0</v>
          </cell>
          <cell r="CA157">
            <v>26</v>
          </cell>
          <cell r="CB157" t="str">
            <v/>
          </cell>
          <cell r="CD157" t="b">
            <v>0</v>
          </cell>
          <cell r="CE157">
            <v>21</v>
          </cell>
          <cell r="CF157" t="str">
            <v/>
          </cell>
        </row>
        <row r="158">
          <cell r="A158" t="str">
            <v>Mephit, Ice</v>
          </cell>
          <cell r="C158" t="str">
            <v>Small</v>
          </cell>
          <cell r="D158" t="str">
            <v>Outsider</v>
          </cell>
          <cell r="F158">
            <v>3</v>
          </cell>
          <cell r="G158">
            <v>30</v>
          </cell>
          <cell r="J158">
            <v>50</v>
          </cell>
          <cell r="K158" t="str">
            <v>perfect</v>
          </cell>
          <cell r="M158">
            <v>4</v>
          </cell>
          <cell r="N158" t="str">
            <v>2 claws;</v>
          </cell>
          <cell r="O158" t="str">
            <v>1d3;</v>
          </cell>
          <cell r="T158">
            <v>60</v>
          </cell>
          <cell r="U158" t="str">
            <v>cold</v>
          </cell>
          <cell r="V158" t="str">
            <v>fire</v>
          </cell>
          <cell r="Y158" t="str">
            <v>5/magic</v>
          </cell>
          <cell r="Z158">
            <v>2</v>
          </cell>
          <cell r="AA158">
            <v>10</v>
          </cell>
          <cell r="AB158">
            <v>17</v>
          </cell>
          <cell r="AC158">
            <v>10</v>
          </cell>
          <cell r="AD158">
            <v>6</v>
          </cell>
          <cell r="AE158">
            <v>11</v>
          </cell>
          <cell r="AF158">
            <v>15</v>
          </cell>
          <cell r="AG158" t="str">
            <v>0;0</v>
          </cell>
          <cell r="AH158" t="str">
            <v>6;0</v>
          </cell>
          <cell r="AI158" t="str">
            <v>0;0</v>
          </cell>
          <cell r="AJ158" t="str">
            <v>2;0</v>
          </cell>
          <cell r="AK158" t="str">
            <v>0;0</v>
          </cell>
          <cell r="AL158" t="str">
            <v>6;4</v>
          </cell>
          <cell r="AN158" t="str">
            <v>2;0</v>
          </cell>
          <cell r="AO158" t="str">
            <v>0;0</v>
          </cell>
          <cell r="AP158" t="str">
            <v>6;0</v>
          </cell>
          <cell r="AQ158" t="str">
            <v>6;0</v>
          </cell>
          <cell r="AR158" t="str">
            <v>0;0</v>
          </cell>
          <cell r="AS158" t="str">
            <v>0;0</v>
          </cell>
          <cell r="AT158" t="str">
            <v>0;0</v>
          </cell>
          <cell r="AU158" t="str">
            <v>6;0</v>
          </cell>
          <cell r="AV158" t="str">
            <v>0;0</v>
          </cell>
          <cell r="AW158" t="str">
            <v>0;0</v>
          </cell>
          <cell r="AX158" t="str">
            <v>Dodge;Improved Initiative;</v>
          </cell>
          <cell r="BB158" t="str">
            <v>Neutral</v>
          </cell>
          <cell r="BD158" t="str">
            <v>Breath weapon;Spell-like abilities;Summon mephit</v>
          </cell>
          <cell r="BF158">
            <v>7</v>
          </cell>
          <cell r="BH158" t="str">
            <v>Planar</v>
          </cell>
          <cell r="BM158" t="str">
            <v>MM</v>
          </cell>
          <cell r="BN158">
            <v>182</v>
          </cell>
          <cell r="BO158" t="str">
            <v>PlH</v>
          </cell>
          <cell r="BP158" t="b">
            <v>1</v>
          </cell>
          <cell r="BQ158" t="b">
            <v>0</v>
          </cell>
          <cell r="BR158" t="b">
            <v>0</v>
          </cell>
          <cell r="BS158">
            <v>6</v>
          </cell>
          <cell r="BT158" t="str">
            <v/>
          </cell>
          <cell r="BV158" t="b">
            <v>0</v>
          </cell>
          <cell r="BW158">
            <v>10</v>
          </cell>
          <cell r="BX158" t="str">
            <v/>
          </cell>
          <cell r="BZ158" t="b">
            <v>0</v>
          </cell>
          <cell r="CA158">
            <v>26</v>
          </cell>
          <cell r="CB158" t="str">
            <v/>
          </cell>
          <cell r="CD158" t="b">
            <v>0</v>
          </cell>
          <cell r="CE158">
            <v>21</v>
          </cell>
          <cell r="CF158" t="str">
            <v/>
          </cell>
        </row>
        <row r="159">
          <cell r="A159" t="str">
            <v>Mephit, Magma</v>
          </cell>
          <cell r="C159" t="str">
            <v>Small</v>
          </cell>
          <cell r="D159" t="str">
            <v>Outsider</v>
          </cell>
          <cell r="F159">
            <v>3</v>
          </cell>
          <cell r="G159">
            <v>30</v>
          </cell>
          <cell r="J159">
            <v>50</v>
          </cell>
          <cell r="K159" t="str">
            <v>average</v>
          </cell>
          <cell r="M159">
            <v>4</v>
          </cell>
          <cell r="N159" t="str">
            <v>2 claws;</v>
          </cell>
          <cell r="O159" t="str">
            <v>1d3;</v>
          </cell>
          <cell r="T159">
            <v>60</v>
          </cell>
          <cell r="U159" t="str">
            <v>fire</v>
          </cell>
          <cell r="V159" t="str">
            <v>cold</v>
          </cell>
          <cell r="Y159" t="str">
            <v>5/magic</v>
          </cell>
          <cell r="Z159">
            <v>2</v>
          </cell>
          <cell r="AA159">
            <v>10</v>
          </cell>
          <cell r="AB159">
            <v>13</v>
          </cell>
          <cell r="AC159">
            <v>10</v>
          </cell>
          <cell r="AD159">
            <v>6</v>
          </cell>
          <cell r="AE159">
            <v>11</v>
          </cell>
          <cell r="AF159">
            <v>15</v>
          </cell>
          <cell r="AG159" t="str">
            <v>0;0</v>
          </cell>
          <cell r="AH159" t="str">
            <v>6;0</v>
          </cell>
          <cell r="AI159" t="str">
            <v>0;0</v>
          </cell>
          <cell r="AJ159" t="str">
            <v>2;0</v>
          </cell>
          <cell r="AK159" t="str">
            <v>0;0</v>
          </cell>
          <cell r="AL159" t="str">
            <v>6;4</v>
          </cell>
          <cell r="AN159" t="str">
            <v>2;0</v>
          </cell>
          <cell r="AO159" t="str">
            <v>0;0</v>
          </cell>
          <cell r="AP159" t="str">
            <v>6;0</v>
          </cell>
          <cell r="AQ159" t="str">
            <v>6;0</v>
          </cell>
          <cell r="AR159" t="str">
            <v>0;0</v>
          </cell>
          <cell r="AS159" t="str">
            <v>0;0</v>
          </cell>
          <cell r="AT159" t="str">
            <v>0;0</v>
          </cell>
          <cell r="AU159" t="str">
            <v>6;0</v>
          </cell>
          <cell r="AV159" t="str">
            <v>0;0</v>
          </cell>
          <cell r="AW159" t="str">
            <v>0;0</v>
          </cell>
          <cell r="AX159" t="str">
            <v>Dodge;Improved Initiative;</v>
          </cell>
          <cell r="BB159" t="str">
            <v>Neutral</v>
          </cell>
          <cell r="BD159" t="str">
            <v>Breath weapon;Spell-like abilities;Summon mephit</v>
          </cell>
          <cell r="BF159">
            <v>7</v>
          </cell>
          <cell r="BH159" t="str">
            <v>Planar</v>
          </cell>
          <cell r="BM159" t="str">
            <v>MM</v>
          </cell>
          <cell r="BN159">
            <v>183</v>
          </cell>
          <cell r="BO159" t="str">
            <v>PlH</v>
          </cell>
          <cell r="BP159" t="b">
            <v>1</v>
          </cell>
          <cell r="BQ159" t="b">
            <v>0</v>
          </cell>
          <cell r="BR159" t="b">
            <v>0</v>
          </cell>
          <cell r="BS159">
            <v>6</v>
          </cell>
          <cell r="BT159" t="str">
            <v/>
          </cell>
          <cell r="BV159" t="b">
            <v>0</v>
          </cell>
          <cell r="BW159">
            <v>10</v>
          </cell>
          <cell r="BX159" t="str">
            <v/>
          </cell>
          <cell r="BZ159" t="b">
            <v>0</v>
          </cell>
          <cell r="CA159">
            <v>26</v>
          </cell>
          <cell r="CB159" t="str">
            <v/>
          </cell>
          <cell r="CD159" t="b">
            <v>0</v>
          </cell>
          <cell r="CE159">
            <v>21</v>
          </cell>
          <cell r="CF159" t="str">
            <v/>
          </cell>
        </row>
        <row r="160">
          <cell r="A160" t="str">
            <v>Mephit, Ooze</v>
          </cell>
          <cell r="C160" t="str">
            <v>Small</v>
          </cell>
          <cell r="D160" t="str">
            <v>Outsider</v>
          </cell>
          <cell r="F160">
            <v>3</v>
          </cell>
          <cell r="G160">
            <v>30</v>
          </cell>
          <cell r="J160">
            <v>40</v>
          </cell>
          <cell r="K160" t="str">
            <v>average</v>
          </cell>
          <cell r="L160">
            <v>30</v>
          </cell>
          <cell r="M160">
            <v>5</v>
          </cell>
          <cell r="N160" t="str">
            <v>2 claws;</v>
          </cell>
          <cell r="O160" t="str">
            <v>1d3;</v>
          </cell>
          <cell r="T160">
            <v>60</v>
          </cell>
          <cell r="Y160" t="str">
            <v>5/magic</v>
          </cell>
          <cell r="Z160">
            <v>2</v>
          </cell>
          <cell r="AA160">
            <v>14</v>
          </cell>
          <cell r="AB160">
            <v>10</v>
          </cell>
          <cell r="AC160">
            <v>13</v>
          </cell>
          <cell r="AD160">
            <v>6</v>
          </cell>
          <cell r="AE160">
            <v>11</v>
          </cell>
          <cell r="AF160">
            <v>15</v>
          </cell>
          <cell r="AG160" t="str">
            <v>0;0</v>
          </cell>
          <cell r="AH160" t="str">
            <v>6;0</v>
          </cell>
          <cell r="AI160" t="str">
            <v>0;0</v>
          </cell>
          <cell r="AJ160" t="str">
            <v>2;0</v>
          </cell>
          <cell r="AK160" t="str">
            <v>0;0</v>
          </cell>
          <cell r="AL160" t="str">
            <v>6;4</v>
          </cell>
          <cell r="AN160" t="str">
            <v>2;0</v>
          </cell>
          <cell r="AO160" t="str">
            <v>0;0</v>
          </cell>
          <cell r="AP160" t="str">
            <v>6;0</v>
          </cell>
          <cell r="AQ160" t="str">
            <v>6;0</v>
          </cell>
          <cell r="AR160" t="str">
            <v>0;0</v>
          </cell>
          <cell r="AS160" t="str">
            <v>0;0</v>
          </cell>
          <cell r="AT160" t="str">
            <v>0;0</v>
          </cell>
          <cell r="AU160" t="str">
            <v>6;0</v>
          </cell>
          <cell r="AV160" t="str">
            <v>0;0</v>
          </cell>
          <cell r="AW160" t="str">
            <v>0;8</v>
          </cell>
          <cell r="AX160" t="str">
            <v>Power Attack;Toughness;</v>
          </cell>
          <cell r="BB160" t="str">
            <v>Neutral</v>
          </cell>
          <cell r="BD160" t="str">
            <v>Breath weapon;Spell-like abilities;Summon mephit</v>
          </cell>
          <cell r="BF160">
            <v>7</v>
          </cell>
          <cell r="BH160" t="str">
            <v>Planar</v>
          </cell>
          <cell r="BM160" t="str">
            <v>MM</v>
          </cell>
          <cell r="BN160">
            <v>183</v>
          </cell>
          <cell r="BO160" t="str">
            <v>PlH</v>
          </cell>
          <cell r="BP160" t="b">
            <v>1</v>
          </cell>
          <cell r="BQ160" t="b">
            <v>0</v>
          </cell>
          <cell r="BR160" t="b">
            <v>0</v>
          </cell>
          <cell r="BS160">
            <v>6</v>
          </cell>
          <cell r="BT160" t="str">
            <v/>
          </cell>
          <cell r="BV160" t="b">
            <v>0</v>
          </cell>
          <cell r="BW160">
            <v>10</v>
          </cell>
          <cell r="BX160" t="str">
            <v/>
          </cell>
          <cell r="BZ160" t="b">
            <v>0</v>
          </cell>
          <cell r="CA160">
            <v>26</v>
          </cell>
          <cell r="CB160" t="str">
            <v/>
          </cell>
          <cell r="CD160" t="b">
            <v>0</v>
          </cell>
          <cell r="CE160">
            <v>21</v>
          </cell>
          <cell r="CF160" t="str">
            <v/>
          </cell>
        </row>
        <row r="161">
          <cell r="A161" t="str">
            <v>Mephit, Salt</v>
          </cell>
          <cell r="C161" t="str">
            <v>Small</v>
          </cell>
          <cell r="D161" t="str">
            <v>Outsider</v>
          </cell>
          <cell r="F161">
            <v>3</v>
          </cell>
          <cell r="G161">
            <v>30</v>
          </cell>
          <cell r="J161">
            <v>40</v>
          </cell>
          <cell r="K161" t="str">
            <v>average</v>
          </cell>
          <cell r="M161">
            <v>6</v>
          </cell>
          <cell r="N161" t="str">
            <v>2 claws;</v>
          </cell>
          <cell r="O161" t="str">
            <v>1d3;</v>
          </cell>
          <cell r="T161">
            <v>60</v>
          </cell>
          <cell r="Y161" t="str">
            <v>5/magic</v>
          </cell>
          <cell r="Z161">
            <v>2</v>
          </cell>
          <cell r="AA161">
            <v>17</v>
          </cell>
          <cell r="AB161">
            <v>8</v>
          </cell>
          <cell r="AC161">
            <v>13</v>
          </cell>
          <cell r="AD161">
            <v>6</v>
          </cell>
          <cell r="AE161">
            <v>11</v>
          </cell>
          <cell r="AF161">
            <v>15</v>
          </cell>
          <cell r="AG161" t="str">
            <v>0;0</v>
          </cell>
          <cell r="AH161" t="str">
            <v>6;0</v>
          </cell>
          <cell r="AI161" t="str">
            <v>0;0</v>
          </cell>
          <cell r="AJ161" t="str">
            <v>2;0</v>
          </cell>
          <cell r="AK161" t="str">
            <v>0;0</v>
          </cell>
          <cell r="AL161" t="str">
            <v>6;4</v>
          </cell>
          <cell r="AN161" t="str">
            <v>2;0</v>
          </cell>
          <cell r="AO161" t="str">
            <v>0;0</v>
          </cell>
          <cell r="AP161" t="str">
            <v>6;0</v>
          </cell>
          <cell r="AQ161" t="str">
            <v>6;0</v>
          </cell>
          <cell r="AR161" t="str">
            <v>0;0</v>
          </cell>
          <cell r="AS161" t="str">
            <v>0;0</v>
          </cell>
          <cell r="AT161" t="str">
            <v>0;0</v>
          </cell>
          <cell r="AU161" t="str">
            <v>6;0</v>
          </cell>
          <cell r="AV161" t="str">
            <v>0;0</v>
          </cell>
          <cell r="AW161" t="str">
            <v>0;0</v>
          </cell>
          <cell r="AX161" t="str">
            <v>Power Attack;Toughness;</v>
          </cell>
          <cell r="BB161" t="str">
            <v>Neutral</v>
          </cell>
          <cell r="BD161" t="str">
            <v>Breath weapon;Spell-like abilities;Summon mephit</v>
          </cell>
          <cell r="BF161">
            <v>7</v>
          </cell>
          <cell r="BH161" t="str">
            <v>Planar</v>
          </cell>
          <cell r="BM161" t="str">
            <v>MM</v>
          </cell>
          <cell r="BN161">
            <v>184</v>
          </cell>
          <cell r="BO161" t="str">
            <v>PlH</v>
          </cell>
          <cell r="BP161" t="b">
            <v>1</v>
          </cell>
          <cell r="BQ161" t="b">
            <v>0</v>
          </cell>
          <cell r="BR161" t="b">
            <v>0</v>
          </cell>
          <cell r="BS161">
            <v>6</v>
          </cell>
          <cell r="BT161" t="str">
            <v/>
          </cell>
          <cell r="BV161" t="b">
            <v>0</v>
          </cell>
          <cell r="BW161">
            <v>10</v>
          </cell>
          <cell r="BX161" t="str">
            <v/>
          </cell>
          <cell r="BZ161" t="b">
            <v>0</v>
          </cell>
          <cell r="CA161">
            <v>26</v>
          </cell>
          <cell r="CB161" t="str">
            <v/>
          </cell>
          <cell r="CD161" t="b">
            <v>0</v>
          </cell>
          <cell r="CE161">
            <v>21</v>
          </cell>
          <cell r="CF161" t="str">
            <v/>
          </cell>
        </row>
        <row r="162">
          <cell r="A162" t="str">
            <v>Mephit, Steam</v>
          </cell>
          <cell r="C162" t="str">
            <v>Small</v>
          </cell>
          <cell r="D162" t="str">
            <v>Outsider</v>
          </cell>
          <cell r="F162">
            <v>3</v>
          </cell>
          <cell r="G162">
            <v>30</v>
          </cell>
          <cell r="J162">
            <v>50</v>
          </cell>
          <cell r="K162" t="str">
            <v>average</v>
          </cell>
          <cell r="M162">
            <v>4</v>
          </cell>
          <cell r="N162" t="str">
            <v>2 claws;</v>
          </cell>
          <cell r="O162" t="str">
            <v>1d3;</v>
          </cell>
          <cell r="T162">
            <v>60</v>
          </cell>
          <cell r="U162" t="str">
            <v>fire</v>
          </cell>
          <cell r="V162" t="str">
            <v>cold</v>
          </cell>
          <cell r="Y162" t="str">
            <v>5/magic</v>
          </cell>
          <cell r="Z162">
            <v>2</v>
          </cell>
          <cell r="AA162">
            <v>10</v>
          </cell>
          <cell r="AB162">
            <v>13</v>
          </cell>
          <cell r="AC162">
            <v>10</v>
          </cell>
          <cell r="AD162">
            <v>6</v>
          </cell>
          <cell r="AE162">
            <v>11</v>
          </cell>
          <cell r="AF162">
            <v>15</v>
          </cell>
          <cell r="AG162" t="str">
            <v>0;0</v>
          </cell>
          <cell r="AH162" t="str">
            <v>6;0</v>
          </cell>
          <cell r="AI162" t="str">
            <v>0;0</v>
          </cell>
          <cell r="AJ162" t="str">
            <v>2;0</v>
          </cell>
          <cell r="AK162" t="str">
            <v>0;0</v>
          </cell>
          <cell r="AL162" t="str">
            <v>6;4</v>
          </cell>
          <cell r="AN162" t="str">
            <v>2;0</v>
          </cell>
          <cell r="AO162" t="str">
            <v>0;0</v>
          </cell>
          <cell r="AP162" t="str">
            <v>6;0</v>
          </cell>
          <cell r="AQ162" t="str">
            <v>6;0</v>
          </cell>
          <cell r="AR162" t="str">
            <v>0;0</v>
          </cell>
          <cell r="AS162" t="str">
            <v>0;0</v>
          </cell>
          <cell r="AT162" t="str">
            <v>0;0</v>
          </cell>
          <cell r="AU162" t="str">
            <v>6;0</v>
          </cell>
          <cell r="AV162" t="str">
            <v>0;0</v>
          </cell>
          <cell r="AW162" t="str">
            <v>0;0</v>
          </cell>
          <cell r="AX162" t="str">
            <v>Dodge;Improved Initiative;</v>
          </cell>
          <cell r="BB162" t="str">
            <v>Neutral</v>
          </cell>
          <cell r="BD162" t="str">
            <v>Breath weapon;Spell-like abilities;Summon mephit</v>
          </cell>
          <cell r="BF162">
            <v>7</v>
          </cell>
          <cell r="BH162" t="str">
            <v>Planar</v>
          </cell>
          <cell r="BM162" t="str">
            <v>MM</v>
          </cell>
          <cell r="BN162">
            <v>184</v>
          </cell>
          <cell r="BO162" t="str">
            <v>PlH</v>
          </cell>
          <cell r="BP162" t="b">
            <v>1</v>
          </cell>
          <cell r="BQ162" t="b">
            <v>0</v>
          </cell>
          <cell r="BR162" t="b">
            <v>0</v>
          </cell>
          <cell r="BS162">
            <v>6</v>
          </cell>
          <cell r="BT162" t="str">
            <v/>
          </cell>
          <cell r="BV162" t="b">
            <v>0</v>
          </cell>
          <cell r="BW162">
            <v>10</v>
          </cell>
          <cell r="BX162" t="str">
            <v/>
          </cell>
          <cell r="BZ162" t="b">
            <v>0</v>
          </cell>
          <cell r="CA162">
            <v>26</v>
          </cell>
          <cell r="CB162" t="str">
            <v/>
          </cell>
          <cell r="CD162" t="b">
            <v>0</v>
          </cell>
          <cell r="CE162">
            <v>21</v>
          </cell>
          <cell r="CF162" t="str">
            <v/>
          </cell>
        </row>
        <row r="163">
          <cell r="A163" t="str">
            <v>Mephit, Water</v>
          </cell>
          <cell r="C163" t="str">
            <v>Small</v>
          </cell>
          <cell r="D163" t="str">
            <v>Outsider</v>
          </cell>
          <cell r="F163">
            <v>3</v>
          </cell>
          <cell r="G163">
            <v>30</v>
          </cell>
          <cell r="J163">
            <v>40</v>
          </cell>
          <cell r="K163" t="str">
            <v>average</v>
          </cell>
          <cell r="L163">
            <v>30</v>
          </cell>
          <cell r="M163">
            <v>5</v>
          </cell>
          <cell r="N163" t="str">
            <v>2 claws;</v>
          </cell>
          <cell r="O163" t="str">
            <v>1d3;</v>
          </cell>
          <cell r="T163">
            <v>60</v>
          </cell>
          <cell r="Y163" t="str">
            <v>5/magic</v>
          </cell>
          <cell r="Z163">
            <v>2</v>
          </cell>
          <cell r="AA163">
            <v>14</v>
          </cell>
          <cell r="AB163">
            <v>10</v>
          </cell>
          <cell r="AC163">
            <v>13</v>
          </cell>
          <cell r="AD163">
            <v>6</v>
          </cell>
          <cell r="AE163">
            <v>11</v>
          </cell>
          <cell r="AF163">
            <v>15</v>
          </cell>
          <cell r="AG163" t="str">
            <v>0;0</v>
          </cell>
          <cell r="AH163" t="str">
            <v>6;0</v>
          </cell>
          <cell r="AI163" t="str">
            <v>0;0</v>
          </cell>
          <cell r="AJ163" t="str">
            <v>2;0</v>
          </cell>
          <cell r="AK163" t="str">
            <v>0;0</v>
          </cell>
          <cell r="AL163" t="str">
            <v>6;4</v>
          </cell>
          <cell r="AN163" t="str">
            <v>2;0</v>
          </cell>
          <cell r="AO163" t="str">
            <v>0;0</v>
          </cell>
          <cell r="AP163" t="str">
            <v>6;0</v>
          </cell>
          <cell r="AQ163" t="str">
            <v>6;0</v>
          </cell>
          <cell r="AR163" t="str">
            <v>0;0</v>
          </cell>
          <cell r="AS163" t="str">
            <v>0;0</v>
          </cell>
          <cell r="AT163" t="str">
            <v>0;0</v>
          </cell>
          <cell r="AU163" t="str">
            <v>6;0</v>
          </cell>
          <cell r="AV163" t="str">
            <v>0;0</v>
          </cell>
          <cell r="AW163" t="str">
            <v>0;8</v>
          </cell>
          <cell r="AX163" t="str">
            <v>Power Attack;Toughness;</v>
          </cell>
          <cell r="BB163" t="str">
            <v>Neutral</v>
          </cell>
          <cell r="BD163" t="str">
            <v>Breath weapon;Spell-like abilities;Summon mephit</v>
          </cell>
          <cell r="BF163">
            <v>7</v>
          </cell>
          <cell r="BH163" t="str">
            <v>Planar</v>
          </cell>
          <cell r="BM163" t="str">
            <v>MM</v>
          </cell>
          <cell r="BN163">
            <v>185</v>
          </cell>
          <cell r="BO163" t="str">
            <v>PlH</v>
          </cell>
          <cell r="BP163" t="b">
            <v>1</v>
          </cell>
          <cell r="BQ163" t="b">
            <v>0</v>
          </cell>
          <cell r="BR163" t="b">
            <v>0</v>
          </cell>
          <cell r="BS163">
            <v>6</v>
          </cell>
          <cell r="BT163" t="str">
            <v/>
          </cell>
          <cell r="BV163" t="b">
            <v>0</v>
          </cell>
          <cell r="BW163">
            <v>10</v>
          </cell>
          <cell r="BX163" t="str">
            <v/>
          </cell>
          <cell r="BZ163" t="b">
            <v>0</v>
          </cell>
          <cell r="CA163">
            <v>26</v>
          </cell>
          <cell r="CB163" t="str">
            <v/>
          </cell>
          <cell r="CD163" t="b">
            <v>0</v>
          </cell>
          <cell r="CE163">
            <v>21</v>
          </cell>
          <cell r="CF163" t="str">
            <v/>
          </cell>
        </row>
        <row r="164">
          <cell r="A164" t="str">
            <v>Monkey</v>
          </cell>
          <cell r="C164" t="str">
            <v>Tiny</v>
          </cell>
          <cell r="D164" t="str">
            <v>Animal</v>
          </cell>
          <cell r="F164">
            <v>1</v>
          </cell>
          <cell r="G164">
            <v>30</v>
          </cell>
          <cell r="I164">
            <v>30</v>
          </cell>
          <cell r="N164" t="str">
            <v>Bite+5+0+2</v>
          </cell>
          <cell r="S164" t="str">
            <v>normal</v>
          </cell>
          <cell r="AA164">
            <v>3</v>
          </cell>
          <cell r="AB164">
            <v>15</v>
          </cell>
          <cell r="AC164">
            <v>10</v>
          </cell>
          <cell r="BM164" t="str">
            <v>OA</v>
          </cell>
          <cell r="BP164" t="b">
            <v>0</v>
          </cell>
          <cell r="BQ164" t="b">
            <v>0</v>
          </cell>
          <cell r="BR164" t="b">
            <v>0</v>
          </cell>
          <cell r="BS164">
            <v>6</v>
          </cell>
          <cell r="BT164" t="str">
            <v/>
          </cell>
          <cell r="BV164" t="b">
            <v>0</v>
          </cell>
          <cell r="BW164">
            <v>10</v>
          </cell>
          <cell r="BX164" t="str">
            <v/>
          </cell>
          <cell r="BZ164" t="b">
            <v>0</v>
          </cell>
          <cell r="CA164">
            <v>26</v>
          </cell>
          <cell r="CB164" t="str">
            <v/>
          </cell>
          <cell r="CD164" t="b">
            <v>0</v>
          </cell>
          <cell r="CE164">
            <v>21</v>
          </cell>
          <cell r="CF164" t="str">
            <v/>
          </cell>
        </row>
        <row r="165">
          <cell r="A165" t="str">
            <v>Octopus, Giant</v>
          </cell>
          <cell r="C165" t="str">
            <v>Large</v>
          </cell>
          <cell r="D165" t="str">
            <v>Animal</v>
          </cell>
          <cell r="E165" t="str">
            <v>Aquatic</v>
          </cell>
          <cell r="F165">
            <v>8</v>
          </cell>
          <cell r="G165">
            <v>20</v>
          </cell>
          <cell r="L165">
            <v>30</v>
          </cell>
          <cell r="M165">
            <v>7</v>
          </cell>
          <cell r="N165" t="str">
            <v>8 Tentacles+3+0+1,Bite+5+0+0</v>
          </cell>
          <cell r="S165" t="str">
            <v>normal</v>
          </cell>
          <cell r="AA165">
            <v>20</v>
          </cell>
          <cell r="AB165">
            <v>15</v>
          </cell>
          <cell r="AC165">
            <v>13</v>
          </cell>
          <cell r="AD165">
            <v>2</v>
          </cell>
          <cell r="AE165">
            <v>12</v>
          </cell>
          <cell r="AF165">
            <v>3</v>
          </cell>
          <cell r="BG165">
            <v>13</v>
          </cell>
          <cell r="BM165" t="str">
            <v>MM</v>
          </cell>
          <cell r="BN165">
            <v>276</v>
          </cell>
          <cell r="BP165" t="b">
            <v>1</v>
          </cell>
          <cell r="BQ165" t="b">
            <v>0</v>
          </cell>
          <cell r="BR165" t="b">
            <v>0</v>
          </cell>
          <cell r="BS165">
            <v>6</v>
          </cell>
          <cell r="BT165" t="str">
            <v/>
          </cell>
          <cell r="BV165" t="b">
            <v>0</v>
          </cell>
          <cell r="BW165">
            <v>10</v>
          </cell>
          <cell r="BX165" t="str">
            <v/>
          </cell>
          <cell r="BZ165" t="b">
            <v>0</v>
          </cell>
          <cell r="CA165">
            <v>26</v>
          </cell>
          <cell r="CB165" t="str">
            <v/>
          </cell>
          <cell r="CD165" t="b">
            <v>0</v>
          </cell>
          <cell r="CE165">
            <v>21</v>
          </cell>
          <cell r="CF165" t="str">
            <v/>
          </cell>
        </row>
        <row r="166">
          <cell r="A166" t="str">
            <v>Osquip</v>
          </cell>
          <cell r="C166" t="str">
            <v>Small</v>
          </cell>
          <cell r="D166" t="str">
            <v>Magical Beast</v>
          </cell>
          <cell r="F166">
            <v>1</v>
          </cell>
          <cell r="G166">
            <v>40</v>
          </cell>
          <cell r="H166">
            <v>5</v>
          </cell>
          <cell r="M166">
            <v>3</v>
          </cell>
          <cell r="N166" t="str">
            <v>Bite;</v>
          </cell>
          <cell r="O166" t="str">
            <v>1d6;</v>
          </cell>
          <cell r="AA166">
            <v>14</v>
          </cell>
          <cell r="AB166">
            <v>13</v>
          </cell>
          <cell r="AC166">
            <v>19</v>
          </cell>
          <cell r="AD166">
            <v>2</v>
          </cell>
          <cell r="AE166">
            <v>12</v>
          </cell>
          <cell r="AF166">
            <v>2</v>
          </cell>
          <cell r="AG166" t="str">
            <v>0;0</v>
          </cell>
          <cell r="AH166" t="str">
            <v>0;0</v>
          </cell>
          <cell r="AI166" t="str">
            <v>1;0</v>
          </cell>
          <cell r="AJ166" t="str">
            <v>0;0</v>
          </cell>
          <cell r="AK166" t="str">
            <v>0;0</v>
          </cell>
          <cell r="AL166" t="str">
            <v>1;8</v>
          </cell>
          <cell r="AN166" t="str">
            <v>0;0</v>
          </cell>
          <cell r="AO166" t="str">
            <v>0;4</v>
          </cell>
          <cell r="AP166" t="str">
            <v>1;4</v>
          </cell>
          <cell r="AQ166" t="str">
            <v>1;4</v>
          </cell>
          <cell r="AR166" t="str">
            <v>0;0</v>
          </cell>
          <cell r="AS166" t="str">
            <v>0;0</v>
          </cell>
          <cell r="AT166" t="str">
            <v>0;0</v>
          </cell>
          <cell r="AU166" t="str">
            <v>0;-4</v>
          </cell>
          <cell r="AV166" t="str">
            <v>0;0</v>
          </cell>
          <cell r="AW166" t="str">
            <v>0;-4</v>
          </cell>
          <cell r="AX166" t="str">
            <v>Weapon Focus(bite);</v>
          </cell>
          <cell r="BB166" t="str">
            <v>Neutral Evil</v>
          </cell>
          <cell r="BD166" t="str">
            <v>Scent</v>
          </cell>
          <cell r="BF166">
            <v>5</v>
          </cell>
          <cell r="BH166" t="str">
            <v>Improved</v>
          </cell>
          <cell r="BM166" t="str">
            <v>RoF</v>
          </cell>
          <cell r="BO166" t="str">
            <v>PGtF</v>
          </cell>
          <cell r="BP166" t="b">
            <v>0</v>
          </cell>
          <cell r="BQ166" t="b">
            <v>0</v>
          </cell>
          <cell r="BR166" t="b">
            <v>0</v>
          </cell>
          <cell r="BS166">
            <v>6</v>
          </cell>
          <cell r="BT166" t="str">
            <v/>
          </cell>
          <cell r="BU166" t="b">
            <v>0</v>
          </cell>
          <cell r="BV166" t="b">
            <v>0</v>
          </cell>
          <cell r="BW166">
            <v>10</v>
          </cell>
          <cell r="BX166" t="str">
            <v/>
          </cell>
          <cell r="BZ166" t="b">
            <v>0</v>
          </cell>
          <cell r="CA166">
            <v>26</v>
          </cell>
          <cell r="CB166" t="str">
            <v/>
          </cell>
          <cell r="CD166" t="b">
            <v>0</v>
          </cell>
          <cell r="CE166">
            <v>21</v>
          </cell>
          <cell r="CF166" t="str">
            <v/>
          </cell>
        </row>
        <row r="167">
          <cell r="A167" t="str">
            <v>Owl</v>
          </cell>
          <cell r="C167" t="str">
            <v>Tiny</v>
          </cell>
          <cell r="D167" t="str">
            <v>Animal</v>
          </cell>
          <cell r="F167">
            <v>1</v>
          </cell>
          <cell r="G167">
            <v>10</v>
          </cell>
          <cell r="J167">
            <v>40</v>
          </cell>
          <cell r="K167" t="str">
            <v>average</v>
          </cell>
          <cell r="M167">
            <v>2</v>
          </cell>
          <cell r="N167" t="str">
            <v>Talons+6+0+2</v>
          </cell>
          <cell r="O167" t="str">
            <v>1d4;</v>
          </cell>
          <cell r="S167" t="str">
            <v>normal</v>
          </cell>
          <cell r="AA167">
            <v>4</v>
          </cell>
          <cell r="AB167">
            <v>17</v>
          </cell>
          <cell r="AC167">
            <v>10</v>
          </cell>
          <cell r="AD167">
            <v>2</v>
          </cell>
          <cell r="AE167">
            <v>14</v>
          </cell>
          <cell r="AF167">
            <v>4</v>
          </cell>
          <cell r="AG167" t="str">
            <v>0;0</v>
          </cell>
          <cell r="AH167" t="str">
            <v>0;0</v>
          </cell>
          <cell r="AI167" t="str">
            <v>0;0</v>
          </cell>
          <cell r="AJ167" t="str">
            <v>0;0</v>
          </cell>
          <cell r="AK167" t="str">
            <v>0;0</v>
          </cell>
          <cell r="AL167" t="str">
            <v>0;8</v>
          </cell>
          <cell r="AN167" t="str">
            <v>0;0</v>
          </cell>
          <cell r="AO167" t="str">
            <v>0;-12</v>
          </cell>
          <cell r="AP167" t="str">
            <v>4;8</v>
          </cell>
          <cell r="AQ167" t="str">
            <v>0;14</v>
          </cell>
          <cell r="AR167" t="str">
            <v>0;0</v>
          </cell>
          <cell r="AS167" t="str">
            <v>0;0</v>
          </cell>
          <cell r="AT167" t="str">
            <v>0;0</v>
          </cell>
          <cell r="AU167" t="str">
            <v>4;0</v>
          </cell>
          <cell r="AV167" t="str">
            <v>0;0</v>
          </cell>
          <cell r="AW167" t="str">
            <v>0;0</v>
          </cell>
          <cell r="AX167" t="str">
            <v>Weapon Finesse</v>
          </cell>
          <cell r="BA167">
            <v>0</v>
          </cell>
          <cell r="BB167" t="str">
            <v>Neutral</v>
          </cell>
          <cell r="BD167" t="str">
            <v>Grants +3 bonus to Spot in shadows;Gains +8 bonus to Spot in shadows</v>
          </cell>
          <cell r="BF167">
            <v>1</v>
          </cell>
          <cell r="BG167">
            <v>1</v>
          </cell>
          <cell r="BH167" t="str">
            <v>Normal</v>
          </cell>
          <cell r="BM167" t="str">
            <v>MM</v>
          </cell>
          <cell r="BN167">
            <v>277</v>
          </cell>
          <cell r="BP167" t="b">
            <v>1</v>
          </cell>
          <cell r="BQ167" t="b">
            <v>0</v>
          </cell>
          <cell r="BR167" t="b">
            <v>0</v>
          </cell>
          <cell r="BS167">
            <v>6</v>
          </cell>
          <cell r="BT167" t="str">
            <v/>
          </cell>
          <cell r="BV167" t="b">
            <v>1</v>
          </cell>
          <cell r="BW167">
            <v>11</v>
          </cell>
          <cell r="BX167" t="str">
            <v/>
          </cell>
          <cell r="BY167" t="b">
            <v>1</v>
          </cell>
          <cell r="BZ167" t="b">
            <v>1</v>
          </cell>
          <cell r="CA167">
            <v>27</v>
          </cell>
          <cell r="CB167" t="str">
            <v/>
          </cell>
          <cell r="CD167" t="b">
            <v>0</v>
          </cell>
          <cell r="CE167">
            <v>21</v>
          </cell>
          <cell r="CF167" t="str">
            <v/>
          </cell>
        </row>
        <row r="168">
          <cell r="A168" t="str">
            <v>Owl, Giant</v>
          </cell>
          <cell r="C168" t="str">
            <v>Large</v>
          </cell>
          <cell r="D168" t="str">
            <v>Magical Beast</v>
          </cell>
          <cell r="F168">
            <v>4</v>
          </cell>
          <cell r="G168">
            <v>10</v>
          </cell>
          <cell r="J168">
            <v>70</v>
          </cell>
          <cell r="K168" t="str">
            <v>average</v>
          </cell>
          <cell r="M168">
            <v>3</v>
          </cell>
          <cell r="N168" t="str">
            <v>2 Claws+4+0+1,Bite+5+0+0</v>
          </cell>
          <cell r="AA168">
            <v>18</v>
          </cell>
          <cell r="AB168">
            <v>17</v>
          </cell>
          <cell r="AC168">
            <v>12</v>
          </cell>
          <cell r="AD168">
            <v>10</v>
          </cell>
          <cell r="AE168">
            <v>14</v>
          </cell>
          <cell r="AF168">
            <v>10</v>
          </cell>
          <cell r="BG168">
            <v>7</v>
          </cell>
          <cell r="BM168" t="str">
            <v>MM</v>
          </cell>
          <cell r="BN168">
            <v>205</v>
          </cell>
          <cell r="BP168" t="b">
            <v>1</v>
          </cell>
          <cell r="BQ168" t="b">
            <v>0</v>
          </cell>
          <cell r="BR168" t="b">
            <v>0</v>
          </cell>
          <cell r="BS168">
            <v>6</v>
          </cell>
          <cell r="BT168" t="str">
            <v/>
          </cell>
          <cell r="BV168" t="b">
            <v>0</v>
          </cell>
          <cell r="BW168">
            <v>11</v>
          </cell>
          <cell r="BX168" t="str">
            <v/>
          </cell>
          <cell r="BY168" t="b">
            <v>0</v>
          </cell>
          <cell r="BZ168" t="b">
            <v>0</v>
          </cell>
          <cell r="CA168">
            <v>27</v>
          </cell>
          <cell r="CB168" t="str">
            <v/>
          </cell>
          <cell r="CC168" t="b">
            <v>0</v>
          </cell>
          <cell r="CD168" t="b">
            <v>0</v>
          </cell>
          <cell r="CE168">
            <v>21</v>
          </cell>
          <cell r="CF168" t="str">
            <v/>
          </cell>
        </row>
        <row r="169">
          <cell r="A169" t="str">
            <v>Owlbear</v>
          </cell>
          <cell r="C169" t="str">
            <v>Large</v>
          </cell>
          <cell r="D169" t="str">
            <v>Magical Beast</v>
          </cell>
          <cell r="F169">
            <v>5</v>
          </cell>
          <cell r="G169">
            <v>30</v>
          </cell>
          <cell r="M169">
            <v>5</v>
          </cell>
          <cell r="N169" t="str">
            <v>2 Claws+4+0+1,Bite+5+0+0</v>
          </cell>
          <cell r="AA169">
            <v>21</v>
          </cell>
          <cell r="AB169">
            <v>12</v>
          </cell>
          <cell r="AC169">
            <v>21</v>
          </cell>
          <cell r="AD169">
            <v>2</v>
          </cell>
          <cell r="AE169">
            <v>12</v>
          </cell>
          <cell r="AF169">
            <v>10</v>
          </cell>
          <cell r="BG169">
            <v>7</v>
          </cell>
          <cell r="BM169" t="str">
            <v>MM</v>
          </cell>
          <cell r="BN169">
            <v>206</v>
          </cell>
          <cell r="BP169" t="b">
            <v>1</v>
          </cell>
          <cell r="BQ169" t="b">
            <v>0</v>
          </cell>
          <cell r="BR169" t="b">
            <v>0</v>
          </cell>
          <cell r="BS169">
            <v>6</v>
          </cell>
          <cell r="BT169" t="str">
            <v/>
          </cell>
          <cell r="BV169" t="b">
            <v>0</v>
          </cell>
          <cell r="BW169">
            <v>11</v>
          </cell>
          <cell r="BX169" t="str">
            <v/>
          </cell>
          <cell r="BY169" t="b">
            <v>0</v>
          </cell>
          <cell r="BZ169" t="b">
            <v>0</v>
          </cell>
          <cell r="CA169">
            <v>27</v>
          </cell>
          <cell r="CB169" t="str">
            <v/>
          </cell>
          <cell r="CD169" t="b">
            <v>0</v>
          </cell>
          <cell r="CE169">
            <v>21</v>
          </cell>
          <cell r="CF169" t="str">
            <v/>
          </cell>
        </row>
        <row r="170">
          <cell r="A170" t="str">
            <v>Pegasus</v>
          </cell>
          <cell r="C170" t="str">
            <v>Large</v>
          </cell>
          <cell r="D170" t="str">
            <v>Magical Beast</v>
          </cell>
          <cell r="F170">
            <v>4</v>
          </cell>
          <cell r="G170">
            <v>60</v>
          </cell>
          <cell r="J170">
            <v>120</v>
          </cell>
          <cell r="K170" t="str">
            <v>average</v>
          </cell>
          <cell r="M170">
            <v>3</v>
          </cell>
          <cell r="N170" t="str">
            <v>2 Hooves+4+0+1,Bite+2+0+0</v>
          </cell>
          <cell r="Q170" t="str">
            <v>Detect Good, Detect Evil (at will)</v>
          </cell>
          <cell r="S170" t="str">
            <v>normal</v>
          </cell>
          <cell r="T170">
            <v>60</v>
          </cell>
          <cell r="AA170">
            <v>18</v>
          </cell>
          <cell r="AB170">
            <v>15</v>
          </cell>
          <cell r="AC170">
            <v>16</v>
          </cell>
          <cell r="AD170">
            <v>10</v>
          </cell>
          <cell r="AE170">
            <v>13</v>
          </cell>
          <cell r="AF170">
            <v>13</v>
          </cell>
          <cell r="BG170">
            <v>7</v>
          </cell>
          <cell r="BM170" t="str">
            <v>MM</v>
          </cell>
          <cell r="BN170">
            <v>206</v>
          </cell>
          <cell r="BP170" t="b">
            <v>1</v>
          </cell>
          <cell r="BQ170" t="b">
            <v>0</v>
          </cell>
          <cell r="BR170" t="b">
            <v>0</v>
          </cell>
          <cell r="BS170">
            <v>6</v>
          </cell>
          <cell r="BT170" t="str">
            <v/>
          </cell>
          <cell r="BV170" t="b">
            <v>0</v>
          </cell>
          <cell r="BW170">
            <v>11</v>
          </cell>
          <cell r="BX170" t="str">
            <v/>
          </cell>
          <cell r="BY170" t="b">
            <v>0</v>
          </cell>
          <cell r="BZ170" t="b">
            <v>0</v>
          </cell>
          <cell r="CA170">
            <v>27</v>
          </cell>
          <cell r="CB170" t="str">
            <v/>
          </cell>
          <cell r="CC170" t="b">
            <v>0</v>
          </cell>
          <cell r="CD170" t="b">
            <v>0</v>
          </cell>
          <cell r="CE170">
            <v>21</v>
          </cell>
          <cell r="CF170" t="str">
            <v/>
          </cell>
        </row>
        <row r="171">
          <cell r="A171" t="str">
            <v>Pony</v>
          </cell>
          <cell r="C171" t="str">
            <v>Medium</v>
          </cell>
          <cell r="D171" t="str">
            <v>Animal</v>
          </cell>
          <cell r="F171">
            <v>2</v>
          </cell>
          <cell r="G171">
            <v>40</v>
          </cell>
          <cell r="M171">
            <v>2</v>
          </cell>
          <cell r="N171" t="str">
            <v>2 Hooves+3+0+1</v>
          </cell>
          <cell r="S171" t="str">
            <v>normal</v>
          </cell>
          <cell r="AA171">
            <v>13</v>
          </cell>
          <cell r="AB171">
            <v>13</v>
          </cell>
          <cell r="AC171">
            <v>12</v>
          </cell>
          <cell r="AD171">
            <v>2</v>
          </cell>
          <cell r="AE171">
            <v>11</v>
          </cell>
          <cell r="AF171">
            <v>4</v>
          </cell>
          <cell r="BG171">
            <v>1</v>
          </cell>
          <cell r="BM171" t="str">
            <v>MM</v>
          </cell>
          <cell r="BN171">
            <v>277</v>
          </cell>
          <cell r="BP171" t="b">
            <v>1</v>
          </cell>
          <cell r="BQ171" t="b">
            <v>0</v>
          </cell>
          <cell r="BR171" t="b">
            <v>0</v>
          </cell>
          <cell r="BS171">
            <v>6</v>
          </cell>
          <cell r="BT171" t="str">
            <v/>
          </cell>
          <cell r="BV171" t="b">
            <v>0</v>
          </cell>
          <cell r="BW171">
            <v>11</v>
          </cell>
          <cell r="BX171" t="str">
            <v/>
          </cell>
          <cell r="BY171" t="b">
            <v>1</v>
          </cell>
          <cell r="BZ171" t="b">
            <v>1</v>
          </cell>
          <cell r="CA171">
            <v>28</v>
          </cell>
          <cell r="CB171" t="str">
            <v/>
          </cell>
          <cell r="CD171" t="b">
            <v>1</v>
          </cell>
          <cell r="CE171">
            <v>22</v>
          </cell>
          <cell r="CF171" t="str">
            <v/>
          </cell>
        </row>
        <row r="172">
          <cell r="A172" t="str">
            <v>Porpoise</v>
          </cell>
          <cell r="C172" t="str">
            <v>Medium</v>
          </cell>
          <cell r="D172" t="str">
            <v>Animal</v>
          </cell>
          <cell r="F172">
            <v>2</v>
          </cell>
          <cell r="L172">
            <v>80</v>
          </cell>
          <cell r="M172">
            <v>2</v>
          </cell>
          <cell r="N172" t="str">
            <v>Slam+9+0+2</v>
          </cell>
          <cell r="S172" t="str">
            <v>normal</v>
          </cell>
          <cell r="AA172">
            <v>11</v>
          </cell>
          <cell r="AB172">
            <v>17</v>
          </cell>
          <cell r="AC172">
            <v>13</v>
          </cell>
          <cell r="AD172">
            <v>3</v>
          </cell>
          <cell r="AE172">
            <v>12</v>
          </cell>
          <cell r="AF172">
            <v>6</v>
          </cell>
          <cell r="BG172">
            <v>1</v>
          </cell>
          <cell r="BM172" t="str">
            <v>MM</v>
          </cell>
          <cell r="BN172">
            <v>278</v>
          </cell>
          <cell r="BP172" t="b">
            <v>1</v>
          </cell>
          <cell r="BQ172" t="b">
            <v>0</v>
          </cell>
          <cell r="BR172" t="b">
            <v>0</v>
          </cell>
          <cell r="BS172">
            <v>6</v>
          </cell>
          <cell r="BT172" t="str">
            <v/>
          </cell>
          <cell r="BV172" t="b">
            <v>0</v>
          </cell>
          <cell r="BW172">
            <v>11</v>
          </cell>
          <cell r="BX172" t="str">
            <v/>
          </cell>
          <cell r="BY172" t="b">
            <v>1</v>
          </cell>
          <cell r="BZ172" t="b">
            <v>1</v>
          </cell>
          <cell r="CA172">
            <v>29</v>
          </cell>
          <cell r="CB172" t="str">
            <v/>
          </cell>
          <cell r="CD172" t="b">
            <v>1</v>
          </cell>
          <cell r="CE172">
            <v>23</v>
          </cell>
          <cell r="CF172" t="str">
            <v/>
          </cell>
        </row>
        <row r="173">
          <cell r="A173" t="str">
            <v>Pseudodragon</v>
          </cell>
          <cell r="C173" t="str">
            <v>Tiny</v>
          </cell>
          <cell r="D173" t="str">
            <v>Dragon</v>
          </cell>
          <cell r="F173">
            <v>2</v>
          </cell>
          <cell r="G173">
            <v>15</v>
          </cell>
          <cell r="J173">
            <v>60</v>
          </cell>
          <cell r="K173" t="str">
            <v>good</v>
          </cell>
          <cell r="M173">
            <v>4</v>
          </cell>
          <cell r="N173" t="str">
            <v>Sting;Bite;</v>
          </cell>
          <cell r="O173" t="str">
            <v>1d3;1;</v>
          </cell>
          <cell r="S173" t="str">
            <v>normal</v>
          </cell>
          <cell r="T173">
            <v>60</v>
          </cell>
          <cell r="U173" t="str">
            <v>sleep,paralysis</v>
          </cell>
          <cell r="X173">
            <v>19</v>
          </cell>
          <cell r="AA173">
            <v>6</v>
          </cell>
          <cell r="AB173">
            <v>15</v>
          </cell>
          <cell r="AC173">
            <v>13</v>
          </cell>
          <cell r="AD173">
            <v>10</v>
          </cell>
          <cell r="AE173">
            <v>12</v>
          </cell>
          <cell r="AF173">
            <v>10</v>
          </cell>
          <cell r="AG173" t="str">
            <v>0;0</v>
          </cell>
          <cell r="AH173" t="str">
            <v>0;0</v>
          </cell>
          <cell r="AI173" t="str">
            <v>0;0</v>
          </cell>
          <cell r="AJ173" t="str">
            <v>2;0</v>
          </cell>
          <cell r="AK173" t="str">
            <v>0;0</v>
          </cell>
          <cell r="AL173" t="str">
            <v>6;12</v>
          </cell>
          <cell r="AN173" t="str">
            <v>0;0</v>
          </cell>
          <cell r="AO173" t="str">
            <v>0;-6</v>
          </cell>
          <cell r="AP173" t="str">
            <v>6;0</v>
          </cell>
          <cell r="AQ173" t="str">
            <v>0;0</v>
          </cell>
          <cell r="AR173" t="str">
            <v>6;0</v>
          </cell>
          <cell r="AS173" t="str">
            <v>6;0</v>
          </cell>
          <cell r="AT173" t="str">
            <v>0;0</v>
          </cell>
          <cell r="AU173" t="str">
            <v>6;0</v>
          </cell>
          <cell r="AV173" t="str">
            <v>0;0</v>
          </cell>
          <cell r="AW173" t="str">
            <v>0;0</v>
          </cell>
          <cell r="AX173" t="str">
            <v>Weapon Finesse;Alertness;</v>
          </cell>
          <cell r="BB173" t="str">
            <v>Neutral Good</v>
          </cell>
          <cell r="BD173" t="str">
            <v>Poison;Blindsense 60 ft.;Telepathy 60 ft.</v>
          </cell>
          <cell r="BF173">
            <v>7</v>
          </cell>
          <cell r="BH173" t="str">
            <v>Improved</v>
          </cell>
          <cell r="BM173" t="str">
            <v>MM</v>
          </cell>
          <cell r="BN173">
            <v>210</v>
          </cell>
          <cell r="BO173" t="str">
            <v>PlH</v>
          </cell>
          <cell r="BP173" t="b">
            <v>1</v>
          </cell>
          <cell r="BQ173" t="b">
            <v>0</v>
          </cell>
          <cell r="BR173" t="b">
            <v>0</v>
          </cell>
          <cell r="BS173">
            <v>6</v>
          </cell>
          <cell r="BT173" t="str">
            <v/>
          </cell>
          <cell r="BU173" t="b">
            <v>1</v>
          </cell>
          <cell r="BV173" t="b">
            <v>0</v>
          </cell>
          <cell r="BW173">
            <v>11</v>
          </cell>
          <cell r="BX173" t="str">
            <v/>
          </cell>
          <cell r="BZ173" t="b">
            <v>0</v>
          </cell>
          <cell r="CA173">
            <v>29</v>
          </cell>
          <cell r="CB173" t="str">
            <v/>
          </cell>
          <cell r="CD173" t="b">
            <v>0</v>
          </cell>
          <cell r="CE173">
            <v>23</v>
          </cell>
          <cell r="CF173" t="str">
            <v/>
          </cell>
        </row>
        <row r="174">
          <cell r="A174" t="str">
            <v>Quasit</v>
          </cell>
          <cell r="C174" t="str">
            <v>Tiny</v>
          </cell>
          <cell r="D174" t="str">
            <v>Outsider</v>
          </cell>
          <cell r="F174">
            <v>3</v>
          </cell>
          <cell r="G174">
            <v>20</v>
          </cell>
          <cell r="J174">
            <v>50</v>
          </cell>
          <cell r="K174" t="str">
            <v>perfect</v>
          </cell>
          <cell r="M174">
            <v>3</v>
          </cell>
          <cell r="N174" t="str">
            <v>2 claws;bite;</v>
          </cell>
          <cell r="O174" t="str">
            <v>1d3;1d4;</v>
          </cell>
          <cell r="T174">
            <v>60</v>
          </cell>
          <cell r="U174" t="str">
            <v>poison</v>
          </cell>
          <cell r="W174" t="str">
            <v>fire 10</v>
          </cell>
          <cell r="Y174" t="str">
            <v>5/cold iron or good</v>
          </cell>
          <cell r="Z174">
            <v>2</v>
          </cell>
          <cell r="AA174">
            <v>8</v>
          </cell>
          <cell r="AB174">
            <v>17</v>
          </cell>
          <cell r="AC174">
            <v>10</v>
          </cell>
          <cell r="AD174">
            <v>10</v>
          </cell>
          <cell r="AE174">
            <v>12</v>
          </cell>
          <cell r="AF174">
            <v>10</v>
          </cell>
          <cell r="AG174" t="str">
            <v>0;0</v>
          </cell>
          <cell r="AH174" t="str">
            <v>6;0</v>
          </cell>
          <cell r="AI174" t="str">
            <v>0;0</v>
          </cell>
          <cell r="AJ174" t="str">
            <v>2;0</v>
          </cell>
          <cell r="AK174" t="str">
            <v>0;0</v>
          </cell>
          <cell r="AL174" t="str">
            <v>6;8</v>
          </cell>
          <cell r="AN174" t="str">
            <v>2;0</v>
          </cell>
          <cell r="AO174" t="str">
            <v>0;-6</v>
          </cell>
          <cell r="AP174" t="str">
            <v>6;0</v>
          </cell>
          <cell r="AQ174" t="str">
            <v>6;0</v>
          </cell>
          <cell r="AR174" t="str">
            <v>6;0</v>
          </cell>
          <cell r="AS174" t="str">
            <v>0;0</v>
          </cell>
          <cell r="AT174" t="str">
            <v>6;0</v>
          </cell>
          <cell r="AU174" t="str">
            <v>5;0</v>
          </cell>
          <cell r="AV174" t="str">
            <v>0;0</v>
          </cell>
          <cell r="AW174" t="str">
            <v>0;0</v>
          </cell>
          <cell r="AX174" t="str">
            <v>Improved Initiative;Weapon Finesse;</v>
          </cell>
          <cell r="BB174" t="str">
            <v>Chaotic Evil</v>
          </cell>
          <cell r="BD174" t="str">
            <v>Poison;Spell-like abilities;Alternate form</v>
          </cell>
          <cell r="BF174">
            <v>7</v>
          </cell>
          <cell r="BH174" t="str">
            <v>Improved, Planar</v>
          </cell>
          <cell r="BM174" t="str">
            <v>MM</v>
          </cell>
          <cell r="BN174">
            <v>46</v>
          </cell>
          <cell r="BP174" t="b">
            <v>1</v>
          </cell>
          <cell r="BQ174" t="b">
            <v>0</v>
          </cell>
          <cell r="BR174" t="b">
            <v>0</v>
          </cell>
          <cell r="BS174">
            <v>6</v>
          </cell>
          <cell r="BT174" t="str">
            <v/>
          </cell>
          <cell r="BU174" t="b">
            <v>0</v>
          </cell>
          <cell r="BV174" t="b">
            <v>0</v>
          </cell>
          <cell r="BW174">
            <v>11</v>
          </cell>
          <cell r="BX174" t="str">
            <v/>
          </cell>
          <cell r="BZ174" t="b">
            <v>0</v>
          </cell>
          <cell r="CA174">
            <v>29</v>
          </cell>
          <cell r="CB174" t="str">
            <v/>
          </cell>
          <cell r="CD174" t="b">
            <v>0</v>
          </cell>
          <cell r="CE174">
            <v>23</v>
          </cell>
          <cell r="CF174" t="str">
            <v/>
          </cell>
        </row>
        <row r="175">
          <cell r="A175" t="str">
            <v>Racoon Dog</v>
          </cell>
          <cell r="C175" t="str">
            <v>Small</v>
          </cell>
          <cell r="D175" t="str">
            <v>Animal</v>
          </cell>
          <cell r="F175">
            <v>1</v>
          </cell>
          <cell r="G175">
            <v>30</v>
          </cell>
          <cell r="N175" t="str">
            <v>Bite+5+0+2</v>
          </cell>
          <cell r="S175" t="str">
            <v>normal</v>
          </cell>
          <cell r="AA175">
            <v>12</v>
          </cell>
          <cell r="AB175">
            <v>13</v>
          </cell>
          <cell r="AC175">
            <v>12</v>
          </cell>
          <cell r="BM175" t="str">
            <v>OA</v>
          </cell>
          <cell r="BP175" t="b">
            <v>0</v>
          </cell>
          <cell r="BQ175" t="b">
            <v>0</v>
          </cell>
          <cell r="BR175" t="b">
            <v>0</v>
          </cell>
          <cell r="BS175">
            <v>6</v>
          </cell>
          <cell r="BT175" t="str">
            <v/>
          </cell>
          <cell r="BV175" t="b">
            <v>0</v>
          </cell>
          <cell r="BW175">
            <v>11</v>
          </cell>
          <cell r="BX175" t="str">
            <v/>
          </cell>
          <cell r="BZ175" t="b">
            <v>0</v>
          </cell>
          <cell r="CA175">
            <v>29</v>
          </cell>
          <cell r="CB175" t="str">
            <v/>
          </cell>
          <cell r="CD175" t="b">
            <v>0</v>
          </cell>
          <cell r="CE175">
            <v>23</v>
          </cell>
          <cell r="CF175" t="str">
            <v/>
          </cell>
        </row>
        <row r="176">
          <cell r="A176" t="str">
            <v>Ram</v>
          </cell>
          <cell r="C176" t="str">
            <v>Medium</v>
          </cell>
          <cell r="D176" t="str">
            <v>Animal</v>
          </cell>
          <cell r="N176" t="str">
            <v/>
          </cell>
          <cell r="BG176">
            <v>1</v>
          </cell>
          <cell r="BM176" t="str">
            <v>PGtA</v>
          </cell>
          <cell r="BP176" t="b">
            <v>0</v>
          </cell>
          <cell r="BQ176" t="b">
            <v>0</v>
          </cell>
          <cell r="BR176" t="b">
            <v>0</v>
          </cell>
          <cell r="BS176">
            <v>6</v>
          </cell>
          <cell r="BT176" t="str">
            <v/>
          </cell>
          <cell r="BV176" t="b">
            <v>0</v>
          </cell>
          <cell r="BW176">
            <v>11</v>
          </cell>
          <cell r="BX176" t="str">
            <v/>
          </cell>
          <cell r="BZ176" t="b">
            <v>0</v>
          </cell>
          <cell r="CA176">
            <v>29</v>
          </cell>
          <cell r="CB176" t="str">
            <v/>
          </cell>
          <cell r="CD176" t="b">
            <v>0</v>
          </cell>
          <cell r="CE176">
            <v>23</v>
          </cell>
          <cell r="CF176" t="str">
            <v/>
          </cell>
        </row>
        <row r="177">
          <cell r="A177" t="str">
            <v>Rat</v>
          </cell>
          <cell r="C177" t="str">
            <v>Tiny</v>
          </cell>
          <cell r="D177" t="str">
            <v>Animal</v>
          </cell>
          <cell r="F177">
            <v>0.125</v>
          </cell>
          <cell r="G177">
            <v>15</v>
          </cell>
          <cell r="I177">
            <v>15</v>
          </cell>
          <cell r="L177">
            <v>15</v>
          </cell>
          <cell r="M177">
            <v>0</v>
          </cell>
          <cell r="N177" t="str">
            <v>Bite+5+0+2</v>
          </cell>
          <cell r="O177" t="str">
            <v>1d3;</v>
          </cell>
          <cell r="S177" t="str">
            <v>normal</v>
          </cell>
          <cell r="AA177">
            <v>2</v>
          </cell>
          <cell r="AB177">
            <v>15</v>
          </cell>
          <cell r="AC177">
            <v>10</v>
          </cell>
          <cell r="AD177">
            <v>2</v>
          </cell>
          <cell r="AE177">
            <v>12</v>
          </cell>
          <cell r="AF177">
            <v>2</v>
          </cell>
          <cell r="AG177" t="str">
            <v>0;8</v>
          </cell>
          <cell r="AH177" t="str">
            <v>0;0</v>
          </cell>
          <cell r="AI177" t="str">
            <v>2;8</v>
          </cell>
          <cell r="AJ177" t="str">
            <v>0;0</v>
          </cell>
          <cell r="AK177" t="str">
            <v>0;0</v>
          </cell>
          <cell r="AL177" t="str">
            <v>0;12</v>
          </cell>
          <cell r="AN177" t="str">
            <v>0;0</v>
          </cell>
          <cell r="AO177" t="str">
            <v>0;-6</v>
          </cell>
          <cell r="AP177" t="str">
            <v>0;0</v>
          </cell>
          <cell r="AQ177" t="str">
            <v>4;4</v>
          </cell>
          <cell r="AR177" t="str">
            <v>0;0</v>
          </cell>
          <cell r="AS177" t="str">
            <v>0;0</v>
          </cell>
          <cell r="AT177" t="str">
            <v>0;0</v>
          </cell>
          <cell r="AU177" t="str">
            <v>0;0</v>
          </cell>
          <cell r="AV177" t="str">
            <v>0;0</v>
          </cell>
          <cell r="AW177" t="str">
            <v>0;8</v>
          </cell>
          <cell r="AX177" t="str">
            <v>Weapon Finesse</v>
          </cell>
          <cell r="BA177">
            <v>0</v>
          </cell>
          <cell r="BB177" t="str">
            <v>Neutral</v>
          </cell>
          <cell r="BD177" t="str">
            <v>Scent</v>
          </cell>
          <cell r="BF177">
            <v>1</v>
          </cell>
          <cell r="BH177" t="str">
            <v>Normal</v>
          </cell>
          <cell r="BM177" t="str">
            <v>MM</v>
          </cell>
          <cell r="BN177">
            <v>278</v>
          </cell>
          <cell r="BP177" t="b">
            <v>1</v>
          </cell>
          <cell r="BQ177" t="b">
            <v>0</v>
          </cell>
          <cell r="BR177" t="b">
            <v>0</v>
          </cell>
          <cell r="BS177">
            <v>6</v>
          </cell>
          <cell r="BT177" t="str">
            <v/>
          </cell>
          <cell r="BV177" t="b">
            <v>1</v>
          </cell>
          <cell r="BW177">
            <v>12</v>
          </cell>
          <cell r="BX177" t="str">
            <v/>
          </cell>
          <cell r="BZ177" t="b">
            <v>0</v>
          </cell>
          <cell r="CA177">
            <v>29</v>
          </cell>
          <cell r="CB177" t="str">
            <v/>
          </cell>
          <cell r="CD177" t="b">
            <v>0</v>
          </cell>
          <cell r="CE177">
            <v>23</v>
          </cell>
          <cell r="CF177" t="str">
            <v/>
          </cell>
        </row>
        <row r="178">
          <cell r="A178" t="str">
            <v>Raven</v>
          </cell>
          <cell r="C178" t="str">
            <v>Tiny</v>
          </cell>
          <cell r="D178" t="str">
            <v>Animal</v>
          </cell>
          <cell r="F178">
            <v>0.25</v>
          </cell>
          <cell r="G178">
            <v>10</v>
          </cell>
          <cell r="J178">
            <v>40</v>
          </cell>
          <cell r="K178" t="str">
            <v>avg</v>
          </cell>
          <cell r="M178">
            <v>0</v>
          </cell>
          <cell r="N178" t="str">
            <v>Claws+4+0+2</v>
          </cell>
          <cell r="O178" t="str">
            <v>1d2;</v>
          </cell>
          <cell r="S178" t="str">
            <v>normal</v>
          </cell>
          <cell r="AA178">
            <v>1</v>
          </cell>
          <cell r="AB178">
            <v>15</v>
          </cell>
          <cell r="AC178">
            <v>10</v>
          </cell>
          <cell r="AD178">
            <v>2</v>
          </cell>
          <cell r="AE178">
            <v>14</v>
          </cell>
          <cell r="AF178">
            <v>6</v>
          </cell>
          <cell r="AG178" t="str">
            <v>0;0</v>
          </cell>
          <cell r="AH178" t="str">
            <v>0;0</v>
          </cell>
          <cell r="AI178" t="str">
            <v>0;0</v>
          </cell>
          <cell r="AJ178" t="str">
            <v>0;0</v>
          </cell>
          <cell r="AK178" t="str">
            <v>0;0</v>
          </cell>
          <cell r="AL178" t="str">
            <v>0;8</v>
          </cell>
          <cell r="AN178" t="str">
            <v>0;0</v>
          </cell>
          <cell r="AO178" t="str">
            <v>0;-12</v>
          </cell>
          <cell r="AP178" t="str">
            <v>1;0</v>
          </cell>
          <cell r="AQ178" t="str">
            <v>0;0</v>
          </cell>
          <cell r="AR178" t="str">
            <v>0;0</v>
          </cell>
          <cell r="AS178" t="str">
            <v>0;0</v>
          </cell>
          <cell r="AT178" t="str">
            <v>0;0</v>
          </cell>
          <cell r="AU178" t="str">
            <v>3;0</v>
          </cell>
          <cell r="AV178" t="str">
            <v>0;0</v>
          </cell>
          <cell r="AW178" t="str">
            <v>0;0</v>
          </cell>
          <cell r="AX178" t="str">
            <v>Weapon Finesse</v>
          </cell>
          <cell r="BA178">
            <v>0</v>
          </cell>
          <cell r="BB178" t="str">
            <v>Neutral</v>
          </cell>
          <cell r="BF178">
            <v>1</v>
          </cell>
          <cell r="BH178" t="str">
            <v>Normal</v>
          </cell>
          <cell r="BM178" t="str">
            <v>MM</v>
          </cell>
          <cell r="BN178">
            <v>278</v>
          </cell>
          <cell r="BP178" t="b">
            <v>1</v>
          </cell>
          <cell r="BQ178" t="b">
            <v>0</v>
          </cell>
          <cell r="BR178" t="b">
            <v>0</v>
          </cell>
          <cell r="BS178">
            <v>6</v>
          </cell>
          <cell r="BT178" t="str">
            <v/>
          </cell>
          <cell r="BV178" t="b">
            <v>1</v>
          </cell>
          <cell r="BW178">
            <v>13</v>
          </cell>
          <cell r="BX178" t="str">
            <v/>
          </cell>
          <cell r="BZ178" t="b">
            <v>0</v>
          </cell>
          <cell r="CA178">
            <v>29</v>
          </cell>
          <cell r="CB178" t="str">
            <v/>
          </cell>
          <cell r="CD178" t="b">
            <v>0</v>
          </cell>
          <cell r="CE178">
            <v>23</v>
          </cell>
          <cell r="CF178" t="str">
            <v/>
          </cell>
        </row>
        <row r="179">
          <cell r="A179" t="str">
            <v>Remorhaz</v>
          </cell>
          <cell r="D179" t="str">
            <v>Magical Beast</v>
          </cell>
          <cell r="N179" t="str">
            <v/>
          </cell>
          <cell r="BG179">
            <v>13</v>
          </cell>
          <cell r="BM179" t="str">
            <v>MM</v>
          </cell>
          <cell r="BN179">
            <v>214</v>
          </cell>
          <cell r="BP179" t="b">
            <v>1</v>
          </cell>
          <cell r="BQ179" t="b">
            <v>0</v>
          </cell>
          <cell r="BR179" t="b">
            <v>0</v>
          </cell>
          <cell r="BS179">
            <v>6</v>
          </cell>
          <cell r="BT179" t="str">
            <v/>
          </cell>
          <cell r="BV179" t="b">
            <v>0</v>
          </cell>
          <cell r="BW179">
            <v>13</v>
          </cell>
          <cell r="BX179" t="str">
            <v/>
          </cell>
          <cell r="BY179" t="b">
            <v>0</v>
          </cell>
          <cell r="BZ179" t="b">
            <v>0</v>
          </cell>
          <cell r="CA179">
            <v>29</v>
          </cell>
          <cell r="CB179" t="str">
            <v/>
          </cell>
          <cell r="CD179" t="b">
            <v>0</v>
          </cell>
          <cell r="CE179">
            <v>23</v>
          </cell>
          <cell r="CF179" t="str">
            <v/>
          </cell>
        </row>
        <row r="180">
          <cell r="A180" t="str">
            <v>Rhinoceros</v>
          </cell>
          <cell r="C180" t="str">
            <v>Large</v>
          </cell>
          <cell r="D180" t="str">
            <v>Animal</v>
          </cell>
          <cell r="F180">
            <v>8</v>
          </cell>
          <cell r="G180">
            <v>30</v>
          </cell>
          <cell r="M180">
            <v>7</v>
          </cell>
          <cell r="N180" t="str">
            <v>Gore+6+0+2</v>
          </cell>
          <cell r="S180" t="str">
            <v>normal</v>
          </cell>
          <cell r="AA180">
            <v>26</v>
          </cell>
          <cell r="AB180">
            <v>10</v>
          </cell>
          <cell r="AC180">
            <v>21</v>
          </cell>
          <cell r="AD180">
            <v>2</v>
          </cell>
          <cell r="AE180">
            <v>13</v>
          </cell>
          <cell r="AF180">
            <v>2</v>
          </cell>
          <cell r="BG180">
            <v>7</v>
          </cell>
          <cell r="BM180" t="str">
            <v>MM</v>
          </cell>
          <cell r="BN180">
            <v>278</v>
          </cell>
          <cell r="BP180" t="b">
            <v>1</v>
          </cell>
          <cell r="BQ180" t="b">
            <v>0</v>
          </cell>
          <cell r="BR180" t="b">
            <v>0</v>
          </cell>
          <cell r="BS180">
            <v>6</v>
          </cell>
          <cell r="BT180" t="str">
            <v/>
          </cell>
          <cell r="BV180" t="b">
            <v>0</v>
          </cell>
          <cell r="BW180">
            <v>13</v>
          </cell>
          <cell r="BX180" t="str">
            <v/>
          </cell>
          <cell r="BY180" t="b">
            <v>1</v>
          </cell>
          <cell r="BZ180" t="b">
            <v>0</v>
          </cell>
          <cell r="CA180">
            <v>29</v>
          </cell>
          <cell r="CB180" t="str">
            <v/>
          </cell>
          <cell r="CD180" t="b">
            <v>0</v>
          </cell>
          <cell r="CE180">
            <v>23</v>
          </cell>
          <cell r="CF180" t="str">
            <v/>
          </cell>
        </row>
        <row r="181">
          <cell r="A181" t="str">
            <v>Sailsnake</v>
          </cell>
          <cell r="C181" t="str">
            <v>Medium</v>
          </cell>
          <cell r="D181" t="str">
            <v>Magical Beast</v>
          </cell>
          <cell r="F181">
            <v>3</v>
          </cell>
          <cell r="G181">
            <v>20</v>
          </cell>
          <cell r="J181">
            <v>30</v>
          </cell>
          <cell r="K181" t="str">
            <v>poor</v>
          </cell>
          <cell r="M181">
            <v>2</v>
          </cell>
          <cell r="N181" t="str">
            <v>Bite;</v>
          </cell>
          <cell r="O181" t="str">
            <v>1d8;</v>
          </cell>
          <cell r="S181" t="str">
            <v>normal</v>
          </cell>
          <cell r="AA181">
            <v>14</v>
          </cell>
          <cell r="AB181">
            <v>17</v>
          </cell>
          <cell r="AC181">
            <v>15</v>
          </cell>
          <cell r="AD181">
            <v>1</v>
          </cell>
          <cell r="AE181">
            <v>12</v>
          </cell>
          <cell r="AF181">
            <v>10</v>
          </cell>
          <cell r="AG181" t="str">
            <v>3;8</v>
          </cell>
          <cell r="AH181" t="str">
            <v>0;0</v>
          </cell>
          <cell r="AI181" t="str">
            <v>3;8</v>
          </cell>
          <cell r="AJ181" t="str">
            <v>0;0</v>
          </cell>
          <cell r="AK181" t="str">
            <v>0;0</v>
          </cell>
          <cell r="AL181" t="str">
            <v>0;0</v>
          </cell>
          <cell r="AN181" t="str">
            <v>0;0</v>
          </cell>
          <cell r="AO181" t="str">
            <v>0;0</v>
          </cell>
          <cell r="AP181" t="str">
            <v>4;4</v>
          </cell>
          <cell r="AQ181" t="str">
            <v>0;0</v>
          </cell>
          <cell r="AR181" t="str">
            <v>0;0</v>
          </cell>
          <cell r="AS181" t="str">
            <v>0;0</v>
          </cell>
          <cell r="AT181" t="str">
            <v>0;0</v>
          </cell>
          <cell r="AU181" t="str">
            <v>4;4</v>
          </cell>
          <cell r="AV181" t="str">
            <v>0;0</v>
          </cell>
          <cell r="AW181" t="str">
            <v>0;0</v>
          </cell>
          <cell r="AX181" t="str">
            <v>Improved Natural Weapon;Weapon Finesse;</v>
          </cell>
          <cell r="BB181" t="str">
            <v>Neutral</v>
          </cell>
          <cell r="BD181" t="str">
            <v>Scent;Venom Spray</v>
          </cell>
          <cell r="BF181">
            <v>5</v>
          </cell>
          <cell r="BH181" t="str">
            <v>Improved</v>
          </cell>
          <cell r="BM181" t="str">
            <v>MM4</v>
          </cell>
          <cell r="BP181" t="b">
            <v>0</v>
          </cell>
          <cell r="BQ181" t="b">
            <v>0</v>
          </cell>
          <cell r="BR181" t="b">
            <v>0</v>
          </cell>
          <cell r="BS181">
            <v>6</v>
          </cell>
          <cell r="BT181" t="str">
            <v/>
          </cell>
          <cell r="BV181" t="b">
            <v>0</v>
          </cell>
          <cell r="BW181">
            <v>13</v>
          </cell>
          <cell r="BX181" t="str">
            <v/>
          </cell>
          <cell r="BZ181" t="b">
            <v>0</v>
          </cell>
          <cell r="CA181">
            <v>29</v>
          </cell>
          <cell r="CB181" t="str">
            <v/>
          </cell>
          <cell r="CD181" t="b">
            <v>0</v>
          </cell>
          <cell r="CE181">
            <v>23</v>
          </cell>
          <cell r="CF181" t="str">
            <v/>
          </cell>
        </row>
        <row r="182">
          <cell r="A182" t="str">
            <v>Sea Cat</v>
          </cell>
          <cell r="D182" t="str">
            <v>Magical Beast</v>
          </cell>
          <cell r="N182" t="str">
            <v/>
          </cell>
          <cell r="BG182">
            <v>7</v>
          </cell>
          <cell r="BM182" t="str">
            <v>MM</v>
          </cell>
          <cell r="BN182">
            <v>220</v>
          </cell>
          <cell r="BP182" t="b">
            <v>1</v>
          </cell>
          <cell r="BQ182" t="b">
            <v>0</v>
          </cell>
          <cell r="BR182" t="b">
            <v>0</v>
          </cell>
          <cell r="BS182">
            <v>6</v>
          </cell>
          <cell r="BT182" t="str">
            <v/>
          </cell>
          <cell r="BV182" t="b">
            <v>0</v>
          </cell>
          <cell r="BW182">
            <v>13</v>
          </cell>
          <cell r="BX182" t="str">
            <v/>
          </cell>
          <cell r="BY182" t="b">
            <v>0</v>
          </cell>
          <cell r="BZ182" t="b">
            <v>0</v>
          </cell>
          <cell r="CA182">
            <v>29</v>
          </cell>
          <cell r="CB182" t="str">
            <v/>
          </cell>
          <cell r="CD182" t="b">
            <v>0</v>
          </cell>
          <cell r="CE182">
            <v>23</v>
          </cell>
          <cell r="CF182" t="str">
            <v/>
          </cell>
        </row>
        <row r="183">
          <cell r="A183" t="str">
            <v>Shark, Huge</v>
          </cell>
          <cell r="C183" t="str">
            <v>Huge</v>
          </cell>
          <cell r="D183" t="str">
            <v>Animal</v>
          </cell>
          <cell r="E183" t="str">
            <v>Aquatic</v>
          </cell>
          <cell r="F183">
            <v>10</v>
          </cell>
          <cell r="L183">
            <v>60</v>
          </cell>
          <cell r="M183">
            <v>5</v>
          </cell>
          <cell r="N183" t="str">
            <v>Bite+5+0+2</v>
          </cell>
          <cell r="S183" t="str">
            <v>normal</v>
          </cell>
          <cell r="AA183">
            <v>21</v>
          </cell>
          <cell r="AB183">
            <v>15</v>
          </cell>
          <cell r="AC183">
            <v>15</v>
          </cell>
          <cell r="AD183">
            <v>1</v>
          </cell>
          <cell r="AE183">
            <v>12</v>
          </cell>
          <cell r="AF183">
            <v>2</v>
          </cell>
          <cell r="BG183">
            <v>10</v>
          </cell>
          <cell r="BM183" t="str">
            <v>MM</v>
          </cell>
          <cell r="BN183">
            <v>279</v>
          </cell>
          <cell r="BP183" t="b">
            <v>1</v>
          </cell>
          <cell r="BQ183" t="b">
            <v>0</v>
          </cell>
          <cell r="BR183" t="b">
            <v>0</v>
          </cell>
          <cell r="BS183">
            <v>6</v>
          </cell>
          <cell r="BT183" t="str">
            <v/>
          </cell>
          <cell r="BV183" t="b">
            <v>0</v>
          </cell>
          <cell r="BW183">
            <v>13</v>
          </cell>
          <cell r="BX183" t="str">
            <v/>
          </cell>
          <cell r="BY183" t="b">
            <v>1</v>
          </cell>
          <cell r="BZ183" t="b">
            <v>0</v>
          </cell>
          <cell r="CA183">
            <v>29</v>
          </cell>
          <cell r="CB183" t="str">
            <v/>
          </cell>
          <cell r="CD183" t="b">
            <v>0</v>
          </cell>
          <cell r="CE183">
            <v>23</v>
          </cell>
          <cell r="CF183" t="str">
            <v/>
          </cell>
        </row>
        <row r="184">
          <cell r="A184" t="str">
            <v>Shark, Large</v>
          </cell>
          <cell r="C184" t="str">
            <v>Large</v>
          </cell>
          <cell r="D184" t="str">
            <v>Animal</v>
          </cell>
          <cell r="E184" t="str">
            <v>Aquatic</v>
          </cell>
          <cell r="F184">
            <v>7</v>
          </cell>
          <cell r="L184">
            <v>60</v>
          </cell>
          <cell r="M184">
            <v>4</v>
          </cell>
          <cell r="N184" t="str">
            <v>Bite+5+0+2</v>
          </cell>
          <cell r="S184" t="str">
            <v>normal</v>
          </cell>
          <cell r="AA184">
            <v>17</v>
          </cell>
          <cell r="AB184">
            <v>15</v>
          </cell>
          <cell r="AC184">
            <v>13</v>
          </cell>
          <cell r="AD184">
            <v>1</v>
          </cell>
          <cell r="AE184">
            <v>12</v>
          </cell>
          <cell r="AF184">
            <v>2</v>
          </cell>
          <cell r="BG184">
            <v>4</v>
          </cell>
          <cell r="BM184" t="str">
            <v>MM</v>
          </cell>
          <cell r="BN184">
            <v>279</v>
          </cell>
          <cell r="BP184" t="b">
            <v>1</v>
          </cell>
          <cell r="BQ184" t="b">
            <v>0</v>
          </cell>
          <cell r="BR184" t="b">
            <v>0</v>
          </cell>
          <cell r="BS184">
            <v>6</v>
          </cell>
          <cell r="BT184" t="str">
            <v/>
          </cell>
          <cell r="BV184" t="b">
            <v>0</v>
          </cell>
          <cell r="BW184">
            <v>13</v>
          </cell>
          <cell r="BX184" t="str">
            <v/>
          </cell>
          <cell r="BY184" t="b">
            <v>1</v>
          </cell>
          <cell r="BZ184" t="b">
            <v>1</v>
          </cell>
          <cell r="CA184">
            <v>30</v>
          </cell>
          <cell r="CB184" t="str">
            <v/>
          </cell>
          <cell r="CD184" t="b">
            <v>0</v>
          </cell>
          <cell r="CE184">
            <v>23</v>
          </cell>
          <cell r="CF184" t="str">
            <v/>
          </cell>
        </row>
        <row r="185">
          <cell r="A185" t="str">
            <v>Shark, Medium</v>
          </cell>
          <cell r="C185" t="str">
            <v>Medium</v>
          </cell>
          <cell r="D185" t="str">
            <v>Animal</v>
          </cell>
          <cell r="E185" t="str">
            <v>Aquatic</v>
          </cell>
          <cell r="F185">
            <v>3</v>
          </cell>
          <cell r="L185">
            <v>60</v>
          </cell>
          <cell r="M185">
            <v>3</v>
          </cell>
          <cell r="N185" t="str">
            <v>Bite+5+0+2</v>
          </cell>
          <cell r="S185" t="str">
            <v>normal</v>
          </cell>
          <cell r="AA185">
            <v>13</v>
          </cell>
          <cell r="AB185">
            <v>15</v>
          </cell>
          <cell r="AC185">
            <v>13</v>
          </cell>
          <cell r="AD185">
            <v>1</v>
          </cell>
          <cell r="AE185">
            <v>12</v>
          </cell>
          <cell r="AF185">
            <v>2</v>
          </cell>
          <cell r="BG185">
            <v>1</v>
          </cell>
          <cell r="BM185" t="str">
            <v>MM</v>
          </cell>
          <cell r="BN185">
            <v>279</v>
          </cell>
          <cell r="BP185" t="b">
            <v>1</v>
          </cell>
          <cell r="BQ185" t="b">
            <v>0</v>
          </cell>
          <cell r="BR185" t="b">
            <v>0</v>
          </cell>
          <cell r="BS185">
            <v>6</v>
          </cell>
          <cell r="BT185" t="str">
            <v/>
          </cell>
          <cell r="BV185" t="b">
            <v>0</v>
          </cell>
          <cell r="BW185">
            <v>13</v>
          </cell>
          <cell r="BX185" t="str">
            <v/>
          </cell>
          <cell r="BY185" t="b">
            <v>1</v>
          </cell>
          <cell r="BZ185" t="b">
            <v>1</v>
          </cell>
          <cell r="CA185">
            <v>31</v>
          </cell>
          <cell r="CB185" t="str">
            <v/>
          </cell>
          <cell r="CD185" t="b">
            <v>1</v>
          </cell>
          <cell r="CE185">
            <v>24</v>
          </cell>
          <cell r="CF185" t="str">
            <v/>
          </cell>
        </row>
        <row r="186">
          <cell r="A186" t="str">
            <v>Shocker Lizard</v>
          </cell>
          <cell r="C186" t="str">
            <v>Small</v>
          </cell>
          <cell r="D186" t="str">
            <v>Magical Beast</v>
          </cell>
          <cell r="F186">
            <v>2</v>
          </cell>
          <cell r="G186">
            <v>40</v>
          </cell>
          <cell r="I186">
            <v>20</v>
          </cell>
          <cell r="L186">
            <v>20</v>
          </cell>
          <cell r="M186">
            <v>3</v>
          </cell>
          <cell r="N186" t="str">
            <v>Bite;</v>
          </cell>
          <cell r="O186" t="str">
            <v>1d4;</v>
          </cell>
          <cell r="S186" t="str">
            <v>normal</v>
          </cell>
          <cell r="T186">
            <v>60</v>
          </cell>
          <cell r="U186" t="str">
            <v>electricity</v>
          </cell>
          <cell r="AA186">
            <v>10</v>
          </cell>
          <cell r="AB186">
            <v>15</v>
          </cell>
          <cell r="AC186">
            <v>13</v>
          </cell>
          <cell r="AD186">
            <v>2</v>
          </cell>
          <cell r="AE186">
            <v>12</v>
          </cell>
          <cell r="AF186">
            <v>6</v>
          </cell>
          <cell r="AG186" t="str">
            <v>0;0</v>
          </cell>
          <cell r="AH186" t="str">
            <v>0;0</v>
          </cell>
          <cell r="AI186" t="str">
            <v>1;8</v>
          </cell>
          <cell r="AJ186" t="str">
            <v>0;0</v>
          </cell>
          <cell r="AK186" t="str">
            <v>0;0</v>
          </cell>
          <cell r="AL186" t="str">
            <v>1;8</v>
          </cell>
          <cell r="AN186" t="str">
            <v>0;0</v>
          </cell>
          <cell r="AO186" t="str">
            <v>1;4</v>
          </cell>
          <cell r="AP186" t="str">
            <v>1;2</v>
          </cell>
          <cell r="AQ186" t="str">
            <v>0;0</v>
          </cell>
          <cell r="AR186" t="str">
            <v>0;0</v>
          </cell>
          <cell r="AS186" t="str">
            <v>0;0</v>
          </cell>
          <cell r="AT186" t="str">
            <v>0;0</v>
          </cell>
          <cell r="AU186" t="str">
            <v>1;2</v>
          </cell>
          <cell r="AV186" t="str">
            <v>0;0</v>
          </cell>
          <cell r="AW186" t="str">
            <v>2;8</v>
          </cell>
          <cell r="AX186" t="str">
            <v>Improved Initiative;</v>
          </cell>
          <cell r="BB186" t="str">
            <v>Neutral</v>
          </cell>
          <cell r="BD186" t="str">
            <v>Stunning shock;Lethal shock;Electricity sense</v>
          </cell>
          <cell r="BF186">
            <v>5</v>
          </cell>
          <cell r="BG186">
            <v>4</v>
          </cell>
          <cell r="BH186" t="str">
            <v>Improved</v>
          </cell>
          <cell r="BM186" t="str">
            <v>MM</v>
          </cell>
          <cell r="BN186">
            <v>224</v>
          </cell>
          <cell r="BP186" t="b">
            <v>1</v>
          </cell>
          <cell r="BQ186" t="b">
            <v>0</v>
          </cell>
          <cell r="BR186" t="b">
            <v>0</v>
          </cell>
          <cell r="BS186">
            <v>6</v>
          </cell>
          <cell r="BT186" t="str">
            <v/>
          </cell>
          <cell r="BV186" t="b">
            <v>0</v>
          </cell>
          <cell r="BW186">
            <v>13</v>
          </cell>
          <cell r="BX186" t="str">
            <v/>
          </cell>
          <cell r="BY186" t="b">
            <v>0</v>
          </cell>
          <cell r="BZ186" t="b">
            <v>0</v>
          </cell>
          <cell r="CA186">
            <v>31</v>
          </cell>
          <cell r="CB186" t="str">
            <v/>
          </cell>
          <cell r="CD186" t="b">
            <v>0</v>
          </cell>
          <cell r="CE186">
            <v>24</v>
          </cell>
          <cell r="CF186" t="str">
            <v/>
          </cell>
        </row>
        <row r="187">
          <cell r="A187" t="str">
            <v>Snake, Constrictor</v>
          </cell>
          <cell r="C187" t="str">
            <v>Medium</v>
          </cell>
          <cell r="D187" t="str">
            <v>Animal</v>
          </cell>
          <cell r="F187">
            <v>3</v>
          </cell>
          <cell r="G187">
            <v>20</v>
          </cell>
          <cell r="I187">
            <v>20</v>
          </cell>
          <cell r="L187">
            <v>20</v>
          </cell>
          <cell r="M187">
            <v>2</v>
          </cell>
          <cell r="N187" t="str">
            <v>Bite+3+0+2</v>
          </cell>
          <cell r="S187" t="str">
            <v>normal</v>
          </cell>
          <cell r="AA187">
            <v>17</v>
          </cell>
          <cell r="AB187">
            <v>17</v>
          </cell>
          <cell r="AC187">
            <v>13</v>
          </cell>
          <cell r="AD187">
            <v>1</v>
          </cell>
          <cell r="AE187">
            <v>12</v>
          </cell>
          <cell r="AF187">
            <v>2</v>
          </cell>
          <cell r="BG187">
            <v>4</v>
          </cell>
          <cell r="BM187" t="str">
            <v>MM</v>
          </cell>
          <cell r="BN187">
            <v>279</v>
          </cell>
          <cell r="BP187" t="b">
            <v>1</v>
          </cell>
          <cell r="BQ187" t="b">
            <v>0</v>
          </cell>
          <cell r="BR187" t="b">
            <v>0</v>
          </cell>
          <cell r="BS187">
            <v>6</v>
          </cell>
          <cell r="BT187" t="str">
            <v/>
          </cell>
          <cell r="BV187" t="b">
            <v>0</v>
          </cell>
          <cell r="BW187">
            <v>13</v>
          </cell>
          <cell r="BX187" t="str">
            <v/>
          </cell>
          <cell r="BY187" t="b">
            <v>1</v>
          </cell>
          <cell r="BZ187" t="b">
            <v>1</v>
          </cell>
          <cell r="CA187">
            <v>32</v>
          </cell>
          <cell r="CB187" t="str">
            <v/>
          </cell>
          <cell r="CD187" t="b">
            <v>1</v>
          </cell>
          <cell r="CE187">
            <v>25</v>
          </cell>
          <cell r="CF187" t="str">
            <v/>
          </cell>
        </row>
        <row r="188">
          <cell r="A188" t="str">
            <v>Snake, Giant Constrictor</v>
          </cell>
          <cell r="C188" t="str">
            <v>Huge</v>
          </cell>
          <cell r="D188" t="str">
            <v>Animal</v>
          </cell>
          <cell r="F188">
            <v>11</v>
          </cell>
          <cell r="G188">
            <v>20</v>
          </cell>
          <cell r="I188">
            <v>20</v>
          </cell>
          <cell r="L188">
            <v>20</v>
          </cell>
          <cell r="M188">
            <v>4</v>
          </cell>
          <cell r="N188" t="str">
            <v>Bite+4+0+2</v>
          </cell>
          <cell r="S188" t="str">
            <v>normal</v>
          </cell>
          <cell r="AA188">
            <v>25</v>
          </cell>
          <cell r="AB188">
            <v>17</v>
          </cell>
          <cell r="AC188">
            <v>13</v>
          </cell>
          <cell r="AD188">
            <v>1</v>
          </cell>
          <cell r="AE188">
            <v>12</v>
          </cell>
          <cell r="AF188">
            <v>2</v>
          </cell>
          <cell r="BG188">
            <v>10</v>
          </cell>
          <cell r="BM188" t="str">
            <v>MM</v>
          </cell>
          <cell r="BN188">
            <v>280</v>
          </cell>
          <cell r="BP188" t="b">
            <v>1</v>
          </cell>
          <cell r="BQ188" t="b">
            <v>0</v>
          </cell>
          <cell r="BR188" t="b">
            <v>0</v>
          </cell>
          <cell r="BS188">
            <v>6</v>
          </cell>
          <cell r="BT188" t="str">
            <v/>
          </cell>
          <cell r="BV188" t="b">
            <v>0</v>
          </cell>
          <cell r="BW188">
            <v>13</v>
          </cell>
          <cell r="BX188" t="str">
            <v/>
          </cell>
          <cell r="BY188" t="b">
            <v>1</v>
          </cell>
          <cell r="BZ188" t="b">
            <v>0</v>
          </cell>
          <cell r="CA188">
            <v>32</v>
          </cell>
          <cell r="CB188" t="str">
            <v/>
          </cell>
          <cell r="CD188" t="b">
            <v>0</v>
          </cell>
          <cell r="CE188">
            <v>25</v>
          </cell>
          <cell r="CF188" t="str">
            <v/>
          </cell>
        </row>
        <row r="189">
          <cell r="A189" t="str">
            <v>Snake, Huge Viper</v>
          </cell>
          <cell r="C189" t="str">
            <v>Huge</v>
          </cell>
          <cell r="D189" t="str">
            <v>Animal</v>
          </cell>
          <cell r="F189">
            <v>6</v>
          </cell>
          <cell r="G189">
            <v>20</v>
          </cell>
          <cell r="I189">
            <v>20</v>
          </cell>
          <cell r="L189">
            <v>20</v>
          </cell>
          <cell r="M189">
            <v>5</v>
          </cell>
          <cell r="N189" t="str">
            <v>Bite+3+0+2</v>
          </cell>
          <cell r="S189" t="str">
            <v>normal</v>
          </cell>
          <cell r="AA189">
            <v>16</v>
          </cell>
          <cell r="AB189">
            <v>15</v>
          </cell>
          <cell r="AC189">
            <v>13</v>
          </cell>
          <cell r="AD189">
            <v>1</v>
          </cell>
          <cell r="AE189">
            <v>12</v>
          </cell>
          <cell r="AF189">
            <v>2</v>
          </cell>
          <cell r="BG189">
            <v>7</v>
          </cell>
          <cell r="BM189" t="str">
            <v>MM</v>
          </cell>
          <cell r="BN189">
            <v>280</v>
          </cell>
          <cell r="BP189" t="b">
            <v>1</v>
          </cell>
          <cell r="BQ189" t="b">
            <v>0</v>
          </cell>
          <cell r="BR189" t="b">
            <v>0</v>
          </cell>
          <cell r="BS189">
            <v>6</v>
          </cell>
          <cell r="BT189" t="str">
            <v/>
          </cell>
          <cell r="BV189" t="b">
            <v>0</v>
          </cell>
          <cell r="BW189">
            <v>13</v>
          </cell>
          <cell r="BX189" t="str">
            <v/>
          </cell>
          <cell r="BY189" t="b">
            <v>1</v>
          </cell>
          <cell r="BZ189" t="b">
            <v>0</v>
          </cell>
          <cell r="CA189">
            <v>32</v>
          </cell>
          <cell r="CB189" t="str">
            <v/>
          </cell>
          <cell r="CD189" t="b">
            <v>0</v>
          </cell>
          <cell r="CE189">
            <v>25</v>
          </cell>
          <cell r="CF189" t="str">
            <v/>
          </cell>
        </row>
        <row r="190">
          <cell r="A190" t="str">
            <v>Snake, Large Viper</v>
          </cell>
          <cell r="C190" t="str">
            <v>Large</v>
          </cell>
          <cell r="D190" t="str">
            <v>Animal</v>
          </cell>
          <cell r="F190">
            <v>3</v>
          </cell>
          <cell r="G190">
            <v>20</v>
          </cell>
          <cell r="I190">
            <v>20</v>
          </cell>
          <cell r="L190">
            <v>20</v>
          </cell>
          <cell r="M190">
            <v>3</v>
          </cell>
          <cell r="N190" t="str">
            <v>Bite+3+0+2</v>
          </cell>
          <cell r="S190" t="str">
            <v>normal</v>
          </cell>
          <cell r="AA190">
            <v>10</v>
          </cell>
          <cell r="AB190">
            <v>17</v>
          </cell>
          <cell r="AC190">
            <v>11</v>
          </cell>
          <cell r="AD190">
            <v>1</v>
          </cell>
          <cell r="AE190">
            <v>12</v>
          </cell>
          <cell r="AF190">
            <v>2</v>
          </cell>
          <cell r="BG190">
            <v>4</v>
          </cell>
          <cell r="BM190" t="str">
            <v>MM</v>
          </cell>
          <cell r="BN190">
            <v>281</v>
          </cell>
          <cell r="BP190" t="b">
            <v>1</v>
          </cell>
          <cell r="BQ190" t="b">
            <v>0</v>
          </cell>
          <cell r="BR190" t="b">
            <v>0</v>
          </cell>
          <cell r="BS190">
            <v>6</v>
          </cell>
          <cell r="BT190" t="str">
            <v/>
          </cell>
          <cell r="BV190" t="b">
            <v>0</v>
          </cell>
          <cell r="BW190">
            <v>13</v>
          </cell>
          <cell r="BX190" t="str">
            <v/>
          </cell>
          <cell r="BY190" t="b">
            <v>1</v>
          </cell>
          <cell r="BZ190" t="b">
            <v>1</v>
          </cell>
          <cell r="CA190">
            <v>33</v>
          </cell>
          <cell r="CB190" t="str">
            <v/>
          </cell>
          <cell r="CD190" t="b">
            <v>0</v>
          </cell>
          <cell r="CE190">
            <v>25</v>
          </cell>
          <cell r="CF190" t="str">
            <v/>
          </cell>
        </row>
        <row r="191">
          <cell r="A191" t="str">
            <v>Snake, Medium Viper</v>
          </cell>
          <cell r="C191" t="str">
            <v>Medium</v>
          </cell>
          <cell r="D191" t="str">
            <v>Animal</v>
          </cell>
          <cell r="F191">
            <v>2</v>
          </cell>
          <cell r="G191">
            <v>20</v>
          </cell>
          <cell r="I191">
            <v>20</v>
          </cell>
          <cell r="L191">
            <v>20</v>
          </cell>
          <cell r="M191">
            <v>3</v>
          </cell>
          <cell r="N191" t="str">
            <v>Bite+4+0+2</v>
          </cell>
          <cell r="S191" t="str">
            <v>normal</v>
          </cell>
          <cell r="AA191">
            <v>8</v>
          </cell>
          <cell r="AB191">
            <v>17</v>
          </cell>
          <cell r="AC191">
            <v>11</v>
          </cell>
          <cell r="AD191">
            <v>1</v>
          </cell>
          <cell r="AE191">
            <v>12</v>
          </cell>
          <cell r="AF191">
            <v>2</v>
          </cell>
          <cell r="BG191">
            <v>1</v>
          </cell>
          <cell r="BM191" t="str">
            <v>MM</v>
          </cell>
          <cell r="BN191">
            <v>282</v>
          </cell>
          <cell r="BP191" t="b">
            <v>1</v>
          </cell>
          <cell r="BQ191" t="b">
            <v>0</v>
          </cell>
          <cell r="BR191" t="b">
            <v>0</v>
          </cell>
          <cell r="BS191">
            <v>6</v>
          </cell>
          <cell r="BT191" t="str">
            <v/>
          </cell>
          <cell r="BV191" t="b">
            <v>0</v>
          </cell>
          <cell r="BW191">
            <v>13</v>
          </cell>
          <cell r="BX191" t="str">
            <v/>
          </cell>
          <cell r="BY191" t="b">
            <v>1</v>
          </cell>
          <cell r="BZ191" t="b">
            <v>1</v>
          </cell>
          <cell r="CA191">
            <v>34</v>
          </cell>
          <cell r="CB191" t="str">
            <v/>
          </cell>
          <cell r="CD191" t="b">
            <v>1</v>
          </cell>
          <cell r="CE191">
            <v>26</v>
          </cell>
          <cell r="CF191" t="str">
            <v/>
          </cell>
        </row>
        <row r="192">
          <cell r="A192" t="str">
            <v>Snake, Small Viper</v>
          </cell>
          <cell r="C192" t="str">
            <v>Small</v>
          </cell>
          <cell r="D192" t="str">
            <v>Animal</v>
          </cell>
          <cell r="F192">
            <v>1</v>
          </cell>
          <cell r="G192">
            <v>20</v>
          </cell>
          <cell r="I192">
            <v>20</v>
          </cell>
          <cell r="L192">
            <v>20</v>
          </cell>
          <cell r="M192">
            <v>3</v>
          </cell>
          <cell r="N192" t="str">
            <v>Bite+3+0+2</v>
          </cell>
          <cell r="S192" t="str">
            <v>normal</v>
          </cell>
          <cell r="AA192">
            <v>6</v>
          </cell>
          <cell r="AB192">
            <v>17</v>
          </cell>
          <cell r="AC192">
            <v>11</v>
          </cell>
          <cell r="AD192">
            <v>1</v>
          </cell>
          <cell r="AE192">
            <v>12</v>
          </cell>
          <cell r="AF192">
            <v>2</v>
          </cell>
          <cell r="BG192">
            <v>1</v>
          </cell>
          <cell r="BM192" t="str">
            <v>MM</v>
          </cell>
          <cell r="BN192">
            <v>283</v>
          </cell>
          <cell r="BP192" t="b">
            <v>1</v>
          </cell>
          <cell r="BQ192" t="b">
            <v>0</v>
          </cell>
          <cell r="BR192" t="b">
            <v>0</v>
          </cell>
          <cell r="BS192">
            <v>6</v>
          </cell>
          <cell r="BT192" t="str">
            <v/>
          </cell>
          <cell r="BV192" t="b">
            <v>0</v>
          </cell>
          <cell r="BW192">
            <v>13</v>
          </cell>
          <cell r="BX192" t="str">
            <v/>
          </cell>
          <cell r="BY192" t="b">
            <v>1</v>
          </cell>
          <cell r="BZ192" t="b">
            <v>1</v>
          </cell>
          <cell r="CA192">
            <v>35</v>
          </cell>
          <cell r="CB192" t="str">
            <v/>
          </cell>
          <cell r="CD192" t="b">
            <v>1</v>
          </cell>
          <cell r="CE192">
            <v>27</v>
          </cell>
          <cell r="CF192" t="str">
            <v/>
          </cell>
        </row>
        <row r="193">
          <cell r="A193" t="str">
            <v>Snake, Tiny Viper</v>
          </cell>
          <cell r="C193" t="str">
            <v>Tiny</v>
          </cell>
          <cell r="D193" t="str">
            <v>Animal</v>
          </cell>
          <cell r="F193">
            <v>0.25</v>
          </cell>
          <cell r="G193">
            <v>15</v>
          </cell>
          <cell r="I193">
            <v>15</v>
          </cell>
          <cell r="L193">
            <v>15</v>
          </cell>
          <cell r="M193">
            <v>2</v>
          </cell>
          <cell r="N193" t="str">
            <v>Bite+3+0+2</v>
          </cell>
          <cell r="O193" t="str">
            <v>1;</v>
          </cell>
          <cell r="S193" t="str">
            <v>normal</v>
          </cell>
          <cell r="AA193">
            <v>4</v>
          </cell>
          <cell r="AB193">
            <v>17</v>
          </cell>
          <cell r="AC193">
            <v>11</v>
          </cell>
          <cell r="AD193">
            <v>1</v>
          </cell>
          <cell r="AE193">
            <v>12</v>
          </cell>
          <cell r="AF193">
            <v>2</v>
          </cell>
          <cell r="AG193" t="str">
            <v>0;8</v>
          </cell>
          <cell r="AH193" t="str">
            <v>0;0</v>
          </cell>
          <cell r="AI193" t="str">
            <v>0;8</v>
          </cell>
          <cell r="AJ193" t="str">
            <v>0;0</v>
          </cell>
          <cell r="AK193" t="str">
            <v>0;0</v>
          </cell>
          <cell r="AL193" t="str">
            <v>0;12</v>
          </cell>
          <cell r="AN193" t="str">
            <v>0;0</v>
          </cell>
          <cell r="AO193" t="str">
            <v>0;-6</v>
          </cell>
          <cell r="AP193" t="str">
            <v>1;4</v>
          </cell>
          <cell r="AQ193" t="str">
            <v>0;0</v>
          </cell>
          <cell r="AR193" t="str">
            <v>0;0</v>
          </cell>
          <cell r="AS193" t="str">
            <v>0;0</v>
          </cell>
          <cell r="AT193" t="str">
            <v>0;0</v>
          </cell>
          <cell r="AU193" t="str">
            <v>1;4</v>
          </cell>
          <cell r="AV193" t="str">
            <v>0;0</v>
          </cell>
          <cell r="AW193" t="str">
            <v>0;8</v>
          </cell>
          <cell r="AX193" t="str">
            <v>Weapon Finesse</v>
          </cell>
          <cell r="BA193">
            <v>0</v>
          </cell>
          <cell r="BB193" t="str">
            <v>Neutral</v>
          </cell>
          <cell r="BD193" t="str">
            <v>Poison;Scent</v>
          </cell>
          <cell r="BF193">
            <v>1</v>
          </cell>
          <cell r="BH193" t="str">
            <v>Normal</v>
          </cell>
          <cell r="BM193" t="str">
            <v>MM</v>
          </cell>
          <cell r="BN193">
            <v>280</v>
          </cell>
          <cell r="BP193" t="b">
            <v>1</v>
          </cell>
          <cell r="BQ193" t="b">
            <v>0</v>
          </cell>
          <cell r="BR193" t="b">
            <v>0</v>
          </cell>
          <cell r="BS193">
            <v>6</v>
          </cell>
          <cell r="BT193" t="str">
            <v/>
          </cell>
          <cell r="BV193" t="b">
            <v>1</v>
          </cell>
          <cell r="BW193">
            <v>14</v>
          </cell>
          <cell r="BX193" t="str">
            <v/>
          </cell>
          <cell r="BZ193" t="b">
            <v>0</v>
          </cell>
          <cell r="CA193">
            <v>35</v>
          </cell>
          <cell r="CB193" t="str">
            <v/>
          </cell>
          <cell r="CD193" t="b">
            <v>0</v>
          </cell>
          <cell r="CE193">
            <v>27</v>
          </cell>
          <cell r="CF193" t="str">
            <v/>
          </cell>
        </row>
        <row r="194">
          <cell r="A194" t="str">
            <v>Sparrow</v>
          </cell>
          <cell r="C194" t="str">
            <v>Fine</v>
          </cell>
          <cell r="D194" t="str">
            <v>Animal</v>
          </cell>
          <cell r="F194">
            <v>1</v>
          </cell>
          <cell r="G194">
            <v>1</v>
          </cell>
          <cell r="J194">
            <v>50</v>
          </cell>
          <cell r="K194" t="str">
            <v>average</v>
          </cell>
          <cell r="S194" t="str">
            <v>normal</v>
          </cell>
          <cell r="AA194">
            <v>1</v>
          </cell>
          <cell r="AB194">
            <v>23</v>
          </cell>
          <cell r="AC194">
            <v>10</v>
          </cell>
          <cell r="BM194" t="str">
            <v>OA</v>
          </cell>
          <cell r="BP194" t="b">
            <v>0</v>
          </cell>
          <cell r="BQ194" t="b">
            <v>0</v>
          </cell>
          <cell r="BR194" t="b">
            <v>0</v>
          </cell>
          <cell r="BS194">
            <v>6</v>
          </cell>
          <cell r="BT194" t="str">
            <v/>
          </cell>
          <cell r="BV194" t="b">
            <v>0</v>
          </cell>
          <cell r="BW194">
            <v>14</v>
          </cell>
          <cell r="BX194" t="str">
            <v/>
          </cell>
          <cell r="BZ194" t="b">
            <v>0</v>
          </cell>
          <cell r="CA194">
            <v>35</v>
          </cell>
          <cell r="CB194" t="str">
            <v/>
          </cell>
          <cell r="CD194" t="b">
            <v>0</v>
          </cell>
          <cell r="CE194">
            <v>27</v>
          </cell>
          <cell r="CF194" t="str">
            <v/>
          </cell>
        </row>
        <row r="195">
          <cell r="A195" t="str">
            <v>Spider Eater</v>
          </cell>
          <cell r="D195" t="str">
            <v>Magical Beast</v>
          </cell>
          <cell r="N195" t="str">
            <v/>
          </cell>
          <cell r="BG195">
            <v>10</v>
          </cell>
          <cell r="BM195" t="str">
            <v>MM</v>
          </cell>
          <cell r="BN195">
            <v>234</v>
          </cell>
          <cell r="BP195" t="b">
            <v>1</v>
          </cell>
          <cell r="BQ195" t="b">
            <v>0</v>
          </cell>
          <cell r="BR195" t="b">
            <v>0</v>
          </cell>
          <cell r="BS195">
            <v>6</v>
          </cell>
          <cell r="BT195" t="str">
            <v/>
          </cell>
          <cell r="BV195" t="b">
            <v>0</v>
          </cell>
          <cell r="BW195">
            <v>14</v>
          </cell>
          <cell r="BX195" t="str">
            <v/>
          </cell>
          <cell r="BZ195" t="b">
            <v>0</v>
          </cell>
          <cell r="CA195">
            <v>35</v>
          </cell>
          <cell r="CB195" t="str">
            <v/>
          </cell>
          <cell r="CD195" t="b">
            <v>0</v>
          </cell>
          <cell r="CE195">
            <v>27</v>
          </cell>
          <cell r="CF195" t="str">
            <v/>
          </cell>
        </row>
        <row r="196">
          <cell r="A196" t="str">
            <v>Spider, Hairy</v>
          </cell>
          <cell r="C196" t="str">
            <v>Fine</v>
          </cell>
          <cell r="D196" t="str">
            <v>Vermin</v>
          </cell>
          <cell r="F196">
            <v>0.125</v>
          </cell>
          <cell r="G196">
            <v>20</v>
          </cell>
          <cell r="I196">
            <v>10</v>
          </cell>
          <cell r="N196" t="str">
            <v>Bite;</v>
          </cell>
          <cell r="O196" t="str">
            <v>1d2;</v>
          </cell>
          <cell r="T196">
            <v>60</v>
          </cell>
          <cell r="U196" t="str">
            <v>poison</v>
          </cell>
          <cell r="AA196">
            <v>1</v>
          </cell>
          <cell r="AB196">
            <v>14</v>
          </cell>
          <cell r="AC196">
            <v>10</v>
          </cell>
          <cell r="AD196" t="str">
            <v>-</v>
          </cell>
          <cell r="AE196">
            <v>10</v>
          </cell>
          <cell r="AF196">
            <v>2</v>
          </cell>
          <cell r="AG196" t="str">
            <v>0;0</v>
          </cell>
          <cell r="AH196" t="str">
            <v>0;0</v>
          </cell>
          <cell r="AI196" t="str">
            <v>3;8</v>
          </cell>
          <cell r="AJ196" t="str">
            <v>0;0</v>
          </cell>
          <cell r="AK196" t="str">
            <v>0;0</v>
          </cell>
          <cell r="AL196" t="str">
            <v>3;20</v>
          </cell>
          <cell r="AN196" t="str">
            <v>0;0</v>
          </cell>
          <cell r="AO196" t="str">
            <v>3;6</v>
          </cell>
          <cell r="AP196" t="str">
            <v>0;0</v>
          </cell>
          <cell r="AQ196" t="str">
            <v>0;0</v>
          </cell>
          <cell r="AR196" t="str">
            <v>0;0</v>
          </cell>
          <cell r="AS196" t="str">
            <v>0;0</v>
          </cell>
          <cell r="AT196" t="str">
            <v>0;0</v>
          </cell>
          <cell r="AU196" t="str">
            <v>3;12</v>
          </cell>
          <cell r="AV196" t="str">
            <v>0;0</v>
          </cell>
          <cell r="AW196" t="str">
            <v>0;0</v>
          </cell>
          <cell r="BB196" t="str">
            <v>Neutral</v>
          </cell>
          <cell r="BD196" t="str">
            <v>Poison</v>
          </cell>
          <cell r="BF196">
            <v>1</v>
          </cell>
          <cell r="BH196" t="str">
            <v>Improved</v>
          </cell>
          <cell r="BM196" t="str">
            <v>FRCS</v>
          </cell>
          <cell r="BN196">
            <v>79</v>
          </cell>
          <cell r="BP196" t="b">
            <v>0</v>
          </cell>
          <cell r="BQ196" t="b">
            <v>0</v>
          </cell>
          <cell r="BR196" t="b">
            <v>0</v>
          </cell>
          <cell r="BS196">
            <v>6</v>
          </cell>
          <cell r="BT196" t="str">
            <v/>
          </cell>
          <cell r="BV196" t="b">
            <v>0</v>
          </cell>
          <cell r="BW196">
            <v>14</v>
          </cell>
          <cell r="BX196" t="str">
            <v/>
          </cell>
          <cell r="BZ196" t="b">
            <v>0</v>
          </cell>
          <cell r="CA196">
            <v>35</v>
          </cell>
          <cell r="CB196" t="str">
            <v/>
          </cell>
          <cell r="CD196" t="b">
            <v>0</v>
          </cell>
          <cell r="CE196">
            <v>27</v>
          </cell>
          <cell r="CF196" t="str">
            <v/>
          </cell>
        </row>
        <row r="197">
          <cell r="A197" t="str">
            <v>Squid</v>
          </cell>
          <cell r="C197" t="str">
            <v>Medium</v>
          </cell>
          <cell r="D197" t="str">
            <v>Animal</v>
          </cell>
          <cell r="N197" t="str">
            <v/>
          </cell>
          <cell r="BG197">
            <v>1</v>
          </cell>
          <cell r="BM197" t="str">
            <v>MM</v>
          </cell>
          <cell r="BN197">
            <v>281</v>
          </cell>
          <cell r="BP197" t="b">
            <v>1</v>
          </cell>
          <cell r="BQ197" t="b">
            <v>0</v>
          </cell>
          <cell r="BR197" t="b">
            <v>0</v>
          </cell>
          <cell r="BS197">
            <v>6</v>
          </cell>
          <cell r="BT197" t="str">
            <v/>
          </cell>
          <cell r="BV197" t="b">
            <v>0</v>
          </cell>
          <cell r="BW197">
            <v>14</v>
          </cell>
          <cell r="BX197" t="str">
            <v/>
          </cell>
          <cell r="BY197" t="b">
            <v>1</v>
          </cell>
          <cell r="BZ197" t="b">
            <v>1</v>
          </cell>
          <cell r="CA197">
            <v>36</v>
          </cell>
          <cell r="CB197" t="str">
            <v/>
          </cell>
          <cell r="CD197" t="b">
            <v>0</v>
          </cell>
          <cell r="CE197">
            <v>27</v>
          </cell>
          <cell r="CF197" t="str">
            <v/>
          </cell>
        </row>
        <row r="198">
          <cell r="A198" t="str">
            <v>Squid, Giant</v>
          </cell>
          <cell r="C198" t="str">
            <v>Huge</v>
          </cell>
          <cell r="D198" t="str">
            <v>Animal</v>
          </cell>
          <cell r="E198" t="str">
            <v>Aquatic</v>
          </cell>
          <cell r="F198">
            <v>12</v>
          </cell>
          <cell r="L198">
            <v>80</v>
          </cell>
          <cell r="M198">
            <v>6</v>
          </cell>
          <cell r="N198" t="str">
            <v>10 Tentacles+3+0+1,Bite+14+0+0</v>
          </cell>
          <cell r="S198" t="str">
            <v>normal</v>
          </cell>
          <cell r="AA198">
            <v>26</v>
          </cell>
          <cell r="AB198">
            <v>17</v>
          </cell>
          <cell r="AC198">
            <v>13</v>
          </cell>
          <cell r="AD198">
            <v>1</v>
          </cell>
          <cell r="AE198">
            <v>12</v>
          </cell>
          <cell r="AF198">
            <v>2</v>
          </cell>
          <cell r="BG198">
            <v>16</v>
          </cell>
          <cell r="BM198" t="str">
            <v>MM</v>
          </cell>
          <cell r="BN198">
            <v>281</v>
          </cell>
          <cell r="BP198" t="b">
            <v>1</v>
          </cell>
          <cell r="BQ198" t="b">
            <v>0</v>
          </cell>
          <cell r="BR198" t="b">
            <v>0</v>
          </cell>
          <cell r="BS198">
            <v>6</v>
          </cell>
          <cell r="BT198" t="str">
            <v/>
          </cell>
          <cell r="BV198" t="b">
            <v>0</v>
          </cell>
          <cell r="BW198">
            <v>14</v>
          </cell>
          <cell r="BX198" t="str">
            <v/>
          </cell>
          <cell r="BY198" t="b">
            <v>1</v>
          </cell>
          <cell r="BZ198" t="b">
            <v>0</v>
          </cell>
          <cell r="CA198">
            <v>36</v>
          </cell>
          <cell r="CB198" t="str">
            <v/>
          </cell>
          <cell r="CD198" t="b">
            <v>0</v>
          </cell>
          <cell r="CE198">
            <v>27</v>
          </cell>
          <cell r="CF198" t="str">
            <v/>
          </cell>
        </row>
        <row r="199">
          <cell r="A199" t="str">
            <v>Stirge</v>
          </cell>
          <cell r="C199" t="str">
            <v>Tiny</v>
          </cell>
          <cell r="D199" t="str">
            <v>Magical Beast</v>
          </cell>
          <cell r="F199">
            <v>1</v>
          </cell>
          <cell r="G199">
            <v>10</v>
          </cell>
          <cell r="J199">
            <v>40</v>
          </cell>
          <cell r="K199" t="str">
            <v>avg</v>
          </cell>
          <cell r="M199">
            <v>0</v>
          </cell>
          <cell r="N199" t="str">
            <v>Touch;</v>
          </cell>
          <cell r="O199" t="str">
            <v xml:space="preserve"> ;</v>
          </cell>
          <cell r="S199" t="str">
            <v>normal</v>
          </cell>
          <cell r="T199">
            <v>60</v>
          </cell>
          <cell r="AA199">
            <v>3</v>
          </cell>
          <cell r="AB199">
            <v>19</v>
          </cell>
          <cell r="AC199">
            <v>10</v>
          </cell>
          <cell r="AD199">
            <v>1</v>
          </cell>
          <cell r="AE199">
            <v>12</v>
          </cell>
          <cell r="AF199">
            <v>6</v>
          </cell>
          <cell r="AG199" t="str">
            <v>0;0</v>
          </cell>
          <cell r="AH199" t="str">
            <v>0;0</v>
          </cell>
          <cell r="AI199" t="str">
            <v>0;0</v>
          </cell>
          <cell r="AJ199" t="str">
            <v>0;0</v>
          </cell>
          <cell r="AK199" t="str">
            <v>0;0</v>
          </cell>
          <cell r="AL199" t="str">
            <v>2;8</v>
          </cell>
          <cell r="AN199" t="str">
            <v>0;0</v>
          </cell>
          <cell r="AO199" t="str">
            <v>0;-12</v>
          </cell>
          <cell r="AP199" t="str">
            <v>1;2</v>
          </cell>
          <cell r="AQ199" t="str">
            <v>0;0</v>
          </cell>
          <cell r="AR199" t="str">
            <v>0;0</v>
          </cell>
          <cell r="AS199" t="str">
            <v>0;0</v>
          </cell>
          <cell r="AT199" t="str">
            <v>0;0</v>
          </cell>
          <cell r="AU199" t="str">
            <v>1;2</v>
          </cell>
          <cell r="AV199" t="str">
            <v>0;0</v>
          </cell>
          <cell r="AW199" t="str">
            <v>0;0</v>
          </cell>
          <cell r="AX199" t="str">
            <v>Alertness;Weapon Finesse;</v>
          </cell>
          <cell r="BB199" t="str">
            <v>Neutral</v>
          </cell>
          <cell r="BD199" t="str">
            <v>Attach;Blood drain</v>
          </cell>
          <cell r="BF199">
            <v>5</v>
          </cell>
          <cell r="BG199">
            <v>1</v>
          </cell>
          <cell r="BH199" t="str">
            <v>Improved</v>
          </cell>
          <cell r="BM199" t="str">
            <v>MM</v>
          </cell>
          <cell r="BN199">
            <v>236</v>
          </cell>
          <cell r="BP199" t="b">
            <v>1</v>
          </cell>
          <cell r="BQ199" t="b">
            <v>0</v>
          </cell>
          <cell r="BR199" t="b">
            <v>0</v>
          </cell>
          <cell r="BS199">
            <v>6</v>
          </cell>
          <cell r="BT199" t="str">
            <v/>
          </cell>
          <cell r="BV199" t="b">
            <v>0</v>
          </cell>
          <cell r="BW199">
            <v>14</v>
          </cell>
          <cell r="BX199" t="str">
            <v/>
          </cell>
          <cell r="BY199" t="b">
            <v>0</v>
          </cell>
          <cell r="BZ199" t="b">
            <v>0</v>
          </cell>
          <cell r="CA199">
            <v>36</v>
          </cell>
          <cell r="CB199" t="str">
            <v/>
          </cell>
          <cell r="CD199" t="b">
            <v>0</v>
          </cell>
          <cell r="CE199">
            <v>27</v>
          </cell>
          <cell r="CF199" t="str">
            <v/>
          </cell>
        </row>
        <row r="200">
          <cell r="A200" t="str">
            <v>Tiger</v>
          </cell>
          <cell r="C200" t="str">
            <v>Large</v>
          </cell>
          <cell r="D200" t="str">
            <v>Animal</v>
          </cell>
          <cell r="F200">
            <v>6</v>
          </cell>
          <cell r="G200">
            <v>40</v>
          </cell>
          <cell r="M200">
            <v>3</v>
          </cell>
          <cell r="N200" t="str">
            <v>2 Claws+5+0+1,Bite+6+0+0,Rake+5+0+0</v>
          </cell>
          <cell r="S200" t="str">
            <v>normal</v>
          </cell>
          <cell r="AA200">
            <v>23</v>
          </cell>
          <cell r="AB200">
            <v>15</v>
          </cell>
          <cell r="AC200">
            <v>17</v>
          </cell>
          <cell r="AD200">
            <v>2</v>
          </cell>
          <cell r="AE200">
            <v>12</v>
          </cell>
          <cell r="AF200">
            <v>6</v>
          </cell>
          <cell r="AG200" t="str">
            <v>balance+4,hide+4,listen,move silently+4,spot,swim</v>
          </cell>
          <cell r="BA200">
            <v>4</v>
          </cell>
          <cell r="BB200" t="str">
            <v>Neutral</v>
          </cell>
          <cell r="BG200">
            <v>7</v>
          </cell>
          <cell r="BM200" t="str">
            <v>MM</v>
          </cell>
          <cell r="BN200">
            <v>281</v>
          </cell>
          <cell r="BP200" t="b">
            <v>1</v>
          </cell>
          <cell r="BQ200" t="b">
            <v>1</v>
          </cell>
          <cell r="BR200" t="b">
            <v>0</v>
          </cell>
          <cell r="BS200">
            <v>6</v>
          </cell>
          <cell r="BT200" t="str">
            <v/>
          </cell>
          <cell r="BV200" t="b">
            <v>0</v>
          </cell>
          <cell r="BW200">
            <v>14</v>
          </cell>
          <cell r="BX200" t="str">
            <v/>
          </cell>
          <cell r="BY200" t="b">
            <v>1</v>
          </cell>
          <cell r="BZ200" t="b">
            <v>0</v>
          </cell>
          <cell r="CA200">
            <v>36</v>
          </cell>
          <cell r="CB200" t="str">
            <v/>
          </cell>
          <cell r="CD200" t="b">
            <v>0</v>
          </cell>
          <cell r="CE200">
            <v>27</v>
          </cell>
          <cell r="CF200" t="str">
            <v/>
          </cell>
        </row>
        <row r="201">
          <cell r="A201" t="str">
            <v>Toad</v>
          </cell>
          <cell r="C201" t="str">
            <v>Diminutive</v>
          </cell>
          <cell r="D201" t="str">
            <v>Animal</v>
          </cell>
          <cell r="F201">
            <v>0.25</v>
          </cell>
          <cell r="G201">
            <v>5</v>
          </cell>
          <cell r="M201">
            <v>0</v>
          </cell>
          <cell r="N201" t="str">
            <v xml:space="preserve"> ;</v>
          </cell>
          <cell r="O201" t="str">
            <v xml:space="preserve"> ;</v>
          </cell>
          <cell r="S201" t="str">
            <v>normal</v>
          </cell>
          <cell r="AA201">
            <v>1</v>
          </cell>
          <cell r="AB201">
            <v>12</v>
          </cell>
          <cell r="AC201">
            <v>11</v>
          </cell>
          <cell r="AD201">
            <v>1</v>
          </cell>
          <cell r="AE201">
            <v>14</v>
          </cell>
          <cell r="AF201">
            <v>4</v>
          </cell>
          <cell r="AG201" t="str">
            <v>0;0</v>
          </cell>
          <cell r="AH201" t="str">
            <v>0;0</v>
          </cell>
          <cell r="AI201" t="str">
            <v>0;0</v>
          </cell>
          <cell r="AJ201" t="str">
            <v>0;0</v>
          </cell>
          <cell r="AK201" t="str">
            <v>0;0</v>
          </cell>
          <cell r="AL201" t="str">
            <v>0;20</v>
          </cell>
          <cell r="AN201" t="str">
            <v>0;0</v>
          </cell>
          <cell r="AO201" t="str">
            <v>0;-12</v>
          </cell>
          <cell r="AP201" t="str">
            <v>0;2</v>
          </cell>
          <cell r="AQ201" t="str">
            <v>0;0</v>
          </cell>
          <cell r="AR201" t="str">
            <v>0;0</v>
          </cell>
          <cell r="AS201" t="str">
            <v>0;0</v>
          </cell>
          <cell r="AT201" t="str">
            <v>0;0</v>
          </cell>
          <cell r="AU201" t="str">
            <v>0;2</v>
          </cell>
          <cell r="AV201" t="str">
            <v>0;0</v>
          </cell>
          <cell r="AW201" t="str">
            <v>0;0</v>
          </cell>
          <cell r="AX201" t="str">
            <v>Alertness</v>
          </cell>
          <cell r="BA201">
            <v>0</v>
          </cell>
          <cell r="BB201" t="str">
            <v>Neutral</v>
          </cell>
          <cell r="BD201" t="str">
            <v>Amphibious</v>
          </cell>
          <cell r="BF201">
            <v>1</v>
          </cell>
          <cell r="BH201" t="str">
            <v>Normal</v>
          </cell>
          <cell r="BM201" t="str">
            <v>MM</v>
          </cell>
          <cell r="BN201">
            <v>282</v>
          </cell>
          <cell r="BP201" t="b">
            <v>1</v>
          </cell>
          <cell r="BQ201" t="b">
            <v>0</v>
          </cell>
          <cell r="BR201" t="b">
            <v>0</v>
          </cell>
          <cell r="BS201">
            <v>6</v>
          </cell>
          <cell r="BT201" t="str">
            <v/>
          </cell>
          <cell r="BV201" t="b">
            <v>1</v>
          </cell>
          <cell r="BW201">
            <v>15</v>
          </cell>
          <cell r="BX201" t="str">
            <v/>
          </cell>
          <cell r="BZ201" t="b">
            <v>0</v>
          </cell>
          <cell r="CA201">
            <v>36</v>
          </cell>
          <cell r="CB201" t="str">
            <v/>
          </cell>
          <cell r="CD201" t="b">
            <v>0</v>
          </cell>
          <cell r="CE201">
            <v>27</v>
          </cell>
          <cell r="CF201" t="str">
            <v/>
          </cell>
        </row>
        <row r="202">
          <cell r="A202" t="str">
            <v>Tressym</v>
          </cell>
          <cell r="C202" t="str">
            <v>Tiny</v>
          </cell>
          <cell r="D202" t="str">
            <v>Magical Beast</v>
          </cell>
          <cell r="F202">
            <v>0.5</v>
          </cell>
          <cell r="G202">
            <v>30</v>
          </cell>
          <cell r="J202">
            <v>50</v>
          </cell>
          <cell r="K202" t="str">
            <v>good</v>
          </cell>
          <cell r="M202">
            <v>0</v>
          </cell>
          <cell r="N202" t="str">
            <v>Bite+5+0+1,2 Claws+4+0+0</v>
          </cell>
          <cell r="O202" t="str">
            <v>1d2;1d3;</v>
          </cell>
          <cell r="U202" t="str">
            <v>poison</v>
          </cell>
          <cell r="AA202">
            <v>3</v>
          </cell>
          <cell r="AB202">
            <v>15</v>
          </cell>
          <cell r="AC202">
            <v>10</v>
          </cell>
          <cell r="AD202">
            <v>12</v>
          </cell>
          <cell r="AE202">
            <v>12</v>
          </cell>
          <cell r="AF202">
            <v>13</v>
          </cell>
          <cell r="AG202" t="str">
            <v>0;8</v>
          </cell>
          <cell r="AH202" t="str">
            <v>0;0</v>
          </cell>
          <cell r="AI202" t="str">
            <v>3;0</v>
          </cell>
          <cell r="AJ202" t="str">
            <v>0;0</v>
          </cell>
          <cell r="AK202" t="str">
            <v>0;0</v>
          </cell>
          <cell r="AL202" t="str">
            <v>3;12</v>
          </cell>
          <cell r="AN202" t="str">
            <v>0;0</v>
          </cell>
          <cell r="AO202" t="str">
            <v>0;0</v>
          </cell>
          <cell r="AP202" t="str">
            <v>3;0</v>
          </cell>
          <cell r="AQ202" t="str">
            <v>3;4</v>
          </cell>
          <cell r="AR202" t="str">
            <v>0;0</v>
          </cell>
          <cell r="AS202" t="str">
            <v>0;0</v>
          </cell>
          <cell r="AT202" t="str">
            <v>0;0</v>
          </cell>
          <cell r="AU202" t="str">
            <v>3;0</v>
          </cell>
          <cell r="AV202" t="str">
            <v>0;0</v>
          </cell>
          <cell r="AW202" t="str">
            <v>0;0</v>
          </cell>
          <cell r="AX202" t="str">
            <v>Weapon Finesse;</v>
          </cell>
          <cell r="BB202" t="str">
            <v>Neutral Good</v>
          </cell>
          <cell r="BD202" t="str">
            <v>Scent</v>
          </cell>
          <cell r="BF202">
            <v>5</v>
          </cell>
          <cell r="BH202" t="str">
            <v>Improved</v>
          </cell>
          <cell r="BM202" t="str">
            <v>FRCS</v>
          </cell>
          <cell r="BN202">
            <v>309</v>
          </cell>
          <cell r="BO202" t="str">
            <v>PGtF</v>
          </cell>
          <cell r="BP202" t="b">
            <v>0</v>
          </cell>
          <cell r="BQ202" t="b">
            <v>0</v>
          </cell>
          <cell r="BR202" t="b">
            <v>0</v>
          </cell>
          <cell r="BS202">
            <v>6</v>
          </cell>
          <cell r="BT202" t="str">
            <v/>
          </cell>
          <cell r="BU202" t="b">
            <v>1</v>
          </cell>
          <cell r="BV202" t="b">
            <v>0</v>
          </cell>
          <cell r="BW202">
            <v>15</v>
          </cell>
          <cell r="BX202" t="str">
            <v/>
          </cell>
          <cell r="BZ202" t="b">
            <v>0</v>
          </cell>
          <cell r="CA202">
            <v>36</v>
          </cell>
          <cell r="CB202" t="str">
            <v/>
          </cell>
          <cell r="CD202" t="b">
            <v>0</v>
          </cell>
          <cell r="CE202">
            <v>27</v>
          </cell>
          <cell r="CF202" t="str">
            <v/>
          </cell>
        </row>
        <row r="203">
          <cell r="A203" t="str">
            <v>Triceratops</v>
          </cell>
          <cell r="C203" t="str">
            <v>Huge</v>
          </cell>
          <cell r="D203" t="str">
            <v>Animal</v>
          </cell>
          <cell r="F203">
            <v>16</v>
          </cell>
          <cell r="G203">
            <v>30</v>
          </cell>
          <cell r="M203">
            <v>11</v>
          </cell>
          <cell r="N203" t="str">
            <v>Gore+14+0+2,Trample+16+0+2</v>
          </cell>
          <cell r="S203" t="str">
            <v>normal</v>
          </cell>
          <cell r="AA203">
            <v>30</v>
          </cell>
          <cell r="AB203">
            <v>9</v>
          </cell>
          <cell r="AC203">
            <v>25</v>
          </cell>
          <cell r="AD203">
            <v>1</v>
          </cell>
          <cell r="AE203">
            <v>12</v>
          </cell>
          <cell r="AF203">
            <v>7</v>
          </cell>
          <cell r="BG203">
            <v>16</v>
          </cell>
          <cell r="BL203" t="str">
            <v>Dinosaur</v>
          </cell>
          <cell r="BM203" t="str">
            <v>MM</v>
          </cell>
          <cell r="BN203">
            <v>61</v>
          </cell>
          <cell r="BP203" t="b">
            <v>1</v>
          </cell>
          <cell r="BQ203" t="b">
            <v>0</v>
          </cell>
          <cell r="BR203" t="b">
            <v>0</v>
          </cell>
          <cell r="BS203">
            <v>6</v>
          </cell>
          <cell r="BT203" t="str">
            <v/>
          </cell>
          <cell r="BV203" t="b">
            <v>0</v>
          </cell>
          <cell r="BW203">
            <v>15</v>
          </cell>
          <cell r="BX203" t="str">
            <v/>
          </cell>
          <cell r="BY203" t="b">
            <v>1</v>
          </cell>
          <cell r="BZ203" t="b">
            <v>0</v>
          </cell>
          <cell r="CA203">
            <v>36</v>
          </cell>
          <cell r="CB203" t="str">
            <v/>
          </cell>
          <cell r="CD203" t="b">
            <v>0</v>
          </cell>
          <cell r="CE203">
            <v>27</v>
          </cell>
          <cell r="CF203" t="str">
            <v/>
          </cell>
        </row>
        <row r="204">
          <cell r="A204" t="str">
            <v>Tyrannosaurus</v>
          </cell>
          <cell r="C204" t="str">
            <v>Huge</v>
          </cell>
          <cell r="D204" t="str">
            <v>Animal</v>
          </cell>
          <cell r="F204">
            <v>18</v>
          </cell>
          <cell r="G204">
            <v>40</v>
          </cell>
          <cell r="M204">
            <v>5</v>
          </cell>
          <cell r="N204" t="str">
            <v>Bite+6+0+2</v>
          </cell>
          <cell r="S204" t="str">
            <v>normal</v>
          </cell>
          <cell r="AA204">
            <v>28</v>
          </cell>
          <cell r="AB204">
            <v>12</v>
          </cell>
          <cell r="AC204">
            <v>21</v>
          </cell>
          <cell r="AD204">
            <v>2</v>
          </cell>
          <cell r="AE204">
            <v>15</v>
          </cell>
          <cell r="AF204">
            <v>10</v>
          </cell>
          <cell r="BG204">
            <v>16</v>
          </cell>
          <cell r="BL204" t="str">
            <v>Dinosaur</v>
          </cell>
          <cell r="BM204" t="str">
            <v>MM</v>
          </cell>
          <cell r="BN204">
            <v>61</v>
          </cell>
          <cell r="BP204" t="b">
            <v>1</v>
          </cell>
          <cell r="BQ204" t="b">
            <v>0</v>
          </cell>
          <cell r="BR204" t="b">
            <v>0</v>
          </cell>
          <cell r="BS204">
            <v>6</v>
          </cell>
          <cell r="BT204" t="str">
            <v/>
          </cell>
          <cell r="BV204" t="b">
            <v>0</v>
          </cell>
          <cell r="BW204">
            <v>15</v>
          </cell>
          <cell r="BX204" t="str">
            <v/>
          </cell>
          <cell r="BY204" t="b">
            <v>1</v>
          </cell>
          <cell r="BZ204" t="b">
            <v>0</v>
          </cell>
          <cell r="CA204">
            <v>36</v>
          </cell>
          <cell r="CB204" t="str">
            <v/>
          </cell>
          <cell r="CD204" t="b">
            <v>0</v>
          </cell>
          <cell r="CE204">
            <v>27</v>
          </cell>
          <cell r="CF204" t="str">
            <v/>
          </cell>
        </row>
        <row r="205">
          <cell r="A205" t="str">
            <v>Unicorn</v>
          </cell>
          <cell r="C205" t="str">
            <v>Large</v>
          </cell>
          <cell r="D205" t="str">
            <v>Magical Beast</v>
          </cell>
          <cell r="F205">
            <v>4</v>
          </cell>
          <cell r="G205">
            <v>60</v>
          </cell>
          <cell r="M205">
            <v>6</v>
          </cell>
          <cell r="N205" t="str">
            <v>Horn+5+0+2,2 Hooves+3+0+0</v>
          </cell>
          <cell r="O205" t="str">
            <v>1d8;1d4</v>
          </cell>
          <cell r="AA205">
            <v>20</v>
          </cell>
          <cell r="AB205">
            <v>17</v>
          </cell>
          <cell r="AC205">
            <v>21</v>
          </cell>
          <cell r="AD205">
            <v>10</v>
          </cell>
          <cell r="AE205">
            <v>21</v>
          </cell>
          <cell r="AF205">
            <v>24</v>
          </cell>
          <cell r="BB205" t="str">
            <v>Chaotic Good</v>
          </cell>
          <cell r="BG205">
            <v>7</v>
          </cell>
          <cell r="BM205" t="str">
            <v>MM</v>
          </cell>
          <cell r="BN205">
            <v>249</v>
          </cell>
          <cell r="BP205" t="b">
            <v>1</v>
          </cell>
          <cell r="BQ205" t="b">
            <v>0</v>
          </cell>
          <cell r="BR205" t="b">
            <v>0</v>
          </cell>
          <cell r="BS205">
            <v>6</v>
          </cell>
          <cell r="BT205" t="str">
            <v/>
          </cell>
          <cell r="BV205" t="b">
            <v>0</v>
          </cell>
          <cell r="BW205">
            <v>15</v>
          </cell>
          <cell r="BX205" t="str">
            <v/>
          </cell>
          <cell r="BY205" t="b">
            <v>0</v>
          </cell>
          <cell r="BZ205" t="b">
            <v>0</v>
          </cell>
          <cell r="CA205">
            <v>36</v>
          </cell>
          <cell r="CB205" t="str">
            <v/>
          </cell>
          <cell r="CC205" t="b">
            <v>0</v>
          </cell>
          <cell r="CD205" t="b">
            <v>0</v>
          </cell>
          <cell r="CE205">
            <v>27</v>
          </cell>
          <cell r="CF205" t="str">
            <v/>
          </cell>
        </row>
        <row r="206">
          <cell r="A206" t="str">
            <v>Vargouille</v>
          </cell>
          <cell r="C206" t="str">
            <v>Small</v>
          </cell>
          <cell r="D206" t="str">
            <v>Magical Beast</v>
          </cell>
          <cell r="F206">
            <v>1</v>
          </cell>
          <cell r="J206">
            <v>30</v>
          </cell>
          <cell r="K206" t="str">
            <v>good</v>
          </cell>
          <cell r="M206">
            <v>0</v>
          </cell>
          <cell r="N206" t="str">
            <v>Bite+5+0+2</v>
          </cell>
          <cell r="O206" t="str">
            <v>1d4;</v>
          </cell>
          <cell r="T206">
            <v>60</v>
          </cell>
          <cell r="AA206">
            <v>10</v>
          </cell>
          <cell r="AB206">
            <v>13</v>
          </cell>
          <cell r="AC206">
            <v>12</v>
          </cell>
          <cell r="AD206">
            <v>5</v>
          </cell>
          <cell r="AE206">
            <v>12</v>
          </cell>
          <cell r="AF206">
            <v>8</v>
          </cell>
          <cell r="AG206" t="str">
            <v>0;0</v>
          </cell>
          <cell r="AH206" t="str">
            <v>0;0</v>
          </cell>
          <cell r="AI206" t="str">
            <v>0;0</v>
          </cell>
          <cell r="AJ206" t="str">
            <v>0;0</v>
          </cell>
          <cell r="AK206" t="str">
            <v>0;0</v>
          </cell>
          <cell r="AL206" t="str">
            <v>4;4</v>
          </cell>
          <cell r="AN206" t="str">
            <v>4;0</v>
          </cell>
          <cell r="AO206" t="str">
            <v>0;0</v>
          </cell>
          <cell r="AP206" t="str">
            <v>4;0</v>
          </cell>
          <cell r="AQ206" t="str">
            <v>4;0</v>
          </cell>
          <cell r="AR206" t="str">
            <v>0;0</v>
          </cell>
          <cell r="AS206" t="str">
            <v>0;0</v>
          </cell>
          <cell r="AT206" t="str">
            <v>0;0</v>
          </cell>
          <cell r="AU206" t="str">
            <v>4;0</v>
          </cell>
          <cell r="AV206" t="str">
            <v>0;0</v>
          </cell>
          <cell r="AW206" t="str">
            <v>0;0</v>
          </cell>
          <cell r="AX206" t="str">
            <v>Weapon Finesse;</v>
          </cell>
          <cell r="BB206" t="str">
            <v>Neutral Evil</v>
          </cell>
          <cell r="BD206" t="str">
            <v>Shriek;Kiss;Poison</v>
          </cell>
          <cell r="BF206">
            <v>7</v>
          </cell>
          <cell r="BH206" t="str">
            <v>Improved</v>
          </cell>
          <cell r="BM206" t="str">
            <v>MM</v>
          </cell>
          <cell r="BP206" t="b">
            <v>1</v>
          </cell>
          <cell r="BQ206" t="b">
            <v>0</v>
          </cell>
          <cell r="BR206" t="b">
            <v>0</v>
          </cell>
          <cell r="BS206">
            <v>6</v>
          </cell>
          <cell r="BT206" t="str">
            <v/>
          </cell>
          <cell r="BV206" t="b">
            <v>0</v>
          </cell>
          <cell r="BW206">
            <v>15</v>
          </cell>
          <cell r="BX206" t="str">
            <v/>
          </cell>
          <cell r="BZ206" t="b">
            <v>0</v>
          </cell>
          <cell r="CA206">
            <v>36</v>
          </cell>
          <cell r="CB206" t="str">
            <v/>
          </cell>
          <cell r="CD206" t="b">
            <v>0</v>
          </cell>
          <cell r="CE206">
            <v>27</v>
          </cell>
          <cell r="CF206" t="str">
            <v/>
          </cell>
        </row>
        <row r="207">
          <cell r="A207" t="str">
            <v>Weasel</v>
          </cell>
          <cell r="C207" t="str">
            <v>Tiny</v>
          </cell>
          <cell r="D207" t="str">
            <v>Animal</v>
          </cell>
          <cell r="F207">
            <v>0.5</v>
          </cell>
          <cell r="G207">
            <v>20</v>
          </cell>
          <cell r="I207">
            <v>20</v>
          </cell>
          <cell r="M207">
            <v>0</v>
          </cell>
          <cell r="N207" t="str">
            <v>Bite+5+0+2</v>
          </cell>
          <cell r="O207" t="str">
            <v>1d3;</v>
          </cell>
          <cell r="S207" t="str">
            <v>normal</v>
          </cell>
          <cell r="AA207">
            <v>3</v>
          </cell>
          <cell r="AB207">
            <v>15</v>
          </cell>
          <cell r="AC207">
            <v>10</v>
          </cell>
          <cell r="AD207">
            <v>2</v>
          </cell>
          <cell r="AE207">
            <v>12</v>
          </cell>
          <cell r="AF207">
            <v>5</v>
          </cell>
          <cell r="AG207" t="str">
            <v>0;8</v>
          </cell>
          <cell r="AH207" t="str">
            <v>0;0</v>
          </cell>
          <cell r="AI207" t="str">
            <v>0;8</v>
          </cell>
          <cell r="AJ207" t="str">
            <v>0;0</v>
          </cell>
          <cell r="AK207" t="str">
            <v>0;0</v>
          </cell>
          <cell r="AL207" t="str">
            <v>1;8</v>
          </cell>
          <cell r="AN207" t="str">
            <v>0;0</v>
          </cell>
          <cell r="AO207" t="str">
            <v>0;-6</v>
          </cell>
          <cell r="AP207" t="str">
            <v>0;0</v>
          </cell>
          <cell r="AQ207" t="str">
            <v>2;4</v>
          </cell>
          <cell r="AR207" t="str">
            <v>0;0</v>
          </cell>
          <cell r="AS207" t="str">
            <v>0;0</v>
          </cell>
          <cell r="AT207" t="str">
            <v>0;0</v>
          </cell>
          <cell r="AU207" t="str">
            <v>2;0</v>
          </cell>
          <cell r="AV207" t="str">
            <v>0;0</v>
          </cell>
          <cell r="AW207" t="str">
            <v>0;0</v>
          </cell>
          <cell r="AX207" t="str">
            <v>Weapon Finesse</v>
          </cell>
          <cell r="BA207">
            <v>0</v>
          </cell>
          <cell r="BB207" t="str">
            <v>Neutral</v>
          </cell>
          <cell r="BD207" t="str">
            <v>Scent</v>
          </cell>
          <cell r="BF207">
            <v>1</v>
          </cell>
          <cell r="BH207" t="str">
            <v>Normal</v>
          </cell>
          <cell r="BM207" t="str">
            <v>MM</v>
          </cell>
          <cell r="BN207">
            <v>282</v>
          </cell>
          <cell r="BP207" t="b">
            <v>1</v>
          </cell>
          <cell r="BQ207" t="b">
            <v>0</v>
          </cell>
          <cell r="BR207" t="b">
            <v>0</v>
          </cell>
          <cell r="BS207">
            <v>6</v>
          </cell>
          <cell r="BT207" t="str">
            <v/>
          </cell>
          <cell r="BV207" t="b">
            <v>1</v>
          </cell>
          <cell r="BW207">
            <v>16</v>
          </cell>
          <cell r="BX207" t="str">
            <v/>
          </cell>
          <cell r="BZ207" t="b">
            <v>0</v>
          </cell>
          <cell r="CA207">
            <v>36</v>
          </cell>
          <cell r="CB207" t="str">
            <v/>
          </cell>
          <cell r="CD207" t="b">
            <v>0</v>
          </cell>
          <cell r="CE207">
            <v>27</v>
          </cell>
          <cell r="CF207" t="str">
            <v/>
          </cell>
        </row>
        <row r="208">
          <cell r="A208" t="str">
            <v>Whale, Orca</v>
          </cell>
          <cell r="C208" t="str">
            <v>Huge</v>
          </cell>
          <cell r="D208" t="str">
            <v>Animal</v>
          </cell>
          <cell r="N208" t="str">
            <v/>
          </cell>
          <cell r="BG208">
            <v>10</v>
          </cell>
          <cell r="BM208" t="str">
            <v>MM</v>
          </cell>
          <cell r="BN208">
            <v>283</v>
          </cell>
          <cell r="BP208" t="b">
            <v>1</v>
          </cell>
          <cell r="BQ208" t="b">
            <v>0</v>
          </cell>
          <cell r="BR208" t="b">
            <v>0</v>
          </cell>
          <cell r="BS208">
            <v>6</v>
          </cell>
          <cell r="BT208" t="str">
            <v/>
          </cell>
          <cell r="BV208" t="b">
            <v>0</v>
          </cell>
          <cell r="BW208">
            <v>16</v>
          </cell>
          <cell r="BX208" t="str">
            <v/>
          </cell>
          <cell r="BY208" t="b">
            <v>1</v>
          </cell>
          <cell r="BZ208" t="b">
            <v>0</v>
          </cell>
          <cell r="CA208">
            <v>36</v>
          </cell>
          <cell r="CB208" t="str">
            <v/>
          </cell>
          <cell r="CD208" t="b">
            <v>0</v>
          </cell>
          <cell r="CE208">
            <v>27</v>
          </cell>
          <cell r="CF208" t="str">
            <v/>
          </cell>
        </row>
        <row r="209">
          <cell r="A209" t="str">
            <v>Winter Wolf</v>
          </cell>
          <cell r="C209" t="str">
            <v>Large</v>
          </cell>
          <cell r="D209" t="str">
            <v>Magical Beast</v>
          </cell>
          <cell r="F209">
            <v>6</v>
          </cell>
          <cell r="G209">
            <v>50</v>
          </cell>
          <cell r="M209">
            <v>5</v>
          </cell>
          <cell r="N209" t="str">
            <v>Bite+5+0+2</v>
          </cell>
          <cell r="O209" t="str">
            <v>1d8;</v>
          </cell>
          <cell r="S209" t="str">
            <v>normal</v>
          </cell>
          <cell r="T209">
            <v>60</v>
          </cell>
          <cell r="U209" t="str">
            <v>cold</v>
          </cell>
          <cell r="V209" t="str">
            <v>fire</v>
          </cell>
          <cell r="AA209">
            <v>18</v>
          </cell>
          <cell r="AB209">
            <v>13</v>
          </cell>
          <cell r="AC209">
            <v>16</v>
          </cell>
          <cell r="AD209">
            <v>9</v>
          </cell>
          <cell r="AE209">
            <v>13</v>
          </cell>
          <cell r="AF209">
            <v>10</v>
          </cell>
          <cell r="AG209" t="str">
            <v>0;0</v>
          </cell>
          <cell r="AH209" t="str">
            <v>0;0</v>
          </cell>
          <cell r="AI209" t="str">
            <v>0;0</v>
          </cell>
          <cell r="AJ209" t="str">
            <v>0;0</v>
          </cell>
          <cell r="AK209" t="str">
            <v>0;0</v>
          </cell>
          <cell r="AL209" t="str">
            <v>0;-2</v>
          </cell>
          <cell r="AN209" t="str">
            <v>0;0</v>
          </cell>
          <cell r="AO209" t="str">
            <v>0;8</v>
          </cell>
          <cell r="AP209" t="str">
            <v>2;3</v>
          </cell>
          <cell r="AQ209" t="str">
            <v>5;1</v>
          </cell>
          <cell r="AR209" t="str">
            <v>0;0</v>
          </cell>
          <cell r="AS209" t="str">
            <v>0;0</v>
          </cell>
          <cell r="AT209" t="str">
            <v>0;0</v>
          </cell>
          <cell r="AU209" t="str">
            <v>2;3</v>
          </cell>
          <cell r="AV209" t="str">
            <v>0;0</v>
          </cell>
          <cell r="AW209" t="str">
            <v>0;0</v>
          </cell>
          <cell r="AX209" t="str">
            <v>Alertness;Improved Initiative;Track;</v>
          </cell>
          <cell r="BB209" t="str">
            <v>Neutral Evil</v>
          </cell>
          <cell r="BD209" t="str">
            <v>Breath Weapon;Freezing Bite;Trip</v>
          </cell>
          <cell r="BF209">
            <v>7</v>
          </cell>
          <cell r="BH209" t="str">
            <v>Improved</v>
          </cell>
          <cell r="BM209" t="str">
            <v>MM</v>
          </cell>
          <cell r="BN209">
            <v>256</v>
          </cell>
          <cell r="BO209" t="str">
            <v>CW</v>
          </cell>
          <cell r="BP209" t="b">
            <v>1</v>
          </cell>
          <cell r="BQ209" t="b">
            <v>0</v>
          </cell>
          <cell r="BR209" t="b">
            <v>0</v>
          </cell>
          <cell r="BS209">
            <v>6</v>
          </cell>
          <cell r="BT209" t="str">
            <v/>
          </cell>
          <cell r="BU209" t="b">
            <v>0</v>
          </cell>
          <cell r="BV209" t="b">
            <v>0</v>
          </cell>
          <cell r="BW209">
            <v>16</v>
          </cell>
          <cell r="BX209" t="str">
            <v/>
          </cell>
          <cell r="BZ209" t="b">
            <v>0</v>
          </cell>
          <cell r="CA209">
            <v>36</v>
          </cell>
          <cell r="CB209" t="str">
            <v/>
          </cell>
          <cell r="CD209" t="b">
            <v>0</v>
          </cell>
          <cell r="CE209">
            <v>27</v>
          </cell>
          <cell r="CF209" t="str">
            <v/>
          </cell>
        </row>
        <row r="210">
          <cell r="A210" t="str">
            <v>Wolf</v>
          </cell>
          <cell r="C210" t="str">
            <v>Medium</v>
          </cell>
          <cell r="D210" t="str">
            <v>Animal</v>
          </cell>
          <cell r="F210">
            <v>2</v>
          </cell>
          <cell r="G210">
            <v>50</v>
          </cell>
          <cell r="M210">
            <v>2</v>
          </cell>
          <cell r="N210" t="str">
            <v>Bite+5+0+2</v>
          </cell>
          <cell r="S210" t="str">
            <v>normal</v>
          </cell>
          <cell r="AA210">
            <v>13</v>
          </cell>
          <cell r="AB210">
            <v>15</v>
          </cell>
          <cell r="AC210">
            <v>15</v>
          </cell>
          <cell r="AD210">
            <v>2</v>
          </cell>
          <cell r="AE210">
            <v>12</v>
          </cell>
          <cell r="AF210">
            <v>6</v>
          </cell>
          <cell r="AG210" t="str">
            <v>Hide,Listen,Move Silently,Spot</v>
          </cell>
          <cell r="BA210">
            <v>2</v>
          </cell>
          <cell r="BB210" t="str">
            <v>Chaotic Evil</v>
          </cell>
          <cell r="BG210">
            <v>1</v>
          </cell>
          <cell r="BM210" t="str">
            <v>MM</v>
          </cell>
          <cell r="BN210">
            <v>283</v>
          </cell>
          <cell r="BP210" t="b">
            <v>1</v>
          </cell>
          <cell r="BQ210" t="b">
            <v>1</v>
          </cell>
          <cell r="BR210" t="b">
            <v>0</v>
          </cell>
          <cell r="BS210">
            <v>6</v>
          </cell>
          <cell r="BT210" t="str">
            <v/>
          </cell>
          <cell r="BV210" t="b">
            <v>0</v>
          </cell>
          <cell r="BW210">
            <v>16</v>
          </cell>
          <cell r="BX210" t="str">
            <v/>
          </cell>
          <cell r="BY210" t="b">
            <v>1</v>
          </cell>
          <cell r="BZ210" t="b">
            <v>1</v>
          </cell>
          <cell r="CA210">
            <v>37</v>
          </cell>
          <cell r="CB210" t="str">
            <v/>
          </cell>
          <cell r="CD210" t="b">
            <v>1</v>
          </cell>
          <cell r="CE210">
            <v>28</v>
          </cell>
          <cell r="CF210" t="str">
            <v/>
          </cell>
        </row>
        <row r="211">
          <cell r="A211" t="str">
            <v>Wolf Lizard</v>
          </cell>
          <cell r="N211" t="str">
            <v/>
          </cell>
          <cell r="BG211">
            <v>1</v>
          </cell>
          <cell r="BM211" t="str">
            <v>PGtA</v>
          </cell>
          <cell r="BP211" t="b">
            <v>0</v>
          </cell>
          <cell r="BQ211" t="b">
            <v>0</v>
          </cell>
          <cell r="BR211" t="b">
            <v>0</v>
          </cell>
          <cell r="BS211">
            <v>6</v>
          </cell>
          <cell r="BT211" t="str">
            <v/>
          </cell>
          <cell r="BV211" t="b">
            <v>0</v>
          </cell>
          <cell r="BW211">
            <v>16</v>
          </cell>
          <cell r="BX211" t="str">
            <v/>
          </cell>
          <cell r="BY211" t="b">
            <v>1</v>
          </cell>
          <cell r="BZ211" t="b">
            <v>0</v>
          </cell>
          <cell r="CA211">
            <v>37</v>
          </cell>
          <cell r="CB211" t="str">
            <v/>
          </cell>
          <cell r="CD211" t="b">
            <v>0</v>
          </cell>
          <cell r="CE211">
            <v>28</v>
          </cell>
          <cell r="CF211" t="str">
            <v/>
          </cell>
        </row>
        <row r="212">
          <cell r="A212" t="str">
            <v>Wolverine</v>
          </cell>
          <cell r="C212" t="str">
            <v>Medium</v>
          </cell>
          <cell r="D212" t="str">
            <v>Animal</v>
          </cell>
          <cell r="N212" t="str">
            <v/>
          </cell>
          <cell r="BG212">
            <v>4</v>
          </cell>
          <cell r="BM212" t="str">
            <v>MM</v>
          </cell>
          <cell r="BN212">
            <v>283</v>
          </cell>
          <cell r="BP212" t="b">
            <v>1</v>
          </cell>
          <cell r="BQ212" t="b">
            <v>0</v>
          </cell>
          <cell r="BR212" t="b">
            <v>0</v>
          </cell>
          <cell r="BS212">
            <v>6</v>
          </cell>
          <cell r="BT212" t="str">
            <v/>
          </cell>
          <cell r="BV212" t="b">
            <v>0</v>
          </cell>
          <cell r="BW212">
            <v>16</v>
          </cell>
          <cell r="BX212" t="str">
            <v/>
          </cell>
          <cell r="BY212" t="b">
            <v>1</v>
          </cell>
          <cell r="BZ212" t="b">
            <v>1</v>
          </cell>
          <cell r="CA212">
            <v>38</v>
          </cell>
          <cell r="CB212" t="str">
            <v/>
          </cell>
          <cell r="CD212" t="b">
            <v>0</v>
          </cell>
          <cell r="CE212">
            <v>28</v>
          </cell>
          <cell r="CF212" t="str">
            <v/>
          </cell>
        </row>
        <row r="213">
          <cell r="A213" t="str">
            <v>Worg</v>
          </cell>
          <cell r="C213" t="str">
            <v>Medium</v>
          </cell>
          <cell r="D213" t="str">
            <v>Magical Beast</v>
          </cell>
          <cell r="F213">
            <v>4</v>
          </cell>
          <cell r="G213">
            <v>50</v>
          </cell>
          <cell r="M213">
            <v>2</v>
          </cell>
          <cell r="N213" t="str">
            <v>Bite+5+0+2</v>
          </cell>
          <cell r="O213" t="str">
            <v>1d6;</v>
          </cell>
          <cell r="S213" t="str">
            <v>normal</v>
          </cell>
          <cell r="T213">
            <v>60</v>
          </cell>
          <cell r="AA213">
            <v>17</v>
          </cell>
          <cell r="AB213">
            <v>15</v>
          </cell>
          <cell r="AC213">
            <v>15</v>
          </cell>
          <cell r="AD213">
            <v>6</v>
          </cell>
          <cell r="AE213">
            <v>14</v>
          </cell>
          <cell r="AF213">
            <v>10</v>
          </cell>
          <cell r="AG213" t="str">
            <v>0;0</v>
          </cell>
          <cell r="AH213" t="str">
            <v>0;0</v>
          </cell>
          <cell r="AI213" t="str">
            <v>0;0</v>
          </cell>
          <cell r="AJ213" t="str">
            <v>0;0</v>
          </cell>
          <cell r="AK213" t="str">
            <v>0;0</v>
          </cell>
          <cell r="AL213" t="str">
            <v>0;2</v>
          </cell>
          <cell r="AN213" t="str">
            <v>0;0</v>
          </cell>
          <cell r="AO213" t="str">
            <v>0;8</v>
          </cell>
          <cell r="AP213" t="str">
            <v>1;3</v>
          </cell>
          <cell r="AQ213" t="str">
            <v>3;1</v>
          </cell>
          <cell r="AR213" t="str">
            <v>0;0</v>
          </cell>
          <cell r="AS213" t="str">
            <v>0;0</v>
          </cell>
          <cell r="AT213" t="str">
            <v>0;0</v>
          </cell>
          <cell r="AU213" t="str">
            <v>1;3</v>
          </cell>
          <cell r="AV213" t="str">
            <v>0;0</v>
          </cell>
          <cell r="AW213" t="str">
            <v>0;0</v>
          </cell>
          <cell r="AX213" t="str">
            <v>Alertness;Track;</v>
          </cell>
          <cell r="BB213" t="str">
            <v>Neutral Evil</v>
          </cell>
          <cell r="BD213" t="str">
            <v>Trip;Scent</v>
          </cell>
          <cell r="BF213">
            <v>3</v>
          </cell>
          <cell r="BH213" t="str">
            <v>Improved</v>
          </cell>
          <cell r="BM213" t="str">
            <v>MM</v>
          </cell>
          <cell r="BN213">
            <v>256</v>
          </cell>
          <cell r="BO213" t="str">
            <v>CW</v>
          </cell>
          <cell r="BP213" t="b">
            <v>1</v>
          </cell>
          <cell r="BQ213" t="b">
            <v>0</v>
          </cell>
          <cell r="BR213" t="b">
            <v>0</v>
          </cell>
          <cell r="BS213">
            <v>6</v>
          </cell>
          <cell r="BT213" t="str">
            <v/>
          </cell>
          <cell r="BU213" t="b">
            <v>0</v>
          </cell>
          <cell r="BV213" t="b">
            <v>0</v>
          </cell>
          <cell r="BW213">
            <v>16</v>
          </cell>
          <cell r="BX213" t="str">
            <v/>
          </cell>
          <cell r="BZ213" t="b">
            <v>0</v>
          </cell>
          <cell r="CA213">
            <v>38</v>
          </cell>
          <cell r="CB213" t="str">
            <v/>
          </cell>
          <cell r="CD213" t="b">
            <v>0</v>
          </cell>
          <cell r="CE213">
            <v>28</v>
          </cell>
          <cell r="CF213" t="str">
            <v/>
          </cell>
        </row>
        <row r="214">
          <cell r="A214" t="str">
            <v>Custom Familiar</v>
          </cell>
          <cell r="C214" t="str">
            <v/>
          </cell>
          <cell r="D214" t="str">
            <v>Magical Beast</v>
          </cell>
          <cell r="F214">
            <v>0</v>
          </cell>
          <cell r="G214">
            <v>0</v>
          </cell>
          <cell r="H214">
            <v>0</v>
          </cell>
          <cell r="I214">
            <v>0</v>
          </cell>
          <cell r="J214">
            <v>0</v>
          </cell>
          <cell r="K214" t="str">
            <v/>
          </cell>
          <cell r="L214">
            <v>0</v>
          </cell>
          <cell r="M214">
            <v>0</v>
          </cell>
          <cell r="N214" t="str">
            <v/>
          </cell>
          <cell r="O214" t="str">
            <v/>
          </cell>
          <cell r="X214" t="str">
            <v/>
          </cell>
          <cell r="Y214" t="str">
            <v/>
          </cell>
          <cell r="AA214">
            <v>0</v>
          </cell>
          <cell r="AB214">
            <v>0</v>
          </cell>
          <cell r="AC214">
            <v>0</v>
          </cell>
          <cell r="AD214">
            <v>0</v>
          </cell>
          <cell r="AE214">
            <v>0</v>
          </cell>
          <cell r="AF214">
            <v>0</v>
          </cell>
          <cell r="AG214" t="str">
            <v>0;0</v>
          </cell>
          <cell r="AH214" t="str">
            <v>0;0</v>
          </cell>
          <cell r="AI214" t="str">
            <v>0;0</v>
          </cell>
          <cell r="AJ214" t="str">
            <v>0;0</v>
          </cell>
          <cell r="AK214" t="str">
            <v>0;0</v>
          </cell>
          <cell r="AL214" t="str">
            <v>0;0</v>
          </cell>
          <cell r="AN214" t="str">
            <v>0;0</v>
          </cell>
          <cell r="AO214" t="str">
            <v>0;0</v>
          </cell>
          <cell r="AP214" t="str">
            <v>0;0</v>
          </cell>
          <cell r="AQ214" t="str">
            <v>0;0</v>
          </cell>
          <cell r="AR214" t="str">
            <v>0;0</v>
          </cell>
          <cell r="AS214" t="str">
            <v>0;0</v>
          </cell>
          <cell r="AT214" t="str">
            <v>0;0</v>
          </cell>
          <cell r="AU214" t="str">
            <v>0;0</v>
          </cell>
          <cell r="AV214" t="str">
            <v>0;0</v>
          </cell>
          <cell r="AW214" t="str">
            <v>0;0</v>
          </cell>
          <cell r="AX214" t="str">
            <v/>
          </cell>
          <cell r="BB214" t="str">
            <v/>
          </cell>
          <cell r="BD214" t="str">
            <v/>
          </cell>
          <cell r="BF214">
            <v>1</v>
          </cell>
          <cell r="BM214" t="str">
            <v>CUST`</v>
          </cell>
          <cell r="BQ214" t="b">
            <v>0</v>
          </cell>
          <cell r="BR214" t="b">
            <v>0</v>
          </cell>
          <cell r="BS214">
            <v>6</v>
          </cell>
          <cell r="BT214" t="str">
            <v/>
          </cell>
          <cell r="BV214" t="b">
            <v>1</v>
          </cell>
          <cell r="BW214">
            <v>17</v>
          </cell>
          <cell r="BX214" t="str">
            <v/>
          </cell>
          <cell r="BZ214" t="b">
            <v>0</v>
          </cell>
          <cell r="CA214">
            <v>38</v>
          </cell>
          <cell r="CB214" t="str">
            <v/>
          </cell>
          <cell r="CD214" t="b">
            <v>0</v>
          </cell>
          <cell r="CE214">
            <v>28</v>
          </cell>
          <cell r="CF214" t="str">
            <v/>
          </cell>
        </row>
      </sheetData>
      <sheetData sheetId="11"/>
      <sheetData sheetId="12">
        <row r="683">
          <cell r="K683" t="str">
            <v/>
          </cell>
        </row>
        <row r="687">
          <cell r="J687">
            <v>0</v>
          </cell>
        </row>
        <row r="688">
          <cell r="J688">
            <v>0</v>
          </cell>
        </row>
        <row r="693">
          <cell r="J693">
            <v>0</v>
          </cell>
        </row>
        <row r="694">
          <cell r="J694">
            <v>0</v>
          </cell>
        </row>
        <row r="695">
          <cell r="J695">
            <v>0</v>
          </cell>
        </row>
      </sheetData>
      <sheetData sheetId="13">
        <row r="3">
          <cell r="AG3" t="str">
            <v/>
          </cell>
        </row>
        <row r="12">
          <cell r="AG12" t="b">
            <v>0</v>
          </cell>
        </row>
        <row r="19">
          <cell r="AZ19" t="b">
            <v>0</v>
          </cell>
        </row>
        <row r="43">
          <cell r="AG43" t="b">
            <v>0</v>
          </cell>
        </row>
      </sheetData>
      <sheetData sheetId="14">
        <row r="1">
          <cell r="AP1" t="b">
            <v>0</v>
          </cell>
        </row>
        <row r="34">
          <cell r="BI34">
            <v>4</v>
          </cell>
        </row>
        <row r="69">
          <cell r="BI69" t="str">
            <v>Obscuring Mist</v>
          </cell>
          <cell r="BJ69" t="str">
            <v>Magic Stone</v>
          </cell>
          <cell r="BK69" t="str">
            <v>Burning Hands</v>
          </cell>
          <cell r="BL69" t="str">
            <v>Obscuring Mist</v>
          </cell>
        </row>
        <row r="70">
          <cell r="BI70" t="str">
            <v>Windwall</v>
          </cell>
          <cell r="BJ70" t="str">
            <v>Soften Earth and Stone</v>
          </cell>
          <cell r="BK70" t="str">
            <v>Produce Flame</v>
          </cell>
          <cell r="BL70" t="str">
            <v>Fog Cloud</v>
          </cell>
        </row>
        <row r="71">
          <cell r="BI71" t="str">
            <v>Gaseous Form</v>
          </cell>
          <cell r="BJ71" t="str">
            <v>Stone Shape</v>
          </cell>
          <cell r="BK71" t="str">
            <v>Flaming Sphere</v>
          </cell>
          <cell r="BL71" t="str">
            <v>Waterbreathing</v>
          </cell>
        </row>
        <row r="72">
          <cell r="BI72" t="str">
            <v>Airwalk</v>
          </cell>
          <cell r="BJ72" t="str">
            <v>Spikestones</v>
          </cell>
          <cell r="BK72" t="str">
            <v>Wall Of Fire</v>
          </cell>
          <cell r="BL72" t="str">
            <v>Control Water</v>
          </cell>
        </row>
        <row r="73">
          <cell r="BI73" t="str">
            <v>Control Winds</v>
          </cell>
          <cell r="BJ73" t="str">
            <v>Wall of Stone</v>
          </cell>
          <cell r="BK73" t="str">
            <v>Fireshield</v>
          </cell>
          <cell r="BL73" t="str">
            <v>Icestorm</v>
          </cell>
        </row>
        <row r="74">
          <cell r="BI74" t="str">
            <v>Chain Lightning</v>
          </cell>
          <cell r="BJ74" t="str">
            <v>Stoneskin</v>
          </cell>
          <cell r="BK74" t="str">
            <v>Fireseeds</v>
          </cell>
          <cell r="BL74" t="str">
            <v>Cone of Cold</v>
          </cell>
        </row>
        <row r="75">
          <cell r="BI75" t="str">
            <v>Control Weather</v>
          </cell>
          <cell r="BJ75" t="str">
            <v>Earthquake</v>
          </cell>
          <cell r="BK75" t="str">
            <v>Firestorm</v>
          </cell>
          <cell r="BL75" t="str">
            <v>Acid Fog</v>
          </cell>
        </row>
        <row r="76">
          <cell r="BI76" t="str">
            <v>Whirlwind</v>
          </cell>
          <cell r="BJ76" t="str">
            <v>Iron Body</v>
          </cell>
          <cell r="BK76" t="str">
            <v>Incendiary Cloud</v>
          </cell>
          <cell r="BL76" t="str">
            <v>Horid Wilting</v>
          </cell>
        </row>
        <row r="77">
          <cell r="BI77" t="str">
            <v>Elemental Swarm, Air</v>
          </cell>
          <cell r="BJ77" t="str">
            <v>Elemental Swarm, Earth</v>
          </cell>
          <cell r="BK77" t="str">
            <v>Elemental Swarm, Fire</v>
          </cell>
          <cell r="BL77" t="str">
            <v>Elemental Swarm, Water</v>
          </cell>
        </row>
        <row r="78">
          <cell r="BI78" t="str">
            <v>Plane Shift</v>
          </cell>
          <cell r="BJ78" t="str">
            <v>Plane Shift</v>
          </cell>
          <cell r="BK78" t="str">
            <v>Plane Shift</v>
          </cell>
          <cell r="BL78" t="str">
            <v>Plane Shift</v>
          </cell>
        </row>
      </sheetData>
      <sheetData sheetId="15" refreshError="1"/>
      <sheetData sheetId="16">
        <row r="7">
          <cell r="EF7">
            <v>8</v>
          </cell>
        </row>
        <row r="8">
          <cell r="EF8">
            <v>8</v>
          </cell>
        </row>
        <row r="9">
          <cell r="EF9">
            <v>8</v>
          </cell>
        </row>
      </sheetData>
      <sheetData sheetId="17" refreshError="1"/>
      <sheetData sheetId="18" refreshError="1"/>
      <sheetData sheetId="19" refreshError="1"/>
      <sheetData sheetId="20" refreshError="1"/>
      <sheetData sheetId="21" refreshError="1"/>
      <sheetData sheetId="22"/>
      <sheetData sheetId="23" refreshError="1"/>
      <sheetData sheetId="24" refreshError="1"/>
      <sheetData sheetId="25" refreshError="1"/>
      <sheetData sheetId="26" refreshError="1"/>
      <sheetData sheetId="27" refreshError="1"/>
      <sheetData sheetId="28">
        <row r="5">
          <cell r="IA5" t="str">
            <v>Skill Name</v>
          </cell>
        </row>
        <row r="6">
          <cell r="IA6" t="str">
            <v>Appraise</v>
          </cell>
        </row>
        <row r="7">
          <cell r="IA7" t="str">
            <v>Autohypnosis</v>
          </cell>
        </row>
        <row r="8">
          <cell r="IA8" t="str">
            <v>Balance</v>
          </cell>
        </row>
        <row r="9">
          <cell r="IA9" t="str">
            <v>Bluff</v>
          </cell>
        </row>
        <row r="10">
          <cell r="IA10" t="str">
            <v>Climb</v>
          </cell>
        </row>
        <row r="11">
          <cell r="IA11" t="str">
            <v>Control Shape</v>
          </cell>
        </row>
        <row r="12">
          <cell r="IA12" t="str">
            <v>Concentration</v>
          </cell>
        </row>
        <row r="13">
          <cell r="IA13" t="str">
            <v>Craft skills …</v>
          </cell>
        </row>
        <row r="14">
          <cell r="IA14" t="str">
            <v>Craft ()</v>
          </cell>
        </row>
        <row r="15">
          <cell r="IA15" t="str">
            <v>Craft ()</v>
          </cell>
        </row>
        <row r="16">
          <cell r="IA16" t="str">
            <v>Craft ()</v>
          </cell>
        </row>
        <row r="17">
          <cell r="IA17" t="str">
            <v>Craft ()</v>
          </cell>
        </row>
        <row r="18">
          <cell r="IA18" t="str">
            <v>Craft ()</v>
          </cell>
        </row>
        <row r="19">
          <cell r="IA19" t="str">
            <v>Craft ()</v>
          </cell>
        </row>
        <row r="20">
          <cell r="IA20" t="str">
            <v>Decipher Script</v>
          </cell>
        </row>
        <row r="21">
          <cell r="IA21" t="str">
            <v>Diplomacy</v>
          </cell>
        </row>
        <row r="22">
          <cell r="IA22" t="str">
            <v>Disable Device</v>
          </cell>
        </row>
        <row r="23">
          <cell r="IA23" t="str">
            <v>Disguise</v>
          </cell>
        </row>
        <row r="24">
          <cell r="IA24" t="str">
            <v>Escape Artist</v>
          </cell>
        </row>
        <row r="25">
          <cell r="IA25" t="str">
            <v>Forgery</v>
          </cell>
        </row>
        <row r="26">
          <cell r="IA26" t="str">
            <v>Gather Information</v>
          </cell>
        </row>
        <row r="27">
          <cell r="IA27" t="str">
            <v>Handle Animal</v>
          </cell>
        </row>
        <row r="28">
          <cell r="IA28" t="str">
            <v>Heal</v>
          </cell>
        </row>
        <row r="29">
          <cell r="IA29" t="str">
            <v>Hide</v>
          </cell>
        </row>
        <row r="30">
          <cell r="IA30" t="str">
            <v>Hypnosis</v>
          </cell>
        </row>
        <row r="31">
          <cell r="IA31" t="str">
            <v>Iaijutsu Focus</v>
          </cell>
        </row>
        <row r="32">
          <cell r="IA32" t="str">
            <v>Intimidate</v>
          </cell>
        </row>
        <row r="33">
          <cell r="IA33" t="str">
            <v>Jump</v>
          </cell>
        </row>
        <row r="34">
          <cell r="IA34" t="str">
            <v>Knowledge (arcana)</v>
          </cell>
        </row>
        <row r="35">
          <cell r="IA35" t="str">
            <v>Knowledge (arch &amp; eng)</v>
          </cell>
        </row>
        <row r="36">
          <cell r="IA36" t="str">
            <v>Knowledge (dungeoneering)</v>
          </cell>
        </row>
        <row r="37">
          <cell r="IA37" t="str">
            <v>Knowledge (geography)</v>
          </cell>
        </row>
        <row r="38">
          <cell r="IA38" t="str">
            <v>Knowledge (history)</v>
          </cell>
        </row>
        <row r="39">
          <cell r="IA39" t="str">
            <v>Knowledge (local)</v>
          </cell>
        </row>
        <row r="40">
          <cell r="IA40" t="str">
            <v>Knowledge (monster lore)</v>
          </cell>
        </row>
        <row r="41">
          <cell r="IA41" t="str">
            <v>Knowledge (nature)</v>
          </cell>
        </row>
        <row r="42">
          <cell r="IA42" t="str">
            <v>Knowledge (nobility)</v>
          </cell>
        </row>
        <row r="43">
          <cell r="IA43" t="str">
            <v>Knowledge (psionics)</v>
          </cell>
        </row>
        <row r="44">
          <cell r="IA44" t="str">
            <v>Knowledge (ravenloft)</v>
          </cell>
        </row>
        <row r="45">
          <cell r="IA45" t="str">
            <v>Knowledge (religion)</v>
          </cell>
        </row>
        <row r="46">
          <cell r="IA46" t="str">
            <v>Knowledge (the planes)</v>
          </cell>
        </row>
        <row r="47">
          <cell r="IA47" t="str">
            <v>Knowledge skills …</v>
          </cell>
        </row>
        <row r="48">
          <cell r="IA48" t="str">
            <v>Knowledge ()</v>
          </cell>
        </row>
        <row r="49">
          <cell r="IA49" t="str">
            <v>Knowledge ()</v>
          </cell>
        </row>
        <row r="50">
          <cell r="IA50" t="str">
            <v>Knowledge ()</v>
          </cell>
        </row>
        <row r="51">
          <cell r="IA51" t="str">
            <v>Knowledge ()</v>
          </cell>
        </row>
        <row r="52">
          <cell r="IA52" t="str">
            <v>Knowledge ()</v>
          </cell>
        </row>
        <row r="53">
          <cell r="IA53" t="str">
            <v>Knowledge ()</v>
          </cell>
        </row>
        <row r="54">
          <cell r="IA54" t="str">
            <v>Knowledge ()</v>
          </cell>
        </row>
        <row r="55">
          <cell r="IA55" t="str">
            <v>Listen</v>
          </cell>
        </row>
        <row r="56">
          <cell r="IA56" t="str">
            <v>Martial Lore</v>
          </cell>
        </row>
        <row r="57">
          <cell r="IA57" t="str">
            <v>Move Silently</v>
          </cell>
        </row>
        <row r="58">
          <cell r="IA58" t="str">
            <v>Open Lock</v>
          </cell>
        </row>
        <row r="59">
          <cell r="IA59" t="str">
            <v>Perform skills …</v>
          </cell>
        </row>
        <row r="60">
          <cell r="IA60" t="str">
            <v>Perform ()</v>
          </cell>
        </row>
        <row r="61">
          <cell r="IA61" t="str">
            <v>Perform ()</v>
          </cell>
        </row>
        <row r="62">
          <cell r="IA62" t="str">
            <v>Perform ()</v>
          </cell>
        </row>
        <row r="63">
          <cell r="IA63" t="str">
            <v>Perform ()</v>
          </cell>
        </row>
        <row r="64">
          <cell r="IA64" t="str">
            <v>Perform ()</v>
          </cell>
        </row>
        <row r="65">
          <cell r="IA65" t="str">
            <v>Profession skills …</v>
          </cell>
        </row>
        <row r="66">
          <cell r="IA66" t="str">
            <v>Profession ()</v>
          </cell>
        </row>
        <row r="67">
          <cell r="IA67" t="str">
            <v>Profession ()</v>
          </cell>
        </row>
        <row r="68">
          <cell r="IA68" t="str">
            <v>Profession ()</v>
          </cell>
        </row>
        <row r="69">
          <cell r="IA69" t="str">
            <v>Profession ()</v>
          </cell>
        </row>
        <row r="70">
          <cell r="IA70" t="str">
            <v>Profession ()</v>
          </cell>
        </row>
        <row r="71">
          <cell r="IA71" t="str">
            <v>Psicraft</v>
          </cell>
        </row>
        <row r="72">
          <cell r="IA72" t="str">
            <v>Ride</v>
          </cell>
        </row>
        <row r="73">
          <cell r="IA73" t="str">
            <v>Search</v>
          </cell>
        </row>
        <row r="74">
          <cell r="IA74" t="str">
            <v>Sense Motive</v>
          </cell>
        </row>
        <row r="75">
          <cell r="IA75" t="str">
            <v>Skill Tricks</v>
          </cell>
        </row>
        <row r="76">
          <cell r="IA76" t="str">
            <v>Sleight of Hand</v>
          </cell>
        </row>
        <row r="77">
          <cell r="IA77" t="str">
            <v>Speak Language</v>
          </cell>
        </row>
        <row r="78">
          <cell r="IA78" t="str">
            <v>Spellcraft</v>
          </cell>
        </row>
        <row r="79">
          <cell r="IA79" t="str">
            <v>Spot</v>
          </cell>
        </row>
        <row r="80">
          <cell r="IA80" t="str">
            <v>Survival</v>
          </cell>
        </row>
        <row r="81">
          <cell r="IA81" t="str">
            <v>Swim</v>
          </cell>
        </row>
        <row r="82">
          <cell r="IA82" t="str">
            <v>Tumble</v>
          </cell>
        </row>
        <row r="83">
          <cell r="IA83" t="str">
            <v>Use Magic Device</v>
          </cell>
        </row>
        <row r="84">
          <cell r="IA84" t="str">
            <v>Use Psionic Device</v>
          </cell>
        </row>
        <row r="85">
          <cell r="IA85" t="str">
            <v>Use Rope</v>
          </cell>
        </row>
      </sheetData>
      <sheetData sheetId="29" refreshError="1"/>
      <sheetData sheetId="30" refreshError="1"/>
      <sheetData sheetId="31" refreshError="1"/>
      <sheetData sheetId="32" refreshError="1"/>
      <sheetData sheetId="33" refreshError="1"/>
      <sheetData sheetId="34" refreshError="1"/>
      <sheetData sheetId="35">
        <row r="54">
          <cell r="AR54" t="b">
            <v>0</v>
          </cell>
        </row>
        <row r="643">
          <cell r="AR643" t="b">
            <v>0</v>
          </cell>
        </row>
        <row r="644">
          <cell r="AR644" t="b">
            <v>0</v>
          </cell>
        </row>
        <row r="646">
          <cell r="AR646" t="b">
            <v>0</v>
          </cell>
        </row>
        <row r="968">
          <cell r="AR968" t="b">
            <v>0</v>
          </cell>
        </row>
        <row r="1295">
          <cell r="AR1295" t="b">
            <v>0</v>
          </cell>
        </row>
        <row r="1323">
          <cell r="AR1323" t="b">
            <v>0</v>
          </cell>
        </row>
        <row r="1459">
          <cell r="AR1459" t="b">
            <v>0</v>
          </cell>
        </row>
        <row r="1548">
          <cell r="AR1548" t="b">
            <v>0</v>
          </cell>
        </row>
        <row r="2054">
          <cell r="AR2054" t="b">
            <v>0</v>
          </cell>
        </row>
        <row r="2278">
          <cell r="AR2278" t="b">
            <v>0</v>
          </cell>
        </row>
        <row r="2583">
          <cell r="AR2583" t="b">
            <v>0</v>
          </cell>
        </row>
        <row r="2629">
          <cell r="AR2629" t="b">
            <v>0</v>
          </cell>
        </row>
        <row r="2754">
          <cell r="AR2754" t="b">
            <v>0</v>
          </cell>
        </row>
        <row r="3460">
          <cell r="AR3460" t="b">
            <v>0</v>
          </cell>
        </row>
      </sheetData>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ow r="33">
          <cell r="H33" t="str">
            <v>Fine</v>
          </cell>
          <cell r="I33" t="b">
            <v>0</v>
          </cell>
          <cell r="J33" t="b">
            <v>0</v>
          </cell>
        </row>
        <row r="34">
          <cell r="H34" t="str">
            <v>Diminutive</v>
          </cell>
          <cell r="I34" t="b">
            <v>0</v>
          </cell>
          <cell r="J34" t="b">
            <v>0</v>
          </cell>
        </row>
        <row r="35">
          <cell r="H35" t="str">
            <v>Tiny</v>
          </cell>
          <cell r="I35" t="b">
            <v>0</v>
          </cell>
          <cell r="J35" t="b">
            <v>0</v>
          </cell>
        </row>
        <row r="36">
          <cell r="H36" t="str">
            <v>Small</v>
          </cell>
          <cell r="I36" t="b">
            <v>1</v>
          </cell>
          <cell r="J36" t="b">
            <v>0</v>
          </cell>
        </row>
        <row r="37">
          <cell r="H37" t="str">
            <v>Medium</v>
          </cell>
          <cell r="I37" t="b">
            <v>1</v>
          </cell>
          <cell r="J37" t="b">
            <v>0</v>
          </cell>
        </row>
        <row r="38">
          <cell r="H38" t="str">
            <v>Large</v>
          </cell>
          <cell r="I38" t="b">
            <v>0</v>
          </cell>
          <cell r="J38" t="b">
            <v>0</v>
          </cell>
        </row>
        <row r="39">
          <cell r="H39" t="str">
            <v>Huge</v>
          </cell>
          <cell r="I39" t="b">
            <v>0</v>
          </cell>
          <cell r="J39" t="b">
            <v>0</v>
          </cell>
        </row>
        <row r="40">
          <cell r="H40" t="str">
            <v>Gargantuan</v>
          </cell>
          <cell r="I40" t="b">
            <v>0</v>
          </cell>
          <cell r="J40" t="b">
            <v>0</v>
          </cell>
        </row>
        <row r="41">
          <cell r="H41" t="str">
            <v>Colossal</v>
          </cell>
          <cell r="I41" t="b">
            <v>0</v>
          </cell>
          <cell r="J41" t="b">
            <v>0</v>
          </cell>
        </row>
        <row r="4538">
          <cell r="E4538">
            <v>0</v>
          </cell>
        </row>
      </sheetData>
      <sheetData sheetId="50" refreshError="1"/>
      <sheetData sheetId="51" refreshError="1"/>
      <sheetData sheetId="52" refreshError="1"/>
      <sheetData sheetId="53" refreshError="1"/>
      <sheetData sheetId="54" refreshError="1"/>
      <sheetData sheetId="55" refreshError="1"/>
      <sheetData sheetId="56" refreshError="1"/>
      <sheetData sheetId="57">
        <row r="4">
          <cell r="A4" t="str">
            <v>Ardent</v>
          </cell>
          <cell r="B4">
            <v>1</v>
          </cell>
          <cell r="C4">
            <v>0</v>
          </cell>
          <cell r="D4">
            <v>0</v>
          </cell>
          <cell r="E4">
            <v>0</v>
          </cell>
          <cell r="F4">
            <v>0</v>
          </cell>
          <cell r="G4">
            <v>8</v>
          </cell>
          <cell r="H4">
            <v>-1</v>
          </cell>
          <cell r="I4" t="str">
            <v>Ardt</v>
          </cell>
          <cell r="J4">
            <v>0</v>
          </cell>
        </row>
        <row r="5">
          <cell r="A5" t="str">
            <v>Divine Mind</v>
          </cell>
          <cell r="B5">
            <v>2</v>
          </cell>
          <cell r="C5">
            <v>0</v>
          </cell>
          <cell r="D5">
            <v>0</v>
          </cell>
          <cell r="E5">
            <v>0</v>
          </cell>
          <cell r="F5">
            <v>0</v>
          </cell>
          <cell r="G5">
            <v>8</v>
          </cell>
          <cell r="H5">
            <v>-1</v>
          </cell>
          <cell r="I5" t="str">
            <v>DvMd</v>
          </cell>
          <cell r="J5">
            <v>0</v>
          </cell>
        </row>
        <row r="6">
          <cell r="A6" t="str">
            <v>Fist of Zuoken</v>
          </cell>
          <cell r="B6">
            <v>3</v>
          </cell>
          <cell r="C6">
            <v>0</v>
          </cell>
          <cell r="D6">
            <v>0</v>
          </cell>
          <cell r="E6">
            <v>0</v>
          </cell>
          <cell r="F6">
            <v>0</v>
          </cell>
          <cell r="G6">
            <v>8</v>
          </cell>
          <cell r="H6">
            <v>-1</v>
          </cell>
          <cell r="I6" t="str">
            <v>FoZ</v>
          </cell>
          <cell r="J6">
            <v>0</v>
          </cell>
        </row>
        <row r="7">
          <cell r="A7" t="str">
            <v>Lurk</v>
          </cell>
          <cell r="B7">
            <v>4</v>
          </cell>
          <cell r="C7">
            <v>0</v>
          </cell>
          <cell r="D7">
            <v>0</v>
          </cell>
          <cell r="E7">
            <v>0</v>
          </cell>
          <cell r="F7">
            <v>0</v>
          </cell>
          <cell r="G7">
            <v>8</v>
          </cell>
          <cell r="H7">
            <v>-1</v>
          </cell>
          <cell r="I7" t="str">
            <v>Lrk</v>
          </cell>
          <cell r="J7">
            <v>0</v>
          </cell>
        </row>
        <row r="8">
          <cell r="A8" t="str">
            <v>Psion</v>
          </cell>
          <cell r="B8">
            <v>5</v>
          </cell>
          <cell r="C8">
            <v>0</v>
          </cell>
          <cell r="D8">
            <v>0</v>
          </cell>
          <cell r="E8">
            <v>0</v>
          </cell>
          <cell r="F8">
            <v>0</v>
          </cell>
          <cell r="G8">
            <v>8</v>
          </cell>
          <cell r="H8">
            <v>-1</v>
          </cell>
          <cell r="I8" t="str">
            <v>Psi</v>
          </cell>
          <cell r="J8">
            <v>0</v>
          </cell>
        </row>
        <row r="9">
          <cell r="A9" t="str">
            <v>Psychic Warrior</v>
          </cell>
          <cell r="B9">
            <v>6</v>
          </cell>
          <cell r="C9">
            <v>0</v>
          </cell>
          <cell r="D9">
            <v>0</v>
          </cell>
          <cell r="E9">
            <v>0</v>
          </cell>
          <cell r="F9">
            <v>0</v>
          </cell>
          <cell r="G9">
            <v>8</v>
          </cell>
          <cell r="H9">
            <v>-1</v>
          </cell>
          <cell r="I9" t="str">
            <v>Psw</v>
          </cell>
          <cell r="J9">
            <v>0</v>
          </cell>
        </row>
        <row r="10">
          <cell r="A10" t="str">
            <v>War Mind</v>
          </cell>
          <cell r="B10">
            <v>7</v>
          </cell>
          <cell r="C10">
            <v>0</v>
          </cell>
          <cell r="D10">
            <v>0</v>
          </cell>
          <cell r="E10">
            <v>0</v>
          </cell>
          <cell r="F10">
            <v>0</v>
          </cell>
          <cell r="G10">
            <v>8</v>
          </cell>
          <cell r="H10">
            <v>-1</v>
          </cell>
          <cell r="I10" t="str">
            <v>Wmd</v>
          </cell>
          <cell r="J10">
            <v>0</v>
          </cell>
        </row>
        <row r="11">
          <cell r="A11" t="str">
            <v>Wilder</v>
          </cell>
          <cell r="B11">
            <v>8</v>
          </cell>
          <cell r="C11">
            <v>0</v>
          </cell>
          <cell r="D11">
            <v>0</v>
          </cell>
          <cell r="E11">
            <v>0</v>
          </cell>
          <cell r="F11">
            <v>0</v>
          </cell>
          <cell r="G11">
            <v>8</v>
          </cell>
          <cell r="H11">
            <v>-1</v>
          </cell>
          <cell r="I11" t="str">
            <v>Wld</v>
          </cell>
          <cell r="J11">
            <v>0</v>
          </cell>
        </row>
        <row r="12">
          <cell r="A12" t="str">
            <v>Zerth Cenobite</v>
          </cell>
          <cell r="B12">
            <v>9</v>
          </cell>
          <cell r="C12">
            <v>0</v>
          </cell>
          <cell r="D12">
            <v>0</v>
          </cell>
          <cell r="E12">
            <v>0</v>
          </cell>
          <cell r="F12">
            <v>0</v>
          </cell>
          <cell r="G12">
            <v>8</v>
          </cell>
          <cell r="H12">
            <v>-1</v>
          </cell>
          <cell r="I12" t="str">
            <v>ZtCb</v>
          </cell>
          <cell r="J12">
            <v>0</v>
          </cell>
        </row>
      </sheetData>
      <sheetData sheetId="58" refreshError="1"/>
      <sheetData sheetId="59" refreshError="1"/>
      <sheetData sheetId="60" refreshError="1"/>
      <sheetData sheetId="61" refreshError="1"/>
      <sheetData sheetId="62" refreshError="1"/>
      <sheetData sheetId="63" refreshError="1"/>
      <sheetData sheetId="64">
        <row r="184">
          <cell r="Q184">
            <v>0</v>
          </cell>
          <cell r="R184">
            <v>3</v>
          </cell>
          <cell r="S184">
            <v>3</v>
          </cell>
        </row>
        <row r="185">
          <cell r="Q185">
            <v>1</v>
          </cell>
          <cell r="R185">
            <v>5</v>
          </cell>
          <cell r="S185">
            <v>5</v>
          </cell>
        </row>
        <row r="186">
          <cell r="Q186">
            <v>2</v>
          </cell>
          <cell r="R186">
            <v>5</v>
          </cell>
          <cell r="S186">
            <v>5</v>
          </cell>
        </row>
        <row r="187">
          <cell r="Q187">
            <v>3</v>
          </cell>
          <cell r="R187">
            <v>5</v>
          </cell>
          <cell r="S187">
            <v>5</v>
          </cell>
        </row>
        <row r="188">
          <cell r="Q188">
            <v>4</v>
          </cell>
          <cell r="R188">
            <v>6</v>
          </cell>
          <cell r="S188">
            <v>5</v>
          </cell>
        </row>
        <row r="189">
          <cell r="Q189">
            <v>5</v>
          </cell>
          <cell r="R189">
            <v>6</v>
          </cell>
          <cell r="S189">
            <v>6</v>
          </cell>
        </row>
        <row r="190">
          <cell r="Q190">
            <v>6</v>
          </cell>
          <cell r="R190">
            <v>6</v>
          </cell>
          <cell r="S190">
            <v>6</v>
          </cell>
        </row>
        <row r="191">
          <cell r="Q191">
            <v>7</v>
          </cell>
          <cell r="R191">
            <v>6</v>
          </cell>
          <cell r="S191">
            <v>6</v>
          </cell>
        </row>
        <row r="192">
          <cell r="Q192">
            <v>8</v>
          </cell>
          <cell r="R192">
            <v>7</v>
          </cell>
          <cell r="S192">
            <v>7</v>
          </cell>
        </row>
        <row r="193">
          <cell r="Q193">
            <v>9</v>
          </cell>
          <cell r="R193">
            <v>7</v>
          </cell>
          <cell r="S193">
            <v>7</v>
          </cell>
        </row>
        <row r="194">
          <cell r="Q194">
            <v>10</v>
          </cell>
          <cell r="R194">
            <v>7</v>
          </cell>
          <cell r="S194">
            <v>8</v>
          </cell>
        </row>
        <row r="195">
          <cell r="Q195">
            <v>11</v>
          </cell>
          <cell r="R195">
            <v>7</v>
          </cell>
          <cell r="S195">
            <v>8</v>
          </cell>
        </row>
        <row r="196">
          <cell r="Q196">
            <v>12</v>
          </cell>
          <cell r="R196">
            <v>10</v>
          </cell>
          <cell r="S196">
            <v>8</v>
          </cell>
        </row>
        <row r="197">
          <cell r="Q197">
            <v>13</v>
          </cell>
          <cell r="R197">
            <v>10</v>
          </cell>
          <cell r="S197">
            <v>8</v>
          </cell>
        </row>
        <row r="198">
          <cell r="Q198">
            <v>14</v>
          </cell>
          <cell r="R198">
            <v>10</v>
          </cell>
          <cell r="S198">
            <v>8</v>
          </cell>
        </row>
        <row r="199">
          <cell r="Q199">
            <v>15</v>
          </cell>
          <cell r="R199">
            <v>10</v>
          </cell>
          <cell r="S199">
            <v>8</v>
          </cell>
        </row>
        <row r="200">
          <cell r="Q200">
            <v>16</v>
          </cell>
          <cell r="R200">
            <v>11</v>
          </cell>
          <cell r="S200">
            <v>8</v>
          </cell>
        </row>
        <row r="201">
          <cell r="Q201">
            <v>17</v>
          </cell>
          <cell r="R201">
            <v>11</v>
          </cell>
          <cell r="S201">
            <v>8</v>
          </cell>
        </row>
        <row r="202">
          <cell r="Q202">
            <v>18</v>
          </cell>
          <cell r="R202">
            <v>11</v>
          </cell>
          <cell r="S202">
            <v>8</v>
          </cell>
        </row>
        <row r="203">
          <cell r="Q203">
            <v>19</v>
          </cell>
          <cell r="R203">
            <v>11</v>
          </cell>
          <cell r="S203">
            <v>8</v>
          </cell>
        </row>
        <row r="204">
          <cell r="Q204">
            <v>20</v>
          </cell>
          <cell r="R204">
            <v>12</v>
          </cell>
          <cell r="S204">
            <v>8</v>
          </cell>
        </row>
        <row r="205">
          <cell r="Q205">
            <v>21</v>
          </cell>
          <cell r="R205">
            <v>12</v>
          </cell>
          <cell r="S205">
            <v>8</v>
          </cell>
        </row>
        <row r="206">
          <cell r="Q206">
            <v>22</v>
          </cell>
          <cell r="R206">
            <v>12</v>
          </cell>
          <cell r="S206">
            <v>8</v>
          </cell>
        </row>
        <row r="207">
          <cell r="Q207">
            <v>23</v>
          </cell>
          <cell r="R207">
            <v>12</v>
          </cell>
          <cell r="S207">
            <v>8</v>
          </cell>
        </row>
        <row r="208">
          <cell r="Q208">
            <v>24</v>
          </cell>
          <cell r="R208">
            <v>12</v>
          </cell>
          <cell r="S208">
            <v>8</v>
          </cell>
        </row>
        <row r="209">
          <cell r="Q209">
            <v>25</v>
          </cell>
          <cell r="R209">
            <v>12</v>
          </cell>
          <cell r="S209">
            <v>8</v>
          </cell>
        </row>
        <row r="210">
          <cell r="Q210">
            <v>26</v>
          </cell>
          <cell r="R210">
            <v>12</v>
          </cell>
          <cell r="S210">
            <v>8</v>
          </cell>
        </row>
        <row r="211">
          <cell r="Q211">
            <v>27</v>
          </cell>
          <cell r="R211">
            <v>12</v>
          </cell>
          <cell r="S211">
            <v>8</v>
          </cell>
        </row>
        <row r="212">
          <cell r="Q212">
            <v>28</v>
          </cell>
          <cell r="R212">
            <v>12</v>
          </cell>
          <cell r="S212">
            <v>8</v>
          </cell>
        </row>
        <row r="213">
          <cell r="Q213">
            <v>29</v>
          </cell>
          <cell r="R213">
            <v>12</v>
          </cell>
          <cell r="S213">
            <v>8</v>
          </cell>
        </row>
        <row r="214">
          <cell r="Q214">
            <v>30</v>
          </cell>
          <cell r="R214">
            <v>12</v>
          </cell>
          <cell r="S214">
            <v>8</v>
          </cell>
        </row>
        <row r="215">
          <cell r="Q215">
            <v>31</v>
          </cell>
          <cell r="R215">
            <v>12</v>
          </cell>
          <cell r="S215">
            <v>8</v>
          </cell>
        </row>
        <row r="216">
          <cell r="Q216">
            <v>32</v>
          </cell>
          <cell r="R216">
            <v>12</v>
          </cell>
          <cell r="S216">
            <v>8</v>
          </cell>
        </row>
        <row r="217">
          <cell r="Q217">
            <v>33</v>
          </cell>
          <cell r="R217">
            <v>12</v>
          </cell>
          <cell r="S217">
            <v>8</v>
          </cell>
        </row>
        <row r="218">
          <cell r="Q218">
            <v>34</v>
          </cell>
          <cell r="R218">
            <v>12</v>
          </cell>
          <cell r="S218">
            <v>8</v>
          </cell>
        </row>
        <row r="219">
          <cell r="Q219">
            <v>35</v>
          </cell>
          <cell r="R219">
            <v>12</v>
          </cell>
          <cell r="S219">
            <v>8</v>
          </cell>
        </row>
        <row r="220">
          <cell r="Q220">
            <v>36</v>
          </cell>
          <cell r="R220">
            <v>12</v>
          </cell>
          <cell r="S220">
            <v>8</v>
          </cell>
        </row>
        <row r="221">
          <cell r="Q221">
            <v>37</v>
          </cell>
          <cell r="R221">
            <v>12</v>
          </cell>
          <cell r="S221">
            <v>8</v>
          </cell>
        </row>
        <row r="222">
          <cell r="Q222">
            <v>38</v>
          </cell>
          <cell r="R222">
            <v>12</v>
          </cell>
          <cell r="S222">
            <v>8</v>
          </cell>
        </row>
        <row r="223">
          <cell r="Q223">
            <v>39</v>
          </cell>
          <cell r="R223">
            <v>12</v>
          </cell>
          <cell r="S223">
            <v>8</v>
          </cell>
        </row>
        <row r="224">
          <cell r="Q224">
            <v>40</v>
          </cell>
          <cell r="R224">
            <v>12</v>
          </cell>
          <cell r="S224">
            <v>8</v>
          </cell>
        </row>
        <row r="225">
          <cell r="Q225">
            <v>41</v>
          </cell>
          <cell r="R225">
            <v>12</v>
          </cell>
          <cell r="S225">
            <v>8</v>
          </cell>
        </row>
        <row r="226">
          <cell r="Q226">
            <v>42</v>
          </cell>
          <cell r="R226">
            <v>12</v>
          </cell>
          <cell r="S226">
            <v>8</v>
          </cell>
        </row>
        <row r="227">
          <cell r="Q227">
            <v>43</v>
          </cell>
          <cell r="R227">
            <v>12</v>
          </cell>
          <cell r="S227">
            <v>8</v>
          </cell>
        </row>
        <row r="228">
          <cell r="Q228">
            <v>44</v>
          </cell>
          <cell r="R228">
            <v>12</v>
          </cell>
          <cell r="S228">
            <v>8</v>
          </cell>
        </row>
        <row r="229">
          <cell r="Q229">
            <v>45</v>
          </cell>
          <cell r="R229">
            <v>12</v>
          </cell>
          <cell r="S229">
            <v>8</v>
          </cell>
        </row>
        <row r="230">
          <cell r="Q230">
            <v>46</v>
          </cell>
          <cell r="R230">
            <v>12</v>
          </cell>
          <cell r="S230">
            <v>8</v>
          </cell>
        </row>
        <row r="231">
          <cell r="Q231">
            <v>47</v>
          </cell>
          <cell r="R231">
            <v>12</v>
          </cell>
          <cell r="S231">
            <v>8</v>
          </cell>
        </row>
        <row r="232">
          <cell r="Q232">
            <v>48</v>
          </cell>
          <cell r="R232">
            <v>12</v>
          </cell>
          <cell r="S232">
            <v>8</v>
          </cell>
        </row>
        <row r="233">
          <cell r="Q233">
            <v>49</v>
          </cell>
          <cell r="R233">
            <v>12</v>
          </cell>
          <cell r="S233">
            <v>8</v>
          </cell>
        </row>
        <row r="234">
          <cell r="Q234">
            <v>50</v>
          </cell>
          <cell r="R234">
            <v>12</v>
          </cell>
          <cell r="S234">
            <v>8</v>
          </cell>
        </row>
        <row r="235">
          <cell r="Q235">
            <v>51</v>
          </cell>
          <cell r="R235">
            <v>12</v>
          </cell>
          <cell r="S235">
            <v>8</v>
          </cell>
        </row>
        <row r="236">
          <cell r="Q236">
            <v>52</v>
          </cell>
          <cell r="R236">
            <v>12</v>
          </cell>
          <cell r="S236">
            <v>8</v>
          </cell>
        </row>
        <row r="237">
          <cell r="Q237">
            <v>53</v>
          </cell>
          <cell r="R237">
            <v>12</v>
          </cell>
          <cell r="S237">
            <v>8</v>
          </cell>
        </row>
        <row r="238">
          <cell r="Q238">
            <v>54</v>
          </cell>
          <cell r="R238">
            <v>12</v>
          </cell>
          <cell r="S238">
            <v>8</v>
          </cell>
        </row>
        <row r="239">
          <cell r="Q239">
            <v>55</v>
          </cell>
          <cell r="R239">
            <v>12</v>
          </cell>
          <cell r="S239">
            <v>8</v>
          </cell>
        </row>
        <row r="240">
          <cell r="Q240">
            <v>56</v>
          </cell>
          <cell r="R240">
            <v>12</v>
          </cell>
          <cell r="S240">
            <v>8</v>
          </cell>
        </row>
        <row r="241">
          <cell r="Q241">
            <v>57</v>
          </cell>
          <cell r="R241">
            <v>12</v>
          </cell>
          <cell r="S241">
            <v>8</v>
          </cell>
        </row>
        <row r="242">
          <cell r="Q242">
            <v>58</v>
          </cell>
          <cell r="R242">
            <v>12</v>
          </cell>
          <cell r="S242">
            <v>8</v>
          </cell>
        </row>
        <row r="243">
          <cell r="C243" t="str">
            <v>Badger</v>
          </cell>
          <cell r="D243" t="str">
            <v>Con</v>
          </cell>
          <cell r="E243">
            <v>20</v>
          </cell>
          <cell r="F243" t="str">
            <v/>
          </cell>
          <cell r="Q243">
            <v>59</v>
          </cell>
          <cell r="R243">
            <v>12</v>
          </cell>
          <cell r="S243">
            <v>8</v>
          </cell>
        </row>
        <row r="244">
          <cell r="C244" t="str">
            <v>Carp</v>
          </cell>
          <cell r="D244" t="str">
            <v>Dex</v>
          </cell>
          <cell r="E244">
            <v>10</v>
          </cell>
          <cell r="F244" t="str">
            <v/>
          </cell>
          <cell r="Q244">
            <v>60</v>
          </cell>
          <cell r="R244">
            <v>12</v>
          </cell>
          <cell r="S244">
            <v>8</v>
          </cell>
        </row>
        <row r="245">
          <cell r="C245" t="str">
            <v>Cat</v>
          </cell>
          <cell r="D245" t="str">
            <v>Dex</v>
          </cell>
          <cell r="E245">
            <v>30</v>
          </cell>
          <cell r="F245" t="str">
            <v>Balance+4</v>
          </cell>
        </row>
        <row r="246">
          <cell r="C246" t="str">
            <v>Crab</v>
          </cell>
          <cell r="E246">
            <v>30</v>
          </cell>
          <cell r="F246" t="str">
            <v>Swim+4</v>
          </cell>
        </row>
        <row r="247">
          <cell r="C247" t="str">
            <v>Crane</v>
          </cell>
          <cell r="D247" t="str">
            <v>Dex</v>
          </cell>
          <cell r="E247">
            <v>20</v>
          </cell>
          <cell r="F247" t="str">
            <v/>
          </cell>
        </row>
        <row r="248">
          <cell r="C248" t="str">
            <v>Dog</v>
          </cell>
          <cell r="D248" t="str">
            <v>Con</v>
          </cell>
          <cell r="E248">
            <v>30</v>
          </cell>
          <cell r="F248" t="str">
            <v/>
          </cell>
        </row>
        <row r="249">
          <cell r="C249" t="str">
            <v>Fox</v>
          </cell>
          <cell r="D249" t="str">
            <v>Dex</v>
          </cell>
          <cell r="E249">
            <v>30</v>
          </cell>
          <cell r="F249" t="str">
            <v>Escape Artist+4</v>
          </cell>
        </row>
        <row r="250">
          <cell r="C250" t="str">
            <v>Hare</v>
          </cell>
          <cell r="D250" t="str">
            <v>Dex</v>
          </cell>
          <cell r="E250">
            <v>40</v>
          </cell>
          <cell r="F250" t="str">
            <v/>
          </cell>
        </row>
        <row r="251">
          <cell r="C251" t="str">
            <v>Monkey</v>
          </cell>
          <cell r="D251" t="str">
            <v>Dex</v>
          </cell>
          <cell r="E251">
            <v>30</v>
          </cell>
          <cell r="F251" t="str">
            <v>Climb+4</v>
          </cell>
        </row>
        <row r="252">
          <cell r="C252" t="str">
            <v>Racoon Dog</v>
          </cell>
          <cell r="D252" t="str">
            <v>Str</v>
          </cell>
          <cell r="E252">
            <v>30</v>
          </cell>
          <cell r="F252" t="str">
            <v/>
          </cell>
        </row>
        <row r="253">
          <cell r="C253" t="str">
            <v>Rat</v>
          </cell>
          <cell r="D253" t="str">
            <v>Dex</v>
          </cell>
          <cell r="E253">
            <v>30</v>
          </cell>
          <cell r="F253" t="str">
            <v>Hide+4</v>
          </cell>
        </row>
        <row r="254">
          <cell r="C254" t="str">
            <v>Sparrow</v>
          </cell>
          <cell r="D254" t="str">
            <v>Dex</v>
          </cell>
          <cell r="E254">
            <v>20</v>
          </cell>
          <cell r="F254" t="str">
            <v/>
          </cell>
        </row>
        <row r="255">
          <cell r="C255" t="str">
            <v>Weasel</v>
          </cell>
          <cell r="D255" t="str">
            <v>Con</v>
          </cell>
          <cell r="E255">
            <v>30</v>
          </cell>
          <cell r="F255" t="str">
            <v>Move Silently+4</v>
          </cell>
        </row>
        <row r="273">
          <cell r="I273" t="str">
            <v>None</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
          <cell r="A1" t="str">
            <v>Select A Weapon</v>
          </cell>
          <cell r="B1" t="str">
            <v>Source</v>
          </cell>
          <cell r="C1" t="str">
            <v>Cat</v>
          </cell>
          <cell r="D1" t="str">
            <v>Size</v>
          </cell>
          <cell r="E1" t="str">
            <v>Dmg1(M)</v>
          </cell>
          <cell r="F1" t="str">
            <v>Dmg2(M)</v>
          </cell>
          <cell r="G1" t="str">
            <v>Threat</v>
          </cell>
          <cell r="H1" t="str">
            <v>Crit1</v>
          </cell>
          <cell r="I1" t="str">
            <v>Crit2</v>
          </cell>
          <cell r="J1" t="str">
            <v>Range</v>
          </cell>
          <cell r="K1" t="str">
            <v>Wgt</v>
          </cell>
          <cell r="L1" t="str">
            <v>Type</v>
          </cell>
          <cell r="M1" t="str">
            <v>Nonlethal</v>
          </cell>
          <cell r="N1" t="str">
            <v>Reach</v>
          </cell>
          <cell r="O1" t="str">
            <v>Special</v>
          </cell>
          <cell r="P1" t="str">
            <v>List</v>
          </cell>
        </row>
        <row r="2">
          <cell r="A2" t="str">
            <v>Alchemy Blade</v>
          </cell>
          <cell r="C2" t="str">
            <v>E</v>
          </cell>
          <cell r="D2" t="str">
            <v>L</v>
          </cell>
          <cell r="E2">
            <v>5</v>
          </cell>
          <cell r="G2">
            <v>19</v>
          </cell>
          <cell r="H2">
            <v>2</v>
          </cell>
          <cell r="K2">
            <v>2</v>
          </cell>
          <cell r="L2" t="str">
            <v>P</v>
          </cell>
        </row>
        <row r="3">
          <cell r="A3" t="str">
            <v>Annulat</v>
          </cell>
          <cell r="C3" t="str">
            <v>E</v>
          </cell>
          <cell r="D3" t="str">
            <v>R</v>
          </cell>
          <cell r="E3">
            <v>5</v>
          </cell>
          <cell r="G3">
            <v>19</v>
          </cell>
          <cell r="H3">
            <v>2</v>
          </cell>
          <cell r="J3">
            <v>30</v>
          </cell>
          <cell r="K3">
            <v>0.5</v>
          </cell>
          <cell r="L3" t="str">
            <v>S</v>
          </cell>
          <cell r="O3" t="str">
            <v>T</v>
          </cell>
          <cell r="P3" t="b">
            <v>0</v>
          </cell>
        </row>
        <row r="4">
          <cell r="A4" t="str">
            <v>Atlatl</v>
          </cell>
          <cell r="C4" t="str">
            <v>M</v>
          </cell>
          <cell r="D4" t="str">
            <v>R</v>
          </cell>
          <cell r="E4">
            <v>4</v>
          </cell>
          <cell r="G4">
            <v>20</v>
          </cell>
          <cell r="H4">
            <v>3</v>
          </cell>
          <cell r="J4">
            <v>50</v>
          </cell>
          <cell r="K4">
            <v>2</v>
          </cell>
          <cell r="L4" t="str">
            <v>P</v>
          </cell>
        </row>
        <row r="5">
          <cell r="A5" t="str">
            <v>Axe, Ice</v>
          </cell>
          <cell r="C5" t="str">
            <v>E</v>
          </cell>
          <cell r="D5" t="str">
            <v>O</v>
          </cell>
          <cell r="E5">
            <v>5</v>
          </cell>
          <cell r="G5">
            <v>20</v>
          </cell>
          <cell r="H5">
            <v>4</v>
          </cell>
          <cell r="K5">
            <v>5</v>
          </cell>
          <cell r="L5" t="str">
            <v>S/P</v>
          </cell>
        </row>
        <row r="6">
          <cell r="A6" t="str">
            <v>Axe, Orc Double</v>
          </cell>
          <cell r="C6" t="str">
            <v>E</v>
          </cell>
          <cell r="D6" t="str">
            <v>T</v>
          </cell>
          <cell r="E6">
            <v>6</v>
          </cell>
          <cell r="F6">
            <v>6</v>
          </cell>
          <cell r="G6">
            <v>20</v>
          </cell>
          <cell r="H6">
            <v>3</v>
          </cell>
          <cell r="I6">
            <v>3</v>
          </cell>
          <cell r="K6">
            <v>15</v>
          </cell>
          <cell r="L6" t="str">
            <v>S</v>
          </cell>
          <cell r="P6" t="b">
            <v>0</v>
          </cell>
        </row>
        <row r="7">
          <cell r="A7" t="str">
            <v>Axe, Throwing</v>
          </cell>
          <cell r="C7" t="str">
            <v>M</v>
          </cell>
          <cell r="D7" t="str">
            <v>L</v>
          </cell>
          <cell r="E7">
            <v>5</v>
          </cell>
          <cell r="G7">
            <v>20</v>
          </cell>
          <cell r="H7">
            <v>2</v>
          </cell>
          <cell r="J7">
            <v>10</v>
          </cell>
          <cell r="K7">
            <v>2</v>
          </cell>
          <cell r="L7" t="str">
            <v>S</v>
          </cell>
          <cell r="O7" t="str">
            <v>T</v>
          </cell>
          <cell r="P7" t="b">
            <v>0</v>
          </cell>
        </row>
        <row r="8">
          <cell r="A8" t="str">
            <v>Battleaxe</v>
          </cell>
          <cell r="C8" t="str">
            <v>M</v>
          </cell>
          <cell r="D8" t="str">
            <v>O</v>
          </cell>
          <cell r="E8">
            <v>6</v>
          </cell>
          <cell r="G8">
            <v>20</v>
          </cell>
          <cell r="H8">
            <v>3</v>
          </cell>
          <cell r="K8">
            <v>6</v>
          </cell>
          <cell r="L8" t="str">
            <v>S</v>
          </cell>
          <cell r="P8" t="b">
            <v>0</v>
          </cell>
        </row>
        <row r="9">
          <cell r="A9" t="str">
            <v>Battle Flag</v>
          </cell>
          <cell r="C9" t="str">
            <v>E</v>
          </cell>
          <cell r="D9" t="str">
            <v>O</v>
          </cell>
          <cell r="E9">
            <v>6</v>
          </cell>
          <cell r="G9">
            <v>20</v>
          </cell>
          <cell r="H9">
            <v>3</v>
          </cell>
          <cell r="L9" t="str">
            <v>P</v>
          </cell>
        </row>
        <row r="10">
          <cell r="A10" t="str">
            <v>Battlehorn</v>
          </cell>
          <cell r="C10" t="str">
            <v>E</v>
          </cell>
          <cell r="D10" t="str">
            <v>T</v>
          </cell>
          <cell r="E10">
            <v>6</v>
          </cell>
          <cell r="F10">
            <v>6</v>
          </cell>
          <cell r="G10">
            <v>20</v>
          </cell>
          <cell r="H10">
            <v>3</v>
          </cell>
          <cell r="I10">
            <v>3</v>
          </cell>
          <cell r="K10">
            <v>10</v>
          </cell>
          <cell r="L10" t="str">
            <v>P</v>
          </cell>
        </row>
        <row r="11">
          <cell r="A11" t="str">
            <v>Battlepick, Gnome</v>
          </cell>
          <cell r="C11" t="str">
            <v>E</v>
          </cell>
          <cell r="D11" t="str">
            <v>O</v>
          </cell>
          <cell r="E11">
            <v>5</v>
          </cell>
          <cell r="G11">
            <v>20</v>
          </cell>
          <cell r="H11">
            <v>4</v>
          </cell>
          <cell r="K11">
            <v>5</v>
          </cell>
          <cell r="L11" t="str">
            <v>P</v>
          </cell>
          <cell r="P11" t="b">
            <v>0</v>
          </cell>
        </row>
        <row r="12">
          <cell r="A12" t="str">
            <v>Bayonet</v>
          </cell>
          <cell r="C12" t="str">
            <v>M</v>
          </cell>
          <cell r="D12" t="str">
            <v>T</v>
          </cell>
          <cell r="E12">
            <v>6</v>
          </cell>
          <cell r="G12">
            <v>20</v>
          </cell>
          <cell r="H12">
            <v>2</v>
          </cell>
          <cell r="K12">
            <v>0.5</v>
          </cell>
          <cell r="L12" t="str">
            <v>P</v>
          </cell>
        </row>
        <row r="13">
          <cell r="A13" t="str">
            <v>Blade, Retractable</v>
          </cell>
          <cell r="C13" t="str">
            <v>S</v>
          </cell>
          <cell r="D13" t="str">
            <v>T</v>
          </cell>
          <cell r="E13">
            <v>6</v>
          </cell>
          <cell r="G13">
            <v>20</v>
          </cell>
          <cell r="H13">
            <v>2</v>
          </cell>
          <cell r="K13">
            <v>0.5</v>
          </cell>
          <cell r="L13" t="str">
            <v>P</v>
          </cell>
        </row>
        <row r="14">
          <cell r="A14" t="str">
            <v>Blade, Skipping</v>
          </cell>
          <cell r="C14" t="str">
            <v>E</v>
          </cell>
          <cell r="D14" t="str">
            <v>R</v>
          </cell>
          <cell r="E14">
            <v>3</v>
          </cell>
          <cell r="G14">
            <v>20</v>
          </cell>
          <cell r="H14">
            <v>3</v>
          </cell>
          <cell r="J14">
            <v>10</v>
          </cell>
          <cell r="K14">
            <v>0.5</v>
          </cell>
          <cell r="L14" t="str">
            <v>S</v>
          </cell>
          <cell r="O14" t="str">
            <v>T</v>
          </cell>
        </row>
        <row r="15">
          <cell r="A15" t="str">
            <v>Blowgun</v>
          </cell>
          <cell r="B15" t="str">
            <v>OA</v>
          </cell>
          <cell r="C15" t="str">
            <v>S</v>
          </cell>
          <cell r="D15" t="str">
            <v>R</v>
          </cell>
          <cell r="E15">
            <v>1</v>
          </cell>
          <cell r="G15">
            <v>20</v>
          </cell>
          <cell r="H15">
            <v>2</v>
          </cell>
          <cell r="J15">
            <v>10</v>
          </cell>
          <cell r="K15">
            <v>2</v>
          </cell>
          <cell r="L15" t="str">
            <v>P</v>
          </cell>
          <cell r="P15" t="b">
            <v>0</v>
          </cell>
        </row>
        <row r="16">
          <cell r="A16" t="str">
            <v>Blowgun, Greater</v>
          </cell>
          <cell r="C16" t="str">
            <v>E</v>
          </cell>
          <cell r="D16" t="str">
            <v>R</v>
          </cell>
          <cell r="E16">
            <v>3</v>
          </cell>
          <cell r="G16">
            <v>20</v>
          </cell>
          <cell r="H16">
            <v>2</v>
          </cell>
          <cell r="J16">
            <v>10</v>
          </cell>
          <cell r="K16">
            <v>2</v>
          </cell>
          <cell r="L16" t="str">
            <v>P</v>
          </cell>
        </row>
        <row r="17">
          <cell r="A17" t="str">
            <v>Blunderbuss</v>
          </cell>
          <cell r="C17" t="str">
            <v>E</v>
          </cell>
          <cell r="D17" t="str">
            <v>L</v>
          </cell>
          <cell r="K17">
            <v>15</v>
          </cell>
          <cell r="L17" t="str">
            <v>P</v>
          </cell>
        </row>
        <row r="18">
          <cell r="A18" t="str">
            <v>Bolas</v>
          </cell>
          <cell r="C18" t="str">
            <v>E</v>
          </cell>
          <cell r="D18" t="str">
            <v>R</v>
          </cell>
          <cell r="E18">
            <v>4</v>
          </cell>
          <cell r="G18">
            <v>20</v>
          </cell>
          <cell r="H18">
            <v>2</v>
          </cell>
          <cell r="J18">
            <v>10</v>
          </cell>
          <cell r="K18">
            <v>2</v>
          </cell>
          <cell r="L18" t="str">
            <v>B</v>
          </cell>
          <cell r="O18" t="str">
            <v>T</v>
          </cell>
          <cell r="P18" t="b">
            <v>0</v>
          </cell>
        </row>
        <row r="19">
          <cell r="A19" t="str">
            <v>Bolas, Barbed</v>
          </cell>
          <cell r="C19" t="str">
            <v>E</v>
          </cell>
          <cell r="D19" t="str">
            <v>R</v>
          </cell>
          <cell r="E19">
            <v>4</v>
          </cell>
          <cell r="G19">
            <v>20</v>
          </cell>
          <cell r="H19">
            <v>2</v>
          </cell>
          <cell r="J19">
            <v>10</v>
          </cell>
          <cell r="K19">
            <v>3</v>
          </cell>
          <cell r="L19" t="str">
            <v>P</v>
          </cell>
        </row>
        <row r="20">
          <cell r="A20" t="str">
            <v>Bomb</v>
          </cell>
          <cell r="C20" t="str">
            <v>E</v>
          </cell>
          <cell r="D20" t="str">
            <v>R</v>
          </cell>
          <cell r="E20">
            <v>12</v>
          </cell>
          <cell r="J20">
            <v>10</v>
          </cell>
          <cell r="K20">
            <v>1</v>
          </cell>
          <cell r="L20" t="str">
            <v>*</v>
          </cell>
          <cell r="O20" t="str">
            <v>5' blast radius</v>
          </cell>
        </row>
        <row r="21">
          <cell r="A21" t="str">
            <v>Boomerang</v>
          </cell>
          <cell r="C21" t="str">
            <v>E</v>
          </cell>
          <cell r="D21" t="str">
            <v>R</v>
          </cell>
          <cell r="E21">
            <v>4</v>
          </cell>
          <cell r="G21">
            <v>20</v>
          </cell>
          <cell r="H21">
            <v>2</v>
          </cell>
          <cell r="J21">
            <v>20</v>
          </cell>
          <cell r="K21">
            <v>2</v>
          </cell>
          <cell r="L21" t="str">
            <v>B</v>
          </cell>
          <cell r="M21" t="str">
            <v>S</v>
          </cell>
          <cell r="O21" t="str">
            <v>T</v>
          </cell>
        </row>
        <row r="22">
          <cell r="A22" t="str">
            <v>Boomerang, Talenta</v>
          </cell>
          <cell r="C22" t="str">
            <v>E</v>
          </cell>
          <cell r="D22" t="str">
            <v>R</v>
          </cell>
          <cell r="E22">
            <v>4</v>
          </cell>
          <cell r="G22">
            <v>20</v>
          </cell>
          <cell r="H22">
            <v>2</v>
          </cell>
          <cell r="J22">
            <v>30</v>
          </cell>
          <cell r="K22">
            <v>1</v>
          </cell>
          <cell r="L22" t="str">
            <v>B</v>
          </cell>
          <cell r="O22" t="str">
            <v>T</v>
          </cell>
        </row>
        <row r="23">
          <cell r="A23" t="str">
            <v>Boomerang, Three-bladed Razor</v>
          </cell>
          <cell r="C23" t="str">
            <v>E</v>
          </cell>
          <cell r="D23" t="str">
            <v>R</v>
          </cell>
          <cell r="E23">
            <v>5</v>
          </cell>
          <cell r="G23">
            <v>20</v>
          </cell>
          <cell r="H23">
            <v>2</v>
          </cell>
          <cell r="J23">
            <v>10</v>
          </cell>
          <cell r="K23">
            <v>4</v>
          </cell>
          <cell r="L23" t="str">
            <v>S</v>
          </cell>
        </row>
        <row r="24">
          <cell r="A24" t="str">
            <v>Boomerang, Xen'drik</v>
          </cell>
          <cell r="C24" t="str">
            <v>E</v>
          </cell>
          <cell r="D24" t="str">
            <v>R</v>
          </cell>
          <cell r="E24">
            <v>5</v>
          </cell>
          <cell r="G24">
            <v>20</v>
          </cell>
          <cell r="H24">
            <v>2</v>
          </cell>
          <cell r="J24">
            <v>20</v>
          </cell>
          <cell r="K24">
            <v>2</v>
          </cell>
          <cell r="L24" t="str">
            <v>B/P</v>
          </cell>
          <cell r="O24" t="str">
            <v>T</v>
          </cell>
        </row>
        <row r="25">
          <cell r="A25" t="str">
            <v>Bow, Bone</v>
          </cell>
          <cell r="C25" t="str">
            <v>E</v>
          </cell>
          <cell r="D25" t="str">
            <v>R</v>
          </cell>
          <cell r="E25">
            <v>7</v>
          </cell>
          <cell r="G25">
            <v>20</v>
          </cell>
          <cell r="H25">
            <v>3</v>
          </cell>
          <cell r="J25">
            <v>120</v>
          </cell>
          <cell r="K25">
            <v>4</v>
          </cell>
          <cell r="L25" t="str">
            <v>P</v>
          </cell>
        </row>
        <row r="26">
          <cell r="A26" t="str">
            <v>Bow, Yuan-ti Serpent</v>
          </cell>
          <cell r="C26" t="str">
            <v>E</v>
          </cell>
          <cell r="D26" t="str">
            <v>R</v>
          </cell>
          <cell r="E26">
            <v>5</v>
          </cell>
          <cell r="F26">
            <v>6</v>
          </cell>
          <cell r="G26">
            <v>19</v>
          </cell>
          <cell r="H26">
            <v>2</v>
          </cell>
          <cell r="I26">
            <v>3</v>
          </cell>
          <cell r="J26">
            <v>80</v>
          </cell>
          <cell r="K26">
            <v>5</v>
          </cell>
          <cell r="L26" t="str">
            <v>S/P</v>
          </cell>
        </row>
        <row r="27">
          <cell r="A27" t="str">
            <v>Bracer, Claw</v>
          </cell>
          <cell r="C27" t="str">
            <v>E</v>
          </cell>
          <cell r="D27" t="str">
            <v>L</v>
          </cell>
          <cell r="E27">
            <v>4</v>
          </cell>
          <cell r="G27">
            <v>19</v>
          </cell>
          <cell r="H27">
            <v>2</v>
          </cell>
          <cell r="K27">
            <v>2</v>
          </cell>
          <cell r="L27" t="str">
            <v>P</v>
          </cell>
        </row>
        <row r="28">
          <cell r="A28" t="str">
            <v>Buckler-axe, Dwarven</v>
          </cell>
          <cell r="C28" t="str">
            <v>E</v>
          </cell>
          <cell r="D28" t="str">
            <v>L</v>
          </cell>
          <cell r="E28">
            <v>5</v>
          </cell>
          <cell r="G28">
            <v>20</v>
          </cell>
          <cell r="H28">
            <v>3</v>
          </cell>
          <cell r="K28">
            <v>4</v>
          </cell>
          <cell r="L28" t="str">
            <v>S</v>
          </cell>
          <cell r="O28" t="str">
            <v>T</v>
          </cell>
          <cell r="P28" t="b">
            <v>0</v>
          </cell>
        </row>
        <row r="29">
          <cell r="A29" t="str">
            <v>Catspaw</v>
          </cell>
          <cell r="C29" t="str">
            <v>S</v>
          </cell>
          <cell r="D29" t="str">
            <v>T</v>
          </cell>
          <cell r="E29">
            <v>6</v>
          </cell>
          <cell r="G29">
            <v>20</v>
          </cell>
          <cell r="H29">
            <v>2</v>
          </cell>
          <cell r="K29">
            <v>2</v>
          </cell>
          <cell r="L29" t="str">
            <v>S</v>
          </cell>
        </row>
        <row r="30">
          <cell r="A30" t="str">
            <v>Cat-o-nine-tails</v>
          </cell>
          <cell r="C30" t="str">
            <v>E</v>
          </cell>
          <cell r="D30" t="str">
            <v>M</v>
          </cell>
          <cell r="E30">
            <v>6</v>
          </cell>
          <cell r="G30">
            <v>20</v>
          </cell>
          <cell r="J30">
            <v>10</v>
          </cell>
          <cell r="K30">
            <v>5</v>
          </cell>
          <cell r="L30" t="str">
            <v>S</v>
          </cell>
          <cell r="P30" t="b">
            <v>0</v>
          </cell>
        </row>
        <row r="31">
          <cell r="A31" t="str">
            <v>Calculus, Gnome</v>
          </cell>
          <cell r="C31" t="str">
            <v>E</v>
          </cell>
          <cell r="D31" t="str">
            <v>R</v>
          </cell>
          <cell r="E31">
            <v>13</v>
          </cell>
          <cell r="J31">
            <v>50</v>
          </cell>
          <cell r="K31">
            <v>2</v>
          </cell>
          <cell r="L31" t="str">
            <v>*</v>
          </cell>
          <cell r="O31" t="str">
            <v>T</v>
          </cell>
          <cell r="P31" t="b">
            <v>0</v>
          </cell>
        </row>
        <row r="32">
          <cell r="A32" t="str">
            <v>Cestus, Ward</v>
          </cell>
          <cell r="C32" t="str">
            <v>E</v>
          </cell>
          <cell r="D32" t="str">
            <v>L</v>
          </cell>
          <cell r="E32">
            <v>13</v>
          </cell>
          <cell r="K32">
            <v>4</v>
          </cell>
          <cell r="L32" t="str">
            <v>B</v>
          </cell>
        </row>
        <row r="33">
          <cell r="A33" t="str">
            <v>Chain, Drow Scorpion</v>
          </cell>
          <cell r="C33" t="str">
            <v>E</v>
          </cell>
          <cell r="D33" t="str">
            <v>T</v>
          </cell>
          <cell r="E33">
            <v>5</v>
          </cell>
          <cell r="G33">
            <v>19</v>
          </cell>
          <cell r="H33">
            <v>2</v>
          </cell>
          <cell r="K33">
            <v>3</v>
          </cell>
          <cell r="L33" t="str">
            <v>S</v>
          </cell>
          <cell r="N33" t="b">
            <v>1</v>
          </cell>
          <cell r="P33" t="b">
            <v>0</v>
          </cell>
        </row>
        <row r="34">
          <cell r="A34" t="str">
            <v>Chain, Spiked</v>
          </cell>
          <cell r="C34" t="str">
            <v>E</v>
          </cell>
          <cell r="D34" t="str">
            <v>T</v>
          </cell>
          <cell r="E34">
            <v>9</v>
          </cell>
          <cell r="G34">
            <v>20</v>
          </cell>
          <cell r="H34">
            <v>2</v>
          </cell>
          <cell r="K34">
            <v>10</v>
          </cell>
          <cell r="L34" t="str">
            <v>P</v>
          </cell>
          <cell r="N34" t="b">
            <v>1</v>
          </cell>
          <cell r="O34" t="str">
            <v>F</v>
          </cell>
          <cell r="P34" t="b">
            <v>0</v>
          </cell>
        </row>
        <row r="35">
          <cell r="A35" t="str">
            <v>Chain-and-dagger</v>
          </cell>
          <cell r="C35" t="str">
            <v>E</v>
          </cell>
          <cell r="D35" t="str">
            <v>O</v>
          </cell>
          <cell r="E35">
            <v>4</v>
          </cell>
          <cell r="G35">
            <v>19</v>
          </cell>
          <cell r="H35">
            <v>2</v>
          </cell>
          <cell r="K35">
            <v>4</v>
          </cell>
          <cell r="L35" t="str">
            <v>P</v>
          </cell>
        </row>
        <row r="36">
          <cell r="A36" t="str">
            <v>Chakram</v>
          </cell>
          <cell r="C36" t="str">
            <v>E</v>
          </cell>
          <cell r="D36" t="str">
            <v>R</v>
          </cell>
          <cell r="E36">
            <v>4</v>
          </cell>
          <cell r="G36">
            <v>20</v>
          </cell>
          <cell r="H36">
            <v>3</v>
          </cell>
          <cell r="J36">
            <v>30</v>
          </cell>
          <cell r="K36">
            <v>2</v>
          </cell>
          <cell r="L36" t="str">
            <v>S</v>
          </cell>
        </row>
        <row r="37">
          <cell r="A37" t="str">
            <v>Chatkcha</v>
          </cell>
          <cell r="C37" t="str">
            <v>E</v>
          </cell>
          <cell r="D37" t="str">
            <v>R</v>
          </cell>
          <cell r="E37">
            <v>5</v>
          </cell>
          <cell r="G37">
            <v>18</v>
          </cell>
          <cell r="H37">
            <v>2</v>
          </cell>
          <cell r="J37">
            <v>20</v>
          </cell>
          <cell r="K37">
            <v>3</v>
          </cell>
          <cell r="L37" t="str">
            <v>P</v>
          </cell>
          <cell r="O37" t="str">
            <v/>
          </cell>
          <cell r="P37" t="b">
            <v>0</v>
          </cell>
        </row>
        <row r="38">
          <cell r="A38" t="str">
            <v>Chijiriki</v>
          </cell>
          <cell r="B38" t="str">
            <v>OA</v>
          </cell>
          <cell r="C38" t="str">
            <v>E</v>
          </cell>
          <cell r="D38" t="str">
            <v>T</v>
          </cell>
          <cell r="E38">
            <v>5</v>
          </cell>
          <cell r="F38">
            <v>4</v>
          </cell>
          <cell r="G38">
            <v>20</v>
          </cell>
          <cell r="H38">
            <v>2</v>
          </cell>
          <cell r="I38">
            <v>2</v>
          </cell>
          <cell r="K38">
            <v>6</v>
          </cell>
          <cell r="L38" t="str">
            <v>P/B</v>
          </cell>
          <cell r="P38" t="b">
            <v>0</v>
          </cell>
        </row>
        <row r="39">
          <cell r="A39" t="str">
            <v>Claw, Eagle's</v>
          </cell>
          <cell r="C39" t="str">
            <v>E</v>
          </cell>
          <cell r="D39" t="str">
            <v>L</v>
          </cell>
          <cell r="E39">
            <v>5</v>
          </cell>
          <cell r="G39">
            <v>18</v>
          </cell>
          <cell r="H39">
            <v>2</v>
          </cell>
          <cell r="K39">
            <v>2</v>
          </cell>
          <cell r="L39" t="str">
            <v>S/P</v>
          </cell>
          <cell r="O39" t="str">
            <v/>
          </cell>
          <cell r="P39" t="b">
            <v>0</v>
          </cell>
        </row>
        <row r="40">
          <cell r="A40" t="str">
            <v>Claw, Panther</v>
          </cell>
          <cell r="C40" t="str">
            <v>E</v>
          </cell>
          <cell r="D40" t="str">
            <v>L</v>
          </cell>
          <cell r="E40">
            <v>4</v>
          </cell>
          <cell r="G40">
            <v>20</v>
          </cell>
          <cell r="H40">
            <v>3</v>
          </cell>
          <cell r="K40">
            <v>3</v>
          </cell>
          <cell r="L40" t="str">
            <v>P/S</v>
          </cell>
        </row>
        <row r="41">
          <cell r="A41" t="str">
            <v>Claws, Scorpion</v>
          </cell>
          <cell r="C41" t="str">
            <v>E</v>
          </cell>
          <cell r="D41" t="str">
            <v>L</v>
          </cell>
          <cell r="E41">
            <v>5</v>
          </cell>
          <cell r="G41">
            <v>20</v>
          </cell>
          <cell r="H41">
            <v>2</v>
          </cell>
          <cell r="K41">
            <v>6</v>
          </cell>
          <cell r="L41" t="str">
            <v>S/P</v>
          </cell>
        </row>
        <row r="42">
          <cell r="A42" t="str">
            <v>Claws, Tiger</v>
          </cell>
          <cell r="C42" t="str">
            <v>E</v>
          </cell>
          <cell r="D42" t="str">
            <v>L</v>
          </cell>
          <cell r="E42">
            <v>4</v>
          </cell>
          <cell r="G42">
            <v>20</v>
          </cell>
          <cell r="H42">
            <v>2</v>
          </cell>
          <cell r="K42">
            <v>2</v>
          </cell>
          <cell r="L42" t="str">
            <v>P</v>
          </cell>
        </row>
        <row r="43">
          <cell r="A43" t="str">
            <v>Club</v>
          </cell>
          <cell r="C43" t="str">
            <v>S</v>
          </cell>
          <cell r="D43" t="str">
            <v>O</v>
          </cell>
          <cell r="E43">
            <v>5</v>
          </cell>
          <cell r="G43">
            <v>20</v>
          </cell>
          <cell r="H43">
            <v>2</v>
          </cell>
          <cell r="J43">
            <v>10</v>
          </cell>
          <cell r="K43">
            <v>3</v>
          </cell>
          <cell r="L43" t="str">
            <v>B</v>
          </cell>
          <cell r="P43" t="b">
            <v>1</v>
          </cell>
        </row>
        <row r="44">
          <cell r="A44" t="str">
            <v>Club, Tigerskull</v>
          </cell>
          <cell r="C44" t="str">
            <v>E</v>
          </cell>
          <cell r="D44" t="str">
            <v>O</v>
          </cell>
          <cell r="E44">
            <v>6</v>
          </cell>
          <cell r="G44">
            <v>20</v>
          </cell>
          <cell r="H44">
            <v>4</v>
          </cell>
          <cell r="K44">
            <v>8</v>
          </cell>
          <cell r="L44" t="str">
            <v>B&amp;P</v>
          </cell>
        </row>
        <row r="45">
          <cell r="A45" t="str">
            <v>Courtblade, Elven</v>
          </cell>
          <cell r="C45" t="str">
            <v>E</v>
          </cell>
          <cell r="D45" t="str">
            <v>T</v>
          </cell>
          <cell r="E45">
            <v>7</v>
          </cell>
          <cell r="G45">
            <v>18</v>
          </cell>
          <cell r="H45">
            <v>2</v>
          </cell>
          <cell r="K45">
            <v>6</v>
          </cell>
          <cell r="L45" t="str">
            <v>P/S</v>
          </cell>
          <cell r="O45" t="str">
            <v>F</v>
          </cell>
          <cell r="P45" t="b">
            <v>0</v>
          </cell>
        </row>
        <row r="46">
          <cell r="A46" t="str">
            <v>Crossbow, Aquatic</v>
          </cell>
          <cell r="C46" t="str">
            <v>E</v>
          </cell>
          <cell r="D46" t="str">
            <v>R</v>
          </cell>
          <cell r="E46">
            <v>6</v>
          </cell>
          <cell r="G46">
            <v>19</v>
          </cell>
          <cell r="H46">
            <v>2</v>
          </cell>
          <cell r="J46">
            <v>40</v>
          </cell>
          <cell r="K46">
            <v>4</v>
          </cell>
          <cell r="L46" t="str">
            <v>P</v>
          </cell>
        </row>
        <row r="47">
          <cell r="A47" t="str">
            <v>Crossbow, Great</v>
          </cell>
          <cell r="C47" t="str">
            <v>E</v>
          </cell>
          <cell r="D47" t="str">
            <v>R</v>
          </cell>
          <cell r="E47">
            <v>11</v>
          </cell>
          <cell r="G47">
            <v>18</v>
          </cell>
          <cell r="H47">
            <v>2</v>
          </cell>
          <cell r="J47">
            <v>120</v>
          </cell>
          <cell r="K47">
            <v>14</v>
          </cell>
          <cell r="L47" t="str">
            <v>P</v>
          </cell>
        </row>
        <row r="48">
          <cell r="A48" t="str">
            <v>Crossbow, Hand</v>
          </cell>
          <cell r="C48" t="str">
            <v>E</v>
          </cell>
          <cell r="D48" t="str">
            <v>R</v>
          </cell>
          <cell r="E48">
            <v>4</v>
          </cell>
          <cell r="G48">
            <v>19</v>
          </cell>
          <cell r="H48">
            <v>2</v>
          </cell>
          <cell r="J48">
            <v>30</v>
          </cell>
          <cell r="K48">
            <v>2</v>
          </cell>
          <cell r="L48" t="str">
            <v>P</v>
          </cell>
          <cell r="O48" t="str">
            <v>O</v>
          </cell>
          <cell r="P48" t="e">
            <v>#REF!</v>
          </cell>
        </row>
        <row r="49">
          <cell r="A49" t="str">
            <v>Crossbow, Heavy</v>
          </cell>
          <cell r="C49" t="str">
            <v>S</v>
          </cell>
          <cell r="D49" t="str">
            <v>R</v>
          </cell>
          <cell r="E49">
            <v>7</v>
          </cell>
          <cell r="G49">
            <v>19</v>
          </cell>
          <cell r="H49">
            <v>2</v>
          </cell>
          <cell r="J49">
            <v>120</v>
          </cell>
          <cell r="K49">
            <v>8</v>
          </cell>
          <cell r="L49" t="str">
            <v>P</v>
          </cell>
          <cell r="P49" t="b">
            <v>1</v>
          </cell>
        </row>
        <row r="50">
          <cell r="A50" t="str">
            <v>Crossbow, Light</v>
          </cell>
          <cell r="C50" t="str">
            <v>S</v>
          </cell>
          <cell r="D50" t="str">
            <v>R</v>
          </cell>
          <cell r="E50">
            <v>6</v>
          </cell>
          <cell r="G50">
            <v>19</v>
          </cell>
          <cell r="H50">
            <v>2</v>
          </cell>
          <cell r="J50">
            <v>80</v>
          </cell>
          <cell r="K50">
            <v>4</v>
          </cell>
          <cell r="L50" t="str">
            <v>P</v>
          </cell>
          <cell r="P50" t="e">
            <v>#REF!</v>
          </cell>
        </row>
        <row r="51">
          <cell r="A51" t="str">
            <v>Crossbow, Repeating Heavy</v>
          </cell>
          <cell r="C51" t="str">
            <v>E</v>
          </cell>
          <cell r="D51" t="str">
            <v>R</v>
          </cell>
          <cell r="E51">
            <v>7</v>
          </cell>
          <cell r="G51">
            <v>19</v>
          </cell>
          <cell r="H51">
            <v>2</v>
          </cell>
          <cell r="J51">
            <v>120</v>
          </cell>
          <cell r="K51">
            <v>12</v>
          </cell>
          <cell r="L51" t="str">
            <v>P</v>
          </cell>
        </row>
        <row r="52">
          <cell r="A52" t="str">
            <v>Crossbow, Repeating Light</v>
          </cell>
          <cell r="C52" t="str">
            <v>E</v>
          </cell>
          <cell r="D52" t="str">
            <v>R</v>
          </cell>
          <cell r="E52">
            <v>6</v>
          </cell>
          <cell r="G52">
            <v>19</v>
          </cell>
          <cell r="H52">
            <v>2</v>
          </cell>
          <cell r="J52">
            <v>80</v>
          </cell>
          <cell r="K52">
            <v>6</v>
          </cell>
          <cell r="L52" t="str">
            <v>P</v>
          </cell>
        </row>
        <row r="53">
          <cell r="A53" t="str">
            <v>Crossbow, Staking</v>
          </cell>
          <cell r="C53" t="str">
            <v>E</v>
          </cell>
          <cell r="D53" t="str">
            <v>T</v>
          </cell>
          <cell r="E53">
            <v>8</v>
          </cell>
          <cell r="G53">
            <v>19</v>
          </cell>
          <cell r="H53">
            <v>2</v>
          </cell>
          <cell r="J53">
            <v>10</v>
          </cell>
          <cell r="K53">
            <v>15</v>
          </cell>
          <cell r="L53" t="str">
            <v>P</v>
          </cell>
        </row>
        <row r="54">
          <cell r="A54" t="str">
            <v>Cutlass</v>
          </cell>
          <cell r="C54" t="str">
            <v>M</v>
          </cell>
          <cell r="D54" t="str">
            <v>L</v>
          </cell>
          <cell r="E54">
            <v>5</v>
          </cell>
          <cell r="G54">
            <v>19</v>
          </cell>
          <cell r="H54">
            <v>2</v>
          </cell>
          <cell r="K54">
            <v>3</v>
          </cell>
          <cell r="L54" t="str">
            <v>S</v>
          </cell>
          <cell r="P54" t="b">
            <v>0</v>
          </cell>
        </row>
        <row r="55">
          <cell r="A55" t="str">
            <v>Dagger</v>
          </cell>
          <cell r="C55" t="str">
            <v>S</v>
          </cell>
          <cell r="D55" t="str">
            <v>L</v>
          </cell>
          <cell r="E55">
            <v>4</v>
          </cell>
          <cell r="G55">
            <v>19</v>
          </cell>
          <cell r="H55">
            <v>2</v>
          </cell>
          <cell r="J55">
            <v>10</v>
          </cell>
          <cell r="K55">
            <v>1</v>
          </cell>
          <cell r="L55" t="str">
            <v>P/S</v>
          </cell>
          <cell r="P55" t="e">
            <v>#REF!</v>
          </cell>
        </row>
        <row r="56">
          <cell r="A56" t="str">
            <v>Dagger, Barbed</v>
          </cell>
          <cell r="C56" t="str">
            <v>E</v>
          </cell>
          <cell r="D56" t="str">
            <v>L</v>
          </cell>
          <cell r="E56">
            <v>4</v>
          </cell>
          <cell r="G56">
            <v>19</v>
          </cell>
          <cell r="H56">
            <v>2</v>
          </cell>
          <cell r="K56">
            <v>1</v>
          </cell>
          <cell r="L56" t="str">
            <v>P</v>
          </cell>
          <cell r="P56" t="b">
            <v>0</v>
          </cell>
        </row>
        <row r="57">
          <cell r="A57" t="str">
            <v>Dagger, Punching</v>
          </cell>
          <cell r="C57" t="str">
            <v>S</v>
          </cell>
          <cell r="D57" t="str">
            <v>L</v>
          </cell>
          <cell r="E57">
            <v>4</v>
          </cell>
          <cell r="G57">
            <v>20</v>
          </cell>
          <cell r="H57">
            <v>3</v>
          </cell>
          <cell r="K57">
            <v>1</v>
          </cell>
          <cell r="L57" t="str">
            <v>P</v>
          </cell>
          <cell r="P57" t="b">
            <v>0</v>
          </cell>
        </row>
        <row r="58">
          <cell r="A58" t="str">
            <v>Dagger, Ribbon</v>
          </cell>
          <cell r="C58" t="str">
            <v>E</v>
          </cell>
          <cell r="D58" t="str">
            <v>L</v>
          </cell>
          <cell r="E58">
            <v>4</v>
          </cell>
          <cell r="G58">
            <v>20</v>
          </cell>
          <cell r="H58">
            <v>4</v>
          </cell>
          <cell r="K58">
            <v>1</v>
          </cell>
          <cell r="L58" t="str">
            <v>S</v>
          </cell>
          <cell r="P58" t="b">
            <v>0</v>
          </cell>
        </row>
        <row r="59">
          <cell r="A59" t="str">
            <v>Dagger, Triple</v>
          </cell>
          <cell r="C59" t="str">
            <v>E</v>
          </cell>
          <cell r="D59" t="str">
            <v>L</v>
          </cell>
          <cell r="E59">
            <v>4</v>
          </cell>
          <cell r="G59">
            <v>19</v>
          </cell>
          <cell r="H59">
            <v>2</v>
          </cell>
          <cell r="K59">
            <v>1</v>
          </cell>
          <cell r="L59" t="str">
            <v>P</v>
          </cell>
          <cell r="P59" t="b">
            <v>0</v>
          </cell>
        </row>
        <row r="60">
          <cell r="A60" t="str">
            <v>Dart</v>
          </cell>
          <cell r="C60" t="str">
            <v>S</v>
          </cell>
          <cell r="D60" t="str">
            <v>R</v>
          </cell>
          <cell r="E60">
            <v>4</v>
          </cell>
          <cell r="G60">
            <v>20</v>
          </cell>
          <cell r="H60">
            <v>2</v>
          </cell>
          <cell r="J60">
            <v>20</v>
          </cell>
          <cell r="K60">
            <v>0.5</v>
          </cell>
          <cell r="L60" t="str">
            <v>P</v>
          </cell>
          <cell r="O60" t="str">
            <v>T</v>
          </cell>
          <cell r="P60" t="e">
            <v>#REF!</v>
          </cell>
        </row>
        <row r="61">
          <cell r="A61" t="str">
            <v>Dart thruster</v>
          </cell>
          <cell r="C61" t="str">
            <v>M</v>
          </cell>
          <cell r="D61" t="str">
            <v>R</v>
          </cell>
          <cell r="E61">
            <v>4</v>
          </cell>
          <cell r="G61">
            <v>19</v>
          </cell>
          <cell r="H61">
            <v>2</v>
          </cell>
          <cell r="J61">
            <v>40</v>
          </cell>
          <cell r="K61">
            <v>1</v>
          </cell>
          <cell r="L61" t="str">
            <v>P</v>
          </cell>
        </row>
        <row r="62">
          <cell r="A62" t="str">
            <v>Double Bow, Elven</v>
          </cell>
          <cell r="C62" t="str">
            <v>E</v>
          </cell>
          <cell r="D62" t="str">
            <v>R</v>
          </cell>
          <cell r="E62">
            <v>6</v>
          </cell>
          <cell r="G62">
            <v>20</v>
          </cell>
          <cell r="H62">
            <v>3</v>
          </cell>
          <cell r="J62">
            <v>90</v>
          </cell>
          <cell r="K62">
            <v>3</v>
          </cell>
          <cell r="L62" t="str">
            <v>P</v>
          </cell>
          <cell r="O62" t="str">
            <v/>
          </cell>
          <cell r="P62" t="b">
            <v>0</v>
          </cell>
        </row>
        <row r="63">
          <cell r="A63" t="str">
            <v>Dragonsplit</v>
          </cell>
          <cell r="C63" t="str">
            <v>E</v>
          </cell>
          <cell r="D63" t="str">
            <v>L</v>
          </cell>
          <cell r="E63">
            <v>5</v>
          </cell>
          <cell r="F63">
            <v>5</v>
          </cell>
          <cell r="G63">
            <v>19</v>
          </cell>
          <cell r="H63">
            <v>2</v>
          </cell>
          <cell r="I63">
            <v>4</v>
          </cell>
          <cell r="K63">
            <v>2</v>
          </cell>
          <cell r="L63" t="str">
            <v>P/S</v>
          </cell>
        </row>
        <row r="64">
          <cell r="A64" t="str">
            <v>Dragon Pack</v>
          </cell>
          <cell r="C64" t="str">
            <v>E</v>
          </cell>
          <cell r="D64" t="str">
            <v>L</v>
          </cell>
          <cell r="J64">
            <v>20</v>
          </cell>
          <cell r="K64">
            <v>25</v>
          </cell>
        </row>
        <row r="65">
          <cell r="A65" t="str">
            <v>Drow long knife</v>
          </cell>
          <cell r="C65" t="str">
            <v>E</v>
          </cell>
          <cell r="D65" t="str">
            <v>R</v>
          </cell>
          <cell r="E65">
            <v>5</v>
          </cell>
          <cell r="G65">
            <v>19</v>
          </cell>
          <cell r="H65">
            <v>2</v>
          </cell>
          <cell r="J65">
            <v>10</v>
          </cell>
          <cell r="K65">
            <v>2</v>
          </cell>
          <cell r="L65" t="str">
            <v>P</v>
          </cell>
          <cell r="O65" t="str">
            <v/>
          </cell>
        </row>
        <row r="66">
          <cell r="A66" t="str">
            <v>Drow Scorpion Chain</v>
          </cell>
          <cell r="C66" t="str">
            <v>E</v>
          </cell>
          <cell r="D66" t="str">
            <v>T</v>
          </cell>
          <cell r="E66">
            <v>5</v>
          </cell>
          <cell r="G66">
            <v>19</v>
          </cell>
          <cell r="H66">
            <v>2</v>
          </cell>
          <cell r="K66">
            <v>12</v>
          </cell>
          <cell r="L66" t="str">
            <v>S</v>
          </cell>
          <cell r="O66" t="str">
            <v/>
          </cell>
        </row>
        <row r="67">
          <cell r="A67" t="str">
            <v>Duom</v>
          </cell>
          <cell r="C67" t="str">
            <v>E</v>
          </cell>
          <cell r="D67" t="str">
            <v>T</v>
          </cell>
          <cell r="E67">
            <v>6</v>
          </cell>
          <cell r="G67">
            <v>20</v>
          </cell>
          <cell r="H67">
            <v>3</v>
          </cell>
          <cell r="K67">
            <v>8</v>
          </cell>
          <cell r="L67" t="str">
            <v>P</v>
          </cell>
          <cell r="N67" t="b">
            <v>1</v>
          </cell>
        </row>
        <row r="68">
          <cell r="A68" t="str">
            <v>Etherblade</v>
          </cell>
          <cell r="C68" t="str">
            <v>E</v>
          </cell>
          <cell r="D68" t="str">
            <v>T</v>
          </cell>
          <cell r="E68">
            <v>7</v>
          </cell>
          <cell r="G68">
            <v>20</v>
          </cell>
          <cell r="H68">
            <v>2</v>
          </cell>
          <cell r="K68">
            <v>10</v>
          </cell>
          <cell r="L68" t="str">
            <v>S</v>
          </cell>
          <cell r="N68" t="b">
            <v>1</v>
          </cell>
          <cell r="P68" t="b">
            <v>0</v>
          </cell>
        </row>
        <row r="69">
          <cell r="A69" t="str">
            <v>Falchion</v>
          </cell>
          <cell r="C69" t="str">
            <v>M</v>
          </cell>
          <cell r="D69" t="str">
            <v>T</v>
          </cell>
          <cell r="E69">
            <v>9</v>
          </cell>
          <cell r="G69">
            <v>18</v>
          </cell>
          <cell r="H69">
            <v>2</v>
          </cell>
          <cell r="K69">
            <v>8</v>
          </cell>
          <cell r="L69" t="str">
            <v>S</v>
          </cell>
        </row>
        <row r="70">
          <cell r="A70" t="str">
            <v>Falchion, Great</v>
          </cell>
          <cell r="C70" t="str">
            <v>E</v>
          </cell>
          <cell r="D70" t="str">
            <v>T</v>
          </cell>
          <cell r="E70">
            <v>8</v>
          </cell>
          <cell r="G70">
            <v>18</v>
          </cell>
          <cell r="H70">
            <v>2</v>
          </cell>
          <cell r="K70">
            <v>12</v>
          </cell>
          <cell r="L70" t="str">
            <v>S</v>
          </cell>
        </row>
        <row r="71">
          <cell r="A71" t="str">
            <v>Fan, Collapsing Crescent</v>
          </cell>
          <cell r="C71" t="str">
            <v>E</v>
          </cell>
          <cell r="D71" t="str">
            <v>L</v>
          </cell>
          <cell r="E71">
            <v>5</v>
          </cell>
          <cell r="G71">
            <v>19</v>
          </cell>
          <cell r="H71">
            <v>2</v>
          </cell>
          <cell r="K71">
            <v>2</v>
          </cell>
          <cell r="L71" t="str">
            <v>S</v>
          </cell>
        </row>
        <row r="72">
          <cell r="A72" t="str">
            <v>Fan, War</v>
          </cell>
          <cell r="C72" t="str">
            <v>E</v>
          </cell>
          <cell r="D72" t="str">
            <v>O</v>
          </cell>
          <cell r="E72">
            <v>5</v>
          </cell>
          <cell r="G72">
            <v>20</v>
          </cell>
          <cell r="H72">
            <v>3</v>
          </cell>
          <cell r="K72">
            <v>3</v>
          </cell>
          <cell r="L72" t="str">
            <v>S</v>
          </cell>
          <cell r="P72" t="b">
            <v>0</v>
          </cell>
        </row>
        <row r="73">
          <cell r="A73" t="str">
            <v>Fingerblade</v>
          </cell>
          <cell r="C73" t="str">
            <v>E</v>
          </cell>
          <cell r="D73" t="str">
            <v>L</v>
          </cell>
          <cell r="E73">
            <v>5</v>
          </cell>
          <cell r="G73">
            <v>20</v>
          </cell>
          <cell r="H73">
            <v>3</v>
          </cell>
          <cell r="K73">
            <v>2</v>
          </cell>
          <cell r="L73" t="str">
            <v>P</v>
          </cell>
        </row>
        <row r="74">
          <cell r="A74" t="str">
            <v>Flail</v>
          </cell>
          <cell r="C74" t="str">
            <v>M</v>
          </cell>
          <cell r="D74" t="str">
            <v>O</v>
          </cell>
          <cell r="E74">
            <v>6</v>
          </cell>
          <cell r="G74">
            <v>20</v>
          </cell>
          <cell r="H74">
            <v>2</v>
          </cell>
          <cell r="K74">
            <v>5</v>
          </cell>
          <cell r="L74" t="str">
            <v>B</v>
          </cell>
        </row>
        <row r="75">
          <cell r="A75" t="str">
            <v>Flail, Dire</v>
          </cell>
          <cell r="C75" t="str">
            <v>E</v>
          </cell>
          <cell r="D75" t="str">
            <v>T</v>
          </cell>
          <cell r="E75">
            <v>6</v>
          </cell>
          <cell r="F75">
            <v>6</v>
          </cell>
          <cell r="G75">
            <v>20</v>
          </cell>
          <cell r="H75">
            <v>2</v>
          </cell>
          <cell r="I75">
            <v>2</v>
          </cell>
          <cell r="K75">
            <v>10</v>
          </cell>
          <cell r="L75" t="str">
            <v>B</v>
          </cell>
          <cell r="O75" t="str">
            <v/>
          </cell>
        </row>
        <row r="76">
          <cell r="A76" t="str">
            <v>Flail, Heavy</v>
          </cell>
          <cell r="C76" t="str">
            <v>M</v>
          </cell>
          <cell r="D76" t="str">
            <v>T</v>
          </cell>
          <cell r="E76">
            <v>7</v>
          </cell>
          <cell r="G76">
            <v>19</v>
          </cell>
          <cell r="H76">
            <v>2</v>
          </cell>
          <cell r="K76">
            <v>10</v>
          </cell>
          <cell r="L76" t="str">
            <v>B</v>
          </cell>
        </row>
        <row r="77">
          <cell r="A77" t="str">
            <v>Flindbar</v>
          </cell>
          <cell r="C77" t="str">
            <v>E</v>
          </cell>
          <cell r="D77" t="str">
            <v>O</v>
          </cell>
          <cell r="E77">
            <v>9</v>
          </cell>
          <cell r="G77">
            <v>19</v>
          </cell>
          <cell r="H77">
            <v>2</v>
          </cell>
          <cell r="K77">
            <v>2</v>
          </cell>
          <cell r="L77" t="str">
            <v>B</v>
          </cell>
          <cell r="P77" t="b">
            <v>0</v>
          </cell>
        </row>
        <row r="78">
          <cell r="A78" t="str">
            <v>Flutter blade</v>
          </cell>
          <cell r="C78" t="str">
            <v>E</v>
          </cell>
          <cell r="D78" t="str">
            <v>O</v>
          </cell>
          <cell r="E78">
            <v>4</v>
          </cell>
          <cell r="G78">
            <v>19</v>
          </cell>
          <cell r="H78">
            <v>3</v>
          </cell>
          <cell r="K78">
            <v>2</v>
          </cell>
          <cell r="L78" t="str">
            <v>P/S</v>
          </cell>
          <cell r="P78" t="b">
            <v>0</v>
          </cell>
        </row>
        <row r="79">
          <cell r="A79" t="str">
            <v>Foot spike</v>
          </cell>
          <cell r="C79" t="str">
            <v>E</v>
          </cell>
          <cell r="D79" t="str">
            <v>L</v>
          </cell>
          <cell r="E79">
            <v>4</v>
          </cell>
          <cell r="G79">
            <v>20</v>
          </cell>
          <cell r="H79">
            <v>3</v>
          </cell>
          <cell r="K79">
            <v>1</v>
          </cell>
          <cell r="L79" t="str">
            <v>P</v>
          </cell>
        </row>
        <row r="80">
          <cell r="A80" t="str">
            <v>Footbow</v>
          </cell>
          <cell r="C80" t="str">
            <v>E</v>
          </cell>
          <cell r="D80" t="str">
            <v>R</v>
          </cell>
          <cell r="E80">
            <v>6</v>
          </cell>
          <cell r="G80">
            <v>20</v>
          </cell>
          <cell r="H80">
            <v>3</v>
          </cell>
          <cell r="J80">
            <v>110</v>
          </cell>
          <cell r="K80">
            <v>3</v>
          </cell>
          <cell r="L80" t="str">
            <v>P</v>
          </cell>
        </row>
        <row r="81">
          <cell r="A81" t="str">
            <v>Fukimi-Bari</v>
          </cell>
          <cell r="C81" t="str">
            <v>E</v>
          </cell>
          <cell r="D81" t="str">
            <v>R</v>
          </cell>
          <cell r="E81">
            <v>1</v>
          </cell>
          <cell r="G81">
            <v>20</v>
          </cell>
          <cell r="H81">
            <v>2</v>
          </cell>
          <cell r="J81">
            <v>5</v>
          </cell>
          <cell r="K81">
            <v>0.1</v>
          </cell>
          <cell r="L81" t="str">
            <v>P</v>
          </cell>
          <cell r="O81" t="str">
            <v>T</v>
          </cell>
          <cell r="P81" t="b">
            <v>0</v>
          </cell>
        </row>
        <row r="82">
          <cell r="A82" t="str">
            <v>Fullblade</v>
          </cell>
          <cell r="C82" t="str">
            <v>E</v>
          </cell>
          <cell r="D82" t="str">
            <v>T</v>
          </cell>
          <cell r="E82">
            <v>11</v>
          </cell>
          <cell r="G82">
            <v>19</v>
          </cell>
          <cell r="H82">
            <v>2</v>
          </cell>
          <cell r="K82">
            <v>23</v>
          </cell>
          <cell r="L82" t="str">
            <v>S</v>
          </cell>
        </row>
        <row r="83">
          <cell r="A83" t="str">
            <v>Gauntlet</v>
          </cell>
          <cell r="C83" t="str">
            <v>S</v>
          </cell>
          <cell r="D83" t="str">
            <v>U</v>
          </cell>
          <cell r="E83">
            <v>3</v>
          </cell>
          <cell r="G83">
            <v>20</v>
          </cell>
          <cell r="H83">
            <v>2</v>
          </cell>
          <cell r="K83">
            <v>1</v>
          </cell>
          <cell r="L83" t="str">
            <v>B</v>
          </cell>
        </row>
        <row r="84">
          <cell r="A84" t="str">
            <v>Gauntlet, Bladed</v>
          </cell>
          <cell r="C84" t="str">
            <v>E</v>
          </cell>
          <cell r="D84" t="str">
            <v>L</v>
          </cell>
          <cell r="E84">
            <v>5</v>
          </cell>
          <cell r="G84">
            <v>19</v>
          </cell>
          <cell r="H84">
            <v>2</v>
          </cell>
          <cell r="K84">
            <v>4</v>
          </cell>
          <cell r="L84" t="str">
            <v>S</v>
          </cell>
        </row>
        <row r="85">
          <cell r="A85" t="str">
            <v>Gauntlet, Scorpion Claw</v>
          </cell>
          <cell r="C85" t="str">
            <v>E</v>
          </cell>
          <cell r="D85" t="str">
            <v>L</v>
          </cell>
          <cell r="E85">
            <v>5</v>
          </cell>
          <cell r="G85">
            <v>20</v>
          </cell>
          <cell r="H85">
            <v>2</v>
          </cell>
          <cell r="K85">
            <v>6</v>
          </cell>
          <cell r="L85" t="str">
            <v>S</v>
          </cell>
        </row>
        <row r="86">
          <cell r="A86" t="str">
            <v>Gauntlet, Spiked</v>
          </cell>
          <cell r="C86" t="str">
            <v>S</v>
          </cell>
          <cell r="D86" t="str">
            <v>L</v>
          </cell>
          <cell r="E86">
            <v>4</v>
          </cell>
          <cell r="G86">
            <v>20</v>
          </cell>
          <cell r="H86">
            <v>2</v>
          </cell>
          <cell r="K86">
            <v>1</v>
          </cell>
          <cell r="L86" t="str">
            <v>P</v>
          </cell>
        </row>
        <row r="87">
          <cell r="A87" t="str">
            <v>Gauntlet, Spring-Loaded</v>
          </cell>
          <cell r="C87" t="str">
            <v>E</v>
          </cell>
          <cell r="D87" t="str">
            <v>R</v>
          </cell>
          <cell r="E87">
            <v>4</v>
          </cell>
          <cell r="G87">
            <v>20</v>
          </cell>
          <cell r="H87">
            <v>2</v>
          </cell>
          <cell r="J87">
            <v>20</v>
          </cell>
          <cell r="K87">
            <v>4</v>
          </cell>
          <cell r="L87" t="str">
            <v>P</v>
          </cell>
        </row>
        <row r="88">
          <cell r="A88" t="str">
            <v>Glaive</v>
          </cell>
          <cell r="C88" t="str">
            <v>M</v>
          </cell>
          <cell r="D88" t="str">
            <v>T</v>
          </cell>
          <cell r="E88">
            <v>7</v>
          </cell>
          <cell r="G88">
            <v>20</v>
          </cell>
          <cell r="H88">
            <v>3</v>
          </cell>
          <cell r="K88">
            <v>10</v>
          </cell>
          <cell r="L88" t="str">
            <v>S</v>
          </cell>
          <cell r="N88" t="b">
            <v>1</v>
          </cell>
        </row>
        <row r="89">
          <cell r="A89" t="str">
            <v>Glot</v>
          </cell>
          <cell r="C89" t="str">
            <v>E</v>
          </cell>
          <cell r="D89" t="str">
            <v>R</v>
          </cell>
          <cell r="E89">
            <v>4</v>
          </cell>
          <cell r="G89">
            <v>18</v>
          </cell>
          <cell r="H89">
            <v>2</v>
          </cell>
          <cell r="J89">
            <v>10</v>
          </cell>
          <cell r="K89">
            <v>1</v>
          </cell>
          <cell r="L89" t="str">
            <v>B</v>
          </cell>
        </row>
        <row r="90">
          <cell r="A90" t="str">
            <v>Goad</v>
          </cell>
          <cell r="C90" t="str">
            <v>E</v>
          </cell>
          <cell r="D90" t="str">
            <v>T</v>
          </cell>
          <cell r="E90">
            <v>9</v>
          </cell>
          <cell r="G90">
            <v>20</v>
          </cell>
          <cell r="H90">
            <v>2</v>
          </cell>
          <cell r="K90">
            <v>10</v>
          </cell>
          <cell r="L90" t="str">
            <v>B/P</v>
          </cell>
        </row>
        <row r="91">
          <cell r="A91" t="str">
            <v>Greataxe</v>
          </cell>
          <cell r="C91" t="str">
            <v>M</v>
          </cell>
          <cell r="D91" t="str">
            <v>T</v>
          </cell>
          <cell r="E91">
            <v>8</v>
          </cell>
          <cell r="G91">
            <v>20</v>
          </cell>
          <cell r="H91">
            <v>3</v>
          </cell>
          <cell r="K91">
            <v>12</v>
          </cell>
          <cell r="L91" t="str">
            <v>S</v>
          </cell>
          <cell r="P91" t="b">
            <v>0</v>
          </cell>
        </row>
        <row r="92">
          <cell r="A92" t="str">
            <v>Greatbow</v>
          </cell>
          <cell r="C92" t="str">
            <v>E</v>
          </cell>
          <cell r="D92" t="str">
            <v>R</v>
          </cell>
          <cell r="E92">
            <v>7</v>
          </cell>
          <cell r="G92">
            <v>20</v>
          </cell>
          <cell r="H92">
            <v>3</v>
          </cell>
          <cell r="J92">
            <v>120</v>
          </cell>
          <cell r="K92">
            <v>6</v>
          </cell>
          <cell r="L92" t="str">
            <v>P</v>
          </cell>
        </row>
        <row r="93">
          <cell r="A93" t="str">
            <v>Greatbow, Composite</v>
          </cell>
          <cell r="C93" t="str">
            <v>E</v>
          </cell>
          <cell r="D93" t="str">
            <v>R</v>
          </cell>
          <cell r="E93">
            <v>7</v>
          </cell>
          <cell r="G93">
            <v>20</v>
          </cell>
          <cell r="H93">
            <v>3</v>
          </cell>
          <cell r="J93">
            <v>130</v>
          </cell>
          <cell r="K93">
            <v>6</v>
          </cell>
          <cell r="L93" t="str">
            <v>P</v>
          </cell>
          <cell r="O93" t="str">
            <v>M</v>
          </cell>
        </row>
        <row r="94">
          <cell r="A94" t="str">
            <v>Greatclub</v>
          </cell>
          <cell r="C94" t="str">
            <v>M</v>
          </cell>
          <cell r="D94" t="str">
            <v>T</v>
          </cell>
          <cell r="E94">
            <v>7</v>
          </cell>
          <cell r="G94">
            <v>20</v>
          </cell>
          <cell r="H94">
            <v>2</v>
          </cell>
          <cell r="K94">
            <v>8</v>
          </cell>
          <cell r="L94" t="str">
            <v>B</v>
          </cell>
          <cell r="P94" t="b">
            <v>0</v>
          </cell>
        </row>
        <row r="95">
          <cell r="A95" t="str">
            <v>Greathammer, Goliath</v>
          </cell>
          <cell r="C95" t="str">
            <v>E</v>
          </cell>
          <cell r="D95" t="str">
            <v>T</v>
          </cell>
          <cell r="E95">
            <v>8</v>
          </cell>
          <cell r="G95">
            <v>20</v>
          </cell>
          <cell r="H95">
            <v>4</v>
          </cell>
          <cell r="K95">
            <v>30</v>
          </cell>
          <cell r="L95" t="str">
            <v>B</v>
          </cell>
          <cell r="O95" t="str">
            <v/>
          </cell>
          <cell r="P95" t="b">
            <v>0</v>
          </cell>
        </row>
        <row r="96">
          <cell r="A96" t="str">
            <v>Greatspear</v>
          </cell>
          <cell r="C96" t="str">
            <v>E</v>
          </cell>
          <cell r="D96" t="str">
            <v>T</v>
          </cell>
          <cell r="E96">
            <v>10</v>
          </cell>
          <cell r="G96">
            <v>20</v>
          </cell>
          <cell r="H96">
            <v>3</v>
          </cell>
          <cell r="J96">
            <v>10</v>
          </cell>
          <cell r="K96">
            <v>9</v>
          </cell>
          <cell r="L96" t="str">
            <v>P</v>
          </cell>
        </row>
        <row r="97">
          <cell r="A97" t="str">
            <v>Greatsword</v>
          </cell>
          <cell r="C97" t="str">
            <v>M</v>
          </cell>
          <cell r="D97" t="str">
            <v>T</v>
          </cell>
          <cell r="E97">
            <v>10</v>
          </cell>
          <cell r="G97">
            <v>19</v>
          </cell>
          <cell r="H97">
            <v>2</v>
          </cell>
          <cell r="K97">
            <v>8</v>
          </cell>
          <cell r="L97" t="str">
            <v>S</v>
          </cell>
          <cell r="P97" t="b">
            <v>0</v>
          </cell>
        </row>
        <row r="98">
          <cell r="A98" t="str">
            <v>Greatsword, Mercurial</v>
          </cell>
          <cell r="C98" t="str">
            <v>E</v>
          </cell>
          <cell r="D98" t="str">
            <v>T</v>
          </cell>
          <cell r="E98">
            <v>10</v>
          </cell>
          <cell r="G98">
            <v>20</v>
          </cell>
          <cell r="H98">
            <v>4</v>
          </cell>
          <cell r="K98">
            <v>17</v>
          </cell>
          <cell r="L98" t="str">
            <v>S</v>
          </cell>
        </row>
        <row r="99">
          <cell r="A99" t="str">
            <v>Guisarme</v>
          </cell>
          <cell r="C99" t="str">
            <v>M</v>
          </cell>
          <cell r="D99" t="str">
            <v>T</v>
          </cell>
          <cell r="E99">
            <v>9</v>
          </cell>
          <cell r="G99">
            <v>20</v>
          </cell>
          <cell r="H99">
            <v>3</v>
          </cell>
          <cell r="K99">
            <v>12</v>
          </cell>
          <cell r="L99" t="str">
            <v>S</v>
          </cell>
          <cell r="N99" t="b">
            <v>1</v>
          </cell>
        </row>
        <row r="100">
          <cell r="A100" t="str">
            <v>Gyrspike</v>
          </cell>
          <cell r="C100" t="str">
            <v>E</v>
          </cell>
          <cell r="D100" t="str">
            <v>T</v>
          </cell>
          <cell r="E100">
            <v>6</v>
          </cell>
          <cell r="F100">
            <v>6</v>
          </cell>
          <cell r="G100">
            <v>19</v>
          </cell>
          <cell r="H100">
            <v>2</v>
          </cell>
          <cell r="I100">
            <v>6</v>
          </cell>
          <cell r="K100">
            <v>20</v>
          </cell>
          <cell r="L100" t="str">
            <v>B/S</v>
          </cell>
        </row>
        <row r="101">
          <cell r="A101" t="str">
            <v>Gythka</v>
          </cell>
          <cell r="C101" t="str">
            <v>E</v>
          </cell>
          <cell r="D101" t="str">
            <v>T</v>
          </cell>
          <cell r="E101">
            <v>7</v>
          </cell>
          <cell r="F101">
            <v>7</v>
          </cell>
          <cell r="G101">
            <v>20</v>
          </cell>
          <cell r="H101">
            <v>2</v>
          </cell>
          <cell r="I101">
            <v>2</v>
          </cell>
          <cell r="K101">
            <v>25</v>
          </cell>
          <cell r="L101" t="str">
            <v>S</v>
          </cell>
          <cell r="O101" t="str">
            <v/>
          </cell>
          <cell r="P101" t="b">
            <v>0</v>
          </cell>
        </row>
        <row r="102">
          <cell r="A102" t="str">
            <v>Halberd</v>
          </cell>
          <cell r="C102" t="str">
            <v>M</v>
          </cell>
          <cell r="D102" t="str">
            <v>T</v>
          </cell>
          <cell r="E102">
            <v>7</v>
          </cell>
          <cell r="G102">
            <v>20</v>
          </cell>
          <cell r="H102">
            <v>3</v>
          </cell>
          <cell r="K102">
            <v>12</v>
          </cell>
          <cell r="L102" t="str">
            <v>P/S</v>
          </cell>
        </row>
        <row r="103">
          <cell r="A103" t="str">
            <v>Hammer, Double</v>
          </cell>
          <cell r="C103" t="str">
            <v>E</v>
          </cell>
          <cell r="D103" t="str">
            <v>T</v>
          </cell>
          <cell r="E103">
            <v>6</v>
          </cell>
          <cell r="F103">
            <v>6</v>
          </cell>
          <cell r="G103">
            <v>20</v>
          </cell>
          <cell r="H103">
            <v>3</v>
          </cell>
          <cell r="I103">
            <v>3</v>
          </cell>
          <cell r="K103">
            <v>18</v>
          </cell>
          <cell r="L103" t="str">
            <v>B</v>
          </cell>
        </row>
        <row r="104">
          <cell r="A104" t="str">
            <v>Hammer, Gnome Hooked</v>
          </cell>
          <cell r="C104" t="str">
            <v>E</v>
          </cell>
          <cell r="D104" t="str">
            <v>T</v>
          </cell>
          <cell r="E104">
            <v>6</v>
          </cell>
          <cell r="F104">
            <v>5</v>
          </cell>
          <cell r="G104">
            <v>20</v>
          </cell>
          <cell r="H104">
            <v>3</v>
          </cell>
          <cell r="I104">
            <v>4</v>
          </cell>
          <cell r="K104">
            <v>6</v>
          </cell>
          <cell r="L104" t="str">
            <v>B/P</v>
          </cell>
          <cell r="O104" t="str">
            <v/>
          </cell>
          <cell r="P104" t="b">
            <v>0</v>
          </cell>
        </row>
        <row r="105">
          <cell r="A105" t="str">
            <v>Hammer, Light</v>
          </cell>
          <cell r="C105" t="str">
            <v>M</v>
          </cell>
          <cell r="D105" t="str">
            <v>L</v>
          </cell>
          <cell r="E105">
            <v>4</v>
          </cell>
          <cell r="G105">
            <v>20</v>
          </cell>
          <cell r="H105">
            <v>2</v>
          </cell>
          <cell r="J105">
            <v>20</v>
          </cell>
          <cell r="K105">
            <v>2</v>
          </cell>
          <cell r="L105" t="str">
            <v>B</v>
          </cell>
        </row>
        <row r="106">
          <cell r="A106" t="str">
            <v>Hammer, Lucerne</v>
          </cell>
          <cell r="C106" t="str">
            <v>M</v>
          </cell>
          <cell r="D106" t="str">
            <v>T</v>
          </cell>
          <cell r="E106">
            <v>9</v>
          </cell>
          <cell r="G106">
            <v>20</v>
          </cell>
          <cell r="H106">
            <v>4</v>
          </cell>
          <cell r="K106">
            <v>10</v>
          </cell>
          <cell r="L106" t="str">
            <v>P</v>
          </cell>
          <cell r="N106" t="b">
            <v>1</v>
          </cell>
        </row>
        <row r="107">
          <cell r="A107" t="str">
            <v>Hammer, Throwing</v>
          </cell>
          <cell r="C107" t="str">
            <v>E</v>
          </cell>
          <cell r="D107" t="str">
            <v>L</v>
          </cell>
          <cell r="E107">
            <v>5</v>
          </cell>
          <cell r="G107">
            <v>20</v>
          </cell>
          <cell r="H107">
            <v>2</v>
          </cell>
          <cell r="J107">
            <v>20</v>
          </cell>
          <cell r="K107">
            <v>2</v>
          </cell>
          <cell r="L107" t="str">
            <v>B</v>
          </cell>
        </row>
        <row r="108">
          <cell r="A108" t="str">
            <v>Handaxe</v>
          </cell>
          <cell r="C108" t="str">
            <v>M</v>
          </cell>
          <cell r="D108" t="str">
            <v>L</v>
          </cell>
          <cell r="E108">
            <v>5</v>
          </cell>
          <cell r="G108">
            <v>20</v>
          </cell>
          <cell r="H108">
            <v>3</v>
          </cell>
          <cell r="K108">
            <v>3</v>
          </cell>
          <cell r="L108" t="str">
            <v>S</v>
          </cell>
          <cell r="P108" t="e">
            <v>#REF!</v>
          </cell>
        </row>
        <row r="109">
          <cell r="A109" t="str">
            <v>Harpoon</v>
          </cell>
          <cell r="C109" t="str">
            <v>E</v>
          </cell>
          <cell r="D109" t="str">
            <v>R</v>
          </cell>
          <cell r="E109">
            <v>7</v>
          </cell>
          <cell r="G109">
            <v>20</v>
          </cell>
          <cell r="H109">
            <v>2</v>
          </cell>
          <cell r="J109">
            <v>30</v>
          </cell>
          <cell r="K109">
            <v>10</v>
          </cell>
          <cell r="L109" t="str">
            <v>P</v>
          </cell>
        </row>
        <row r="110">
          <cell r="A110" t="str">
            <v>Icechucker</v>
          </cell>
          <cell r="C110" t="str">
            <v>E</v>
          </cell>
          <cell r="D110" t="str">
            <v>R</v>
          </cell>
          <cell r="E110">
            <v>8</v>
          </cell>
          <cell r="G110">
            <v>20</v>
          </cell>
          <cell r="H110">
            <v>3</v>
          </cell>
          <cell r="J110">
            <v>30</v>
          </cell>
          <cell r="K110">
            <v>12</v>
          </cell>
          <cell r="L110" t="str">
            <v>P</v>
          </cell>
        </row>
        <row r="111">
          <cell r="A111" t="str">
            <v>Iron, Throwing</v>
          </cell>
          <cell r="C111" t="str">
            <v>E</v>
          </cell>
          <cell r="D111" t="str">
            <v>R</v>
          </cell>
          <cell r="E111">
            <v>5</v>
          </cell>
          <cell r="G111">
            <v>20</v>
          </cell>
          <cell r="H111">
            <v>3</v>
          </cell>
          <cell r="J111">
            <v>10</v>
          </cell>
          <cell r="K111">
            <v>3</v>
          </cell>
          <cell r="L111" t="str">
            <v>S</v>
          </cell>
          <cell r="O111" t="str">
            <v>T</v>
          </cell>
        </row>
        <row r="112">
          <cell r="A112" t="str">
            <v>Iuak</v>
          </cell>
          <cell r="C112" t="str">
            <v>E</v>
          </cell>
          <cell r="D112" t="str">
            <v>O</v>
          </cell>
          <cell r="E112">
            <v>5</v>
          </cell>
          <cell r="G112">
            <v>19</v>
          </cell>
          <cell r="H112">
            <v>2</v>
          </cell>
          <cell r="K112">
            <v>4</v>
          </cell>
          <cell r="L112" t="str">
            <v>S</v>
          </cell>
        </row>
        <row r="113">
          <cell r="A113" t="str">
            <v>Javelin</v>
          </cell>
          <cell r="C113" t="str">
            <v>S</v>
          </cell>
          <cell r="D113" t="str">
            <v>R</v>
          </cell>
          <cell r="E113">
            <v>5</v>
          </cell>
          <cell r="G113">
            <v>20</v>
          </cell>
          <cell r="H113">
            <v>2</v>
          </cell>
          <cell r="J113">
            <v>30</v>
          </cell>
          <cell r="K113">
            <v>2</v>
          </cell>
          <cell r="L113" t="str">
            <v>P</v>
          </cell>
          <cell r="O113" t="str">
            <v>T</v>
          </cell>
          <cell r="P113" t="b">
            <v>0</v>
          </cell>
        </row>
        <row r="114">
          <cell r="A114" t="str">
            <v>Javelin, Spinning</v>
          </cell>
          <cell r="C114" t="str">
            <v>E</v>
          </cell>
          <cell r="D114" t="str">
            <v>R</v>
          </cell>
          <cell r="E114">
            <v>6</v>
          </cell>
          <cell r="G114">
            <v>19</v>
          </cell>
          <cell r="H114">
            <v>2</v>
          </cell>
          <cell r="J114">
            <v>50</v>
          </cell>
          <cell r="K114">
            <v>2</v>
          </cell>
          <cell r="L114" t="str">
            <v>P</v>
          </cell>
          <cell r="O114" t="str">
            <v>T</v>
          </cell>
        </row>
        <row r="115">
          <cell r="A115" t="str">
            <v>Jitte</v>
          </cell>
          <cell r="B115" t="str">
            <v>OA</v>
          </cell>
          <cell r="C115" t="str">
            <v>E</v>
          </cell>
          <cell r="D115" t="str">
            <v>L</v>
          </cell>
          <cell r="E115">
            <v>4</v>
          </cell>
          <cell r="G115">
            <v>30</v>
          </cell>
          <cell r="H115">
            <v>2</v>
          </cell>
          <cell r="K115">
            <v>2</v>
          </cell>
          <cell r="L115" t="str">
            <v>B</v>
          </cell>
          <cell r="O115" t="str">
            <v>U</v>
          </cell>
          <cell r="P115" t="b">
            <v>0</v>
          </cell>
        </row>
        <row r="116">
          <cell r="A116" t="str">
            <v>Jovar</v>
          </cell>
          <cell r="C116" t="str">
            <v>E</v>
          </cell>
          <cell r="D116" t="str">
            <v>T</v>
          </cell>
          <cell r="E116">
            <v>10</v>
          </cell>
          <cell r="G116">
            <v>18</v>
          </cell>
          <cell r="H116">
            <v>2</v>
          </cell>
          <cell r="K116">
            <v>13</v>
          </cell>
          <cell r="L116" t="str">
            <v>S</v>
          </cell>
        </row>
        <row r="117">
          <cell r="A117" t="str">
            <v>Kama</v>
          </cell>
          <cell r="C117" t="str">
            <v>E</v>
          </cell>
          <cell r="D117" t="str">
            <v>L</v>
          </cell>
          <cell r="E117">
            <v>5</v>
          </cell>
          <cell r="G117">
            <v>20</v>
          </cell>
          <cell r="H117">
            <v>2</v>
          </cell>
          <cell r="K117">
            <v>2</v>
          </cell>
          <cell r="L117" t="str">
            <v>S</v>
          </cell>
          <cell r="O117" t="str">
            <v>U</v>
          </cell>
          <cell r="P117" t="b">
            <v>0</v>
          </cell>
        </row>
        <row r="118">
          <cell r="A118" t="str">
            <v>Katana</v>
          </cell>
          <cell r="B118" t="str">
            <v>OA</v>
          </cell>
          <cell r="C118" t="str">
            <v>E</v>
          </cell>
          <cell r="D118" t="str">
            <v>O</v>
          </cell>
          <cell r="E118">
            <v>7</v>
          </cell>
          <cell r="G118">
            <v>19</v>
          </cell>
          <cell r="H118">
            <v>2</v>
          </cell>
          <cell r="K118">
            <v>6</v>
          </cell>
          <cell r="L118" t="str">
            <v>S</v>
          </cell>
          <cell r="O118" t="str">
            <v>X</v>
          </cell>
          <cell r="P118" t="b">
            <v>0</v>
          </cell>
        </row>
        <row r="119">
          <cell r="A119" t="str">
            <v>Kau Sin Ke</v>
          </cell>
          <cell r="B119" t="str">
            <v>OA</v>
          </cell>
          <cell r="C119" t="str">
            <v>E</v>
          </cell>
          <cell r="D119" t="str">
            <v>O</v>
          </cell>
          <cell r="E119">
            <v>6</v>
          </cell>
          <cell r="G119">
            <v>20</v>
          </cell>
          <cell r="H119">
            <v>2</v>
          </cell>
          <cell r="K119">
            <v>4</v>
          </cell>
          <cell r="L119" t="str">
            <v>B</v>
          </cell>
        </row>
        <row r="120">
          <cell r="A120" t="str">
            <v>Kawanaga</v>
          </cell>
          <cell r="B120" t="str">
            <v>OA</v>
          </cell>
          <cell r="C120" t="str">
            <v>E</v>
          </cell>
          <cell r="D120" t="str">
            <v>O</v>
          </cell>
          <cell r="E120">
            <v>3</v>
          </cell>
          <cell r="F120">
            <v>3</v>
          </cell>
          <cell r="G120">
            <v>20</v>
          </cell>
          <cell r="H120">
            <v>2</v>
          </cell>
          <cell r="K120">
            <v>1</v>
          </cell>
          <cell r="L120" t="str">
            <v>S/B</v>
          </cell>
          <cell r="N120" t="b">
            <v>1</v>
          </cell>
        </row>
        <row r="121">
          <cell r="A121" t="str">
            <v>Khopesh</v>
          </cell>
          <cell r="C121" t="str">
            <v>E</v>
          </cell>
          <cell r="D121" t="str">
            <v>O</v>
          </cell>
          <cell r="E121">
            <v>5</v>
          </cell>
          <cell r="G121">
            <v>18</v>
          </cell>
          <cell r="H121">
            <v>2</v>
          </cell>
          <cell r="K121">
            <v>4</v>
          </cell>
          <cell r="L121" t="str">
            <v>S</v>
          </cell>
        </row>
        <row r="122">
          <cell r="A122" t="str">
            <v>Khopesh, Double</v>
          </cell>
          <cell r="C122" t="str">
            <v>E</v>
          </cell>
          <cell r="D122" t="str">
            <v>T</v>
          </cell>
          <cell r="E122">
            <v>5</v>
          </cell>
          <cell r="F122">
            <v>5</v>
          </cell>
          <cell r="G122">
            <v>18</v>
          </cell>
          <cell r="H122">
            <v>2</v>
          </cell>
          <cell r="I122">
            <v>2</v>
          </cell>
          <cell r="K122">
            <v>8</v>
          </cell>
          <cell r="L122" t="str">
            <v>S</v>
          </cell>
        </row>
        <row r="123">
          <cell r="A123" t="str">
            <v>Knife, Drow Long</v>
          </cell>
          <cell r="C123" t="str">
            <v>E</v>
          </cell>
          <cell r="D123" t="str">
            <v>L</v>
          </cell>
          <cell r="E123">
            <v>5</v>
          </cell>
          <cell r="G123">
            <v>19</v>
          </cell>
          <cell r="H123">
            <v>2</v>
          </cell>
          <cell r="J123">
            <v>10</v>
          </cell>
          <cell r="K123">
            <v>2</v>
          </cell>
          <cell r="L123" t="str">
            <v>P</v>
          </cell>
          <cell r="P123" t="b">
            <v>0</v>
          </cell>
        </row>
        <row r="124">
          <cell r="A124" t="str">
            <v>Knife, Stump</v>
          </cell>
          <cell r="C124" t="str">
            <v>E</v>
          </cell>
          <cell r="D124" t="str">
            <v>L</v>
          </cell>
          <cell r="E124">
            <v>4</v>
          </cell>
          <cell r="G124">
            <v>19</v>
          </cell>
          <cell r="H124">
            <v>2</v>
          </cell>
          <cell r="K124">
            <v>2</v>
          </cell>
          <cell r="L124" t="str">
            <v>P</v>
          </cell>
        </row>
        <row r="125">
          <cell r="A125" t="str">
            <v>Kukri</v>
          </cell>
          <cell r="C125" t="str">
            <v>M</v>
          </cell>
          <cell r="D125" t="str">
            <v>L</v>
          </cell>
          <cell r="E125">
            <v>4</v>
          </cell>
          <cell r="G125">
            <v>18</v>
          </cell>
          <cell r="H125">
            <v>2</v>
          </cell>
          <cell r="K125">
            <v>3</v>
          </cell>
          <cell r="L125" t="str">
            <v>S</v>
          </cell>
          <cell r="P125" t="b">
            <v>0</v>
          </cell>
        </row>
        <row r="126">
          <cell r="A126" t="str">
            <v>Kusari-Gama</v>
          </cell>
          <cell r="B126" t="str">
            <v>OA</v>
          </cell>
          <cell r="C126" t="str">
            <v>E</v>
          </cell>
          <cell r="D126" t="str">
            <v>T</v>
          </cell>
          <cell r="E126">
            <v>5</v>
          </cell>
          <cell r="F126">
            <v>4</v>
          </cell>
          <cell r="G126">
            <v>20</v>
          </cell>
          <cell r="H126">
            <v>2</v>
          </cell>
          <cell r="I126">
            <v>2</v>
          </cell>
          <cell r="K126">
            <v>3</v>
          </cell>
          <cell r="L126" t="str">
            <v>S/B</v>
          </cell>
          <cell r="N126" t="b">
            <v>1</v>
          </cell>
          <cell r="O126" t="str">
            <v>F</v>
          </cell>
          <cell r="P126" t="b">
            <v>0</v>
          </cell>
        </row>
        <row r="127">
          <cell r="A127" t="str">
            <v>Kylie</v>
          </cell>
          <cell r="C127" t="str">
            <v>E</v>
          </cell>
          <cell r="D127" t="str">
            <v>R</v>
          </cell>
          <cell r="E127">
            <v>5</v>
          </cell>
          <cell r="G127">
            <v>20</v>
          </cell>
          <cell r="H127">
            <v>2</v>
          </cell>
          <cell r="J127">
            <v>20</v>
          </cell>
          <cell r="K127">
            <v>5</v>
          </cell>
          <cell r="L127" t="str">
            <v>B</v>
          </cell>
        </row>
        <row r="128">
          <cell r="A128" t="str">
            <v>Lajatang</v>
          </cell>
          <cell r="B128" t="str">
            <v>OA</v>
          </cell>
          <cell r="C128" t="str">
            <v>E</v>
          </cell>
          <cell r="D128" t="str">
            <v>T</v>
          </cell>
          <cell r="E128">
            <v>6</v>
          </cell>
          <cell r="F128">
            <v>6</v>
          </cell>
          <cell r="G128">
            <v>20</v>
          </cell>
          <cell r="H128">
            <v>2</v>
          </cell>
          <cell r="I128">
            <v>2</v>
          </cell>
          <cell r="K128">
            <v>7</v>
          </cell>
          <cell r="L128" t="str">
            <v>S</v>
          </cell>
          <cell r="O128" t="str">
            <v>U</v>
          </cell>
        </row>
        <row r="129">
          <cell r="A129" t="str">
            <v>Lance</v>
          </cell>
          <cell r="C129" t="str">
            <v>M</v>
          </cell>
          <cell r="D129" t="str">
            <v>T</v>
          </cell>
          <cell r="E129">
            <v>6</v>
          </cell>
          <cell r="G129">
            <v>20</v>
          </cell>
          <cell r="H129">
            <v>3</v>
          </cell>
          <cell r="K129">
            <v>10</v>
          </cell>
          <cell r="L129" t="str">
            <v>P</v>
          </cell>
          <cell r="N129" t="b">
            <v>1</v>
          </cell>
          <cell r="P129" t="b">
            <v>0</v>
          </cell>
        </row>
        <row r="130">
          <cell r="A130" t="str">
            <v>Lancet, Gehennan</v>
          </cell>
          <cell r="C130" t="str">
            <v>M</v>
          </cell>
          <cell r="D130" t="str">
            <v>L</v>
          </cell>
          <cell r="E130">
            <v>4</v>
          </cell>
          <cell r="G130">
            <v>18</v>
          </cell>
          <cell r="H130">
            <v>2</v>
          </cell>
          <cell r="K130">
            <v>3</v>
          </cell>
          <cell r="L130" t="str">
            <v>P</v>
          </cell>
        </row>
        <row r="131">
          <cell r="A131" t="str">
            <v>Lightblade, Elven</v>
          </cell>
          <cell r="C131" t="str">
            <v>E</v>
          </cell>
          <cell r="D131" t="str">
            <v>L</v>
          </cell>
          <cell r="E131">
            <v>5</v>
          </cell>
          <cell r="G131">
            <v>18</v>
          </cell>
          <cell r="H131">
            <v>2</v>
          </cell>
          <cell r="K131">
            <v>1</v>
          </cell>
          <cell r="L131" t="str">
            <v>P</v>
          </cell>
          <cell r="O131" t="str">
            <v/>
          </cell>
          <cell r="P131" t="b">
            <v>0</v>
          </cell>
        </row>
        <row r="132">
          <cell r="A132" t="str">
            <v>Longaxe</v>
          </cell>
          <cell r="C132" t="str">
            <v>E</v>
          </cell>
          <cell r="D132" t="str">
            <v>T</v>
          </cell>
          <cell r="E132">
            <v>8</v>
          </cell>
          <cell r="G132">
            <v>20</v>
          </cell>
          <cell r="H132">
            <v>3</v>
          </cell>
          <cell r="K132">
            <v>15</v>
          </cell>
          <cell r="L132" t="str">
            <v>S</v>
          </cell>
        </row>
        <row r="133">
          <cell r="A133" t="str">
            <v>Longbow</v>
          </cell>
          <cell r="C133" t="str">
            <v>M</v>
          </cell>
          <cell r="D133" t="str">
            <v>R</v>
          </cell>
          <cell r="E133">
            <v>6</v>
          </cell>
          <cell r="G133">
            <v>20</v>
          </cell>
          <cell r="H133">
            <v>3</v>
          </cell>
          <cell r="J133">
            <v>100</v>
          </cell>
          <cell r="K133">
            <v>3</v>
          </cell>
          <cell r="L133" t="str">
            <v>P</v>
          </cell>
          <cell r="P133" t="b">
            <v>0</v>
          </cell>
        </row>
        <row r="134">
          <cell r="A134" t="str">
            <v>Longbow, Aquatic</v>
          </cell>
          <cell r="C134" t="str">
            <v>M</v>
          </cell>
          <cell r="D134" t="str">
            <v>R</v>
          </cell>
          <cell r="E134">
            <v>6</v>
          </cell>
          <cell r="G134">
            <v>20</v>
          </cell>
          <cell r="H134">
            <v>3</v>
          </cell>
          <cell r="J134">
            <v>60</v>
          </cell>
          <cell r="K134">
            <v>3</v>
          </cell>
          <cell r="L134" t="str">
            <v>P</v>
          </cell>
        </row>
        <row r="135">
          <cell r="A135" t="str">
            <v>Longbow, Composite</v>
          </cell>
          <cell r="C135" t="str">
            <v>M</v>
          </cell>
          <cell r="D135" t="str">
            <v>R</v>
          </cell>
          <cell r="E135">
            <v>6</v>
          </cell>
          <cell r="G135">
            <v>20</v>
          </cell>
          <cell r="H135">
            <v>3</v>
          </cell>
          <cell r="J135">
            <v>110</v>
          </cell>
          <cell r="K135">
            <v>3</v>
          </cell>
          <cell r="L135" t="str">
            <v>P</v>
          </cell>
          <cell r="O135" t="str">
            <v>M</v>
          </cell>
          <cell r="P135" t="b">
            <v>0</v>
          </cell>
        </row>
        <row r="136">
          <cell r="A136" t="str">
            <v>Longspear</v>
          </cell>
          <cell r="C136" t="str">
            <v>S</v>
          </cell>
          <cell r="D136" t="str">
            <v>T</v>
          </cell>
          <cell r="E136">
            <v>6</v>
          </cell>
          <cell r="G136">
            <v>20</v>
          </cell>
          <cell r="H136">
            <v>3</v>
          </cell>
          <cell r="K136">
            <v>9</v>
          </cell>
          <cell r="L136" t="str">
            <v>P</v>
          </cell>
          <cell r="N136" t="b">
            <v>1</v>
          </cell>
          <cell r="O136" t="str">
            <v/>
          </cell>
          <cell r="P136" t="b">
            <v>0</v>
          </cell>
        </row>
        <row r="137">
          <cell r="A137" t="str">
            <v>Longstaff</v>
          </cell>
          <cell r="C137" t="str">
            <v>E</v>
          </cell>
          <cell r="D137" t="str">
            <v>T</v>
          </cell>
          <cell r="E137">
            <v>5</v>
          </cell>
          <cell r="F137">
            <v>5</v>
          </cell>
          <cell r="G137">
            <v>20</v>
          </cell>
          <cell r="H137">
            <v>2</v>
          </cell>
          <cell r="I137">
            <v>2</v>
          </cell>
          <cell r="K137">
            <v>6</v>
          </cell>
          <cell r="L137" t="str">
            <v>B</v>
          </cell>
        </row>
        <row r="138">
          <cell r="A138" t="str">
            <v>Longsword</v>
          </cell>
          <cell r="C138" t="str">
            <v>M</v>
          </cell>
          <cell r="D138" t="str">
            <v>O</v>
          </cell>
          <cell r="E138">
            <v>6</v>
          </cell>
          <cell r="G138">
            <v>19</v>
          </cell>
          <cell r="H138">
            <v>2</v>
          </cell>
          <cell r="K138">
            <v>4</v>
          </cell>
          <cell r="L138" t="str">
            <v>S</v>
          </cell>
          <cell r="O138" t="str">
            <v/>
          </cell>
          <cell r="P138" t="b">
            <v>0</v>
          </cell>
        </row>
        <row r="139">
          <cell r="A139" t="str">
            <v>Longsword, Mercurial</v>
          </cell>
          <cell r="C139" t="str">
            <v>E</v>
          </cell>
          <cell r="D139" t="str">
            <v>O</v>
          </cell>
          <cell r="E139">
            <v>6</v>
          </cell>
          <cell r="G139">
            <v>20</v>
          </cell>
          <cell r="H139">
            <v>4</v>
          </cell>
          <cell r="K139">
            <v>6</v>
          </cell>
          <cell r="L139" t="str">
            <v>S</v>
          </cell>
        </row>
        <row r="140">
          <cell r="A140" t="str">
            <v>Lynxpaw</v>
          </cell>
          <cell r="C140" t="str">
            <v>E</v>
          </cell>
          <cell r="D140" t="str">
            <v>T</v>
          </cell>
          <cell r="E140">
            <v>5</v>
          </cell>
          <cell r="F140">
            <v>4</v>
          </cell>
          <cell r="G140">
            <v>18</v>
          </cell>
          <cell r="H140">
            <v>2</v>
          </cell>
          <cell r="I140">
            <v>3</v>
          </cell>
          <cell r="K140">
            <v>4</v>
          </cell>
          <cell r="L140" t="str">
            <v>P/S</v>
          </cell>
        </row>
        <row r="141">
          <cell r="A141" t="str">
            <v>Mace, Double</v>
          </cell>
          <cell r="C141" t="str">
            <v>E</v>
          </cell>
          <cell r="D141" t="str">
            <v>T</v>
          </cell>
          <cell r="E141">
            <v>6</v>
          </cell>
          <cell r="F141">
            <v>6</v>
          </cell>
          <cell r="G141">
            <v>20</v>
          </cell>
          <cell r="H141">
            <v>2</v>
          </cell>
          <cell r="I141">
            <v>2</v>
          </cell>
          <cell r="K141">
            <v>25</v>
          </cell>
          <cell r="L141" t="str">
            <v>B</v>
          </cell>
        </row>
        <row r="142">
          <cell r="A142" t="str">
            <v>Mace, Heavy</v>
          </cell>
          <cell r="C142" t="str">
            <v>S</v>
          </cell>
          <cell r="D142" t="str">
            <v>O</v>
          </cell>
          <cell r="E142">
            <v>6</v>
          </cell>
          <cell r="G142">
            <v>20</v>
          </cell>
          <cell r="H142">
            <v>2</v>
          </cell>
          <cell r="K142">
            <v>8</v>
          </cell>
          <cell r="L142" t="str">
            <v>B</v>
          </cell>
          <cell r="P142" t="b">
            <v>0</v>
          </cell>
        </row>
        <row r="143">
          <cell r="A143" t="str">
            <v>Mace, Light</v>
          </cell>
          <cell r="C143" t="str">
            <v>S</v>
          </cell>
          <cell r="D143" t="str">
            <v>L</v>
          </cell>
          <cell r="E143">
            <v>5</v>
          </cell>
          <cell r="G143">
            <v>20</v>
          </cell>
          <cell r="H143">
            <v>2</v>
          </cell>
          <cell r="K143">
            <v>4</v>
          </cell>
          <cell r="L143" t="str">
            <v>B</v>
          </cell>
          <cell r="P143" t="e">
            <v>#REF!</v>
          </cell>
        </row>
        <row r="144">
          <cell r="A144" t="str">
            <v>Mancatcher</v>
          </cell>
          <cell r="C144" t="str">
            <v>E</v>
          </cell>
          <cell r="D144" t="str">
            <v>T</v>
          </cell>
          <cell r="E144">
            <v>4</v>
          </cell>
          <cell r="G144">
            <v>20</v>
          </cell>
          <cell r="H144">
            <v>2</v>
          </cell>
          <cell r="K144">
            <v>8</v>
          </cell>
          <cell r="L144" t="str">
            <v>B</v>
          </cell>
        </row>
        <row r="145">
          <cell r="A145" t="str">
            <v>Manriki-gusari</v>
          </cell>
          <cell r="B145" t="str">
            <v>OA</v>
          </cell>
          <cell r="C145" t="str">
            <v>E</v>
          </cell>
          <cell r="D145" t="str">
            <v>T</v>
          </cell>
          <cell r="E145">
            <v>5</v>
          </cell>
          <cell r="F145">
            <v>5</v>
          </cell>
          <cell r="G145">
            <v>20</v>
          </cell>
          <cell r="H145">
            <v>2</v>
          </cell>
          <cell r="I145">
            <v>2</v>
          </cell>
          <cell r="K145">
            <v>5</v>
          </cell>
          <cell r="L145" t="str">
            <v>B</v>
          </cell>
          <cell r="N145" t="b">
            <v>1</v>
          </cell>
          <cell r="P145" t="b">
            <v>0</v>
          </cell>
        </row>
        <row r="146">
          <cell r="A146" t="str">
            <v>Manople</v>
          </cell>
          <cell r="C146" t="str">
            <v>E</v>
          </cell>
          <cell r="D146" t="str">
            <v>L</v>
          </cell>
          <cell r="E146">
            <v>5</v>
          </cell>
          <cell r="G146">
            <v>19</v>
          </cell>
          <cell r="H146">
            <v>2</v>
          </cell>
          <cell r="K146">
            <v>1</v>
          </cell>
          <cell r="L146" t="str">
            <v>S/P</v>
          </cell>
        </row>
        <row r="147">
          <cell r="A147" t="str">
            <v>Manti</v>
          </cell>
          <cell r="C147" t="str">
            <v>E</v>
          </cell>
          <cell r="D147" t="str">
            <v>T</v>
          </cell>
          <cell r="E147">
            <v>6</v>
          </cell>
          <cell r="G147">
            <v>20</v>
          </cell>
          <cell r="H147">
            <v>3</v>
          </cell>
          <cell r="K147">
            <v>9</v>
          </cell>
          <cell r="L147" t="str">
            <v>P</v>
          </cell>
        </row>
        <row r="148">
          <cell r="A148" t="str">
            <v>Maquahuitl</v>
          </cell>
          <cell r="C148" t="str">
            <v>M</v>
          </cell>
          <cell r="D148" t="str">
            <v>T</v>
          </cell>
          <cell r="E148">
            <v>7</v>
          </cell>
          <cell r="G148">
            <v>20</v>
          </cell>
          <cell r="H148">
            <v>2</v>
          </cell>
          <cell r="K148">
            <v>10</v>
          </cell>
          <cell r="L148" t="str">
            <v>B/P</v>
          </cell>
        </row>
        <row r="149">
          <cell r="A149" t="str">
            <v>Maul</v>
          </cell>
          <cell r="C149" t="str">
            <v>E</v>
          </cell>
          <cell r="D149" t="str">
            <v>O</v>
          </cell>
          <cell r="E149">
            <v>7</v>
          </cell>
          <cell r="G149">
            <v>20</v>
          </cell>
          <cell r="H149">
            <v>3</v>
          </cell>
          <cell r="K149">
            <v>20</v>
          </cell>
          <cell r="L149" t="str">
            <v>B</v>
          </cell>
          <cell r="O149" t="str">
            <v>X</v>
          </cell>
        </row>
        <row r="150">
          <cell r="A150" t="str">
            <v>Mind Arrow</v>
          </cell>
          <cell r="C150" t="str">
            <v>M</v>
          </cell>
          <cell r="D150" t="str">
            <v>R</v>
          </cell>
          <cell r="E150">
            <v>6</v>
          </cell>
          <cell r="G150">
            <v>20</v>
          </cell>
          <cell r="H150">
            <v>3</v>
          </cell>
          <cell r="J150">
            <v>110</v>
          </cell>
          <cell r="K150">
            <v>2</v>
          </cell>
          <cell r="L150" t="str">
            <v>P</v>
          </cell>
          <cell r="P150" t="b">
            <v>0</v>
          </cell>
        </row>
        <row r="151">
          <cell r="A151" t="str">
            <v>Mind Blade</v>
          </cell>
          <cell r="C151" t="str">
            <v>M</v>
          </cell>
          <cell r="D151" t="str">
            <v>L</v>
          </cell>
          <cell r="E151">
            <v>5</v>
          </cell>
          <cell r="G151">
            <v>19</v>
          </cell>
          <cell r="H151">
            <v>2</v>
          </cell>
          <cell r="J151">
            <v>30</v>
          </cell>
          <cell r="K151">
            <v>2</v>
          </cell>
          <cell r="L151" t="str">
            <v>P</v>
          </cell>
          <cell r="P151" t="b">
            <v>0</v>
          </cell>
        </row>
        <row r="152">
          <cell r="A152" t="str">
            <v>Morningstar</v>
          </cell>
          <cell r="C152" t="str">
            <v>S</v>
          </cell>
          <cell r="D152" t="str">
            <v>O</v>
          </cell>
          <cell r="E152">
            <v>6</v>
          </cell>
          <cell r="G152">
            <v>20</v>
          </cell>
          <cell r="H152">
            <v>2</v>
          </cell>
          <cell r="K152">
            <v>6</v>
          </cell>
          <cell r="L152" t="str">
            <v>B/P</v>
          </cell>
          <cell r="P152" t="b">
            <v>0</v>
          </cell>
        </row>
        <row r="153">
          <cell r="A153" t="str">
            <v>Musket</v>
          </cell>
          <cell r="C153" t="str">
            <v>E</v>
          </cell>
          <cell r="D153" t="str">
            <v>M</v>
          </cell>
          <cell r="E153">
            <v>8</v>
          </cell>
          <cell r="G153">
            <v>20</v>
          </cell>
          <cell r="H153">
            <v>3</v>
          </cell>
          <cell r="J153">
            <v>150</v>
          </cell>
          <cell r="K153">
            <v>10</v>
          </cell>
          <cell r="L153" t="str">
            <v>P</v>
          </cell>
          <cell r="P153" t="b">
            <v>0</v>
          </cell>
        </row>
        <row r="154">
          <cell r="A154" t="str">
            <v>Muspelrule</v>
          </cell>
          <cell r="C154" t="str">
            <v>S</v>
          </cell>
          <cell r="D154" t="str">
            <v>L</v>
          </cell>
          <cell r="E154">
            <v>4</v>
          </cell>
          <cell r="G154">
            <v>19</v>
          </cell>
          <cell r="H154">
            <v>2</v>
          </cell>
          <cell r="K154">
            <v>1</v>
          </cell>
          <cell r="L154" t="str">
            <v>B</v>
          </cell>
        </row>
        <row r="155">
          <cell r="A155" t="str">
            <v>Nagamaki</v>
          </cell>
          <cell r="B155" t="str">
            <v>OA</v>
          </cell>
          <cell r="C155" t="str">
            <v>M</v>
          </cell>
          <cell r="D155" t="str">
            <v>T</v>
          </cell>
          <cell r="E155">
            <v>9</v>
          </cell>
          <cell r="G155">
            <v>20</v>
          </cell>
          <cell r="H155">
            <v>3</v>
          </cell>
          <cell r="K155">
            <v>10</v>
          </cell>
          <cell r="L155" t="str">
            <v>S</v>
          </cell>
        </row>
        <row r="156">
          <cell r="A156" t="str">
            <v>Naginata</v>
          </cell>
          <cell r="B156" t="str">
            <v>OA</v>
          </cell>
          <cell r="C156" t="str">
            <v>M</v>
          </cell>
          <cell r="D156" t="str">
            <v>T</v>
          </cell>
          <cell r="E156">
            <v>7</v>
          </cell>
          <cell r="G156">
            <v>20</v>
          </cell>
          <cell r="H156">
            <v>3</v>
          </cell>
          <cell r="K156">
            <v>15</v>
          </cell>
          <cell r="L156" t="str">
            <v>S</v>
          </cell>
          <cell r="N156" t="b">
            <v>1</v>
          </cell>
        </row>
        <row r="157">
          <cell r="A157" t="str">
            <v>Net</v>
          </cell>
          <cell r="C157" t="str">
            <v>E</v>
          </cell>
          <cell r="D157" t="str">
            <v>R</v>
          </cell>
          <cell r="E157">
            <v>13</v>
          </cell>
          <cell r="J157">
            <v>10</v>
          </cell>
          <cell r="K157">
            <v>6</v>
          </cell>
          <cell r="L157" t="str">
            <v>-</v>
          </cell>
          <cell r="P157" t="b">
            <v>0</v>
          </cell>
        </row>
        <row r="158">
          <cell r="A158" t="str">
            <v>Nekode</v>
          </cell>
          <cell r="B158" t="str">
            <v>OA</v>
          </cell>
          <cell r="C158" t="str">
            <v>E</v>
          </cell>
          <cell r="D158" t="str">
            <v>L</v>
          </cell>
          <cell r="E158">
            <v>4</v>
          </cell>
          <cell r="G158">
            <v>20</v>
          </cell>
          <cell r="H158">
            <v>2</v>
          </cell>
          <cell r="K158">
            <v>2</v>
          </cell>
          <cell r="L158" t="str">
            <v>P</v>
          </cell>
          <cell r="P158" t="b">
            <v>0</v>
          </cell>
        </row>
        <row r="159">
          <cell r="A159" t="str">
            <v>Ninja-to</v>
          </cell>
          <cell r="B159" t="str">
            <v>OA</v>
          </cell>
          <cell r="C159" t="str">
            <v>E</v>
          </cell>
          <cell r="D159" t="str">
            <v>L</v>
          </cell>
          <cell r="E159">
            <v>5</v>
          </cell>
          <cell r="G159">
            <v>19</v>
          </cell>
          <cell r="H159">
            <v>2</v>
          </cell>
          <cell r="K159">
            <v>3</v>
          </cell>
          <cell r="L159" t="str">
            <v>S</v>
          </cell>
          <cell r="P159" t="b">
            <v>0</v>
          </cell>
        </row>
        <row r="160">
          <cell r="A160" t="str">
            <v>Notbora</v>
          </cell>
          <cell r="C160" t="str">
            <v>E</v>
          </cell>
          <cell r="D160" t="str">
            <v>T</v>
          </cell>
          <cell r="E160">
            <v>9</v>
          </cell>
          <cell r="F160">
            <v>9</v>
          </cell>
          <cell r="G160">
            <v>19</v>
          </cell>
          <cell r="H160">
            <v>2</v>
          </cell>
          <cell r="I160">
            <v>2</v>
          </cell>
          <cell r="K160">
            <v>1</v>
          </cell>
          <cell r="L160" t="str">
            <v>B/S</v>
          </cell>
          <cell r="P160" t="b">
            <v>0</v>
          </cell>
        </row>
        <row r="161">
          <cell r="A161" t="str">
            <v>Nunchaku</v>
          </cell>
          <cell r="C161" t="str">
            <v>E</v>
          </cell>
          <cell r="D161" t="str">
            <v>L</v>
          </cell>
          <cell r="E161">
            <v>5</v>
          </cell>
          <cell r="G161">
            <v>20</v>
          </cell>
          <cell r="H161">
            <v>2</v>
          </cell>
          <cell r="K161">
            <v>2</v>
          </cell>
          <cell r="L161" t="str">
            <v>B</v>
          </cell>
          <cell r="O161" t="str">
            <v>U</v>
          </cell>
          <cell r="P161" t="b">
            <v>0</v>
          </cell>
        </row>
        <row r="162">
          <cell r="A162" t="str">
            <v>Petard, doorbreaker</v>
          </cell>
          <cell r="C162" t="str">
            <v>E</v>
          </cell>
          <cell r="D162" t="str">
            <v>T</v>
          </cell>
        </row>
        <row r="163">
          <cell r="A163" t="str">
            <v>Petard, triggered</v>
          </cell>
          <cell r="C163" t="str">
            <v>E</v>
          </cell>
          <cell r="D163" t="str">
            <v>T</v>
          </cell>
          <cell r="E163">
            <v>13</v>
          </cell>
        </row>
        <row r="164">
          <cell r="A164" t="str">
            <v>Pick, Dire</v>
          </cell>
          <cell r="C164" t="str">
            <v>E</v>
          </cell>
          <cell r="D164" t="str">
            <v>O</v>
          </cell>
          <cell r="E164">
            <v>6</v>
          </cell>
          <cell r="G164">
            <v>20</v>
          </cell>
          <cell r="H164">
            <v>4</v>
          </cell>
          <cell r="K164">
            <v>12</v>
          </cell>
          <cell r="L164" t="str">
            <v>P</v>
          </cell>
          <cell r="O164" t="str">
            <v>X</v>
          </cell>
        </row>
        <row r="165">
          <cell r="A165" t="str">
            <v>Pick, Heavy</v>
          </cell>
          <cell r="C165" t="str">
            <v>M</v>
          </cell>
          <cell r="D165" t="str">
            <v>O</v>
          </cell>
          <cell r="E165">
            <v>5</v>
          </cell>
          <cell r="G165">
            <v>20</v>
          </cell>
          <cell r="H165">
            <v>4</v>
          </cell>
          <cell r="K165">
            <v>6</v>
          </cell>
          <cell r="L165" t="str">
            <v>P</v>
          </cell>
          <cell r="P165" t="b">
            <v>0</v>
          </cell>
        </row>
        <row r="166">
          <cell r="A166" t="str">
            <v>Pick, Light</v>
          </cell>
          <cell r="C166" t="str">
            <v>M</v>
          </cell>
          <cell r="D166" t="str">
            <v>L</v>
          </cell>
          <cell r="E166">
            <v>4</v>
          </cell>
          <cell r="G166">
            <v>20</v>
          </cell>
          <cell r="H166">
            <v>4</v>
          </cell>
          <cell r="K166">
            <v>3</v>
          </cell>
          <cell r="L166" t="str">
            <v>P</v>
          </cell>
          <cell r="P166" t="b">
            <v>0</v>
          </cell>
        </row>
        <row r="167">
          <cell r="A167" t="str">
            <v>Pincer Staff</v>
          </cell>
          <cell r="C167" t="str">
            <v>E</v>
          </cell>
          <cell r="D167" t="str">
            <v>T</v>
          </cell>
          <cell r="E167">
            <v>7</v>
          </cell>
          <cell r="G167">
            <v>20</v>
          </cell>
          <cell r="H167">
            <v>2</v>
          </cell>
          <cell r="J167" t="str">
            <v>-</v>
          </cell>
          <cell r="K167">
            <v>15</v>
          </cell>
          <cell r="L167" t="str">
            <v>B</v>
          </cell>
        </row>
        <row r="168">
          <cell r="A168" t="str">
            <v>Pistol</v>
          </cell>
          <cell r="C168" t="str">
            <v>E</v>
          </cell>
          <cell r="D168" t="str">
            <v>R</v>
          </cell>
          <cell r="E168">
            <v>8</v>
          </cell>
          <cell r="G168">
            <v>20</v>
          </cell>
          <cell r="H168">
            <v>3</v>
          </cell>
          <cell r="J168">
            <v>50</v>
          </cell>
          <cell r="K168">
            <v>3</v>
          </cell>
          <cell r="L168" t="str">
            <v>P</v>
          </cell>
          <cell r="P168" t="b">
            <v>0</v>
          </cell>
        </row>
        <row r="169">
          <cell r="A169" t="str">
            <v>Poker</v>
          </cell>
          <cell r="C169" t="str">
            <v>E</v>
          </cell>
          <cell r="D169" t="str">
            <v>M</v>
          </cell>
          <cell r="E169">
            <v>5</v>
          </cell>
          <cell r="G169">
            <v>20</v>
          </cell>
          <cell r="H169">
            <v>2</v>
          </cell>
          <cell r="K169">
            <v>3</v>
          </cell>
          <cell r="L169" t="str">
            <v>P</v>
          </cell>
          <cell r="P169" t="b">
            <v>0</v>
          </cell>
        </row>
        <row r="170">
          <cell r="A170" t="str">
            <v>Poleaxe, Heavy</v>
          </cell>
          <cell r="C170" t="str">
            <v>E</v>
          </cell>
          <cell r="D170" t="str">
            <v>T</v>
          </cell>
          <cell r="E170">
            <v>10</v>
          </cell>
          <cell r="G170">
            <v>20</v>
          </cell>
          <cell r="H170">
            <v>3</v>
          </cell>
          <cell r="K170">
            <v>15</v>
          </cell>
          <cell r="L170" t="str">
            <v>P/S</v>
          </cell>
        </row>
        <row r="171">
          <cell r="A171" t="str">
            <v>Quarterstaff</v>
          </cell>
          <cell r="C171" t="str">
            <v>S</v>
          </cell>
          <cell r="D171" t="str">
            <v>T</v>
          </cell>
          <cell r="E171">
            <v>5</v>
          </cell>
          <cell r="F171">
            <v>5</v>
          </cell>
          <cell r="G171">
            <v>20</v>
          </cell>
          <cell r="H171">
            <v>2</v>
          </cell>
          <cell r="I171">
            <v>2</v>
          </cell>
          <cell r="K171">
            <v>4</v>
          </cell>
          <cell r="L171" t="str">
            <v>B</v>
          </cell>
          <cell r="O171" t="str">
            <v>U</v>
          </cell>
          <cell r="P171" t="b">
            <v>1</v>
          </cell>
        </row>
        <row r="172">
          <cell r="A172" t="str">
            <v>Quickrazor, Gnome</v>
          </cell>
          <cell r="C172" t="str">
            <v>E</v>
          </cell>
          <cell r="D172" t="str">
            <v>L</v>
          </cell>
          <cell r="E172">
            <v>4</v>
          </cell>
          <cell r="G172">
            <v>19</v>
          </cell>
          <cell r="H172">
            <v>2</v>
          </cell>
          <cell r="K172">
            <v>1</v>
          </cell>
          <cell r="L172" t="str">
            <v>S</v>
          </cell>
          <cell r="O172" t="str">
            <v/>
          </cell>
          <cell r="P172" t="b">
            <v>0</v>
          </cell>
        </row>
        <row r="173">
          <cell r="A173" t="str">
            <v>Ramhammer</v>
          </cell>
          <cell r="C173" t="str">
            <v>E</v>
          </cell>
          <cell r="D173" t="str">
            <v>T</v>
          </cell>
          <cell r="E173">
            <v>7</v>
          </cell>
          <cell r="G173">
            <v>20</v>
          </cell>
          <cell r="H173">
            <v>2</v>
          </cell>
          <cell r="K173">
            <v>15</v>
          </cell>
          <cell r="L173" t="str">
            <v>B</v>
          </cell>
          <cell r="N173" t="b">
            <v>1</v>
          </cell>
        </row>
        <row r="174">
          <cell r="A174" t="str">
            <v>Ranseur</v>
          </cell>
          <cell r="C174" t="str">
            <v>M</v>
          </cell>
          <cell r="D174" t="str">
            <v>T</v>
          </cell>
          <cell r="E174">
            <v>9</v>
          </cell>
          <cell r="G174">
            <v>20</v>
          </cell>
          <cell r="H174">
            <v>3</v>
          </cell>
          <cell r="K174">
            <v>12</v>
          </cell>
          <cell r="L174" t="str">
            <v>P</v>
          </cell>
          <cell r="N174" t="b">
            <v>1</v>
          </cell>
        </row>
        <row r="175">
          <cell r="A175" t="str">
            <v>Rapier</v>
          </cell>
          <cell r="C175" t="str">
            <v>M</v>
          </cell>
          <cell r="D175" t="str">
            <v>O</v>
          </cell>
          <cell r="E175">
            <v>5</v>
          </cell>
          <cell r="G175">
            <v>18</v>
          </cell>
          <cell r="H175">
            <v>2</v>
          </cell>
          <cell r="K175">
            <v>2</v>
          </cell>
          <cell r="L175" t="str">
            <v>P</v>
          </cell>
          <cell r="O175" t="str">
            <v>F</v>
          </cell>
          <cell r="P175" t="e">
            <v>#REF!</v>
          </cell>
        </row>
        <row r="176">
          <cell r="A176" t="str">
            <v>Rapier, Parthian</v>
          </cell>
          <cell r="C176" t="str">
            <v>E</v>
          </cell>
          <cell r="D176" t="str">
            <v>M</v>
          </cell>
          <cell r="E176">
            <v>5</v>
          </cell>
          <cell r="F176">
            <v>7</v>
          </cell>
          <cell r="G176">
            <v>18</v>
          </cell>
          <cell r="H176">
            <v>2</v>
          </cell>
          <cell r="I176">
            <v>3</v>
          </cell>
          <cell r="J176">
            <v>50</v>
          </cell>
          <cell r="K176">
            <v>5</v>
          </cell>
          <cell r="L176" t="str">
            <v>P</v>
          </cell>
        </row>
        <row r="177">
          <cell r="A177" t="str">
            <v>Rapier, Quickblade</v>
          </cell>
          <cell r="C177" t="str">
            <v>E</v>
          </cell>
          <cell r="D177" t="str">
            <v>O</v>
          </cell>
          <cell r="E177">
            <v>5</v>
          </cell>
          <cell r="G177">
            <v>18</v>
          </cell>
          <cell r="H177">
            <v>2</v>
          </cell>
          <cell r="K177">
            <v>3</v>
          </cell>
          <cell r="L177" t="str">
            <v>P</v>
          </cell>
        </row>
        <row r="178">
          <cell r="A178" t="str">
            <v>Razored armor</v>
          </cell>
          <cell r="C178" t="str">
            <v>M</v>
          </cell>
          <cell r="D178" t="str">
            <v>L</v>
          </cell>
          <cell r="E178">
            <v>5</v>
          </cell>
          <cell r="G178">
            <v>20</v>
          </cell>
          <cell r="H178">
            <v>2</v>
          </cell>
          <cell r="K178">
            <v>0</v>
          </cell>
          <cell r="L178" t="str">
            <v>S</v>
          </cell>
        </row>
        <row r="179">
          <cell r="A179" t="str">
            <v>Razored shield, light</v>
          </cell>
          <cell r="C179" t="str">
            <v>M</v>
          </cell>
          <cell r="D179" t="str">
            <v>L</v>
          </cell>
          <cell r="E179">
            <v>4</v>
          </cell>
          <cell r="G179">
            <v>20</v>
          </cell>
          <cell r="H179">
            <v>2</v>
          </cell>
          <cell r="J179" t="str">
            <v>S</v>
          </cell>
          <cell r="K179">
            <v>0</v>
          </cell>
          <cell r="L179" t="str">
            <v>S</v>
          </cell>
        </row>
        <row r="180">
          <cell r="A180" t="str">
            <v>Razored shield, heavy</v>
          </cell>
          <cell r="C180" t="str">
            <v>M</v>
          </cell>
          <cell r="D180" t="str">
            <v>O</v>
          </cell>
          <cell r="E180">
            <v>5</v>
          </cell>
          <cell r="G180">
            <v>20</v>
          </cell>
          <cell r="H180">
            <v>2</v>
          </cell>
          <cell r="J180" t="str">
            <v>S</v>
          </cell>
          <cell r="K180">
            <v>0</v>
          </cell>
          <cell r="L180" t="str">
            <v>S</v>
          </cell>
        </row>
        <row r="181">
          <cell r="A181" t="str">
            <v>Ribbonweave</v>
          </cell>
          <cell r="C181" t="str">
            <v>E</v>
          </cell>
          <cell r="D181" t="str">
            <v>O</v>
          </cell>
          <cell r="E181">
            <v>6</v>
          </cell>
          <cell r="G181">
            <v>19</v>
          </cell>
          <cell r="H181">
            <v>2</v>
          </cell>
          <cell r="K181">
            <v>3</v>
          </cell>
          <cell r="L181" t="str">
            <v>S</v>
          </cell>
        </row>
        <row r="182">
          <cell r="A182" t="str">
            <v>Ripper</v>
          </cell>
          <cell r="C182" t="str">
            <v>M</v>
          </cell>
          <cell r="D182" t="str">
            <v>T</v>
          </cell>
          <cell r="E182">
            <v>10</v>
          </cell>
          <cell r="G182">
            <v>19</v>
          </cell>
          <cell r="H182">
            <v>2</v>
          </cell>
          <cell r="K182">
            <v>9</v>
          </cell>
          <cell r="L182" t="str">
            <v>P</v>
          </cell>
        </row>
        <row r="183">
          <cell r="A183" t="str">
            <v>Ritiik</v>
          </cell>
          <cell r="C183" t="str">
            <v>E</v>
          </cell>
          <cell r="D183" t="str">
            <v>T</v>
          </cell>
          <cell r="E183">
            <v>6</v>
          </cell>
          <cell r="G183">
            <v>20</v>
          </cell>
          <cell r="H183">
            <v>3</v>
          </cell>
          <cell r="K183">
            <v>6</v>
          </cell>
          <cell r="L183" t="str">
            <v>P</v>
          </cell>
        </row>
        <row r="184">
          <cell r="A184" t="str">
            <v>Sai</v>
          </cell>
          <cell r="C184" t="str">
            <v>E</v>
          </cell>
          <cell r="D184" t="str">
            <v>L</v>
          </cell>
          <cell r="E184">
            <v>4</v>
          </cell>
          <cell r="G184">
            <v>20</v>
          </cell>
          <cell r="H184">
            <v>2</v>
          </cell>
          <cell r="J184">
            <v>10</v>
          </cell>
          <cell r="K184">
            <v>1</v>
          </cell>
          <cell r="L184" t="str">
            <v>B</v>
          </cell>
          <cell r="O184" t="str">
            <v>U</v>
          </cell>
          <cell r="P184" t="b">
            <v>0</v>
          </cell>
        </row>
        <row r="185">
          <cell r="A185" t="str">
            <v>Sandblaster</v>
          </cell>
          <cell r="C185" t="str">
            <v>E</v>
          </cell>
          <cell r="D185" t="str">
            <v>R</v>
          </cell>
          <cell r="E185">
            <v>5</v>
          </cell>
          <cell r="J185">
            <v>10</v>
          </cell>
          <cell r="K185">
            <v>2</v>
          </cell>
          <cell r="L185" t="str">
            <v>B</v>
          </cell>
          <cell r="P185" t="b">
            <v>0</v>
          </cell>
        </row>
        <row r="186">
          <cell r="A186" t="str">
            <v>Sand Pipe</v>
          </cell>
          <cell r="C186" t="str">
            <v>E</v>
          </cell>
          <cell r="D186" t="str">
            <v>R</v>
          </cell>
          <cell r="K186">
            <v>1</v>
          </cell>
        </row>
        <row r="187">
          <cell r="A187" t="str">
            <v>Sap</v>
          </cell>
          <cell r="C187" t="str">
            <v>M</v>
          </cell>
          <cell r="D187" t="str">
            <v>L</v>
          </cell>
          <cell r="E187">
            <v>5</v>
          </cell>
          <cell r="G187">
            <v>20</v>
          </cell>
          <cell r="H187">
            <v>2</v>
          </cell>
          <cell r="K187">
            <v>2</v>
          </cell>
          <cell r="L187" t="str">
            <v>B</v>
          </cell>
          <cell r="M187" t="str">
            <v>S</v>
          </cell>
          <cell r="P187" t="e">
            <v>#REF!</v>
          </cell>
        </row>
        <row r="188">
          <cell r="A188" t="str">
            <v>Scimitar</v>
          </cell>
          <cell r="C188" t="str">
            <v>M</v>
          </cell>
          <cell r="D188" t="str">
            <v>O</v>
          </cell>
          <cell r="E188">
            <v>5</v>
          </cell>
          <cell r="G188">
            <v>18</v>
          </cell>
          <cell r="H188">
            <v>2</v>
          </cell>
          <cell r="K188">
            <v>4</v>
          </cell>
          <cell r="L188" t="str">
            <v>S</v>
          </cell>
          <cell r="P188" t="b">
            <v>0</v>
          </cell>
        </row>
        <row r="189">
          <cell r="A189" t="str">
            <v>Scimitar, Double</v>
          </cell>
          <cell r="C189" t="str">
            <v>E</v>
          </cell>
          <cell r="D189" t="str">
            <v>T</v>
          </cell>
          <cell r="E189">
            <v>5</v>
          </cell>
          <cell r="F189">
            <v>5</v>
          </cell>
          <cell r="G189">
            <v>18</v>
          </cell>
          <cell r="H189">
            <v>2</v>
          </cell>
          <cell r="I189">
            <v>2</v>
          </cell>
          <cell r="K189">
            <v>15</v>
          </cell>
          <cell r="L189" t="str">
            <v>S</v>
          </cell>
        </row>
        <row r="190">
          <cell r="A190" t="str">
            <v>Scimitar, Great</v>
          </cell>
          <cell r="C190" t="str">
            <v>E</v>
          </cell>
          <cell r="D190" t="str">
            <v>O</v>
          </cell>
          <cell r="E190">
            <v>6</v>
          </cell>
          <cell r="G190">
            <v>18</v>
          </cell>
          <cell r="H190">
            <v>2</v>
          </cell>
          <cell r="K190">
            <v>8</v>
          </cell>
          <cell r="L190" t="str">
            <v>S</v>
          </cell>
          <cell r="O190" t="str">
            <v>X</v>
          </cell>
        </row>
        <row r="191">
          <cell r="A191" t="str">
            <v>Scimitar, Valenar double</v>
          </cell>
          <cell r="C191" t="str">
            <v>E</v>
          </cell>
          <cell r="D191" t="str">
            <v>T</v>
          </cell>
          <cell r="E191">
            <v>5</v>
          </cell>
          <cell r="F191">
            <v>5</v>
          </cell>
          <cell r="G191">
            <v>18</v>
          </cell>
          <cell r="H191">
            <v>2</v>
          </cell>
          <cell r="I191">
            <v>2</v>
          </cell>
          <cell r="K191">
            <v>15</v>
          </cell>
          <cell r="L191" t="str">
            <v>S</v>
          </cell>
          <cell r="O191" t="str">
            <v/>
          </cell>
          <cell r="P191" t="b">
            <v>0</v>
          </cell>
        </row>
        <row r="192">
          <cell r="A192" t="str">
            <v>Scourge</v>
          </cell>
          <cell r="C192" t="str">
            <v>E</v>
          </cell>
          <cell r="D192" t="str">
            <v>O</v>
          </cell>
          <cell r="E192">
            <v>6</v>
          </cell>
          <cell r="G192">
            <v>20</v>
          </cell>
          <cell r="H192">
            <v>2</v>
          </cell>
          <cell r="K192">
            <v>2</v>
          </cell>
          <cell r="L192" t="str">
            <v>S</v>
          </cell>
        </row>
        <row r="193">
          <cell r="A193" t="str">
            <v>Scythe</v>
          </cell>
          <cell r="C193" t="str">
            <v>M</v>
          </cell>
          <cell r="D193" t="str">
            <v>T</v>
          </cell>
          <cell r="E193">
            <v>9</v>
          </cell>
          <cell r="G193">
            <v>20</v>
          </cell>
          <cell r="H193">
            <v>4</v>
          </cell>
          <cell r="K193">
            <v>10</v>
          </cell>
          <cell r="L193" t="str">
            <v>P/S</v>
          </cell>
          <cell r="P193" t="b">
            <v>0</v>
          </cell>
        </row>
        <row r="194">
          <cell r="A194" t="str">
            <v>Scythe, Crescent</v>
          </cell>
          <cell r="C194" t="str">
            <v>E</v>
          </cell>
          <cell r="D194" t="str">
            <v>T</v>
          </cell>
          <cell r="E194">
            <v>6</v>
          </cell>
          <cell r="F194">
            <v>6</v>
          </cell>
          <cell r="G194">
            <v>20</v>
          </cell>
          <cell r="H194">
            <v>3</v>
          </cell>
          <cell r="I194">
            <v>3</v>
          </cell>
          <cell r="K194">
            <v>20</v>
          </cell>
          <cell r="L194" t="str">
            <v>S</v>
          </cell>
        </row>
        <row r="195">
          <cell r="A195" t="str">
            <v>Sharrash, Talenta</v>
          </cell>
          <cell r="C195" t="str">
            <v>E</v>
          </cell>
          <cell r="D195" t="str">
            <v>T</v>
          </cell>
          <cell r="E195">
            <v>7</v>
          </cell>
          <cell r="G195">
            <v>19</v>
          </cell>
          <cell r="H195">
            <v>2</v>
          </cell>
          <cell r="K195">
            <v>10</v>
          </cell>
          <cell r="L195" t="str">
            <v>S</v>
          </cell>
        </row>
        <row r="196">
          <cell r="A196" t="str">
            <v>Shield, Heavy</v>
          </cell>
          <cell r="C196" t="str">
            <v>M</v>
          </cell>
          <cell r="D196" t="str">
            <v>O</v>
          </cell>
          <cell r="E196">
            <v>4</v>
          </cell>
          <cell r="G196">
            <v>20</v>
          </cell>
          <cell r="H196">
            <v>2</v>
          </cell>
          <cell r="J196" t="str">
            <v>S</v>
          </cell>
          <cell r="K196">
            <v>0</v>
          </cell>
          <cell r="L196" t="str">
            <v>B</v>
          </cell>
        </row>
        <row r="197">
          <cell r="A197" t="str">
            <v>Shield, Light</v>
          </cell>
          <cell r="C197" t="str">
            <v>M</v>
          </cell>
          <cell r="D197" t="str">
            <v>L</v>
          </cell>
          <cell r="E197">
            <v>3</v>
          </cell>
          <cell r="G197">
            <v>20</v>
          </cell>
          <cell r="H197">
            <v>2</v>
          </cell>
          <cell r="J197" t="str">
            <v>S</v>
          </cell>
          <cell r="K197">
            <v>0</v>
          </cell>
          <cell r="L197" t="str">
            <v>B</v>
          </cell>
        </row>
        <row r="198">
          <cell r="A198" t="str">
            <v>Shikomi-Zue</v>
          </cell>
          <cell r="C198" t="str">
            <v>E</v>
          </cell>
          <cell r="D198" t="str">
            <v>T</v>
          </cell>
          <cell r="E198">
            <v>6</v>
          </cell>
          <cell r="G198">
            <v>20</v>
          </cell>
          <cell r="H198">
            <v>3</v>
          </cell>
          <cell r="K198">
            <v>5</v>
          </cell>
          <cell r="L198" t="str">
            <v>P</v>
          </cell>
          <cell r="P198" t="b">
            <v>0</v>
          </cell>
        </row>
        <row r="199">
          <cell r="A199" t="str">
            <v>Shortbow</v>
          </cell>
          <cell r="C199" t="str">
            <v>M</v>
          </cell>
          <cell r="D199" t="str">
            <v>R</v>
          </cell>
          <cell r="E199">
            <v>5</v>
          </cell>
          <cell r="G199">
            <v>20</v>
          </cell>
          <cell r="H199">
            <v>3</v>
          </cell>
          <cell r="J199">
            <v>60</v>
          </cell>
          <cell r="K199">
            <v>2</v>
          </cell>
          <cell r="L199" t="str">
            <v>P</v>
          </cell>
          <cell r="P199" t="e">
            <v>#REF!</v>
          </cell>
        </row>
        <row r="200">
          <cell r="A200" t="str">
            <v>Shortbow, Composite</v>
          </cell>
          <cell r="C200" t="str">
            <v>M</v>
          </cell>
          <cell r="D200" t="str">
            <v>R</v>
          </cell>
          <cell r="E200">
            <v>5</v>
          </cell>
          <cell r="G200">
            <v>20</v>
          </cell>
          <cell r="H200">
            <v>3</v>
          </cell>
          <cell r="J200">
            <v>70</v>
          </cell>
          <cell r="K200">
            <v>2</v>
          </cell>
          <cell r="L200" t="str">
            <v>P</v>
          </cell>
          <cell r="O200" t="str">
            <v>M</v>
          </cell>
          <cell r="P200" t="e">
            <v>#REF!</v>
          </cell>
        </row>
        <row r="201">
          <cell r="A201" t="str">
            <v>Shortspear</v>
          </cell>
          <cell r="C201" t="str">
            <v>S</v>
          </cell>
          <cell r="D201" t="str">
            <v>O</v>
          </cell>
          <cell r="E201">
            <v>5</v>
          </cell>
          <cell r="G201">
            <v>20</v>
          </cell>
          <cell r="H201">
            <v>2</v>
          </cell>
          <cell r="J201">
            <v>20</v>
          </cell>
          <cell r="K201">
            <v>3</v>
          </cell>
          <cell r="L201" t="str">
            <v>P</v>
          </cell>
          <cell r="P201" t="b">
            <v>0</v>
          </cell>
        </row>
        <row r="202">
          <cell r="A202" t="str">
            <v>Shotput, Orc</v>
          </cell>
          <cell r="C202" t="str">
            <v>E</v>
          </cell>
          <cell r="D202" t="str">
            <v>R</v>
          </cell>
          <cell r="E202">
            <v>10</v>
          </cell>
          <cell r="G202">
            <v>19</v>
          </cell>
          <cell r="H202">
            <v>3</v>
          </cell>
          <cell r="J202">
            <v>10</v>
          </cell>
          <cell r="K202">
            <v>15</v>
          </cell>
          <cell r="L202" t="str">
            <v>B</v>
          </cell>
          <cell r="O202" t="str">
            <v>T</v>
          </cell>
          <cell r="P202" t="b">
            <v>0</v>
          </cell>
        </row>
        <row r="203">
          <cell r="A203" t="str">
            <v>Shuriken</v>
          </cell>
          <cell r="C203" t="str">
            <v>E</v>
          </cell>
          <cell r="D203" t="str">
            <v>R</v>
          </cell>
          <cell r="E203">
            <v>2</v>
          </cell>
          <cell r="G203">
            <v>20</v>
          </cell>
          <cell r="H203">
            <v>2</v>
          </cell>
          <cell r="J203">
            <v>10</v>
          </cell>
          <cell r="K203">
            <v>0.5</v>
          </cell>
          <cell r="L203" t="str">
            <v>P</v>
          </cell>
          <cell r="O203" t="str">
            <v>U,T</v>
          </cell>
          <cell r="P203" t="b">
            <v>0</v>
          </cell>
        </row>
        <row r="204">
          <cell r="A204" t="str">
            <v>Siangham</v>
          </cell>
          <cell r="C204" t="str">
            <v>E</v>
          </cell>
          <cell r="D204" t="str">
            <v>L</v>
          </cell>
          <cell r="E204">
            <v>5</v>
          </cell>
          <cell r="G204">
            <v>20</v>
          </cell>
          <cell r="H204">
            <v>2</v>
          </cell>
          <cell r="K204">
            <v>1</v>
          </cell>
          <cell r="L204" t="str">
            <v>P</v>
          </cell>
          <cell r="O204" t="str">
            <v>U</v>
          </cell>
          <cell r="P204" t="b">
            <v>0</v>
          </cell>
        </row>
        <row r="205">
          <cell r="A205" t="str">
            <v>Sickle</v>
          </cell>
          <cell r="C205" t="str">
            <v>S</v>
          </cell>
          <cell r="D205" t="str">
            <v>L</v>
          </cell>
          <cell r="E205">
            <v>5</v>
          </cell>
          <cell r="G205">
            <v>20</v>
          </cell>
          <cell r="H205">
            <v>2</v>
          </cell>
          <cell r="K205">
            <v>2</v>
          </cell>
          <cell r="L205" t="str">
            <v>S</v>
          </cell>
          <cell r="P205" t="b">
            <v>0</v>
          </cell>
        </row>
        <row r="206">
          <cell r="A206" t="str">
            <v>Sickle, Heavy</v>
          </cell>
          <cell r="C206" t="str">
            <v>S</v>
          </cell>
          <cell r="D206" t="str">
            <v>O</v>
          </cell>
          <cell r="E206">
            <v>6</v>
          </cell>
          <cell r="G206">
            <v>20</v>
          </cell>
          <cell r="H206">
            <v>2</v>
          </cell>
          <cell r="K206">
            <v>6</v>
          </cell>
          <cell r="L206" t="str">
            <v>S</v>
          </cell>
        </row>
        <row r="207">
          <cell r="A207" t="str">
            <v>Skipdisk, Razor</v>
          </cell>
          <cell r="C207" t="str">
            <v>E</v>
          </cell>
          <cell r="D207" t="str">
            <v>R</v>
          </cell>
          <cell r="E207">
            <v>5</v>
          </cell>
          <cell r="G207">
            <v>18</v>
          </cell>
          <cell r="H207">
            <v>2</v>
          </cell>
          <cell r="J207">
            <v>10</v>
          </cell>
          <cell r="K207">
            <v>2</v>
          </cell>
          <cell r="L207" t="str">
            <v>S</v>
          </cell>
        </row>
        <row r="208">
          <cell r="A208" t="str">
            <v>Skiprock</v>
          </cell>
          <cell r="C208" t="str">
            <v>E</v>
          </cell>
          <cell r="D208" t="str">
            <v>R</v>
          </cell>
          <cell r="E208">
            <v>5</v>
          </cell>
          <cell r="G208">
            <v>20</v>
          </cell>
          <cell r="H208">
            <v>2</v>
          </cell>
          <cell r="J208">
            <v>15</v>
          </cell>
          <cell r="K208">
            <v>0.25</v>
          </cell>
          <cell r="L208" t="str">
            <v>B</v>
          </cell>
        </row>
        <row r="209">
          <cell r="A209" t="str">
            <v>Sling</v>
          </cell>
          <cell r="C209" t="str">
            <v>S</v>
          </cell>
          <cell r="D209" t="str">
            <v>R</v>
          </cell>
          <cell r="E209">
            <v>4</v>
          </cell>
          <cell r="G209">
            <v>20</v>
          </cell>
          <cell r="H209">
            <v>2</v>
          </cell>
          <cell r="J209">
            <v>50</v>
          </cell>
          <cell r="K209">
            <v>0</v>
          </cell>
          <cell r="L209" t="str">
            <v>B</v>
          </cell>
          <cell r="P209" t="e">
            <v>#REF!</v>
          </cell>
        </row>
        <row r="210">
          <cell r="A210" t="str">
            <v>Sling, War</v>
          </cell>
          <cell r="C210" t="str">
            <v>E</v>
          </cell>
          <cell r="D210" t="str">
            <v>R</v>
          </cell>
          <cell r="E210">
            <v>6</v>
          </cell>
          <cell r="G210">
            <v>20</v>
          </cell>
          <cell r="H210">
            <v>4</v>
          </cell>
          <cell r="J210">
            <v>50</v>
          </cell>
          <cell r="K210">
            <v>1</v>
          </cell>
          <cell r="L210" t="str">
            <v>B</v>
          </cell>
        </row>
        <row r="211">
          <cell r="A211" t="str">
            <v>Smokebomb</v>
          </cell>
          <cell r="C211" t="str">
            <v>E</v>
          </cell>
          <cell r="D211" t="str">
            <v>R</v>
          </cell>
          <cell r="E211">
            <v>13</v>
          </cell>
          <cell r="J211">
            <v>10</v>
          </cell>
          <cell r="K211">
            <v>1</v>
          </cell>
          <cell r="L211" t="str">
            <v>*</v>
          </cell>
        </row>
        <row r="212">
          <cell r="A212" t="str">
            <v>Spear</v>
          </cell>
          <cell r="C212" t="str">
            <v>S</v>
          </cell>
          <cell r="D212" t="str">
            <v>T</v>
          </cell>
          <cell r="E212">
            <v>6</v>
          </cell>
          <cell r="G212">
            <v>20</v>
          </cell>
          <cell r="H212">
            <v>3</v>
          </cell>
          <cell r="J212">
            <v>20</v>
          </cell>
          <cell r="K212">
            <v>6</v>
          </cell>
          <cell r="L212" t="str">
            <v>P</v>
          </cell>
          <cell r="P212" t="b">
            <v>0</v>
          </cell>
        </row>
        <row r="213">
          <cell r="A213" t="str">
            <v>Spear, Dwarven double</v>
          </cell>
          <cell r="C213" t="str">
            <v>E</v>
          </cell>
          <cell r="D213" t="str">
            <v>T</v>
          </cell>
          <cell r="E213">
            <v>6</v>
          </cell>
          <cell r="F213">
            <v>6</v>
          </cell>
          <cell r="G213">
            <v>20</v>
          </cell>
          <cell r="H213">
            <v>3</v>
          </cell>
          <cell r="I213">
            <v>3</v>
          </cell>
          <cell r="K213">
            <v>15</v>
          </cell>
          <cell r="L213" t="str">
            <v>S/P</v>
          </cell>
          <cell r="O213" t="str">
            <v/>
          </cell>
          <cell r="P213" t="b">
            <v>0</v>
          </cell>
        </row>
        <row r="214">
          <cell r="A214" t="str">
            <v>Spear Spikard</v>
          </cell>
          <cell r="C214" t="str">
            <v>E</v>
          </cell>
          <cell r="D214" t="str">
            <v>O</v>
          </cell>
          <cell r="E214">
            <v>5</v>
          </cell>
          <cell r="G214">
            <v>20</v>
          </cell>
          <cell r="H214">
            <v>2</v>
          </cell>
          <cell r="J214">
            <v>20</v>
          </cell>
          <cell r="K214">
            <v>3</v>
          </cell>
          <cell r="L214" t="str">
            <v>P</v>
          </cell>
        </row>
        <row r="215">
          <cell r="A215" t="str">
            <v>Spearthrower</v>
          </cell>
          <cell r="C215" t="str">
            <v>S</v>
          </cell>
          <cell r="D215" t="str">
            <v>O</v>
          </cell>
          <cell r="E215">
            <v>5</v>
          </cell>
          <cell r="G215">
            <v>20</v>
          </cell>
          <cell r="H215">
            <v>3</v>
          </cell>
          <cell r="J215">
            <v>35</v>
          </cell>
          <cell r="K215">
            <v>3</v>
          </cell>
          <cell r="L215" t="str">
            <v>P</v>
          </cell>
        </row>
        <row r="216">
          <cell r="A216" t="str">
            <v>Spiked Armor</v>
          </cell>
          <cell r="C216" t="str">
            <v>M</v>
          </cell>
          <cell r="D216" t="str">
            <v>L</v>
          </cell>
          <cell r="E216">
            <v>5</v>
          </cell>
          <cell r="G216">
            <v>20</v>
          </cell>
          <cell r="H216">
            <v>2</v>
          </cell>
          <cell r="K216">
            <v>0</v>
          </cell>
          <cell r="L216" t="str">
            <v>P</v>
          </cell>
        </row>
        <row r="217">
          <cell r="A217" t="str">
            <v>Spiked Shield, Heavy</v>
          </cell>
          <cell r="C217" t="str">
            <v>M</v>
          </cell>
          <cell r="D217" t="str">
            <v>O</v>
          </cell>
          <cell r="E217">
            <v>5</v>
          </cell>
          <cell r="G217">
            <v>20</v>
          </cell>
          <cell r="H217">
            <v>2</v>
          </cell>
          <cell r="J217" t="str">
            <v>S</v>
          </cell>
          <cell r="K217">
            <v>0</v>
          </cell>
          <cell r="L217" t="str">
            <v>P</v>
          </cell>
        </row>
        <row r="218">
          <cell r="A218" t="str">
            <v>Spiked Shield, Light</v>
          </cell>
          <cell r="C218" t="str">
            <v>M</v>
          </cell>
          <cell r="D218" t="str">
            <v>L</v>
          </cell>
          <cell r="E218">
            <v>4</v>
          </cell>
          <cell r="G218">
            <v>20</v>
          </cell>
          <cell r="H218">
            <v>2</v>
          </cell>
          <cell r="J218" t="str">
            <v>S</v>
          </cell>
          <cell r="K218">
            <v>0</v>
          </cell>
          <cell r="L218" t="str">
            <v>P</v>
          </cell>
        </row>
        <row r="219">
          <cell r="A219" t="str">
            <v>Stabaxe</v>
          </cell>
          <cell r="C219" t="str">
            <v>M</v>
          </cell>
          <cell r="D219" t="str">
            <v>L</v>
          </cell>
          <cell r="E219">
            <v>5</v>
          </cell>
          <cell r="G219">
            <v>20</v>
          </cell>
          <cell r="H219">
            <v>3</v>
          </cell>
          <cell r="K219">
            <v>1</v>
          </cell>
          <cell r="L219" t="str">
            <v>P</v>
          </cell>
        </row>
        <row r="220">
          <cell r="A220" t="str">
            <v>Staff, Harpoon</v>
          </cell>
          <cell r="C220" t="str">
            <v>S</v>
          </cell>
          <cell r="D220" t="str">
            <v>T</v>
          </cell>
          <cell r="E220">
            <v>5</v>
          </cell>
          <cell r="G220">
            <v>20</v>
          </cell>
          <cell r="H220">
            <v>3</v>
          </cell>
          <cell r="K220">
            <v>15</v>
          </cell>
          <cell r="L220" t="str">
            <v>P</v>
          </cell>
        </row>
        <row r="221">
          <cell r="A221" t="str">
            <v>Staff, Three-section</v>
          </cell>
          <cell r="C221" t="str">
            <v>E</v>
          </cell>
          <cell r="D221" t="str">
            <v>T</v>
          </cell>
          <cell r="E221">
            <v>6</v>
          </cell>
          <cell r="G221">
            <v>20</v>
          </cell>
          <cell r="H221">
            <v>3</v>
          </cell>
          <cell r="K221">
            <v>8</v>
          </cell>
          <cell r="L221" t="str">
            <v>B</v>
          </cell>
          <cell r="O221" t="str">
            <v>U</v>
          </cell>
        </row>
        <row r="222">
          <cell r="A222" t="str">
            <v>Straightblade</v>
          </cell>
          <cell r="C222" t="str">
            <v>M</v>
          </cell>
          <cell r="D222" t="str">
            <v>L</v>
          </cell>
          <cell r="E222">
            <v>5</v>
          </cell>
          <cell r="G222">
            <v>19</v>
          </cell>
          <cell r="H222">
            <v>2</v>
          </cell>
          <cell r="K222">
            <v>3</v>
          </cell>
          <cell r="L222" t="str">
            <v>S</v>
          </cell>
        </row>
        <row r="223">
          <cell r="A223" t="str">
            <v>Straight Razor</v>
          </cell>
          <cell r="C223" t="str">
            <v>M</v>
          </cell>
          <cell r="D223" t="str">
            <v>T</v>
          </cell>
          <cell r="E223">
            <v>6</v>
          </cell>
          <cell r="G223">
            <v>20</v>
          </cell>
          <cell r="H223">
            <v>3</v>
          </cell>
          <cell r="K223">
            <v>0.5</v>
          </cell>
          <cell r="L223" t="str">
            <v>S</v>
          </cell>
        </row>
        <row r="224">
          <cell r="A224" t="str">
            <v>Steel Fins</v>
          </cell>
          <cell r="C224" t="str">
            <v>E</v>
          </cell>
          <cell r="D224" t="str">
            <v>L</v>
          </cell>
          <cell r="E224">
            <v>4</v>
          </cell>
          <cell r="G224">
            <v>20</v>
          </cell>
          <cell r="H224">
            <v>2</v>
          </cell>
          <cell r="K224">
            <v>2</v>
          </cell>
          <cell r="L224" t="str">
            <v>S</v>
          </cell>
        </row>
        <row r="225">
          <cell r="A225" t="str">
            <v>Sugliin</v>
          </cell>
          <cell r="C225" t="str">
            <v>E</v>
          </cell>
          <cell r="D225" t="str">
            <v>T</v>
          </cell>
          <cell r="E225">
            <v>11</v>
          </cell>
          <cell r="G225">
            <v>20</v>
          </cell>
          <cell r="H225">
            <v>2</v>
          </cell>
          <cell r="K225">
            <v>20</v>
          </cell>
          <cell r="L225" t="str">
            <v>P/S</v>
          </cell>
          <cell r="N225" t="b">
            <v>1</v>
          </cell>
        </row>
        <row r="226">
          <cell r="A226" t="str">
            <v>Sword, Bastard</v>
          </cell>
          <cell r="C226" t="str">
            <v>E</v>
          </cell>
          <cell r="D226" t="str">
            <v>O</v>
          </cell>
          <cell r="E226">
            <v>7</v>
          </cell>
          <cell r="G226">
            <v>19</v>
          </cell>
          <cell r="H226">
            <v>2</v>
          </cell>
          <cell r="K226">
            <v>6</v>
          </cell>
          <cell r="L226" t="str">
            <v>S</v>
          </cell>
          <cell r="O226" t="str">
            <v>X</v>
          </cell>
          <cell r="P226" t="b">
            <v>0</v>
          </cell>
        </row>
        <row r="227">
          <cell r="A227" t="str">
            <v>Sword, Butterfly</v>
          </cell>
          <cell r="C227" t="str">
            <v>E</v>
          </cell>
          <cell r="D227" t="str">
            <v>O</v>
          </cell>
          <cell r="E227">
            <v>5</v>
          </cell>
          <cell r="G227">
            <v>19</v>
          </cell>
          <cell r="H227">
            <v>2</v>
          </cell>
          <cell r="K227">
            <v>2</v>
          </cell>
          <cell r="L227" t="str">
            <v>S</v>
          </cell>
          <cell r="O227" t="str">
            <v>U</v>
          </cell>
        </row>
        <row r="228">
          <cell r="A228" t="str">
            <v>Sword, Short</v>
          </cell>
          <cell r="C228" t="str">
            <v>M</v>
          </cell>
          <cell r="D228" t="str">
            <v>L</v>
          </cell>
          <cell r="E228">
            <v>5</v>
          </cell>
          <cell r="G228">
            <v>19</v>
          </cell>
          <cell r="H228">
            <v>2</v>
          </cell>
          <cell r="K228">
            <v>2</v>
          </cell>
          <cell r="L228" t="str">
            <v>P</v>
          </cell>
          <cell r="P228" t="e">
            <v>#REF!</v>
          </cell>
        </row>
        <row r="229">
          <cell r="A229" t="str">
            <v>Sword, Short Broadblade</v>
          </cell>
          <cell r="C229" t="str">
            <v>E</v>
          </cell>
          <cell r="D229" t="str">
            <v>L</v>
          </cell>
          <cell r="E229">
            <v>5</v>
          </cell>
          <cell r="G229">
            <v>19</v>
          </cell>
          <cell r="H229">
            <v>2</v>
          </cell>
          <cell r="K229">
            <v>3</v>
          </cell>
          <cell r="L229" t="str">
            <v>P</v>
          </cell>
        </row>
        <row r="230">
          <cell r="A230" t="str">
            <v>Sword, Two-bladed</v>
          </cell>
          <cell r="C230" t="str">
            <v>E</v>
          </cell>
          <cell r="D230" t="str">
            <v>T</v>
          </cell>
          <cell r="E230">
            <v>6</v>
          </cell>
          <cell r="F230">
            <v>6</v>
          </cell>
          <cell r="G230">
            <v>19</v>
          </cell>
          <cell r="H230">
            <v>2</v>
          </cell>
          <cell r="I230">
            <v>2</v>
          </cell>
          <cell r="K230">
            <v>10</v>
          </cell>
          <cell r="L230" t="str">
            <v>S</v>
          </cell>
          <cell r="O230" t="str">
            <v/>
          </cell>
        </row>
        <row r="231">
          <cell r="A231" t="str">
            <v>Sword Cane, Dagger</v>
          </cell>
          <cell r="C231" t="str">
            <v>S</v>
          </cell>
          <cell r="D231" t="str">
            <v>T</v>
          </cell>
          <cell r="E231">
            <v>6</v>
          </cell>
          <cell r="G231">
            <v>19</v>
          </cell>
          <cell r="H231">
            <v>2</v>
          </cell>
          <cell r="K231">
            <v>2</v>
          </cell>
          <cell r="L231" t="str">
            <v>P</v>
          </cell>
        </row>
        <row r="232">
          <cell r="A232" t="str">
            <v>Sword Cane, Rapier</v>
          </cell>
          <cell r="C232" t="str">
            <v>M</v>
          </cell>
          <cell r="D232" t="str">
            <v>O</v>
          </cell>
          <cell r="E232">
            <v>5</v>
          </cell>
          <cell r="G232">
            <v>18</v>
          </cell>
          <cell r="H232">
            <v>2</v>
          </cell>
          <cell r="K232">
            <v>2</v>
          </cell>
          <cell r="L232" t="str">
            <v>P</v>
          </cell>
          <cell r="O232" t="str">
            <v>F</v>
          </cell>
        </row>
        <row r="233">
          <cell r="A233" t="str">
            <v>Swordcatcher, Gnome</v>
          </cell>
          <cell r="C233" t="str">
            <v>E</v>
          </cell>
          <cell r="D233" t="str">
            <v>O</v>
          </cell>
          <cell r="E233">
            <v>5</v>
          </cell>
          <cell r="G233">
            <v>19</v>
          </cell>
          <cell r="H233">
            <v>2</v>
          </cell>
          <cell r="K233">
            <v>5</v>
          </cell>
          <cell r="L233" t="str">
            <v>S</v>
          </cell>
          <cell r="O233" t="str">
            <v/>
          </cell>
          <cell r="P233" t="b">
            <v>0</v>
          </cell>
        </row>
        <row r="234">
          <cell r="A234" t="str">
            <v>Tangat, Talenta</v>
          </cell>
          <cell r="C234" t="str">
            <v>E</v>
          </cell>
          <cell r="D234" t="str">
            <v>T</v>
          </cell>
          <cell r="E234">
            <v>7</v>
          </cell>
          <cell r="G234">
            <v>18</v>
          </cell>
          <cell r="H234">
            <v>2</v>
          </cell>
          <cell r="K234">
            <v>8</v>
          </cell>
          <cell r="L234" t="str">
            <v>S</v>
          </cell>
          <cell r="O234" t="str">
            <v/>
          </cell>
        </row>
        <row r="235">
          <cell r="A235" t="str">
            <v>Thinblade, Elven</v>
          </cell>
          <cell r="C235" t="str">
            <v>E</v>
          </cell>
          <cell r="D235" t="str">
            <v>O</v>
          </cell>
          <cell r="E235">
            <v>6</v>
          </cell>
          <cell r="G235">
            <v>18</v>
          </cell>
          <cell r="H235">
            <v>2</v>
          </cell>
          <cell r="K235">
            <v>3</v>
          </cell>
          <cell r="L235" t="str">
            <v>P</v>
          </cell>
          <cell r="O235" t="str">
            <v>F</v>
          </cell>
          <cell r="P235" t="b">
            <v>0</v>
          </cell>
        </row>
        <row r="236">
          <cell r="A236" t="str">
            <v>Thrombash</v>
          </cell>
          <cell r="C236" t="str">
            <v>E</v>
          </cell>
          <cell r="D236" t="str">
            <v>O</v>
          </cell>
          <cell r="E236">
            <v>5</v>
          </cell>
          <cell r="G236">
            <v>20</v>
          </cell>
          <cell r="H236">
            <v>3</v>
          </cell>
          <cell r="J236">
            <v>10</v>
          </cell>
          <cell r="K236">
            <v>3</v>
          </cell>
          <cell r="L236" t="str">
            <v>P/S</v>
          </cell>
        </row>
        <row r="237">
          <cell r="A237" t="str">
            <v>Throwing-knife, Desert</v>
          </cell>
          <cell r="C237" t="str">
            <v>E</v>
          </cell>
          <cell r="D237" t="str">
            <v>R</v>
          </cell>
          <cell r="E237">
            <v>5</v>
          </cell>
          <cell r="G237">
            <v>19</v>
          </cell>
          <cell r="H237">
            <v>2</v>
          </cell>
          <cell r="J237">
            <v>15</v>
          </cell>
          <cell r="K237">
            <v>1</v>
          </cell>
          <cell r="L237" t="str">
            <v>P</v>
          </cell>
        </row>
        <row r="238">
          <cell r="A238" t="str">
            <v>Tonfa</v>
          </cell>
          <cell r="C238" t="str">
            <v>E</v>
          </cell>
          <cell r="D238" t="str">
            <v>O</v>
          </cell>
          <cell r="E238">
            <v>5</v>
          </cell>
          <cell r="G238">
            <v>20</v>
          </cell>
          <cell r="H238">
            <v>2</v>
          </cell>
          <cell r="K238">
            <v>2</v>
          </cell>
          <cell r="L238" t="str">
            <v>B</v>
          </cell>
          <cell r="P238" t="b">
            <v>0</v>
          </cell>
        </row>
        <row r="239">
          <cell r="A239" t="str">
            <v>Tortoise blade, Gnome</v>
          </cell>
          <cell r="C239" t="str">
            <v>E</v>
          </cell>
          <cell r="D239" t="str">
            <v>L</v>
          </cell>
          <cell r="E239">
            <v>5</v>
          </cell>
          <cell r="G239">
            <v>19</v>
          </cell>
          <cell r="H239">
            <v>2</v>
          </cell>
          <cell r="K239">
            <v>3</v>
          </cell>
          <cell r="L239" t="str">
            <v>P</v>
          </cell>
          <cell r="O239" t="str">
            <v/>
          </cell>
          <cell r="P239" t="b">
            <v>0</v>
          </cell>
        </row>
        <row r="240">
          <cell r="A240" t="str">
            <v>Trident</v>
          </cell>
          <cell r="C240" t="str">
            <v>M</v>
          </cell>
          <cell r="D240" t="str">
            <v>O</v>
          </cell>
          <cell r="E240">
            <v>6</v>
          </cell>
          <cell r="G240">
            <v>20</v>
          </cell>
          <cell r="H240">
            <v>2</v>
          </cell>
          <cell r="J240">
            <v>10</v>
          </cell>
          <cell r="K240">
            <v>4</v>
          </cell>
          <cell r="L240" t="str">
            <v>P</v>
          </cell>
          <cell r="P240" t="b">
            <v>0</v>
          </cell>
        </row>
        <row r="241">
          <cell r="A241" t="str">
            <v>Unarmed Strike</v>
          </cell>
          <cell r="C241" t="str">
            <v>S</v>
          </cell>
          <cell r="D241" t="str">
            <v>U</v>
          </cell>
          <cell r="E241">
            <v>3</v>
          </cell>
          <cell r="G241">
            <v>20</v>
          </cell>
          <cell r="H241">
            <v>2</v>
          </cell>
          <cell r="L241" t="str">
            <v>B</v>
          </cell>
          <cell r="M241" t="str">
            <v>S</v>
          </cell>
          <cell r="O241" t="str">
            <v>U</v>
          </cell>
          <cell r="P241" t="b">
            <v>0</v>
          </cell>
        </row>
        <row r="242">
          <cell r="A242" t="str">
            <v>Urgrosh, Dwarven</v>
          </cell>
          <cell r="C242" t="str">
            <v>E</v>
          </cell>
          <cell r="D242" t="str">
            <v>T</v>
          </cell>
          <cell r="E242">
            <v>6</v>
          </cell>
          <cell r="F242">
            <v>5</v>
          </cell>
          <cell r="G242">
            <v>20</v>
          </cell>
          <cell r="H242">
            <v>3</v>
          </cell>
          <cell r="I242">
            <v>3</v>
          </cell>
          <cell r="K242">
            <v>12</v>
          </cell>
          <cell r="L242" t="str">
            <v>S/P</v>
          </cell>
          <cell r="O242" t="str">
            <v>R</v>
          </cell>
          <cell r="P242" t="b">
            <v>0</v>
          </cell>
        </row>
        <row r="243">
          <cell r="A243" t="str">
            <v>Wakizashi</v>
          </cell>
          <cell r="B243" t="str">
            <v>OA</v>
          </cell>
          <cell r="C243" t="str">
            <v>M</v>
          </cell>
          <cell r="D243" t="str">
            <v>L</v>
          </cell>
          <cell r="E243">
            <v>5</v>
          </cell>
          <cell r="G243">
            <v>19</v>
          </cell>
          <cell r="H243">
            <v>2</v>
          </cell>
          <cell r="K243">
            <v>3</v>
          </cell>
          <cell r="L243" t="str">
            <v>S</v>
          </cell>
        </row>
        <row r="244">
          <cell r="A244" t="str">
            <v>War Spikard</v>
          </cell>
          <cell r="C244" t="str">
            <v>E</v>
          </cell>
          <cell r="D244" t="str">
            <v>T</v>
          </cell>
          <cell r="E244">
            <v>6</v>
          </cell>
          <cell r="G244">
            <v>20</v>
          </cell>
          <cell r="H244">
            <v>2</v>
          </cell>
          <cell r="K244">
            <v>9</v>
          </cell>
          <cell r="L244" t="str">
            <v>B/P</v>
          </cell>
        </row>
        <row r="245">
          <cell r="A245" t="str">
            <v>Waraxe, Dwarven</v>
          </cell>
          <cell r="C245" t="str">
            <v>E</v>
          </cell>
          <cell r="D245" t="str">
            <v>O</v>
          </cell>
          <cell r="E245">
            <v>7</v>
          </cell>
          <cell r="G245">
            <v>20</v>
          </cell>
          <cell r="H245">
            <v>3</v>
          </cell>
          <cell r="K245">
            <v>8</v>
          </cell>
          <cell r="L245" t="str">
            <v>S</v>
          </cell>
          <cell r="O245" t="str">
            <v>R</v>
          </cell>
          <cell r="P245" t="b">
            <v>0</v>
          </cell>
        </row>
        <row r="246">
          <cell r="A246" t="str">
            <v>Warhammer</v>
          </cell>
          <cell r="C246" t="str">
            <v>M</v>
          </cell>
          <cell r="D246" t="str">
            <v>O</v>
          </cell>
          <cell r="E246">
            <v>6</v>
          </cell>
          <cell r="G246">
            <v>20</v>
          </cell>
          <cell r="H246">
            <v>3</v>
          </cell>
          <cell r="K246">
            <v>5</v>
          </cell>
          <cell r="L246" t="str">
            <v>B</v>
          </cell>
        </row>
        <row r="247">
          <cell r="A247" t="str">
            <v>Warmace</v>
          </cell>
          <cell r="C247" t="str">
            <v>E</v>
          </cell>
          <cell r="D247" t="str">
            <v>O</v>
          </cell>
          <cell r="E247">
            <v>8</v>
          </cell>
          <cell r="G247">
            <v>20</v>
          </cell>
          <cell r="H247">
            <v>2</v>
          </cell>
          <cell r="K247">
            <v>10</v>
          </cell>
          <cell r="L247" t="str">
            <v>B</v>
          </cell>
          <cell r="O247" t="str">
            <v>X</v>
          </cell>
        </row>
        <row r="248">
          <cell r="A248" t="str">
            <v>Warpike, Dwarven</v>
          </cell>
          <cell r="C248" t="str">
            <v>E</v>
          </cell>
          <cell r="D248" t="str">
            <v>T</v>
          </cell>
          <cell r="E248">
            <v>10</v>
          </cell>
          <cell r="G248">
            <v>20</v>
          </cell>
          <cell r="H248">
            <v>3</v>
          </cell>
          <cell r="K248">
            <v>15</v>
          </cell>
          <cell r="L248" t="str">
            <v>S/P</v>
          </cell>
          <cell r="N248" t="b">
            <v>1</v>
          </cell>
          <cell r="O248" t="str">
            <v/>
          </cell>
          <cell r="P248" t="b">
            <v>0</v>
          </cell>
        </row>
        <row r="249">
          <cell r="A249" t="str">
            <v>Whip</v>
          </cell>
          <cell r="C249" t="str">
            <v>E</v>
          </cell>
          <cell r="D249" t="str">
            <v>O</v>
          </cell>
          <cell r="E249">
            <v>3</v>
          </cell>
          <cell r="G249">
            <v>20</v>
          </cell>
          <cell r="H249">
            <v>2</v>
          </cell>
          <cell r="K249">
            <v>2</v>
          </cell>
          <cell r="L249" t="str">
            <v>S</v>
          </cell>
          <cell r="M249" t="str">
            <v>S</v>
          </cell>
          <cell r="N249" t="b">
            <v>1</v>
          </cell>
          <cell r="O249" t="str">
            <v>M,F</v>
          </cell>
          <cell r="P249" t="b">
            <v>0</v>
          </cell>
        </row>
        <row r="250">
          <cell r="A250" t="str">
            <v>Whip, Scorpion-tail</v>
          </cell>
          <cell r="C250" t="str">
            <v>E</v>
          </cell>
          <cell r="D250" t="str">
            <v>O</v>
          </cell>
          <cell r="E250">
            <v>4</v>
          </cell>
          <cell r="G250">
            <v>20</v>
          </cell>
          <cell r="H250">
            <v>2</v>
          </cell>
          <cell r="K250">
            <v>3</v>
          </cell>
          <cell r="L250" t="str">
            <v>S/P</v>
          </cell>
        </row>
        <row r="251">
          <cell r="A251" t="str">
            <v>Whip, Stingray</v>
          </cell>
          <cell r="C251" t="str">
            <v>E</v>
          </cell>
          <cell r="D251" t="str">
            <v>O</v>
          </cell>
          <cell r="E251">
            <v>5</v>
          </cell>
          <cell r="G251">
            <v>20</v>
          </cell>
          <cell r="H251">
            <v>3</v>
          </cell>
          <cell r="K251">
            <v>3</v>
          </cell>
          <cell r="L251" t="str">
            <v>S/P</v>
          </cell>
          <cell r="N251" t="b">
            <v>1</v>
          </cell>
          <cell r="O251" t="str">
            <v>F</v>
          </cell>
        </row>
        <row r="252">
          <cell r="A252" t="str">
            <v>Whip-dagger</v>
          </cell>
          <cell r="C252" t="str">
            <v>E</v>
          </cell>
          <cell r="D252" t="str">
            <v>O</v>
          </cell>
          <cell r="E252">
            <v>5</v>
          </cell>
          <cell r="G252">
            <v>19</v>
          </cell>
          <cell r="H252">
            <v>2</v>
          </cell>
          <cell r="K252">
            <v>3</v>
          </cell>
          <cell r="L252" t="str">
            <v>S</v>
          </cell>
          <cell r="N252" t="b">
            <v>1</v>
          </cell>
          <cell r="O252" t="str">
            <v>M,F</v>
          </cell>
          <cell r="P252" t="b">
            <v>0</v>
          </cell>
        </row>
        <row r="253">
          <cell r="A253" t="str">
            <v>Grapple</v>
          </cell>
          <cell r="C253" t="str">
            <v>S</v>
          </cell>
          <cell r="D253" t="str">
            <v>U</v>
          </cell>
          <cell r="E253">
            <v>3</v>
          </cell>
          <cell r="G253">
            <v>20</v>
          </cell>
          <cell r="H253">
            <v>2</v>
          </cell>
          <cell r="L253" t="str">
            <v>B</v>
          </cell>
          <cell r="M253" t="str">
            <v>S</v>
          </cell>
        </row>
        <row r="254">
          <cell r="A254" t="str">
            <v>Touch</v>
          </cell>
          <cell r="C254" t="str">
            <v>S</v>
          </cell>
          <cell r="D254" t="str">
            <v>U</v>
          </cell>
          <cell r="E254">
            <v>13</v>
          </cell>
          <cell r="G254">
            <v>20</v>
          </cell>
          <cell r="H254">
            <v>2</v>
          </cell>
          <cell r="L254" t="str">
            <v>*</v>
          </cell>
        </row>
        <row r="255">
          <cell r="A255" t="str">
            <v>Ray</v>
          </cell>
          <cell r="C255" t="str">
            <v>S</v>
          </cell>
          <cell r="D255" t="str">
            <v>R</v>
          </cell>
          <cell r="E255">
            <v>13</v>
          </cell>
          <cell r="G255">
            <v>20</v>
          </cell>
          <cell r="H255">
            <v>2</v>
          </cell>
          <cell r="L255" t="str">
            <v>*</v>
          </cell>
        </row>
        <row r="256">
          <cell r="A256" t="str">
            <v>Energy Missile</v>
          </cell>
          <cell r="C256" t="str">
            <v>S</v>
          </cell>
          <cell r="D256" t="str">
            <v>R</v>
          </cell>
          <cell r="E256">
            <v>13</v>
          </cell>
          <cell r="G256">
            <v>20</v>
          </cell>
          <cell r="H256">
            <v>2</v>
          </cell>
          <cell r="L256" t="str">
            <v>*</v>
          </cell>
        </row>
        <row r="257">
          <cell r="A257" t="str">
            <v>Spellfire</v>
          </cell>
          <cell r="C257" t="str">
            <v>S</v>
          </cell>
          <cell r="D257" t="str">
            <v>R</v>
          </cell>
          <cell r="E257">
            <v>13</v>
          </cell>
          <cell r="G257">
            <v>20</v>
          </cell>
          <cell r="H257">
            <v>2</v>
          </cell>
          <cell r="L257" t="str">
            <v>*</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O518"/>
  <sheetViews>
    <sheetView tabSelected="1" zoomScaleNormal="100" workbookViewId="0">
      <pane xSplit="1" ySplit="1" topLeftCell="B477" activePane="bottomRight" state="frozen"/>
      <selection pane="topRight" activeCell="B1" sqref="B1"/>
      <selection pane="bottomLeft" activeCell="A2" sqref="A2"/>
      <selection pane="bottomRight" activeCell="K517" sqref="K517"/>
    </sheetView>
  </sheetViews>
  <sheetFormatPr defaultRowHeight="15"/>
  <cols>
    <col min="1" max="1" width="20.5703125" bestFit="1" customWidth="1"/>
    <col min="30" max="30" width="3.28515625" bestFit="1" customWidth="1"/>
    <col min="31" max="31" width="3.85546875" bestFit="1" customWidth="1"/>
    <col min="32" max="32" width="4.140625" bestFit="1" customWidth="1"/>
    <col min="33" max="33" width="3" bestFit="1" customWidth="1"/>
    <col min="34" max="34" width="3.85546875" bestFit="1" customWidth="1"/>
    <col min="35" max="35" width="4" bestFit="1" customWidth="1"/>
    <col min="36" max="36" width="5.85546875" bestFit="1" customWidth="1"/>
    <col min="37" max="37" width="6.42578125" bestFit="1" customWidth="1"/>
    <col min="38" max="38" width="6.7109375" bestFit="1" customWidth="1"/>
    <col min="39" max="39" width="5.5703125" bestFit="1" customWidth="1"/>
    <col min="40" max="40" width="6.42578125" bestFit="1" customWidth="1"/>
    <col min="41" max="41" width="6.5703125" bestFit="1" customWidth="1"/>
    <col min="42" max="42" width="130.7109375" bestFit="1" customWidth="1"/>
    <col min="43" max="43" width="27.5703125" bestFit="1" customWidth="1"/>
    <col min="44" max="44" width="59.5703125" bestFit="1" customWidth="1"/>
  </cols>
  <sheetData>
    <row r="1" spans="1:67" ht="34.5">
      <c r="A1" s="1" t="s">
        <v>1744</v>
      </c>
      <c r="B1" s="2" t="s">
        <v>0</v>
      </c>
      <c r="C1" s="2" t="s">
        <v>1745</v>
      </c>
      <c r="D1" s="2" t="s">
        <v>1746</v>
      </c>
      <c r="E1" s="2" t="s">
        <v>1</v>
      </c>
      <c r="F1" s="2" t="s">
        <v>2</v>
      </c>
      <c r="G1" s="2" t="s">
        <v>3</v>
      </c>
      <c r="H1" s="2" t="s">
        <v>4</v>
      </c>
      <c r="I1" s="2" t="s">
        <v>5</v>
      </c>
      <c r="J1" s="2" t="s">
        <v>6</v>
      </c>
      <c r="K1" s="2" t="s">
        <v>7</v>
      </c>
      <c r="L1" s="2" t="s">
        <v>8</v>
      </c>
      <c r="M1" s="2" t="s">
        <v>9</v>
      </c>
      <c r="N1" s="2" t="s">
        <v>10</v>
      </c>
      <c r="O1" s="2" t="s">
        <v>11</v>
      </c>
      <c r="P1" s="3" t="s">
        <v>12</v>
      </c>
      <c r="Q1" s="2" t="s">
        <v>13</v>
      </c>
      <c r="R1" s="2" t="s">
        <v>14</v>
      </c>
      <c r="S1" s="2" t="s">
        <v>15</v>
      </c>
      <c r="T1" s="2" t="s">
        <v>16</v>
      </c>
      <c r="U1" s="2" t="s">
        <v>17</v>
      </c>
      <c r="V1" s="2" t="s">
        <v>18</v>
      </c>
      <c r="W1" s="2" t="s">
        <v>19</v>
      </c>
      <c r="X1" s="2" t="s">
        <v>20</v>
      </c>
      <c r="Y1" s="2" t="s">
        <v>21</v>
      </c>
      <c r="Z1" s="2" t="s">
        <v>22</v>
      </c>
      <c r="AA1" s="2" t="s">
        <v>23</v>
      </c>
      <c r="AB1" s="2" t="s">
        <v>24</v>
      </c>
      <c r="AC1" s="2" t="s">
        <v>25</v>
      </c>
      <c r="AD1" s="2" t="s">
        <v>26</v>
      </c>
      <c r="AE1" s="2" t="s">
        <v>27</v>
      </c>
      <c r="AF1" s="2" t="s">
        <v>28</v>
      </c>
      <c r="AG1" s="2" t="s">
        <v>29</v>
      </c>
      <c r="AH1" s="2" t="s">
        <v>30</v>
      </c>
      <c r="AI1" s="2" t="s">
        <v>31</v>
      </c>
      <c r="AJ1" s="2" t="s">
        <v>1764</v>
      </c>
      <c r="AK1" s="2" t="s">
        <v>1765</v>
      </c>
      <c r="AL1" s="2" t="s">
        <v>1766</v>
      </c>
      <c r="AM1" s="2" t="s">
        <v>1767</v>
      </c>
      <c r="AN1" s="2" t="s">
        <v>1768</v>
      </c>
      <c r="AO1" s="2" t="s">
        <v>1769</v>
      </c>
      <c r="AP1" s="2" t="s">
        <v>32</v>
      </c>
      <c r="AQ1" s="2" t="s">
        <v>1770</v>
      </c>
      <c r="AR1" s="2" t="s">
        <v>1771</v>
      </c>
      <c r="AS1" s="2" t="s">
        <v>33</v>
      </c>
      <c r="AT1" s="2" t="s">
        <v>1747</v>
      </c>
      <c r="AU1" s="2" t="s">
        <v>34</v>
      </c>
      <c r="AV1" s="2" t="s">
        <v>35</v>
      </c>
      <c r="AW1" s="2" t="s">
        <v>36</v>
      </c>
      <c r="AX1" s="2" t="s">
        <v>37</v>
      </c>
      <c r="AY1" s="2" t="s">
        <v>1748</v>
      </c>
      <c r="AZ1" s="2" t="s">
        <v>38</v>
      </c>
      <c r="BA1" s="2" t="s">
        <v>39</v>
      </c>
      <c r="BB1" s="2" t="s">
        <v>40</v>
      </c>
      <c r="BC1" s="9" t="s">
        <v>1608</v>
      </c>
      <c r="BD1" s="9"/>
      <c r="BE1" s="9" t="s">
        <v>1599</v>
      </c>
      <c r="BF1" s="9" t="s">
        <v>1600</v>
      </c>
      <c r="BG1" s="9" t="s">
        <v>1601</v>
      </c>
      <c r="BH1" s="9" t="s">
        <v>1602</v>
      </c>
      <c r="BI1" s="9" t="s">
        <v>1812</v>
      </c>
      <c r="BJ1" s="9" t="s">
        <v>1603</v>
      </c>
      <c r="BK1" s="9" t="s">
        <v>1604</v>
      </c>
      <c r="BL1" s="9" t="s">
        <v>1605</v>
      </c>
      <c r="BM1" s="9" t="s">
        <v>1606</v>
      </c>
      <c r="BN1" s="9" t="s">
        <v>1607</v>
      </c>
      <c r="BO1" s="9" t="s">
        <v>1751</v>
      </c>
    </row>
    <row r="2" spans="1:67">
      <c r="A2" s="4" t="s">
        <v>1811</v>
      </c>
      <c r="B2" s="5"/>
      <c r="C2" s="5"/>
      <c r="D2" s="5"/>
      <c r="E2" s="5"/>
      <c r="F2" s="5"/>
      <c r="G2" s="5"/>
      <c r="H2" s="5"/>
      <c r="I2" s="5"/>
      <c r="J2" s="5"/>
      <c r="K2" s="5"/>
      <c r="L2" s="5"/>
      <c r="M2" s="5"/>
      <c r="N2" s="5"/>
      <c r="O2" s="5"/>
      <c r="P2" s="6"/>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M2" s="5"/>
      <c r="BN2" s="5"/>
      <c r="BO2" s="5"/>
    </row>
    <row r="3" spans="1:67">
      <c r="A3" s="4" t="str">
        <f>IF($BD3,INDEX(CustomRace,COLUMN())," Custom Race")</f>
        <v xml:space="preserve"> Custom Race</v>
      </c>
      <c r="B3" s="5" t="str">
        <f>IF($BD3,CLEAN(INDEX(CustomRace,COLUMN())),"")</f>
        <v/>
      </c>
      <c r="C3" s="5" t="str">
        <f>IF($BD3,CLEAN(INDEX(CustomRace,COLUMN())),"")</f>
        <v/>
      </c>
      <c r="D3" s="5" t="str">
        <f>IF($BD3,CLEAN(INDEX(CustomRace,COLUMN())),"")</f>
        <v/>
      </c>
      <c r="E3" s="5" t="str">
        <f>IF($BD3,CLEAN(INDEX(CustomRace,COLUMN())),"")</f>
        <v/>
      </c>
      <c r="F3" s="5">
        <f>IF($BD3,(INDEX(CustomRace,COLUMN())),0)</f>
        <v>0</v>
      </c>
      <c r="G3" s="5" t="str">
        <f t="shared" ref="G3:AB3" si="0">IF($BD3,CLEAN(INDEX(CustomRace,COLUMN())),"")</f>
        <v/>
      </c>
      <c r="H3" s="5" t="str">
        <f t="shared" si="0"/>
        <v/>
      </c>
      <c r="I3" s="5" t="str">
        <f t="shared" si="0"/>
        <v/>
      </c>
      <c r="J3" s="5" t="str">
        <f t="shared" si="0"/>
        <v/>
      </c>
      <c r="K3" s="5" t="str">
        <f t="shared" si="0"/>
        <v/>
      </c>
      <c r="L3" s="5" t="str">
        <f t="shared" si="0"/>
        <v/>
      </c>
      <c r="M3" s="5" t="str">
        <f t="shared" si="0"/>
        <v/>
      </c>
      <c r="N3" s="5" t="str">
        <f t="shared" si="0"/>
        <v/>
      </c>
      <c r="O3" s="5" t="str">
        <f t="shared" si="0"/>
        <v/>
      </c>
      <c r="P3" s="6" t="str">
        <f t="shared" si="0"/>
        <v/>
      </c>
      <c r="Q3" s="5" t="str">
        <f t="shared" si="0"/>
        <v/>
      </c>
      <c r="R3" s="5" t="str">
        <f t="shared" si="0"/>
        <v/>
      </c>
      <c r="S3" s="5" t="str">
        <f t="shared" si="0"/>
        <v/>
      </c>
      <c r="T3" s="5" t="str">
        <f t="shared" si="0"/>
        <v/>
      </c>
      <c r="U3" s="5" t="str">
        <f t="shared" si="0"/>
        <v/>
      </c>
      <c r="V3" s="5" t="str">
        <f t="shared" si="0"/>
        <v/>
      </c>
      <c r="W3" s="5" t="str">
        <f t="shared" si="0"/>
        <v/>
      </c>
      <c r="X3" s="5" t="str">
        <f t="shared" si="0"/>
        <v/>
      </c>
      <c r="Y3" s="5" t="str">
        <f t="shared" si="0"/>
        <v/>
      </c>
      <c r="Z3" s="5" t="str">
        <f t="shared" si="0"/>
        <v/>
      </c>
      <c r="AA3" s="5" t="str">
        <f t="shared" si="0"/>
        <v/>
      </c>
      <c r="AB3" s="5" t="str">
        <f t="shared" si="0"/>
        <v/>
      </c>
      <c r="AC3" s="5" t="str">
        <f t="shared" ref="AC3:AW3" si="1">IF($BD3,CLEAN(INDEX(CustomRace,COLUMN())),"")</f>
        <v/>
      </c>
      <c r="AD3" s="5" t="str">
        <f t="shared" si="1"/>
        <v/>
      </c>
      <c r="AE3" s="5" t="str">
        <f t="shared" si="1"/>
        <v/>
      </c>
      <c r="AF3" s="5" t="str">
        <f t="shared" si="1"/>
        <v/>
      </c>
      <c r="AG3" s="5" t="str">
        <f t="shared" si="1"/>
        <v/>
      </c>
      <c r="AH3" s="5" t="str">
        <f t="shared" si="1"/>
        <v/>
      </c>
      <c r="AI3" s="5" t="str">
        <f t="shared" si="1"/>
        <v/>
      </c>
      <c r="AJ3" s="5"/>
      <c r="AK3" s="5"/>
      <c r="AL3" s="5"/>
      <c r="AM3" s="5"/>
      <c r="AN3" s="5"/>
      <c r="AO3" s="5"/>
      <c r="AP3" s="5" t="str">
        <f t="shared" si="1"/>
        <v/>
      </c>
      <c r="AQ3" s="5"/>
      <c r="AR3" s="5"/>
      <c r="AS3" s="5" t="str">
        <f t="shared" si="1"/>
        <v/>
      </c>
      <c r="AT3" s="5" t="str">
        <f t="shared" si="1"/>
        <v/>
      </c>
      <c r="AU3" s="5" t="str">
        <f t="shared" si="1"/>
        <v/>
      </c>
      <c r="AV3" s="5" t="str">
        <f t="shared" si="1"/>
        <v/>
      </c>
      <c r="AW3" s="5" t="str">
        <f t="shared" si="1"/>
        <v/>
      </c>
      <c r="AX3" s="5" t="str">
        <f>IF($BD3,(INDEX(CustomRace,COLUMN())),"")</f>
        <v/>
      </c>
      <c r="AY3" s="5" t="str">
        <f>IF($BD3,CLEAN(INDEX(CustomRace,COLUMN())),"")</f>
        <v/>
      </c>
      <c r="AZ3" s="5" t="str">
        <f>IF($BD3,CLEAN(INDEX(CustomRace,COLUMN())),"")</f>
        <v/>
      </c>
      <c r="BA3" s="5" t="str">
        <f>IF($BD3,CLEAN(INDEX(CustomRace,COLUMN())),"")</f>
        <v/>
      </c>
      <c r="BB3" s="5" t="str">
        <f>IF($BD3,CLEAN(INDEX(CustomRace,COLUMN())),"")</f>
        <v/>
      </c>
      <c r="BM3" s="5" t="s">
        <v>1714</v>
      </c>
      <c r="BN3" s="5"/>
      <c r="BO3" s="5"/>
    </row>
    <row r="4" spans="1:67">
      <c r="A4" s="4" t="s">
        <v>41</v>
      </c>
      <c r="B4" s="5"/>
      <c r="C4" s="5" t="s">
        <v>42</v>
      </c>
      <c r="D4" s="5" t="s">
        <v>43</v>
      </c>
      <c r="E4" s="5"/>
      <c r="F4" s="5"/>
      <c r="G4" s="5">
        <v>20</v>
      </c>
      <c r="H4" s="5"/>
      <c r="I4" s="5"/>
      <c r="J4" s="5">
        <v>90</v>
      </c>
      <c r="K4" s="5" t="s">
        <v>1271</v>
      </c>
      <c r="L4" s="5"/>
      <c r="M4" s="5">
        <v>1</v>
      </c>
      <c r="N4" s="5" t="s">
        <v>44</v>
      </c>
      <c r="O4" s="5"/>
      <c r="P4" s="6" t="s">
        <v>45</v>
      </c>
      <c r="Q4" s="5"/>
      <c r="R4" s="5"/>
      <c r="S4" s="5"/>
      <c r="T4" s="5"/>
      <c r="U4" s="7"/>
      <c r="V4" s="5"/>
      <c r="W4" s="5" t="s">
        <v>45</v>
      </c>
      <c r="X4" s="5" t="s">
        <v>45</v>
      </c>
      <c r="Y4" s="5"/>
      <c r="Z4" s="5"/>
      <c r="AA4" s="5"/>
      <c r="AB4" s="5"/>
      <c r="AC4" s="5"/>
      <c r="AD4" s="5">
        <v>-2</v>
      </c>
      <c r="AE4" s="5">
        <v>4</v>
      </c>
      <c r="AF4" s="5"/>
      <c r="AG4" s="5"/>
      <c r="AH4" s="5"/>
      <c r="AI4" s="5"/>
      <c r="AJ4" s="5"/>
      <c r="AK4" s="5"/>
      <c r="AL4" s="5"/>
      <c r="AM4" s="5"/>
      <c r="AN4" s="5"/>
      <c r="AO4" s="5"/>
      <c r="AP4" s="5" t="s">
        <v>46</v>
      </c>
      <c r="AQ4" s="5"/>
      <c r="AR4" s="5" t="s">
        <v>1794</v>
      </c>
      <c r="AS4" s="5"/>
      <c r="AT4" s="5" t="s">
        <v>47</v>
      </c>
      <c r="AU4" s="5" t="s">
        <v>48</v>
      </c>
      <c r="AV4" s="5"/>
      <c r="AW4" s="7"/>
      <c r="AX4" s="5">
        <v>2</v>
      </c>
      <c r="AY4" s="5" t="s">
        <v>49</v>
      </c>
      <c r="AZ4" s="5" t="s">
        <v>45</v>
      </c>
      <c r="BA4" s="5" t="s">
        <v>45</v>
      </c>
      <c r="BB4" s="5" t="s">
        <v>45</v>
      </c>
      <c r="BM4" s="5" t="s">
        <v>1625</v>
      </c>
      <c r="BN4" s="5"/>
      <c r="BO4" s="5" t="s">
        <v>1715</v>
      </c>
    </row>
    <row r="5" spans="1:67">
      <c r="A5" s="4" t="s">
        <v>50</v>
      </c>
      <c r="B5" s="5"/>
      <c r="C5" s="5" t="s">
        <v>42</v>
      </c>
      <c r="D5" s="5" t="s">
        <v>51</v>
      </c>
      <c r="E5" s="5" t="s">
        <v>52</v>
      </c>
      <c r="F5" s="5"/>
      <c r="G5" s="5">
        <v>30</v>
      </c>
      <c r="H5" s="5"/>
      <c r="I5" s="5"/>
      <c r="J5" s="5">
        <f>G5*FtOutsiderWings</f>
        <v>0</v>
      </c>
      <c r="K5" s="5" t="str">
        <f>IF(J5&gt;0,"average","")</f>
        <v/>
      </c>
      <c r="L5" s="5"/>
      <c r="M5" s="5"/>
      <c r="N5" s="5"/>
      <c r="O5" s="5"/>
      <c r="P5" s="6" t="s">
        <v>45</v>
      </c>
      <c r="Q5" s="5"/>
      <c r="R5" s="5"/>
      <c r="S5" s="5"/>
      <c r="T5" s="5"/>
      <c r="U5" s="7"/>
      <c r="V5" s="5"/>
      <c r="W5" s="5" t="s">
        <v>45</v>
      </c>
      <c r="X5" s="5" t="s">
        <v>53</v>
      </c>
      <c r="Y5" s="5"/>
      <c r="Z5" s="5"/>
      <c r="AA5" s="5"/>
      <c r="AB5" s="5"/>
      <c r="AC5" s="5"/>
      <c r="AD5" s="5">
        <v>13</v>
      </c>
      <c r="AE5" s="5">
        <v>11</v>
      </c>
      <c r="AF5" s="5">
        <v>12</v>
      </c>
      <c r="AG5" s="5">
        <v>10</v>
      </c>
      <c r="AH5" s="5">
        <v>11</v>
      </c>
      <c r="AI5" s="5">
        <v>10</v>
      </c>
      <c r="AJ5" s="5">
        <v>0</v>
      </c>
      <c r="AK5" s="5">
        <v>0</v>
      </c>
      <c r="AL5" s="5">
        <v>0</v>
      </c>
      <c r="AM5" s="5">
        <v>0</v>
      </c>
      <c r="AN5" s="5">
        <v>2</v>
      </c>
      <c r="AO5" s="5">
        <v>2</v>
      </c>
      <c r="AP5" s="5" t="s">
        <v>54</v>
      </c>
      <c r="AQ5" s="5"/>
      <c r="AR5" s="5"/>
      <c r="AS5" s="5"/>
      <c r="AT5" s="5" t="s">
        <v>55</v>
      </c>
      <c r="AU5" s="5" t="s">
        <v>56</v>
      </c>
      <c r="AV5" s="5"/>
      <c r="AW5" s="7"/>
      <c r="AX5" s="5">
        <v>1</v>
      </c>
      <c r="AY5" s="5" t="s">
        <v>57</v>
      </c>
      <c r="AZ5" s="5" t="s">
        <v>58</v>
      </c>
      <c r="BA5" s="5" t="s">
        <v>59</v>
      </c>
      <c r="BB5" s="5" t="s">
        <v>60</v>
      </c>
      <c r="BM5" s="5" t="s">
        <v>1716</v>
      </c>
      <c r="BN5" s="5">
        <v>92</v>
      </c>
      <c r="BO5" s="5" t="s">
        <v>1752</v>
      </c>
    </row>
    <row r="6" spans="1:67">
      <c r="A6" s="4" t="s">
        <v>61</v>
      </c>
      <c r="B6" s="5"/>
      <c r="C6" s="5" t="s">
        <v>62</v>
      </c>
      <c r="D6" s="5" t="s">
        <v>43</v>
      </c>
      <c r="E6" s="5"/>
      <c r="F6" s="5">
        <v>6</v>
      </c>
      <c r="G6" s="5">
        <v>40</v>
      </c>
      <c r="H6" s="5"/>
      <c r="I6" s="5"/>
      <c r="J6" s="5">
        <v>90</v>
      </c>
      <c r="K6" s="5" t="s">
        <v>472</v>
      </c>
      <c r="L6" s="5"/>
      <c r="M6" s="5"/>
      <c r="N6" s="5" t="s">
        <v>63</v>
      </c>
      <c r="O6" s="5"/>
      <c r="P6" s="6" t="s">
        <v>64</v>
      </c>
      <c r="Q6" s="5"/>
      <c r="R6" s="5"/>
      <c r="S6" s="5"/>
      <c r="T6" s="5">
        <v>60</v>
      </c>
      <c r="U6" s="7"/>
      <c r="V6" s="5"/>
      <c r="W6" s="5" t="s">
        <v>45</v>
      </c>
      <c r="X6" s="5" t="s">
        <v>45</v>
      </c>
      <c r="Y6" s="5"/>
      <c r="Z6" s="5" t="s">
        <v>65</v>
      </c>
      <c r="AA6" s="5"/>
      <c r="AB6" s="5"/>
      <c r="AC6" s="5"/>
      <c r="AD6" s="5">
        <v>12</v>
      </c>
      <c r="AE6" s="5">
        <v>2</v>
      </c>
      <c r="AF6" s="5">
        <v>6</v>
      </c>
      <c r="AG6" s="5">
        <v>-2</v>
      </c>
      <c r="AH6" s="5">
        <v>2</v>
      </c>
      <c r="AI6" s="5">
        <v>2</v>
      </c>
      <c r="AJ6" s="5"/>
      <c r="AK6" s="5"/>
      <c r="AL6" s="5"/>
      <c r="AM6" s="5"/>
      <c r="AN6" s="5"/>
      <c r="AO6" s="5"/>
      <c r="AP6" s="5" t="s">
        <v>66</v>
      </c>
      <c r="AQ6" s="5"/>
      <c r="AR6" s="5"/>
      <c r="AS6" s="5"/>
      <c r="AT6" s="5" t="s">
        <v>67</v>
      </c>
      <c r="AU6" s="5"/>
      <c r="AV6" s="5">
        <v>6</v>
      </c>
      <c r="AW6" s="7"/>
      <c r="AX6" s="5">
        <v>5</v>
      </c>
      <c r="AY6" s="5" t="s">
        <v>49</v>
      </c>
      <c r="AZ6" s="5" t="s">
        <v>45</v>
      </c>
      <c r="BA6" s="5" t="s">
        <v>45</v>
      </c>
      <c r="BB6" s="5" t="s">
        <v>45</v>
      </c>
      <c r="BM6" s="5" t="s">
        <v>1717</v>
      </c>
      <c r="BN6" s="5"/>
      <c r="BO6" s="5"/>
    </row>
    <row r="7" spans="1:67">
      <c r="A7" s="4" t="s">
        <v>68</v>
      </c>
      <c r="B7" s="5"/>
      <c r="C7" s="5" t="s">
        <v>62</v>
      </c>
      <c r="D7" s="5" t="s">
        <v>43</v>
      </c>
      <c r="E7" s="5"/>
      <c r="F7" s="5">
        <v>6</v>
      </c>
      <c r="G7" s="5">
        <v>40</v>
      </c>
      <c r="H7" s="5"/>
      <c r="I7" s="5"/>
      <c r="J7" s="5">
        <v>90</v>
      </c>
      <c r="K7" s="5" t="s">
        <v>472</v>
      </c>
      <c r="L7" s="5"/>
      <c r="M7" s="5"/>
      <c r="N7" s="5" t="s">
        <v>63</v>
      </c>
      <c r="O7" s="5"/>
      <c r="P7" s="6" t="s">
        <v>45</v>
      </c>
      <c r="Q7" s="5"/>
      <c r="R7" s="5"/>
      <c r="S7" s="5"/>
      <c r="T7" s="5">
        <v>60</v>
      </c>
      <c r="U7" s="7"/>
      <c r="V7" s="5"/>
      <c r="W7" s="5" t="s">
        <v>45</v>
      </c>
      <c r="X7" s="5" t="s">
        <v>45</v>
      </c>
      <c r="Y7" s="5"/>
      <c r="Z7" s="5" t="s">
        <v>65</v>
      </c>
      <c r="AA7" s="5"/>
      <c r="AB7" s="5"/>
      <c r="AC7" s="5"/>
      <c r="AD7" s="5">
        <v>12</v>
      </c>
      <c r="AE7" s="5">
        <v>2</v>
      </c>
      <c r="AF7" s="5">
        <v>6</v>
      </c>
      <c r="AG7" s="5">
        <v>-2</v>
      </c>
      <c r="AH7" s="5">
        <v>2</v>
      </c>
      <c r="AI7" s="5">
        <v>2</v>
      </c>
      <c r="AJ7" s="5"/>
      <c r="AK7" s="5"/>
      <c r="AL7" s="5"/>
      <c r="AM7" s="5"/>
      <c r="AN7" s="5"/>
      <c r="AO7" s="5"/>
      <c r="AP7" s="5" t="s">
        <v>66</v>
      </c>
      <c r="AQ7" s="5"/>
      <c r="AR7" s="5"/>
      <c r="AS7" s="5"/>
      <c r="AT7" s="5" t="s">
        <v>67</v>
      </c>
      <c r="AU7" s="5"/>
      <c r="AV7" s="5">
        <v>6</v>
      </c>
      <c r="AW7" s="7"/>
      <c r="AX7" s="5">
        <v>5</v>
      </c>
      <c r="AY7" s="5" t="s">
        <v>49</v>
      </c>
      <c r="AZ7" s="5" t="s">
        <v>45</v>
      </c>
      <c r="BA7" s="5" t="s">
        <v>45</v>
      </c>
      <c r="BB7" s="5" t="s">
        <v>45</v>
      </c>
      <c r="BM7" s="5" t="s">
        <v>1614</v>
      </c>
      <c r="BN7" s="5">
        <v>22</v>
      </c>
      <c r="BO7" s="5"/>
    </row>
    <row r="8" spans="1:67">
      <c r="A8" s="4" t="s">
        <v>69</v>
      </c>
      <c r="B8" s="5"/>
      <c r="C8" s="5" t="s">
        <v>42</v>
      </c>
      <c r="D8" s="5" t="s">
        <v>43</v>
      </c>
      <c r="E8" s="5"/>
      <c r="F8" s="5"/>
      <c r="G8" s="5">
        <v>30</v>
      </c>
      <c r="H8" s="5"/>
      <c r="I8" s="5"/>
      <c r="J8" s="5">
        <v>60</v>
      </c>
      <c r="K8" s="5" t="s">
        <v>1271</v>
      </c>
      <c r="L8" s="5"/>
      <c r="M8" s="5"/>
      <c r="N8" s="5" t="s">
        <v>70</v>
      </c>
      <c r="O8" s="5"/>
      <c r="P8" s="6" t="s">
        <v>45</v>
      </c>
      <c r="Q8" s="5"/>
      <c r="R8" s="5"/>
      <c r="S8" s="5"/>
      <c r="T8" s="5">
        <v>60</v>
      </c>
      <c r="U8" s="7"/>
      <c r="V8" s="5"/>
      <c r="W8" s="5" t="s">
        <v>45</v>
      </c>
      <c r="X8" s="5" t="s">
        <v>45</v>
      </c>
      <c r="Y8" s="5"/>
      <c r="Z8" s="5"/>
      <c r="AA8" s="5"/>
      <c r="AB8" s="5"/>
      <c r="AC8" s="5"/>
      <c r="AD8" s="5"/>
      <c r="AE8" s="5">
        <v>2</v>
      </c>
      <c r="AF8" s="5"/>
      <c r="AG8" s="5"/>
      <c r="AH8" s="5">
        <v>4</v>
      </c>
      <c r="AI8" s="5">
        <v>-2</v>
      </c>
      <c r="AJ8" s="5"/>
      <c r="AK8" s="5"/>
      <c r="AL8" s="5"/>
      <c r="AM8" s="5"/>
      <c r="AN8" s="5"/>
      <c r="AO8" s="5"/>
      <c r="AP8" s="5" t="s">
        <v>71</v>
      </c>
      <c r="AQ8" s="5"/>
      <c r="AR8" s="5"/>
      <c r="AS8" s="5"/>
      <c r="AT8" s="5" t="s">
        <v>67</v>
      </c>
      <c r="AU8" s="5"/>
      <c r="AV8" s="5">
        <v>2</v>
      </c>
      <c r="AW8" s="7"/>
      <c r="AX8" s="5">
        <v>4</v>
      </c>
      <c r="AY8" s="5" t="s">
        <v>72</v>
      </c>
      <c r="AZ8" s="5" t="s">
        <v>45</v>
      </c>
      <c r="BA8" s="5" t="s">
        <v>45</v>
      </c>
      <c r="BB8" s="5" t="s">
        <v>45</v>
      </c>
      <c r="BM8" s="5" t="s">
        <v>1614</v>
      </c>
      <c r="BN8" s="5">
        <v>22</v>
      </c>
      <c r="BO8" s="5"/>
    </row>
    <row r="9" spans="1:67">
      <c r="A9" s="4" t="s">
        <v>73</v>
      </c>
      <c r="B9" s="5"/>
      <c r="C9" s="5" t="s">
        <v>42</v>
      </c>
      <c r="D9" s="5" t="s">
        <v>51</v>
      </c>
      <c r="E9" s="5" t="s">
        <v>74</v>
      </c>
      <c r="F9" s="5">
        <v>6</v>
      </c>
      <c r="G9" s="5">
        <v>40</v>
      </c>
      <c r="H9" s="5"/>
      <c r="I9" s="5"/>
      <c r="J9" s="5"/>
      <c r="K9" s="5"/>
      <c r="L9" s="5"/>
      <c r="M9" s="5">
        <v>9</v>
      </c>
      <c r="N9" s="5" t="s">
        <v>75</v>
      </c>
      <c r="O9" s="5"/>
      <c r="P9" s="6" t="s">
        <v>76</v>
      </c>
      <c r="Q9" s="5"/>
      <c r="R9" s="5"/>
      <c r="S9" s="5" t="s">
        <v>77</v>
      </c>
      <c r="T9" s="5"/>
      <c r="U9" s="7"/>
      <c r="V9" s="5" t="s">
        <v>78</v>
      </c>
      <c r="W9" s="5" t="s">
        <v>45</v>
      </c>
      <c r="X9" s="5" t="s">
        <v>45</v>
      </c>
      <c r="Y9" s="5">
        <f>16+ClassLvl</f>
        <v>24</v>
      </c>
      <c r="Z9" s="5" t="s">
        <v>79</v>
      </c>
      <c r="AA9" s="5"/>
      <c r="AB9" s="5"/>
      <c r="AC9" s="5"/>
      <c r="AD9" s="5">
        <v>4</v>
      </c>
      <c r="AE9" s="5"/>
      <c r="AF9" s="5">
        <v>2</v>
      </c>
      <c r="AG9" s="5"/>
      <c r="AH9" s="5">
        <v>2</v>
      </c>
      <c r="AI9" s="5">
        <v>2</v>
      </c>
      <c r="AJ9" s="5"/>
      <c r="AK9" s="5"/>
      <c r="AL9" s="5"/>
      <c r="AM9" s="5"/>
      <c r="AN9" s="5"/>
      <c r="AO9" s="5"/>
      <c r="AP9" s="5" t="s">
        <v>80</v>
      </c>
      <c r="AQ9" s="5"/>
      <c r="AR9" s="5"/>
      <c r="AS9" s="5"/>
      <c r="AT9" s="5" t="s">
        <v>81</v>
      </c>
      <c r="AU9" s="5" t="s">
        <v>82</v>
      </c>
      <c r="AV9" s="5">
        <v>4</v>
      </c>
      <c r="AW9" s="7"/>
      <c r="AX9" s="5">
        <v>5</v>
      </c>
      <c r="AY9" s="5" t="s">
        <v>49</v>
      </c>
      <c r="AZ9" s="5" t="s">
        <v>45</v>
      </c>
      <c r="BA9" s="5" t="s">
        <v>45</v>
      </c>
      <c r="BB9" s="5" t="s">
        <v>45</v>
      </c>
      <c r="BM9" s="5" t="s">
        <v>1609</v>
      </c>
      <c r="BN9" s="5">
        <v>16</v>
      </c>
      <c r="BO9" s="5"/>
    </row>
    <row r="10" spans="1:67">
      <c r="A10" s="4" t="s">
        <v>83</v>
      </c>
      <c r="B10" s="5"/>
      <c r="C10" s="5" t="s">
        <v>42</v>
      </c>
      <c r="D10" s="5" t="s">
        <v>51</v>
      </c>
      <c r="E10" s="5" t="s">
        <v>74</v>
      </c>
      <c r="F10" s="5">
        <v>12</v>
      </c>
      <c r="G10" s="5">
        <v>40</v>
      </c>
      <c r="H10" s="5"/>
      <c r="I10" s="5"/>
      <c r="J10" s="5">
        <v>90</v>
      </c>
      <c r="K10" s="5" t="s">
        <v>472</v>
      </c>
      <c r="L10" s="5"/>
      <c r="M10" s="5">
        <v>14</v>
      </c>
      <c r="N10" s="5"/>
      <c r="O10" s="5"/>
      <c r="P10" s="6" t="s">
        <v>76</v>
      </c>
      <c r="Q10" s="5"/>
      <c r="R10" s="5"/>
      <c r="S10" s="5" t="s">
        <v>77</v>
      </c>
      <c r="T10" s="5"/>
      <c r="U10" s="7"/>
      <c r="V10" s="5" t="s">
        <v>78</v>
      </c>
      <c r="W10" s="5" t="s">
        <v>45</v>
      </c>
      <c r="X10" s="5" t="s">
        <v>45</v>
      </c>
      <c r="Y10" s="5">
        <f>29+ClassLvl</f>
        <v>37</v>
      </c>
      <c r="Z10" s="5" t="s">
        <v>79</v>
      </c>
      <c r="AA10" s="5"/>
      <c r="AB10" s="5"/>
      <c r="AC10" s="5"/>
      <c r="AD10" s="5">
        <v>10</v>
      </c>
      <c r="AE10" s="5">
        <v>6</v>
      </c>
      <c r="AF10" s="5">
        <v>12</v>
      </c>
      <c r="AG10" s="5">
        <v>6</v>
      </c>
      <c r="AH10" s="5">
        <v>6</v>
      </c>
      <c r="AI10" s="5">
        <v>6</v>
      </c>
      <c r="AJ10" s="5"/>
      <c r="AK10" s="5"/>
      <c r="AL10" s="5"/>
      <c r="AM10" s="5"/>
      <c r="AN10" s="5"/>
      <c r="AO10" s="5"/>
      <c r="AP10" s="5" t="s">
        <v>1561</v>
      </c>
      <c r="AQ10" s="5"/>
      <c r="AR10" s="5"/>
      <c r="AS10" s="5"/>
      <c r="AT10" s="5" t="s">
        <v>81</v>
      </c>
      <c r="AU10" s="5" t="s">
        <v>82</v>
      </c>
      <c r="AV10" s="5">
        <v>14</v>
      </c>
      <c r="AW10" s="7"/>
      <c r="AX10" s="5">
        <v>8</v>
      </c>
      <c r="AY10" s="5" t="s">
        <v>49</v>
      </c>
      <c r="AZ10" s="5" t="s">
        <v>45</v>
      </c>
      <c r="BA10" s="5" t="s">
        <v>45</v>
      </c>
      <c r="BB10" s="5" t="s">
        <v>45</v>
      </c>
      <c r="BM10" s="5" t="s">
        <v>1609</v>
      </c>
      <c r="BN10" s="5">
        <v>18</v>
      </c>
      <c r="BO10" s="5"/>
    </row>
    <row r="11" spans="1:67">
      <c r="A11" s="4" t="s">
        <v>84</v>
      </c>
      <c r="B11" s="5"/>
      <c r="C11" s="5" t="s">
        <v>85</v>
      </c>
      <c r="D11" s="5" t="s">
        <v>43</v>
      </c>
      <c r="E11" s="5"/>
      <c r="F11" s="5">
        <v>5</v>
      </c>
      <c r="G11" s="5">
        <v>20</v>
      </c>
      <c r="H11" s="5">
        <v>10</v>
      </c>
      <c r="I11" s="5"/>
      <c r="J11" s="5"/>
      <c r="K11" s="5"/>
      <c r="L11" s="5"/>
      <c r="M11" s="5">
        <v>4</v>
      </c>
      <c r="N11" s="5" t="s">
        <v>86</v>
      </c>
      <c r="O11" s="5"/>
      <c r="P11" s="6" t="s">
        <v>45</v>
      </c>
      <c r="Q11" s="5"/>
      <c r="R11" s="5"/>
      <c r="S11" s="5"/>
      <c r="T11" s="5">
        <v>60</v>
      </c>
      <c r="U11" s="7"/>
      <c r="V11" s="5"/>
      <c r="W11" s="5" t="s">
        <v>45</v>
      </c>
      <c r="X11" s="5" t="s">
        <v>45</v>
      </c>
      <c r="Y11" s="5"/>
      <c r="Z11" s="5"/>
      <c r="AA11" s="5"/>
      <c r="AB11" s="5"/>
      <c r="AC11" s="5"/>
      <c r="AD11" s="5"/>
      <c r="AE11" s="5">
        <v>6</v>
      </c>
      <c r="AF11" s="5">
        <v>6</v>
      </c>
      <c r="AG11" s="5"/>
      <c r="AH11" s="5"/>
      <c r="AI11" s="5"/>
      <c r="AJ11" s="5"/>
      <c r="AK11" s="5"/>
      <c r="AL11" s="5"/>
      <c r="AM11" s="5"/>
      <c r="AN11" s="5"/>
      <c r="AO11" s="5"/>
      <c r="AP11" s="5" t="s">
        <v>87</v>
      </c>
      <c r="AQ11" s="5"/>
      <c r="AR11" s="5"/>
      <c r="AS11" s="5"/>
      <c r="AT11" s="5" t="s">
        <v>88</v>
      </c>
      <c r="AU11" s="5" t="s">
        <v>89</v>
      </c>
      <c r="AV11" s="5">
        <v>3</v>
      </c>
      <c r="AW11" s="7"/>
      <c r="AX11" s="5">
        <v>3</v>
      </c>
      <c r="AY11" s="5" t="s">
        <v>90</v>
      </c>
      <c r="AZ11" s="5" t="s">
        <v>45</v>
      </c>
      <c r="BA11" s="5" t="s">
        <v>45</v>
      </c>
      <c r="BB11" s="5" t="s">
        <v>45</v>
      </c>
      <c r="BM11" s="5" t="s">
        <v>1718</v>
      </c>
      <c r="BN11" s="5">
        <v>10</v>
      </c>
      <c r="BO11" s="5"/>
    </row>
    <row r="12" spans="1:67">
      <c r="A12" s="4" t="s">
        <v>91</v>
      </c>
      <c r="B12" s="5"/>
      <c r="C12" s="5" t="s">
        <v>42</v>
      </c>
      <c r="D12" s="5" t="s">
        <v>92</v>
      </c>
      <c r="E12" s="5"/>
      <c r="F12" s="5"/>
      <c r="G12" s="5">
        <v>30</v>
      </c>
      <c r="H12" s="5"/>
      <c r="I12" s="5"/>
      <c r="J12" s="5"/>
      <c r="K12" s="5"/>
      <c r="L12" s="5"/>
      <c r="M12" s="5">
        <v>1</v>
      </c>
      <c r="N12" s="5"/>
      <c r="O12" s="5"/>
      <c r="P12" s="6" t="s">
        <v>45</v>
      </c>
      <c r="Q12" s="5"/>
      <c r="R12" s="5"/>
      <c r="S12" s="5"/>
      <c r="T12" s="5"/>
      <c r="U12" s="7"/>
      <c r="V12" s="5"/>
      <c r="W12" s="5" t="s">
        <v>45</v>
      </c>
      <c r="X12" s="5" t="s">
        <v>45</v>
      </c>
      <c r="Y12" s="5"/>
      <c r="Z12" s="5"/>
      <c r="AA12" s="5"/>
      <c r="AB12" s="5"/>
      <c r="AC12" s="5"/>
      <c r="AD12" s="5"/>
      <c r="AE12" s="5"/>
      <c r="AF12" s="5"/>
      <c r="AG12" s="5"/>
      <c r="AH12" s="5"/>
      <c r="AI12" s="5"/>
      <c r="AJ12" s="5"/>
      <c r="AK12" s="5"/>
      <c r="AL12" s="5"/>
      <c r="AM12" s="5"/>
      <c r="AN12" s="5"/>
      <c r="AO12" s="5"/>
      <c r="AP12" s="5" t="s">
        <v>93</v>
      </c>
      <c r="AQ12" s="5" t="s">
        <v>1773</v>
      </c>
      <c r="AR12" s="5"/>
      <c r="AS12" s="5"/>
      <c r="AT12" s="5" t="s">
        <v>94</v>
      </c>
      <c r="AU12" s="5" t="str">
        <f>IF(HRLivingGreyhawk,"Flan, Goblin, Giant","Bhuka, Goblin, Giant")</f>
        <v>Bhuka, Goblin, Giant</v>
      </c>
      <c r="AV12" s="5"/>
      <c r="AW12" s="7"/>
      <c r="AX12" s="5"/>
      <c r="AY12" s="5" t="s">
        <v>95</v>
      </c>
      <c r="AZ12" s="5" t="s">
        <v>96</v>
      </c>
      <c r="BA12" s="5" t="s">
        <v>97</v>
      </c>
      <c r="BB12" s="5" t="s">
        <v>98</v>
      </c>
      <c r="BM12" s="5" t="s">
        <v>1665</v>
      </c>
      <c r="BN12" s="5">
        <v>139</v>
      </c>
      <c r="BO12" s="5" t="s">
        <v>1719</v>
      </c>
    </row>
    <row r="13" spans="1:67">
      <c r="A13" s="4" t="s">
        <v>99</v>
      </c>
      <c r="B13" s="5"/>
      <c r="C13" s="5" t="s">
        <v>42</v>
      </c>
      <c r="D13" s="5" t="s">
        <v>92</v>
      </c>
      <c r="E13" s="5" t="s">
        <v>100</v>
      </c>
      <c r="F13" s="5"/>
      <c r="G13" s="5">
        <v>30</v>
      </c>
      <c r="H13" s="5"/>
      <c r="I13" s="5"/>
      <c r="J13" s="5"/>
      <c r="K13" s="5"/>
      <c r="L13" s="5">
        <v>30</v>
      </c>
      <c r="M13" s="5"/>
      <c r="N13" s="5"/>
      <c r="O13" s="5"/>
      <c r="P13" s="6" t="s">
        <v>45</v>
      </c>
      <c r="Q13" s="5"/>
      <c r="R13" s="5"/>
      <c r="S13" s="5"/>
      <c r="T13" s="5"/>
      <c r="U13" s="7"/>
      <c r="V13" s="5"/>
      <c r="W13" s="5" t="s">
        <v>45</v>
      </c>
      <c r="X13" s="5" t="s">
        <v>45</v>
      </c>
      <c r="Y13" s="5"/>
      <c r="Z13" s="5"/>
      <c r="AA13" s="5"/>
      <c r="AB13" s="5"/>
      <c r="AC13" s="5"/>
      <c r="AD13" s="5"/>
      <c r="AE13" s="5"/>
      <c r="AF13" s="5"/>
      <c r="AG13" s="5"/>
      <c r="AH13" s="5"/>
      <c r="AI13" s="5"/>
      <c r="AJ13" s="5"/>
      <c r="AK13" s="5"/>
      <c r="AL13" s="5"/>
      <c r="AM13" s="5"/>
      <c r="AN13" s="5"/>
      <c r="AO13" s="5"/>
      <c r="AP13" s="5" t="s">
        <v>101</v>
      </c>
      <c r="AQ13" s="5"/>
      <c r="AR13" s="5"/>
      <c r="AS13" s="5"/>
      <c r="AT13" s="5" t="s">
        <v>102</v>
      </c>
      <c r="AU13" s="5" t="s">
        <v>103</v>
      </c>
      <c r="AV13" s="5"/>
      <c r="AW13" s="7"/>
      <c r="AX13" s="5"/>
      <c r="AY13" s="5" t="s">
        <v>104</v>
      </c>
      <c r="AZ13" s="5" t="s">
        <v>105</v>
      </c>
      <c r="BA13" s="5" t="s">
        <v>59</v>
      </c>
      <c r="BB13" s="5" t="s">
        <v>60</v>
      </c>
      <c r="BM13" s="5" t="s">
        <v>1720</v>
      </c>
      <c r="BN13" s="5">
        <v>138</v>
      </c>
      <c r="BO13" s="5"/>
    </row>
    <row r="14" spans="1:67">
      <c r="A14" s="4" t="s">
        <v>106</v>
      </c>
      <c r="B14" s="5"/>
      <c r="C14" s="5" t="s">
        <v>42</v>
      </c>
      <c r="D14" s="5" t="s">
        <v>51</v>
      </c>
      <c r="E14" s="5" t="s">
        <v>107</v>
      </c>
      <c r="F14" s="5">
        <f>IF(HRSVMC,1*((MCCell&gt;=1)+(MCCell&gt;=3)),2)</f>
        <v>2</v>
      </c>
      <c r="G14" s="5">
        <v>30</v>
      </c>
      <c r="H14" s="5"/>
      <c r="I14" s="5"/>
      <c r="J14" s="5"/>
      <c r="K14" s="5"/>
      <c r="L14" s="5"/>
      <c r="M14" s="5">
        <f>IF(HRSVMC,2*((MCCell&gt;=1)+(MCCell&gt;=3)+(MCCell&gt;=5)),6)</f>
        <v>6</v>
      </c>
      <c r="N14" s="5"/>
      <c r="O14" s="5"/>
      <c r="P14" s="6" t="s">
        <v>45</v>
      </c>
      <c r="Q14" s="5"/>
      <c r="R14" s="5"/>
      <c r="S14" s="5"/>
      <c r="T14" s="5"/>
      <c r="U14" s="7"/>
      <c r="V14" s="5" t="s">
        <v>108</v>
      </c>
      <c r="W14" s="5" t="s">
        <v>109</v>
      </c>
      <c r="X14" s="5" t="s">
        <v>45</v>
      </c>
      <c r="Y14" s="5">
        <f>IF(AND(HRSVMC,MCCell&lt;4),"",13+ClassLvl)</f>
        <v>21</v>
      </c>
      <c r="Z14" s="5"/>
      <c r="AA14" s="5"/>
      <c r="AB14" s="5"/>
      <c r="AC14" s="5"/>
      <c r="AD14" s="5">
        <f>IF(HRSVMC,2*(MCCell&gt;=2),2)</f>
        <v>2</v>
      </c>
      <c r="AE14" s="5">
        <f>IF(HRSVMC,2*(MCCell&gt;=4),2)</f>
        <v>2</v>
      </c>
      <c r="AF14" s="5">
        <v>2</v>
      </c>
      <c r="AG14" s="5">
        <f>IF(HRSVMC,2*(MCCell&gt;=5),2)</f>
        <v>2</v>
      </c>
      <c r="AH14" s="5">
        <f>IF(AND(HRSand,HRSVMC),2*(MCCell&gt;=6),2)</f>
        <v>2</v>
      </c>
      <c r="AI14" s="5">
        <v>-2</v>
      </c>
      <c r="AJ14" s="5"/>
      <c r="AK14" s="5"/>
      <c r="AL14" s="5"/>
      <c r="AM14" s="5"/>
      <c r="AN14" s="5"/>
      <c r="AO14" s="5"/>
      <c r="AP14" s="5" t="s">
        <v>110</v>
      </c>
      <c r="AQ14" s="5"/>
      <c r="AR14" s="5"/>
      <c r="AS14" s="5"/>
      <c r="AT14" s="5" t="s">
        <v>111</v>
      </c>
      <c r="AU14" s="5" t="s">
        <v>112</v>
      </c>
      <c r="AV14" s="5">
        <f>IF(HRSVMC,1*((MCCell&gt;=1)+(MCCell&gt;=3)),2)</f>
        <v>2</v>
      </c>
      <c r="AW14" s="7"/>
      <c r="AX14" s="5">
        <f>IF(HRSVMC,1*((MCCell&gt;=2)+(MCCell&gt;=4)+(MCCell&gt;=5)+(MCCell&gt;=6)),4)</f>
        <v>4</v>
      </c>
      <c r="AY14" s="5" t="s">
        <v>113</v>
      </c>
      <c r="AZ14" s="5" t="s">
        <v>45</v>
      </c>
      <c r="BA14" s="5" t="s">
        <v>45</v>
      </c>
      <c r="BB14" s="5" t="s">
        <v>45</v>
      </c>
      <c r="BM14" s="5" t="s">
        <v>1609</v>
      </c>
      <c r="BN14" s="5">
        <v>21</v>
      </c>
      <c r="BO14" s="5"/>
    </row>
    <row r="15" spans="1:67">
      <c r="A15" s="4" t="s">
        <v>114</v>
      </c>
      <c r="B15" s="5"/>
      <c r="C15" s="5" t="s">
        <v>42</v>
      </c>
      <c r="D15" s="5" t="s">
        <v>92</v>
      </c>
      <c r="E15" s="5" t="s">
        <v>115</v>
      </c>
      <c r="F15" s="5"/>
      <c r="G15" s="5">
        <v>30</v>
      </c>
      <c r="H15" s="5"/>
      <c r="I15" s="5"/>
      <c r="J15" s="5"/>
      <c r="K15" s="5"/>
      <c r="L15" s="5"/>
      <c r="M15" s="5"/>
      <c r="N15" s="5"/>
      <c r="O15" s="5"/>
      <c r="P15" s="6"/>
      <c r="Q15" s="5"/>
      <c r="R15" s="5"/>
      <c r="S15" s="5"/>
      <c r="T15" s="5"/>
      <c r="U15" s="7"/>
      <c r="V15" s="5"/>
      <c r="W15" s="5"/>
      <c r="X15" s="5"/>
      <c r="Y15" s="5"/>
      <c r="Z15" s="5"/>
      <c r="AA15" s="5"/>
      <c r="AB15" s="5">
        <v>1</v>
      </c>
      <c r="AC15" s="5"/>
      <c r="AD15" s="5"/>
      <c r="AE15" s="5"/>
      <c r="AF15" s="5"/>
      <c r="AG15" s="5"/>
      <c r="AH15" s="5"/>
      <c r="AI15" s="5"/>
      <c r="AJ15" s="5"/>
      <c r="AK15" s="5"/>
      <c r="AL15" s="5"/>
      <c r="AM15" s="5"/>
      <c r="AN15" s="5"/>
      <c r="AO15" s="5"/>
      <c r="AP15" s="5"/>
      <c r="AQ15" s="5"/>
      <c r="AR15" s="5"/>
      <c r="AS15" s="5" t="s">
        <v>116</v>
      </c>
      <c r="AT15" s="5" t="s">
        <v>102</v>
      </c>
      <c r="AU15" s="5" t="s">
        <v>104</v>
      </c>
      <c r="AV15" s="5"/>
      <c r="AW15" s="7"/>
      <c r="AX15" s="5"/>
      <c r="AY15" s="5" t="s">
        <v>117</v>
      </c>
      <c r="AZ15" s="5" t="s">
        <v>118</v>
      </c>
      <c r="BA15" s="5" t="s">
        <v>59</v>
      </c>
      <c r="BB15" s="5" t="s">
        <v>60</v>
      </c>
      <c r="BM15" s="5" t="s">
        <v>1721</v>
      </c>
      <c r="BN15" s="5">
        <v>7</v>
      </c>
      <c r="BO15" s="5"/>
    </row>
    <row r="16" spans="1:67">
      <c r="A16" s="4" t="s">
        <v>119</v>
      </c>
      <c r="B16" s="5"/>
      <c r="C16" s="5" t="s">
        <v>42</v>
      </c>
      <c r="D16" s="5" t="s">
        <v>51</v>
      </c>
      <c r="E16" s="5" t="s">
        <v>52</v>
      </c>
      <c r="F16" s="5">
        <v>3</v>
      </c>
      <c r="G16" s="5">
        <v>30</v>
      </c>
      <c r="H16" s="5"/>
      <c r="I16" s="5"/>
      <c r="J16" s="5"/>
      <c r="K16" s="5"/>
      <c r="L16" s="5"/>
      <c r="M16" s="5">
        <v>3</v>
      </c>
      <c r="N16" s="5" t="s">
        <v>120</v>
      </c>
      <c r="O16" s="5"/>
      <c r="P16" s="6" t="s">
        <v>121</v>
      </c>
      <c r="Q16" s="5"/>
      <c r="R16" s="5"/>
      <c r="S16" s="5"/>
      <c r="T16" s="5"/>
      <c r="U16" s="7"/>
      <c r="V16" s="5"/>
      <c r="W16" s="5" t="s">
        <v>45</v>
      </c>
      <c r="X16" s="5" t="s">
        <v>122</v>
      </c>
      <c r="Y16" s="5"/>
      <c r="Z16" s="5"/>
      <c r="AA16" s="5"/>
      <c r="AB16" s="5"/>
      <c r="AC16" s="5"/>
      <c r="AD16" s="5">
        <v>4</v>
      </c>
      <c r="AE16" s="5">
        <v>2</v>
      </c>
      <c r="AF16" s="5">
        <v>2</v>
      </c>
      <c r="AG16" s="5"/>
      <c r="AH16" s="5"/>
      <c r="AI16" s="5">
        <v>-2</v>
      </c>
      <c r="AJ16" s="5"/>
      <c r="AK16" s="5"/>
      <c r="AL16" s="5"/>
      <c r="AM16" s="5"/>
      <c r="AN16" s="5"/>
      <c r="AO16" s="5"/>
      <c r="AP16" s="5" t="s">
        <v>123</v>
      </c>
      <c r="AQ16" s="5"/>
      <c r="AR16" s="5"/>
      <c r="AS16" s="5"/>
      <c r="AT16" s="5" t="s">
        <v>124</v>
      </c>
      <c r="AU16" s="5"/>
      <c r="AV16" s="5">
        <v>2</v>
      </c>
      <c r="AW16" s="7"/>
      <c r="AX16" s="5">
        <v>2</v>
      </c>
      <c r="AY16" s="5" t="s">
        <v>125</v>
      </c>
      <c r="AZ16" s="5" t="s">
        <v>45</v>
      </c>
      <c r="BA16" s="5" t="s">
        <v>45</v>
      </c>
      <c r="BB16" s="5" t="s">
        <v>45</v>
      </c>
      <c r="BM16" s="5" t="s">
        <v>1722</v>
      </c>
      <c r="BN16" s="5">
        <v>82</v>
      </c>
      <c r="BO16" s="5"/>
    </row>
    <row r="17" spans="1:67">
      <c r="A17" s="4" t="s">
        <v>126</v>
      </c>
      <c r="B17" s="5"/>
      <c r="C17" s="5" t="s">
        <v>42</v>
      </c>
      <c r="D17" s="5" t="s">
        <v>51</v>
      </c>
      <c r="E17" s="5" t="s">
        <v>127</v>
      </c>
      <c r="F17" s="5">
        <v>6</v>
      </c>
      <c r="G17" s="5">
        <v>40</v>
      </c>
      <c r="H17" s="5"/>
      <c r="I17" s="5"/>
      <c r="J17" s="5"/>
      <c r="K17" s="5"/>
      <c r="L17" s="5"/>
      <c r="M17" s="5">
        <v>7</v>
      </c>
      <c r="N17" s="5" t="s">
        <v>128</v>
      </c>
      <c r="O17" s="5"/>
      <c r="P17" s="6" t="s">
        <v>129</v>
      </c>
      <c r="Q17" s="5"/>
      <c r="R17" s="5"/>
      <c r="S17" s="5"/>
      <c r="T17" s="5">
        <v>60</v>
      </c>
      <c r="U17" s="7"/>
      <c r="V17" s="5" t="s">
        <v>130</v>
      </c>
      <c r="W17" s="5"/>
      <c r="X17" s="5" t="s">
        <v>131</v>
      </c>
      <c r="Y17" s="5">
        <v>17</v>
      </c>
      <c r="Z17" s="5" t="s">
        <v>132</v>
      </c>
      <c r="AA17" s="5"/>
      <c r="AB17" s="5"/>
      <c r="AC17" s="5"/>
      <c r="AD17" s="5">
        <v>4</v>
      </c>
      <c r="AE17" s="5">
        <v>4</v>
      </c>
      <c r="AF17" s="5">
        <v>6</v>
      </c>
      <c r="AG17" s="5">
        <v>-4</v>
      </c>
      <c r="AH17" s="5"/>
      <c r="AI17" s="5"/>
      <c r="AJ17" s="5"/>
      <c r="AK17" s="5"/>
      <c r="AL17" s="5"/>
      <c r="AM17" s="5"/>
      <c r="AN17" s="5"/>
      <c r="AO17" s="5"/>
      <c r="AP17" s="5" t="s">
        <v>133</v>
      </c>
      <c r="AQ17" s="5"/>
      <c r="AR17" s="5"/>
      <c r="AS17" s="5"/>
      <c r="AT17" s="5" t="s">
        <v>134</v>
      </c>
      <c r="AU17" s="5"/>
      <c r="AV17" s="5">
        <v>5</v>
      </c>
      <c r="AW17" s="7"/>
      <c r="AX17" s="5">
        <v>6</v>
      </c>
      <c r="AY17" s="5"/>
      <c r="AZ17" s="5"/>
      <c r="BA17" s="5"/>
      <c r="BB17" s="5"/>
      <c r="BM17" s="5" t="s">
        <v>1609</v>
      </c>
      <c r="BN17" s="5"/>
      <c r="BO17" s="5"/>
    </row>
    <row r="18" spans="1:67">
      <c r="A18" s="4" t="s">
        <v>135</v>
      </c>
      <c r="B18" s="5"/>
      <c r="C18" s="5" t="s">
        <v>42</v>
      </c>
      <c r="D18" s="5" t="s">
        <v>51</v>
      </c>
      <c r="E18" s="5" t="s">
        <v>136</v>
      </c>
      <c r="F18" s="5"/>
      <c r="G18" s="5">
        <v>40</v>
      </c>
      <c r="H18" s="5"/>
      <c r="I18" s="5"/>
      <c r="J18" s="5"/>
      <c r="K18" s="5"/>
      <c r="L18" s="5"/>
      <c r="M18" s="5"/>
      <c r="N18" s="5"/>
      <c r="O18" s="5"/>
      <c r="P18" s="6" t="s">
        <v>45</v>
      </c>
      <c r="Q18" s="5"/>
      <c r="R18" s="5"/>
      <c r="S18" s="5"/>
      <c r="T18" s="5"/>
      <c r="U18" s="7"/>
      <c r="V18" s="5"/>
      <c r="W18" s="5" t="s">
        <v>45</v>
      </c>
      <c r="X18" s="5" t="s">
        <v>45</v>
      </c>
      <c r="Y18" s="5">
        <f>11+ClassLvl</f>
        <v>19</v>
      </c>
      <c r="Z18" s="5"/>
      <c r="AA18" s="5"/>
      <c r="AB18" s="5"/>
      <c r="AC18" s="5"/>
      <c r="AD18" s="5">
        <v>2</v>
      </c>
      <c r="AE18" s="5"/>
      <c r="AF18" s="5"/>
      <c r="AG18" s="5"/>
      <c r="AH18" s="5"/>
      <c r="AI18" s="5">
        <v>-2</v>
      </c>
      <c r="AJ18" s="5"/>
      <c r="AK18" s="5"/>
      <c r="AL18" s="5"/>
      <c r="AM18" s="5"/>
      <c r="AN18" s="5"/>
      <c r="AO18" s="5"/>
      <c r="AP18" s="5" t="s">
        <v>54</v>
      </c>
      <c r="AQ18" s="5"/>
      <c r="AR18" s="5"/>
      <c r="AS18" s="5"/>
      <c r="AT18" s="5" t="s">
        <v>137</v>
      </c>
      <c r="AU18" s="5" t="s">
        <v>138</v>
      </c>
      <c r="AV18" s="5"/>
      <c r="AW18" s="7"/>
      <c r="AX18" s="5">
        <v>1</v>
      </c>
      <c r="AY18" s="5" t="s">
        <v>49</v>
      </c>
      <c r="AZ18" s="5" t="s">
        <v>139</v>
      </c>
      <c r="BA18" s="5" t="s">
        <v>140</v>
      </c>
      <c r="BB18" s="5" t="s">
        <v>141</v>
      </c>
      <c r="BM18" s="5" t="s">
        <v>1613</v>
      </c>
      <c r="BN18" s="5"/>
      <c r="BO18" s="5" t="s">
        <v>1753</v>
      </c>
    </row>
    <row r="19" spans="1:67">
      <c r="A19" s="4" t="s">
        <v>142</v>
      </c>
      <c r="B19" s="5"/>
      <c r="C19" s="5" t="s">
        <v>42</v>
      </c>
      <c r="D19" s="5" t="s">
        <v>92</v>
      </c>
      <c r="E19" s="5" t="s">
        <v>143</v>
      </c>
      <c r="F19" s="5"/>
      <c r="G19" s="5">
        <v>30</v>
      </c>
      <c r="H19" s="5"/>
      <c r="I19" s="5"/>
      <c r="J19" s="5"/>
      <c r="K19" s="5"/>
      <c r="L19" s="5"/>
      <c r="M19" s="5"/>
      <c r="N19" s="5"/>
      <c r="O19" s="5"/>
      <c r="P19" s="6" t="s">
        <v>45</v>
      </c>
      <c r="Q19" s="5"/>
      <c r="R19" s="5"/>
      <c r="S19" s="5"/>
      <c r="T19" s="5"/>
      <c r="U19" s="7"/>
      <c r="V19" s="5"/>
      <c r="W19" s="5" t="s">
        <v>45</v>
      </c>
      <c r="X19" s="5" t="s">
        <v>45</v>
      </c>
      <c r="Y19" s="5"/>
      <c r="Z19" s="5"/>
      <c r="AA19" s="5"/>
      <c r="AB19" s="5"/>
      <c r="AC19" s="5"/>
      <c r="AD19" s="5">
        <v>-2</v>
      </c>
      <c r="AE19" s="5">
        <v>2</v>
      </c>
      <c r="AF19" s="5"/>
      <c r="AG19" s="5"/>
      <c r="AH19" s="5"/>
      <c r="AI19" s="5"/>
      <c r="AJ19" s="5"/>
      <c r="AK19" s="5"/>
      <c r="AL19" s="5"/>
      <c r="AM19" s="5"/>
      <c r="AN19" s="5"/>
      <c r="AO19" s="5"/>
      <c r="AP19" s="5" t="s">
        <v>144</v>
      </c>
      <c r="AQ19" s="5"/>
      <c r="AR19" s="5"/>
      <c r="AS19" s="5"/>
      <c r="AT19" s="5" t="s">
        <v>145</v>
      </c>
      <c r="AU19" s="5" t="s">
        <v>146</v>
      </c>
      <c r="AV19" s="5"/>
      <c r="AW19" s="7"/>
      <c r="AX19" s="5"/>
      <c r="AY19" s="5" t="s">
        <v>72</v>
      </c>
      <c r="AZ19" s="5" t="s">
        <v>147</v>
      </c>
      <c r="BA19" s="5" t="s">
        <v>148</v>
      </c>
      <c r="BB19" s="5" t="s">
        <v>149</v>
      </c>
      <c r="BM19" s="5" t="s">
        <v>1665</v>
      </c>
      <c r="BN19" s="5">
        <v>141</v>
      </c>
      <c r="BO19" s="5"/>
    </row>
    <row r="20" spans="1:67">
      <c r="A20" s="4" t="s">
        <v>150</v>
      </c>
      <c r="B20" s="5"/>
      <c r="C20" s="5" t="s">
        <v>42</v>
      </c>
      <c r="D20" s="5" t="s">
        <v>51</v>
      </c>
      <c r="E20" s="5" t="s">
        <v>151</v>
      </c>
      <c r="F20" s="5"/>
      <c r="G20" s="5">
        <v>30</v>
      </c>
      <c r="H20" s="5"/>
      <c r="I20" s="5"/>
      <c r="J20" s="5"/>
      <c r="K20" s="5"/>
      <c r="L20" s="5"/>
      <c r="M20" s="5">
        <v>4</v>
      </c>
      <c r="N20" s="5" t="s">
        <v>86</v>
      </c>
      <c r="O20" s="5"/>
      <c r="P20" s="6" t="s">
        <v>45</v>
      </c>
      <c r="Q20" s="5"/>
      <c r="R20" s="5"/>
      <c r="S20" s="5" t="s">
        <v>77</v>
      </c>
      <c r="T20" s="5"/>
      <c r="U20" s="7"/>
      <c r="V20" s="5" t="s">
        <v>152</v>
      </c>
      <c r="W20" s="5" t="s">
        <v>45</v>
      </c>
      <c r="X20" s="5" t="s">
        <v>153</v>
      </c>
      <c r="Y20" s="5"/>
      <c r="Z20" s="5" t="s">
        <v>154</v>
      </c>
      <c r="AA20" s="5"/>
      <c r="AB20" s="5"/>
      <c r="AC20" s="5"/>
      <c r="AD20" s="5"/>
      <c r="AE20" s="5">
        <v>2</v>
      </c>
      <c r="AF20" s="5"/>
      <c r="AG20" s="5"/>
      <c r="AH20" s="5"/>
      <c r="AI20" s="5"/>
      <c r="AJ20" s="5"/>
      <c r="AK20" s="5"/>
      <c r="AL20" s="5"/>
      <c r="AM20" s="5"/>
      <c r="AN20" s="5"/>
      <c r="AO20" s="5"/>
      <c r="AP20" s="5" t="s">
        <v>155</v>
      </c>
      <c r="AQ20" s="5"/>
      <c r="AR20" s="5"/>
      <c r="AS20" s="5"/>
      <c r="AT20" s="5" t="s">
        <v>102</v>
      </c>
      <c r="AU20" s="5" t="s">
        <v>156</v>
      </c>
      <c r="AV20" s="5">
        <v>1</v>
      </c>
      <c r="AW20" s="7"/>
      <c r="AX20" s="5">
        <v>2</v>
      </c>
      <c r="AY20" s="5" t="s">
        <v>113</v>
      </c>
      <c r="AZ20" s="5" t="s">
        <v>45</v>
      </c>
      <c r="BA20" s="5" t="s">
        <v>45</v>
      </c>
      <c r="BB20" s="5" t="s">
        <v>45</v>
      </c>
      <c r="BM20" s="5" t="s">
        <v>1614</v>
      </c>
      <c r="BN20" s="5">
        <v>31</v>
      </c>
      <c r="BO20" s="5" t="s">
        <v>1723</v>
      </c>
    </row>
    <row r="21" spans="1:67">
      <c r="A21" s="4" t="s">
        <v>157</v>
      </c>
      <c r="B21" s="5"/>
      <c r="C21" s="5" t="s">
        <v>85</v>
      </c>
      <c r="D21" s="5" t="s">
        <v>92</v>
      </c>
      <c r="E21" s="5" t="s">
        <v>143</v>
      </c>
      <c r="F21" s="5"/>
      <c r="G21" s="5">
        <v>30</v>
      </c>
      <c r="H21" s="5"/>
      <c r="I21" s="5"/>
      <c r="J21" s="5"/>
      <c r="K21" s="5"/>
      <c r="L21" s="5"/>
      <c r="M21" s="5"/>
      <c r="N21" s="5"/>
      <c r="O21" s="5"/>
      <c r="P21" s="6" t="s">
        <v>45</v>
      </c>
      <c r="Q21" s="5"/>
      <c r="R21" s="5"/>
      <c r="S21" s="5"/>
      <c r="T21" s="5">
        <v>60</v>
      </c>
      <c r="U21" s="7"/>
      <c r="V21" s="5"/>
      <c r="W21" s="5" t="s">
        <v>45</v>
      </c>
      <c r="X21" s="5" t="s">
        <v>45</v>
      </c>
      <c r="Y21" s="5"/>
      <c r="Z21" s="5"/>
      <c r="AA21" s="5"/>
      <c r="AB21" s="5"/>
      <c r="AC21" s="5"/>
      <c r="AD21" s="5">
        <v>-2</v>
      </c>
      <c r="AE21" s="5"/>
      <c r="AF21" s="5"/>
      <c r="AG21" s="5">
        <v>2</v>
      </c>
      <c r="AH21" s="5"/>
      <c r="AI21" s="5">
        <v>-2</v>
      </c>
      <c r="AJ21" s="5"/>
      <c r="AK21" s="5"/>
      <c r="AL21" s="5"/>
      <c r="AM21" s="5"/>
      <c r="AN21" s="5"/>
      <c r="AO21" s="5"/>
      <c r="AP21" s="5" t="s">
        <v>158</v>
      </c>
      <c r="AQ21" s="5"/>
      <c r="AR21" s="5"/>
      <c r="AS21" s="5"/>
      <c r="AT21" s="5" t="s">
        <v>159</v>
      </c>
      <c r="AU21" s="5" t="s">
        <v>160</v>
      </c>
      <c r="AV21" s="5"/>
      <c r="AW21" s="7"/>
      <c r="AX21" s="5">
        <v>1</v>
      </c>
      <c r="AY21" s="5" t="s">
        <v>161</v>
      </c>
      <c r="AZ21" s="5" t="s">
        <v>45</v>
      </c>
      <c r="BA21" s="5" t="s">
        <v>45</v>
      </c>
      <c r="BB21" s="5" t="s">
        <v>45</v>
      </c>
      <c r="BM21" s="5" t="s">
        <v>1724</v>
      </c>
      <c r="BN21" s="5">
        <v>189</v>
      </c>
      <c r="BO21" s="5"/>
    </row>
    <row r="22" spans="1:67">
      <c r="A22" s="4" t="s">
        <v>162</v>
      </c>
      <c r="B22" s="5"/>
      <c r="C22" s="5" t="s">
        <v>85</v>
      </c>
      <c r="D22" s="5" t="s">
        <v>43</v>
      </c>
      <c r="E22" s="5"/>
      <c r="F22" s="5">
        <v>4</v>
      </c>
      <c r="G22" s="5">
        <v>40</v>
      </c>
      <c r="H22" s="5"/>
      <c r="I22" s="5">
        <v>30</v>
      </c>
      <c r="J22" s="5"/>
      <c r="K22" s="5"/>
      <c r="L22" s="5"/>
      <c r="M22" s="5">
        <v>2</v>
      </c>
      <c r="N22" s="5" t="s">
        <v>163</v>
      </c>
      <c r="O22" s="5"/>
      <c r="P22" s="6" t="s">
        <v>164</v>
      </c>
      <c r="Q22" s="5"/>
      <c r="R22" s="5"/>
      <c r="S22" s="5"/>
      <c r="T22" s="5">
        <v>60</v>
      </c>
      <c r="U22" s="7"/>
      <c r="V22" s="5"/>
      <c r="W22" s="5" t="s">
        <v>45</v>
      </c>
      <c r="X22" s="5" t="s">
        <v>165</v>
      </c>
      <c r="Y22" s="5"/>
      <c r="Z22" s="5" t="s">
        <v>65</v>
      </c>
      <c r="AA22" s="5"/>
      <c r="AB22" s="5"/>
      <c r="AC22" s="5"/>
      <c r="AD22" s="5"/>
      <c r="AE22" s="5">
        <v>10</v>
      </c>
      <c r="AF22" s="5"/>
      <c r="AG22" s="5">
        <v>-6</v>
      </c>
      <c r="AH22" s="5">
        <v>-2</v>
      </c>
      <c r="AI22" s="5">
        <v>-4</v>
      </c>
      <c r="AJ22" s="5"/>
      <c r="AK22" s="5"/>
      <c r="AL22" s="5"/>
      <c r="AM22" s="5"/>
      <c r="AN22" s="5"/>
      <c r="AO22" s="5"/>
      <c r="AP22" s="5" t="s">
        <v>166</v>
      </c>
      <c r="AQ22" s="5"/>
      <c r="AR22" s="5"/>
      <c r="AS22" s="5"/>
      <c r="AT22" s="5" t="s">
        <v>162</v>
      </c>
      <c r="AU22" s="5"/>
      <c r="AV22" s="5">
        <v>3</v>
      </c>
      <c r="AW22" s="7"/>
      <c r="AX22" s="5">
        <v>3</v>
      </c>
      <c r="AY22" s="5" t="s">
        <v>95</v>
      </c>
      <c r="AZ22" s="5" t="s">
        <v>45</v>
      </c>
      <c r="BA22" s="5" t="s">
        <v>45</v>
      </c>
      <c r="BB22" s="5" t="s">
        <v>45</v>
      </c>
      <c r="BM22" s="5" t="s">
        <v>1614</v>
      </c>
      <c r="BN22" s="5">
        <v>33</v>
      </c>
      <c r="BO22" s="5"/>
    </row>
    <row r="23" spans="1:67">
      <c r="A23" s="4" t="s">
        <v>167</v>
      </c>
      <c r="B23" s="5"/>
      <c r="C23" s="5" t="s">
        <v>62</v>
      </c>
      <c r="D23" s="5" t="s">
        <v>43</v>
      </c>
      <c r="E23" s="5"/>
      <c r="F23" s="5">
        <v>10</v>
      </c>
      <c r="G23" s="5">
        <v>30</v>
      </c>
      <c r="H23" s="5"/>
      <c r="I23" s="5"/>
      <c r="J23" s="5"/>
      <c r="K23" s="5"/>
      <c r="L23" s="5"/>
      <c r="M23" s="5">
        <v>8</v>
      </c>
      <c r="N23" s="5" t="s">
        <v>168</v>
      </c>
      <c r="O23" s="5"/>
      <c r="P23" s="6" t="s">
        <v>169</v>
      </c>
      <c r="Q23" s="5"/>
      <c r="R23" s="5"/>
      <c r="S23" s="5"/>
      <c r="T23" s="5">
        <v>60</v>
      </c>
      <c r="U23" s="7"/>
      <c r="V23" s="5"/>
      <c r="W23" s="5" t="s">
        <v>45</v>
      </c>
      <c r="X23" s="5" t="s">
        <v>45</v>
      </c>
      <c r="Y23" s="5"/>
      <c r="Z23" s="5" t="s">
        <v>170</v>
      </c>
      <c r="AA23" s="5"/>
      <c r="AB23" s="5"/>
      <c r="AC23" s="5"/>
      <c r="AD23" s="5">
        <v>12</v>
      </c>
      <c r="AE23" s="5">
        <v>2</v>
      </c>
      <c r="AF23" s="5">
        <v>10</v>
      </c>
      <c r="AG23" s="5">
        <v>4</v>
      </c>
      <c r="AH23" s="5">
        <v>2</v>
      </c>
      <c r="AI23" s="5"/>
      <c r="AJ23" s="5"/>
      <c r="AK23" s="5"/>
      <c r="AL23" s="5"/>
      <c r="AM23" s="5"/>
      <c r="AN23" s="5"/>
      <c r="AO23" s="5"/>
      <c r="AP23" s="5" t="s">
        <v>171</v>
      </c>
      <c r="AQ23" s="5"/>
      <c r="AR23" s="5"/>
      <c r="AS23" s="5" t="s">
        <v>172</v>
      </c>
      <c r="AT23" s="5" t="s">
        <v>173</v>
      </c>
      <c r="AU23" s="5" t="s">
        <v>102</v>
      </c>
      <c r="AV23" s="5">
        <v>9</v>
      </c>
      <c r="AW23" s="7"/>
      <c r="AX23" s="5">
        <v>7</v>
      </c>
      <c r="AY23" s="5" t="s">
        <v>49</v>
      </c>
      <c r="AZ23" s="5" t="s">
        <v>45</v>
      </c>
      <c r="BA23" s="5" t="s">
        <v>45</v>
      </c>
      <c r="BB23" s="5" t="s">
        <v>45</v>
      </c>
      <c r="BM23" s="5" t="s">
        <v>1614</v>
      </c>
      <c r="BN23" s="5">
        <v>37</v>
      </c>
      <c r="BO23" s="5"/>
    </row>
    <row r="24" spans="1:67">
      <c r="A24" s="4" t="s">
        <v>174</v>
      </c>
      <c r="B24" s="5"/>
      <c r="C24" s="5" t="s">
        <v>42</v>
      </c>
      <c r="D24" s="5" t="s">
        <v>51</v>
      </c>
      <c r="E24" s="5" t="s">
        <v>175</v>
      </c>
      <c r="F24" s="5">
        <v>6</v>
      </c>
      <c r="G24" s="5">
        <v>20</v>
      </c>
      <c r="H24" s="5"/>
      <c r="I24" s="5"/>
      <c r="J24" s="5"/>
      <c r="K24" s="5"/>
      <c r="L24" s="5"/>
      <c r="M24" s="5"/>
      <c r="N24" s="5"/>
      <c r="O24" s="5"/>
      <c r="P24" s="6" t="s">
        <v>176</v>
      </c>
      <c r="Q24" s="5"/>
      <c r="R24" s="5"/>
      <c r="S24" s="5"/>
      <c r="T24" s="5"/>
      <c r="U24" s="7"/>
      <c r="V24" s="5" t="s">
        <v>177</v>
      </c>
      <c r="W24" s="5"/>
      <c r="X24" s="5" t="s">
        <v>131</v>
      </c>
      <c r="Y24" s="5">
        <v>16</v>
      </c>
      <c r="Z24" s="5" t="s">
        <v>178</v>
      </c>
      <c r="AA24" s="5"/>
      <c r="AB24" s="5"/>
      <c r="AC24" s="5"/>
      <c r="AD24" s="5">
        <v>6</v>
      </c>
      <c r="AE24" s="5">
        <v>-2</v>
      </c>
      <c r="AF24" s="5">
        <v>8</v>
      </c>
      <c r="AG24" s="5">
        <v>2</v>
      </c>
      <c r="AH24" s="5">
        <v>-2</v>
      </c>
      <c r="AI24" s="5">
        <v>4</v>
      </c>
      <c r="AJ24" s="5"/>
      <c r="AK24" s="5"/>
      <c r="AL24" s="5"/>
      <c r="AM24" s="5"/>
      <c r="AN24" s="5"/>
      <c r="AO24" s="5"/>
      <c r="AP24" s="5" t="s">
        <v>179</v>
      </c>
      <c r="AQ24" s="5"/>
      <c r="AR24" s="5"/>
      <c r="AS24" s="5"/>
      <c r="AT24" s="5" t="s">
        <v>180</v>
      </c>
      <c r="AU24" s="5"/>
      <c r="AV24" s="5">
        <v>6</v>
      </c>
      <c r="AW24" s="7"/>
      <c r="AX24" s="5">
        <v>6</v>
      </c>
      <c r="AY24" s="5" t="s">
        <v>113</v>
      </c>
      <c r="AZ24" s="5"/>
      <c r="BA24" s="5"/>
      <c r="BB24" s="5"/>
      <c r="BM24" s="5" t="s">
        <v>1725</v>
      </c>
      <c r="BN24" s="5">
        <v>137</v>
      </c>
      <c r="BO24" s="5"/>
    </row>
    <row r="25" spans="1:67">
      <c r="A25" s="4" t="s">
        <v>181</v>
      </c>
      <c r="B25" s="5"/>
      <c r="C25" s="5" t="s">
        <v>42</v>
      </c>
      <c r="D25" s="5" t="s">
        <v>92</v>
      </c>
      <c r="E25" s="5" t="s">
        <v>143</v>
      </c>
      <c r="F25" s="5">
        <v>3</v>
      </c>
      <c r="G25" s="5">
        <v>30</v>
      </c>
      <c r="H25" s="5"/>
      <c r="I25" s="5"/>
      <c r="J25" s="5"/>
      <c r="K25" s="5"/>
      <c r="L25" s="5"/>
      <c r="M25" s="5">
        <v>3</v>
      </c>
      <c r="N25" s="5"/>
      <c r="O25" s="5"/>
      <c r="P25" s="6" t="s">
        <v>45</v>
      </c>
      <c r="Q25" s="5"/>
      <c r="R25" s="5"/>
      <c r="S25" s="5"/>
      <c r="T25" s="5">
        <v>60</v>
      </c>
      <c r="U25" s="7"/>
      <c r="V25" s="5"/>
      <c r="W25" s="5" t="s">
        <v>45</v>
      </c>
      <c r="X25" s="5" t="s">
        <v>45</v>
      </c>
      <c r="Y25" s="5"/>
      <c r="Z25" s="5"/>
      <c r="AA25" s="5"/>
      <c r="AB25" s="5"/>
      <c r="AC25" s="5"/>
      <c r="AD25" s="5">
        <v>4</v>
      </c>
      <c r="AE25" s="5">
        <v>2</v>
      </c>
      <c r="AF25" s="5">
        <v>2</v>
      </c>
      <c r="AG25" s="5"/>
      <c r="AH25" s="5"/>
      <c r="AI25" s="5">
        <v>-2</v>
      </c>
      <c r="AJ25" s="5"/>
      <c r="AK25" s="5"/>
      <c r="AL25" s="5"/>
      <c r="AM25" s="5"/>
      <c r="AN25" s="5"/>
      <c r="AO25" s="5"/>
      <c r="AP25" s="5" t="s">
        <v>182</v>
      </c>
      <c r="AQ25" s="5"/>
      <c r="AR25" s="5"/>
      <c r="AS25" s="5"/>
      <c r="AT25" s="5" t="s">
        <v>159</v>
      </c>
      <c r="AU25" s="5" t="s">
        <v>160</v>
      </c>
      <c r="AV25" s="5">
        <v>2</v>
      </c>
      <c r="AW25" s="7"/>
      <c r="AX25" s="5">
        <v>1</v>
      </c>
      <c r="AY25" s="5" t="s">
        <v>95</v>
      </c>
      <c r="AZ25" s="5" t="s">
        <v>45</v>
      </c>
      <c r="BA25" s="5" t="s">
        <v>45</v>
      </c>
      <c r="BB25" s="5" t="s">
        <v>45</v>
      </c>
      <c r="BM25" s="5" t="s">
        <v>1609</v>
      </c>
      <c r="BN25" s="5">
        <v>29</v>
      </c>
      <c r="BO25" s="5" t="s">
        <v>1625</v>
      </c>
    </row>
    <row r="26" spans="1:67">
      <c r="A26" s="4" t="s">
        <v>183</v>
      </c>
      <c r="B26" s="5"/>
      <c r="C26" s="5" t="s">
        <v>42</v>
      </c>
      <c r="D26" s="5" t="s">
        <v>92</v>
      </c>
      <c r="E26" s="5" t="s">
        <v>136</v>
      </c>
      <c r="F26" s="5"/>
      <c r="G26" s="5">
        <v>30</v>
      </c>
      <c r="H26" s="5"/>
      <c r="I26" s="5"/>
      <c r="J26" s="5"/>
      <c r="K26" s="5"/>
      <c r="L26" s="5"/>
      <c r="M26" s="5"/>
      <c r="N26" s="5"/>
      <c r="O26" s="5"/>
      <c r="P26" s="6" t="s">
        <v>45</v>
      </c>
      <c r="Q26" s="5"/>
      <c r="R26" s="5"/>
      <c r="S26" s="5" t="s">
        <v>77</v>
      </c>
      <c r="T26" s="5"/>
      <c r="U26" s="7"/>
      <c r="V26" s="5"/>
      <c r="W26" s="5" t="s">
        <v>45</v>
      </c>
      <c r="X26" s="5" t="s">
        <v>45</v>
      </c>
      <c r="Y26" s="5"/>
      <c r="Z26" s="5"/>
      <c r="AA26" s="5"/>
      <c r="AB26" s="5"/>
      <c r="AC26" s="5"/>
      <c r="AD26" s="5"/>
      <c r="AE26" s="5"/>
      <c r="AF26" s="5"/>
      <c r="AG26" s="5"/>
      <c r="AH26" s="5">
        <v>2</v>
      </c>
      <c r="AI26" s="5">
        <v>-2</v>
      </c>
      <c r="AJ26" s="5"/>
      <c r="AK26" s="5"/>
      <c r="AL26" s="5"/>
      <c r="AM26" s="5"/>
      <c r="AN26" s="5"/>
      <c r="AO26" s="5"/>
      <c r="AP26" s="5" t="s">
        <v>184</v>
      </c>
      <c r="AQ26" s="5"/>
      <c r="AR26" s="5"/>
      <c r="AS26" s="5"/>
      <c r="AT26" s="5" t="s">
        <v>185</v>
      </c>
      <c r="AU26" s="5" t="s">
        <v>186</v>
      </c>
      <c r="AV26" s="5"/>
      <c r="AW26" s="7"/>
      <c r="AX26" s="5"/>
      <c r="AY26" s="5" t="s">
        <v>90</v>
      </c>
      <c r="AZ26" s="5" t="s">
        <v>105</v>
      </c>
      <c r="BA26" s="5" t="s">
        <v>187</v>
      </c>
      <c r="BB26" s="5" t="s">
        <v>188</v>
      </c>
      <c r="BM26" s="5" t="s">
        <v>1613</v>
      </c>
      <c r="BN26" s="5"/>
      <c r="BO26" s="5"/>
    </row>
    <row r="27" spans="1:67">
      <c r="A27" s="4" t="s">
        <v>189</v>
      </c>
      <c r="B27" s="5"/>
      <c r="C27" s="5" t="s">
        <v>42</v>
      </c>
      <c r="D27" s="5" t="s">
        <v>92</v>
      </c>
      <c r="E27" s="5"/>
      <c r="F27" s="5"/>
      <c r="G27" s="5">
        <v>30</v>
      </c>
      <c r="H27" s="5"/>
      <c r="I27" s="5"/>
      <c r="J27" s="5"/>
      <c r="K27" s="5"/>
      <c r="L27" s="5"/>
      <c r="M27" s="5"/>
      <c r="N27" s="5"/>
      <c r="O27" s="5"/>
      <c r="P27" s="6" t="s">
        <v>45</v>
      </c>
      <c r="Q27" s="5"/>
      <c r="R27" s="5"/>
      <c r="S27" s="5"/>
      <c r="T27" s="5"/>
      <c r="U27" s="7"/>
      <c r="V27" s="5"/>
      <c r="W27" s="5" t="s">
        <v>45</v>
      </c>
      <c r="X27" s="5" t="s">
        <v>45</v>
      </c>
      <c r="Y27" s="5"/>
      <c r="Z27" s="5"/>
      <c r="AA27" s="5"/>
      <c r="AB27" s="5"/>
      <c r="AC27" s="5"/>
      <c r="AD27" s="5">
        <v>2</v>
      </c>
      <c r="AE27" s="5"/>
      <c r="AF27" s="5"/>
      <c r="AG27" s="5">
        <v>-2</v>
      </c>
      <c r="AH27" s="5"/>
      <c r="AI27" s="5">
        <v>-2</v>
      </c>
      <c r="AJ27" s="5"/>
      <c r="AK27" s="5"/>
      <c r="AL27" s="5"/>
      <c r="AM27" s="5"/>
      <c r="AN27" s="5"/>
      <c r="AO27" s="5"/>
      <c r="AP27" s="5"/>
      <c r="AQ27" s="5"/>
      <c r="AR27" s="5"/>
      <c r="AS27" s="5"/>
      <c r="AT27" s="5" t="s">
        <v>190</v>
      </c>
      <c r="AU27" s="5" t="s">
        <v>191</v>
      </c>
      <c r="AV27" s="5"/>
      <c r="AW27" s="7"/>
      <c r="AX27" s="5"/>
      <c r="AY27" s="5" t="s">
        <v>125</v>
      </c>
      <c r="AZ27" s="5" t="s">
        <v>45</v>
      </c>
      <c r="BA27" s="5" t="s">
        <v>45</v>
      </c>
      <c r="BB27" s="5" t="s">
        <v>45</v>
      </c>
      <c r="BM27" s="5" t="s">
        <v>1726</v>
      </c>
      <c r="BN27" s="5"/>
      <c r="BO27" s="5"/>
    </row>
    <row r="28" spans="1:67">
      <c r="A28" s="4" t="s">
        <v>192</v>
      </c>
      <c r="B28" s="5"/>
      <c r="C28" s="5" t="s">
        <v>42</v>
      </c>
      <c r="D28" s="5" t="s">
        <v>51</v>
      </c>
      <c r="E28" s="5" t="s">
        <v>193</v>
      </c>
      <c r="F28" s="5">
        <v>4</v>
      </c>
      <c r="G28" s="5">
        <v>30</v>
      </c>
      <c r="H28" s="5"/>
      <c r="I28" s="5"/>
      <c r="J28" s="5"/>
      <c r="K28" s="5"/>
      <c r="L28" s="5"/>
      <c r="M28" s="5">
        <v>5</v>
      </c>
      <c r="N28" s="5" t="s">
        <v>75</v>
      </c>
      <c r="O28" s="5"/>
      <c r="P28" s="6" t="s">
        <v>45</v>
      </c>
      <c r="Q28" s="5"/>
      <c r="R28" s="5"/>
      <c r="S28" s="5"/>
      <c r="T28" s="5"/>
      <c r="U28" s="7"/>
      <c r="V28" s="5" t="s">
        <v>108</v>
      </c>
      <c r="W28" s="5" t="s">
        <v>109</v>
      </c>
      <c r="X28" s="5" t="s">
        <v>45</v>
      </c>
      <c r="Y28" s="5"/>
      <c r="Z28" s="5"/>
      <c r="AA28" s="5"/>
      <c r="AB28" s="5"/>
      <c r="AC28" s="5"/>
      <c r="AD28" s="5">
        <v>2</v>
      </c>
      <c r="AE28" s="5">
        <v>2</v>
      </c>
      <c r="AF28" s="5">
        <v>2</v>
      </c>
      <c r="AG28" s="5">
        <v>-4</v>
      </c>
      <c r="AH28" s="5"/>
      <c r="AI28" s="5">
        <v>-4</v>
      </c>
      <c r="AJ28" s="5"/>
      <c r="AK28" s="5"/>
      <c r="AL28" s="5"/>
      <c r="AM28" s="5"/>
      <c r="AN28" s="5"/>
      <c r="AO28" s="5"/>
      <c r="AP28" s="5" t="s">
        <v>194</v>
      </c>
      <c r="AQ28" s="5"/>
      <c r="AR28" s="5"/>
      <c r="AS28" s="5" t="s">
        <v>195</v>
      </c>
      <c r="AT28" s="5" t="s">
        <v>156</v>
      </c>
      <c r="AU28" s="5" t="s">
        <v>102</v>
      </c>
      <c r="AV28" s="5">
        <v>3</v>
      </c>
      <c r="AW28" s="7"/>
      <c r="AX28" s="5">
        <v>3</v>
      </c>
      <c r="AY28" s="5" t="s">
        <v>49</v>
      </c>
      <c r="AZ28" s="5" t="s">
        <v>45</v>
      </c>
      <c r="BA28" s="5" t="s">
        <v>45</v>
      </c>
      <c r="BB28" s="5" t="s">
        <v>45</v>
      </c>
      <c r="BM28" s="5" t="s">
        <v>1688</v>
      </c>
      <c r="BN28" s="5">
        <v>25</v>
      </c>
      <c r="BO28" s="5"/>
    </row>
    <row r="29" spans="1:67">
      <c r="A29" s="4" t="s">
        <v>196</v>
      </c>
      <c r="B29" s="5"/>
      <c r="C29" s="5" t="s">
        <v>42</v>
      </c>
      <c r="D29" s="5" t="s">
        <v>51</v>
      </c>
      <c r="E29" s="5" t="s">
        <v>197</v>
      </c>
      <c r="F29" s="5">
        <v>4</v>
      </c>
      <c r="G29" s="5">
        <v>30</v>
      </c>
      <c r="H29" s="5"/>
      <c r="I29" s="5"/>
      <c r="J29" s="5"/>
      <c r="K29" s="5"/>
      <c r="L29" s="5"/>
      <c r="M29" s="5">
        <v>3</v>
      </c>
      <c r="N29" s="5" t="s">
        <v>198</v>
      </c>
      <c r="O29" s="5"/>
      <c r="P29" s="6" t="s">
        <v>45</v>
      </c>
      <c r="Q29" s="5"/>
      <c r="R29" s="5"/>
      <c r="S29" s="5"/>
      <c r="T29" s="5"/>
      <c r="U29" s="7"/>
      <c r="V29" s="5"/>
      <c r="W29" s="5" t="s">
        <v>45</v>
      </c>
      <c r="X29" s="5" t="s">
        <v>45</v>
      </c>
      <c r="Y29" s="5"/>
      <c r="Z29" s="5"/>
      <c r="AA29" s="5"/>
      <c r="AB29" s="5"/>
      <c r="AC29" s="5"/>
      <c r="AD29" s="5">
        <v>6</v>
      </c>
      <c r="AE29" s="5">
        <v>2</v>
      </c>
      <c r="AF29" s="5">
        <v>6</v>
      </c>
      <c r="AG29" s="5">
        <v>-6</v>
      </c>
      <c r="AH29" s="5">
        <v>2</v>
      </c>
      <c r="AI29" s="5">
        <v>2</v>
      </c>
      <c r="AJ29" s="5"/>
      <c r="AK29" s="5"/>
      <c r="AL29" s="5"/>
      <c r="AM29" s="5"/>
      <c r="AN29" s="5"/>
      <c r="AO29" s="5"/>
      <c r="AP29" s="5" t="s">
        <v>199</v>
      </c>
      <c r="AQ29" s="5"/>
      <c r="AR29" s="5"/>
      <c r="AS29" s="5" t="s">
        <v>195</v>
      </c>
      <c r="AT29" s="5" t="s">
        <v>102</v>
      </c>
      <c r="AU29" s="5" t="s">
        <v>138</v>
      </c>
      <c r="AV29" s="5">
        <v>4</v>
      </c>
      <c r="AW29" s="7"/>
      <c r="AX29" s="5">
        <v>4</v>
      </c>
      <c r="AY29" s="5" t="s">
        <v>113</v>
      </c>
      <c r="AZ29" s="5" t="s">
        <v>45</v>
      </c>
      <c r="BA29" s="5" t="s">
        <v>45</v>
      </c>
      <c r="BB29" s="5" t="s">
        <v>45</v>
      </c>
      <c r="BM29" s="5" t="s">
        <v>1688</v>
      </c>
      <c r="BN29" s="5">
        <v>25</v>
      </c>
      <c r="BO29" s="5"/>
    </row>
    <row r="30" spans="1:67">
      <c r="A30" s="4" t="s">
        <v>200</v>
      </c>
      <c r="B30" s="5"/>
      <c r="C30" s="5" t="s">
        <v>42</v>
      </c>
      <c r="D30" s="5" t="s">
        <v>51</v>
      </c>
      <c r="E30" s="5" t="s">
        <v>201</v>
      </c>
      <c r="F30" s="5">
        <v>3</v>
      </c>
      <c r="G30" s="5">
        <v>30</v>
      </c>
      <c r="H30" s="5"/>
      <c r="I30" s="5"/>
      <c r="J30" s="5"/>
      <c r="K30" s="5"/>
      <c r="L30" s="5"/>
      <c r="M30" s="5">
        <v>3</v>
      </c>
      <c r="N30" s="5" t="s">
        <v>202</v>
      </c>
      <c r="O30" s="5"/>
      <c r="P30" s="6" t="s">
        <v>45</v>
      </c>
      <c r="Q30" s="5"/>
      <c r="R30" s="5"/>
      <c r="S30" s="5"/>
      <c r="T30" s="5"/>
      <c r="U30" s="7"/>
      <c r="V30" s="5"/>
      <c r="W30" s="5" t="s">
        <v>45</v>
      </c>
      <c r="X30" s="5" t="s">
        <v>45</v>
      </c>
      <c r="Y30" s="5"/>
      <c r="Z30" s="5"/>
      <c r="AA30" s="5"/>
      <c r="AB30" s="5"/>
      <c r="AC30" s="5"/>
      <c r="AD30" s="5">
        <v>6</v>
      </c>
      <c r="AE30" s="5">
        <v>6</v>
      </c>
      <c r="AF30" s="5">
        <v>4</v>
      </c>
      <c r="AG30" s="5">
        <v>-4</v>
      </c>
      <c r="AH30" s="5"/>
      <c r="AI30" s="5">
        <v>4</v>
      </c>
      <c r="AJ30" s="5"/>
      <c r="AK30" s="5"/>
      <c r="AL30" s="5"/>
      <c r="AM30" s="5"/>
      <c r="AN30" s="5"/>
      <c r="AO30" s="5"/>
      <c r="AP30" s="5" t="s">
        <v>203</v>
      </c>
      <c r="AQ30" s="5"/>
      <c r="AR30" s="5"/>
      <c r="AS30" s="5"/>
      <c r="AT30" s="5" t="s">
        <v>204</v>
      </c>
      <c r="AU30" s="5" t="s">
        <v>102</v>
      </c>
      <c r="AV30" s="5">
        <v>3</v>
      </c>
      <c r="AW30" s="7"/>
      <c r="AX30" s="5">
        <v>4</v>
      </c>
      <c r="AY30" s="5" t="s">
        <v>95</v>
      </c>
      <c r="AZ30" s="5" t="s">
        <v>45</v>
      </c>
      <c r="BA30" s="5" t="s">
        <v>45</v>
      </c>
      <c r="BB30" s="5" t="s">
        <v>45</v>
      </c>
      <c r="BM30" s="5" t="s">
        <v>1688</v>
      </c>
      <c r="BN30" s="5">
        <v>25</v>
      </c>
      <c r="BO30" s="5"/>
    </row>
    <row r="31" spans="1:67">
      <c r="A31" s="4" t="s">
        <v>205</v>
      </c>
      <c r="B31" s="5"/>
      <c r="C31" s="5" t="s">
        <v>42</v>
      </c>
      <c r="D31" s="5" t="s">
        <v>92</v>
      </c>
      <c r="E31" s="5" t="s">
        <v>205</v>
      </c>
      <c r="F31" s="5"/>
      <c r="G31" s="5">
        <v>40</v>
      </c>
      <c r="H31" s="5"/>
      <c r="I31" s="5"/>
      <c r="J31" s="5"/>
      <c r="K31" s="5"/>
      <c r="L31" s="5"/>
      <c r="M31" s="5">
        <v>1</v>
      </c>
      <c r="N31" s="5"/>
      <c r="O31" s="5"/>
      <c r="P31" s="6" t="s">
        <v>45</v>
      </c>
      <c r="Q31" s="5"/>
      <c r="R31" s="5"/>
      <c r="S31" s="5" t="s">
        <v>77</v>
      </c>
      <c r="T31" s="5"/>
      <c r="U31" s="7"/>
      <c r="V31" s="5"/>
      <c r="W31" s="5" t="s">
        <v>45</v>
      </c>
      <c r="X31" s="5" t="s">
        <v>45</v>
      </c>
      <c r="Y31" s="5"/>
      <c r="Z31" s="5"/>
      <c r="AA31" s="5"/>
      <c r="AB31" s="5"/>
      <c r="AC31" s="5"/>
      <c r="AD31" s="5"/>
      <c r="AE31" s="5">
        <v>4</v>
      </c>
      <c r="AF31" s="5"/>
      <c r="AG31" s="5"/>
      <c r="AH31" s="5"/>
      <c r="AI31" s="5">
        <v>2</v>
      </c>
      <c r="AJ31" s="5"/>
      <c r="AK31" s="5"/>
      <c r="AL31" s="5"/>
      <c r="AM31" s="5"/>
      <c r="AN31" s="5"/>
      <c r="AO31" s="5"/>
      <c r="AP31" s="5" t="s">
        <v>206</v>
      </c>
      <c r="AQ31" s="5"/>
      <c r="AR31" s="5"/>
      <c r="AS31" s="5"/>
      <c r="AT31" s="5" t="s">
        <v>207</v>
      </c>
      <c r="AU31" s="5" t="s">
        <v>208</v>
      </c>
      <c r="AV31" s="5"/>
      <c r="AW31" s="7"/>
      <c r="AX31" s="5">
        <v>1</v>
      </c>
      <c r="AY31" s="5" t="s">
        <v>49</v>
      </c>
      <c r="AZ31" s="5" t="s">
        <v>209</v>
      </c>
      <c r="BA31" s="5" t="s">
        <v>210</v>
      </c>
      <c r="BB31" s="5" t="s">
        <v>60</v>
      </c>
      <c r="BM31" s="5" t="s">
        <v>1683</v>
      </c>
      <c r="BN31" s="5"/>
      <c r="BO31" s="5" t="s">
        <v>1727</v>
      </c>
    </row>
    <row r="32" spans="1:67">
      <c r="A32" s="4" t="s">
        <v>211</v>
      </c>
      <c r="B32" s="5"/>
      <c r="C32" s="5" t="str">
        <f>IF(MCCell&gt;=6,"Large","Medium")</f>
        <v>Medium</v>
      </c>
      <c r="D32" s="5" t="s">
        <v>43</v>
      </c>
      <c r="E32" s="5"/>
      <c r="F32" s="5">
        <f>(MCCell&gt;=1)+(MCCell&gt;=2)+(MCCell&gt;=4)+(MCCell&gt;=6)</f>
        <v>0</v>
      </c>
      <c r="G32" s="5">
        <f>IF(MCCell&gt;=5,50,40)</f>
        <v>40</v>
      </c>
      <c r="H32" s="5"/>
      <c r="I32" s="5"/>
      <c r="J32" s="5"/>
      <c r="K32" s="5"/>
      <c r="L32" s="5"/>
      <c r="M32" s="5">
        <f>1*(MCCell&gt;=1)+1*(MCCell&gt;=3)+1*(MCCell&gt;=5)</f>
        <v>0</v>
      </c>
      <c r="N32" s="5" t="s">
        <v>212</v>
      </c>
      <c r="O32" s="5"/>
      <c r="P32" s="6" t="s">
        <v>45</v>
      </c>
      <c r="Q32" s="5"/>
      <c r="R32" s="5"/>
      <c r="S32" s="5"/>
      <c r="T32" s="5">
        <v>60</v>
      </c>
      <c r="U32" s="7"/>
      <c r="V32" s="5"/>
      <c r="W32" s="5" t="s">
        <v>45</v>
      </c>
      <c r="X32" s="5" t="s">
        <v>45</v>
      </c>
      <c r="Y32" s="5"/>
      <c r="Z32" s="5"/>
      <c r="AA32" s="5"/>
      <c r="AB32" s="5"/>
      <c r="AC32" s="5"/>
      <c r="AD32" s="5">
        <f>2*((MCCell&gt;=2)+(MCCell&gt;=3)+(MCCell&gt;=4)+(MCCell&gt;=5))</f>
        <v>0</v>
      </c>
      <c r="AE32" s="5">
        <f>2+2*(MCCell&gt;=4)</f>
        <v>2</v>
      </c>
      <c r="AF32" s="5">
        <f>2*((MCCell&gt;=3)+(MCCell&gt;=5))</f>
        <v>0</v>
      </c>
      <c r="AG32" s="5">
        <v>-2</v>
      </c>
      <c r="AH32" s="5">
        <f>2*(MCCell&gt;=2)</f>
        <v>0</v>
      </c>
      <c r="AI32" s="5"/>
      <c r="AJ32" s="5"/>
      <c r="AK32" s="5"/>
      <c r="AL32" s="5"/>
      <c r="AM32" s="5"/>
      <c r="AN32" s="5"/>
      <c r="AO32" s="5"/>
      <c r="AP32" s="5" t="s">
        <v>213</v>
      </c>
      <c r="AQ32" s="5"/>
      <c r="AR32" s="5" t="s">
        <v>1804</v>
      </c>
      <c r="AS32" s="5"/>
      <c r="AT32" s="5" t="str">
        <f>IF(HRLivingGreyhawk,"Common, Giant",IF(HRDLCS,"Common, Sylvan","Sylvan,Elven"))</f>
        <v>Sylvan,Elven</v>
      </c>
      <c r="AU32" s="5" t="str">
        <f>IF(HRDLCS,"Abanasinian, Elven, Goblin, Ogre","Common, Gnome, Halfling")</f>
        <v>Common, Gnome, Halfling</v>
      </c>
      <c r="AV32" s="5">
        <f>1+1*(MCCell&gt;=2)+1*(MCCell&gt;=4)</f>
        <v>1</v>
      </c>
      <c r="AW32" s="7"/>
      <c r="AX32" s="5">
        <f>1*(MCCell&gt;=3)+1*(MCCell&gt;=5)</f>
        <v>0</v>
      </c>
      <c r="AY32" s="5" t="s">
        <v>49</v>
      </c>
      <c r="AZ32" s="5" t="s">
        <v>214</v>
      </c>
      <c r="BA32" s="5" t="s">
        <v>215</v>
      </c>
      <c r="BB32" s="5" t="s">
        <v>216</v>
      </c>
      <c r="BM32" s="5" t="s">
        <v>1609</v>
      </c>
      <c r="BN32" s="5">
        <v>32</v>
      </c>
      <c r="BO32" s="5" t="s">
        <v>1754</v>
      </c>
    </row>
    <row r="33" spans="1:67">
      <c r="A33" s="4" t="s">
        <v>217</v>
      </c>
      <c r="B33" s="5"/>
      <c r="C33" s="5" t="s">
        <v>42</v>
      </c>
      <c r="D33" s="5" t="s">
        <v>43</v>
      </c>
      <c r="E33" s="5"/>
      <c r="F33" s="5">
        <v>2</v>
      </c>
      <c r="G33" s="5">
        <v>40</v>
      </c>
      <c r="H33" s="5"/>
      <c r="I33" s="5"/>
      <c r="J33" s="5"/>
      <c r="K33" s="5"/>
      <c r="L33" s="5"/>
      <c r="M33" s="5">
        <v>5</v>
      </c>
      <c r="N33" s="5" t="s">
        <v>212</v>
      </c>
      <c r="O33" s="5"/>
      <c r="P33" s="6" t="s">
        <v>45</v>
      </c>
      <c r="Q33" s="5"/>
      <c r="R33" s="5"/>
      <c r="S33" s="5"/>
      <c r="T33" s="5">
        <v>60</v>
      </c>
      <c r="U33" s="7"/>
      <c r="V33" s="5"/>
      <c r="W33" s="5" t="s">
        <v>45</v>
      </c>
      <c r="X33" s="5" t="s">
        <v>45</v>
      </c>
      <c r="Y33" s="5"/>
      <c r="Z33" s="5"/>
      <c r="AA33" s="5"/>
      <c r="AB33" s="5"/>
      <c r="AC33" s="5"/>
      <c r="AD33" s="5">
        <v>4</v>
      </c>
      <c r="AE33" s="5">
        <v>4</v>
      </c>
      <c r="AF33" s="5"/>
      <c r="AG33" s="5"/>
      <c r="AH33" s="5">
        <v>2</v>
      </c>
      <c r="AI33" s="5">
        <v>-2</v>
      </c>
      <c r="AJ33" s="5"/>
      <c r="AK33" s="5"/>
      <c r="AL33" s="5"/>
      <c r="AM33" s="5"/>
      <c r="AN33" s="5"/>
      <c r="AO33" s="5"/>
      <c r="AP33" s="5" t="s">
        <v>218</v>
      </c>
      <c r="AQ33" s="5"/>
      <c r="AR33" s="5" t="s">
        <v>1804</v>
      </c>
      <c r="AS33" s="5"/>
      <c r="AT33" s="5" t="s">
        <v>219</v>
      </c>
      <c r="AU33" s="5" t="s">
        <v>220</v>
      </c>
      <c r="AV33" s="5">
        <v>1</v>
      </c>
      <c r="AW33" s="7"/>
      <c r="AX33" s="5">
        <v>1</v>
      </c>
      <c r="AY33" s="5" t="s">
        <v>49</v>
      </c>
      <c r="AZ33" s="5" t="s">
        <v>45</v>
      </c>
      <c r="BA33" s="5" t="s">
        <v>45</v>
      </c>
      <c r="BB33" s="5" t="s">
        <v>45</v>
      </c>
      <c r="BM33" s="5" t="s">
        <v>1669</v>
      </c>
      <c r="BN33" s="5"/>
      <c r="BO33" s="5"/>
    </row>
    <row r="34" spans="1:67">
      <c r="A34" s="4" t="s">
        <v>221</v>
      </c>
      <c r="B34" s="5"/>
      <c r="C34" s="5" t="s">
        <v>42</v>
      </c>
      <c r="D34" s="5" t="s">
        <v>92</v>
      </c>
      <c r="E34" s="5" t="s">
        <v>222</v>
      </c>
      <c r="F34" s="5"/>
      <c r="G34" s="5">
        <v>30</v>
      </c>
      <c r="H34" s="5"/>
      <c r="I34" s="5"/>
      <c r="J34" s="5"/>
      <c r="K34" s="5"/>
      <c r="L34" s="5"/>
      <c r="M34" s="5"/>
      <c r="N34" s="5"/>
      <c r="O34" s="5"/>
      <c r="P34" s="6" t="s">
        <v>45</v>
      </c>
      <c r="Q34" s="5"/>
      <c r="R34" s="5"/>
      <c r="S34" s="5"/>
      <c r="T34" s="5"/>
      <c r="U34" s="7"/>
      <c r="V34" s="5"/>
      <c r="W34" s="5" t="s">
        <v>45</v>
      </c>
      <c r="X34" s="5" t="s">
        <v>45</v>
      </c>
      <c r="Y34" s="5"/>
      <c r="Z34" s="5"/>
      <c r="AA34" s="5"/>
      <c r="AB34" s="5"/>
      <c r="AC34" s="5"/>
      <c r="AD34" s="5"/>
      <c r="AE34" s="5"/>
      <c r="AF34" s="5"/>
      <c r="AG34" s="5"/>
      <c r="AH34" s="5"/>
      <c r="AI34" s="5"/>
      <c r="AJ34" s="5"/>
      <c r="AK34" s="5"/>
      <c r="AL34" s="5"/>
      <c r="AM34" s="5"/>
      <c r="AN34" s="5"/>
      <c r="AO34" s="5"/>
      <c r="AP34" s="5" t="s">
        <v>223</v>
      </c>
      <c r="AQ34" s="5"/>
      <c r="AR34" s="5"/>
      <c r="AS34" s="5"/>
      <c r="AT34" s="5" t="s">
        <v>102</v>
      </c>
      <c r="AU34" s="5" t="s">
        <v>224</v>
      </c>
      <c r="AV34" s="5"/>
      <c r="AW34" s="7"/>
      <c r="AX34" s="5"/>
      <c r="AY34" s="5" t="s">
        <v>95</v>
      </c>
      <c r="AZ34" s="5" t="s">
        <v>105</v>
      </c>
      <c r="BA34" s="5" t="s">
        <v>225</v>
      </c>
      <c r="BB34" s="5" t="s">
        <v>226</v>
      </c>
      <c r="BM34" s="5" t="s">
        <v>1718</v>
      </c>
      <c r="BN34" s="5">
        <v>24</v>
      </c>
      <c r="BO34" s="5" t="s">
        <v>1728</v>
      </c>
    </row>
    <row r="35" spans="1:67">
      <c r="A35" s="4" t="s">
        <v>227</v>
      </c>
      <c r="B35" s="5"/>
      <c r="C35" s="5" t="s">
        <v>42</v>
      </c>
      <c r="D35" s="5" t="s">
        <v>51</v>
      </c>
      <c r="E35" s="5" t="s">
        <v>52</v>
      </c>
      <c r="F35" s="5"/>
      <c r="G35" s="5">
        <v>30</v>
      </c>
      <c r="H35" s="5"/>
      <c r="I35" s="5"/>
      <c r="J35" s="5"/>
      <c r="K35" s="5"/>
      <c r="L35" s="5"/>
      <c r="M35" s="5"/>
      <c r="N35" s="5"/>
      <c r="O35" s="5"/>
      <c r="P35" s="6" t="s">
        <v>228</v>
      </c>
      <c r="Q35" s="5"/>
      <c r="R35" s="5"/>
      <c r="S35" s="5"/>
      <c r="T35" s="5"/>
      <c r="U35" s="7"/>
      <c r="V35" s="5"/>
      <c r="W35" s="5" t="s">
        <v>45</v>
      </c>
      <c r="X35" s="5" t="s">
        <v>229</v>
      </c>
      <c r="Y35" s="5"/>
      <c r="Z35" s="5"/>
      <c r="AA35" s="5"/>
      <c r="AB35" s="5"/>
      <c r="AC35" s="5"/>
      <c r="AD35" s="5"/>
      <c r="AE35" s="5">
        <v>4</v>
      </c>
      <c r="AF35" s="5">
        <v>2</v>
      </c>
      <c r="AG35" s="5"/>
      <c r="AH35" s="5"/>
      <c r="AI35" s="5">
        <v>-2</v>
      </c>
      <c r="AJ35" s="5"/>
      <c r="AK35" s="5"/>
      <c r="AL35" s="5"/>
      <c r="AM35" s="5"/>
      <c r="AN35" s="5"/>
      <c r="AO35" s="5"/>
      <c r="AP35" s="5" t="s">
        <v>230</v>
      </c>
      <c r="AQ35" s="5"/>
      <c r="AR35" s="5"/>
      <c r="AS35" s="5"/>
      <c r="AT35" s="5" t="s">
        <v>102</v>
      </c>
      <c r="AU35" s="5"/>
      <c r="AV35" s="5"/>
      <c r="AW35" s="7"/>
      <c r="AX35" s="5">
        <v>1</v>
      </c>
      <c r="AY35" s="5" t="s">
        <v>231</v>
      </c>
      <c r="AZ35" s="5" t="s">
        <v>45</v>
      </c>
      <c r="BA35" s="5" t="s">
        <v>45</v>
      </c>
      <c r="BB35" s="5" t="s">
        <v>45</v>
      </c>
      <c r="BM35" s="5" t="s">
        <v>1614</v>
      </c>
      <c r="BN35" s="5"/>
      <c r="BO35" s="5"/>
    </row>
    <row r="36" spans="1:67">
      <c r="A36" s="4" t="s">
        <v>232</v>
      </c>
      <c r="B36" s="5"/>
      <c r="C36" s="5" t="s">
        <v>85</v>
      </c>
      <c r="D36" s="5" t="s">
        <v>43</v>
      </c>
      <c r="E36" s="5"/>
      <c r="F36" s="5">
        <v>2</v>
      </c>
      <c r="G36" s="5">
        <v>30</v>
      </c>
      <c r="H36" s="5"/>
      <c r="I36" s="5">
        <v>20</v>
      </c>
      <c r="J36" s="5"/>
      <c r="K36" s="5"/>
      <c r="L36" s="5"/>
      <c r="M36" s="5"/>
      <c r="N36" s="5"/>
      <c r="O36" s="5"/>
      <c r="P36" s="6" t="s">
        <v>45</v>
      </c>
      <c r="Q36" s="5"/>
      <c r="R36" s="5"/>
      <c r="S36" s="5"/>
      <c r="T36" s="5"/>
      <c r="U36" s="7"/>
      <c r="V36" s="5"/>
      <c r="W36" s="5" t="s">
        <v>45</v>
      </c>
      <c r="X36" s="5"/>
      <c r="Y36" s="5"/>
      <c r="Z36" s="5"/>
      <c r="AA36" s="5"/>
      <c r="AB36" s="5"/>
      <c r="AC36" s="5"/>
      <c r="AD36" s="5"/>
      <c r="AE36" s="5">
        <v>2</v>
      </c>
      <c r="AF36" s="5">
        <v>2</v>
      </c>
      <c r="AG36" s="5">
        <v>2</v>
      </c>
      <c r="AH36" s="5"/>
      <c r="AI36" s="5">
        <v>-4</v>
      </c>
      <c r="AJ36" s="5"/>
      <c r="AK36" s="5"/>
      <c r="AL36" s="5"/>
      <c r="AM36" s="5"/>
      <c r="AN36" s="5"/>
      <c r="AO36" s="5"/>
      <c r="AP36" s="5" t="s">
        <v>233</v>
      </c>
      <c r="AQ36" s="5"/>
      <c r="AR36" s="5"/>
      <c r="AS36" s="5" t="s">
        <v>234</v>
      </c>
      <c r="AT36" s="5" t="s">
        <v>124</v>
      </c>
      <c r="AU36" s="5" t="s">
        <v>235</v>
      </c>
      <c r="AV36" s="5"/>
      <c r="AW36" s="7"/>
      <c r="AX36" s="5">
        <v>2</v>
      </c>
      <c r="AY36" s="5" t="s">
        <v>95</v>
      </c>
      <c r="AZ36" s="5" t="s">
        <v>45</v>
      </c>
      <c r="BA36" s="5" t="s">
        <v>45</v>
      </c>
      <c r="BB36" s="5" t="s">
        <v>45</v>
      </c>
      <c r="BM36" s="5" t="s">
        <v>1722</v>
      </c>
      <c r="BN36" s="5"/>
      <c r="BO36" s="5" t="s">
        <v>1715</v>
      </c>
    </row>
    <row r="37" spans="1:67">
      <c r="A37" s="4" t="s">
        <v>236</v>
      </c>
      <c r="B37" s="5"/>
      <c r="C37" s="5" t="s">
        <v>42</v>
      </c>
      <c r="D37" s="5" t="s">
        <v>92</v>
      </c>
      <c r="E37" s="5"/>
      <c r="F37" s="5"/>
      <c r="G37" s="5">
        <v>20</v>
      </c>
      <c r="H37" s="5"/>
      <c r="I37" s="5"/>
      <c r="J37" s="5"/>
      <c r="K37" s="5"/>
      <c r="L37" s="5"/>
      <c r="M37" s="5">
        <v>8</v>
      </c>
      <c r="N37" s="5"/>
      <c r="O37" s="5"/>
      <c r="P37" s="6" t="s">
        <v>45</v>
      </c>
      <c r="Q37" s="5"/>
      <c r="R37" s="5"/>
      <c r="S37" s="5" t="s">
        <v>77</v>
      </c>
      <c r="T37" s="5"/>
      <c r="U37" s="7"/>
      <c r="V37" s="5"/>
      <c r="W37" s="5" t="s">
        <v>45</v>
      </c>
      <c r="X37" s="5"/>
      <c r="Y37" s="5"/>
      <c r="Z37" s="5"/>
      <c r="AA37" s="5"/>
      <c r="AB37" s="5"/>
      <c r="AC37" s="5"/>
      <c r="AD37" s="5">
        <v>4</v>
      </c>
      <c r="AE37" s="5">
        <v>-2</v>
      </c>
      <c r="AF37" s="5">
        <v>6</v>
      </c>
      <c r="AG37" s="5"/>
      <c r="AH37" s="5"/>
      <c r="AI37" s="5">
        <v>-2</v>
      </c>
      <c r="AJ37" s="5"/>
      <c r="AK37" s="5"/>
      <c r="AL37" s="5"/>
      <c r="AM37" s="5"/>
      <c r="AN37" s="5"/>
      <c r="AO37" s="5"/>
      <c r="AP37" s="5"/>
      <c r="AQ37" s="5"/>
      <c r="AR37" s="5"/>
      <c r="AS37" s="5"/>
      <c r="AT37" s="5" t="s">
        <v>237</v>
      </c>
      <c r="AU37" s="5" t="s">
        <v>238</v>
      </c>
      <c r="AV37" s="5"/>
      <c r="AW37" s="7"/>
      <c r="AX37" s="5">
        <v>2</v>
      </c>
      <c r="AY37" s="5" t="s">
        <v>72</v>
      </c>
      <c r="AZ37" s="5" t="s">
        <v>45</v>
      </c>
      <c r="BA37" s="5" t="s">
        <v>45</v>
      </c>
      <c r="BB37" s="5" t="s">
        <v>45</v>
      </c>
      <c r="BM37" s="5" t="s">
        <v>1665</v>
      </c>
      <c r="BN37" s="5">
        <v>144</v>
      </c>
      <c r="BO37" s="5"/>
    </row>
    <row r="38" spans="1:67">
      <c r="A38" s="4" t="s">
        <v>239</v>
      </c>
      <c r="B38" s="5"/>
      <c r="C38" s="5" t="s">
        <v>42</v>
      </c>
      <c r="D38" s="5" t="s">
        <v>240</v>
      </c>
      <c r="E38" s="5"/>
      <c r="F38" s="5"/>
      <c r="G38" s="5">
        <v>30</v>
      </c>
      <c r="H38" s="5"/>
      <c r="I38" s="5"/>
      <c r="J38" s="5"/>
      <c r="K38" s="5"/>
      <c r="L38" s="5"/>
      <c r="M38" s="5"/>
      <c r="N38" s="5"/>
      <c r="O38" s="5"/>
      <c r="P38" s="6" t="s">
        <v>45</v>
      </c>
      <c r="Q38" s="5"/>
      <c r="R38" s="5"/>
      <c r="S38" s="5"/>
      <c r="T38" s="5">
        <v>60</v>
      </c>
      <c r="U38" s="7"/>
      <c r="V38" s="5"/>
      <c r="W38" s="5" t="s">
        <v>45</v>
      </c>
      <c r="X38" s="5"/>
      <c r="Y38" s="5"/>
      <c r="Z38" s="5"/>
      <c r="AA38" s="5"/>
      <c r="AB38" s="5"/>
      <c r="AC38" s="5"/>
      <c r="AD38" s="5"/>
      <c r="AE38" s="5"/>
      <c r="AF38" s="5"/>
      <c r="AG38" s="5"/>
      <c r="AH38" s="5"/>
      <c r="AI38" s="5"/>
      <c r="AJ38" s="5"/>
      <c r="AK38" s="5"/>
      <c r="AL38" s="5"/>
      <c r="AM38" s="5"/>
      <c r="AN38" s="5"/>
      <c r="AO38" s="5"/>
      <c r="AP38" s="5"/>
      <c r="AQ38" s="5"/>
      <c r="AR38" s="5"/>
      <c r="AS38" s="5" t="s">
        <v>241</v>
      </c>
      <c r="AT38" s="5" t="s">
        <v>102</v>
      </c>
      <c r="AU38" s="5" t="s">
        <v>242</v>
      </c>
      <c r="AV38" s="5"/>
      <c r="AW38" s="7"/>
      <c r="AX38" s="5"/>
      <c r="AY38" s="5" t="s">
        <v>95</v>
      </c>
      <c r="AZ38" s="5" t="s">
        <v>45</v>
      </c>
      <c r="BA38" s="5" t="s">
        <v>45</v>
      </c>
      <c r="BB38" s="5" t="s">
        <v>45</v>
      </c>
      <c r="BM38" s="5" t="s">
        <v>1729</v>
      </c>
      <c r="BN38" s="5"/>
      <c r="BO38" s="5" t="s">
        <v>1728</v>
      </c>
    </row>
    <row r="39" spans="1:67">
      <c r="A39" s="4" t="s">
        <v>243</v>
      </c>
      <c r="B39" s="5"/>
      <c r="C39" s="5" t="s">
        <v>42</v>
      </c>
      <c r="D39" s="5" t="s">
        <v>92</v>
      </c>
      <c r="E39" s="5" t="s">
        <v>100</v>
      </c>
      <c r="F39" s="5"/>
      <c r="G39" s="5">
        <v>20</v>
      </c>
      <c r="H39" s="5"/>
      <c r="I39" s="5"/>
      <c r="J39" s="5"/>
      <c r="K39" s="5"/>
      <c r="L39" s="5">
        <v>40</v>
      </c>
      <c r="M39" s="5"/>
      <c r="N39" s="5" t="s">
        <v>244</v>
      </c>
      <c r="O39" s="5"/>
      <c r="P39" s="6" t="s">
        <v>45</v>
      </c>
      <c r="Q39" s="5"/>
      <c r="R39" s="5"/>
      <c r="S39" s="5"/>
      <c r="T39" s="5"/>
      <c r="U39" s="7"/>
      <c r="V39" s="5"/>
      <c r="W39" s="5" t="s">
        <v>45</v>
      </c>
      <c r="X39" s="5"/>
      <c r="Y39" s="5"/>
      <c r="Z39" s="5"/>
      <c r="AA39" s="5"/>
      <c r="AB39" s="5"/>
      <c r="AC39" s="5"/>
      <c r="AD39" s="5">
        <v>2</v>
      </c>
      <c r="AE39" s="5">
        <v>-2</v>
      </c>
      <c r="AF39" s="5"/>
      <c r="AG39" s="5"/>
      <c r="AH39" s="5"/>
      <c r="AI39" s="5"/>
      <c r="AJ39" s="5"/>
      <c r="AK39" s="5"/>
      <c r="AL39" s="5"/>
      <c r="AM39" s="5"/>
      <c r="AN39" s="5"/>
      <c r="AO39" s="5"/>
      <c r="AP39" s="5" t="s">
        <v>101</v>
      </c>
      <c r="AQ39" s="5"/>
      <c r="AR39" s="5"/>
      <c r="AS39" s="5"/>
      <c r="AT39" s="5" t="s">
        <v>243</v>
      </c>
      <c r="AU39" s="5" t="s">
        <v>245</v>
      </c>
      <c r="AV39" s="5"/>
      <c r="AW39" s="7"/>
      <c r="AX39" s="5"/>
      <c r="AY39" s="5" t="s">
        <v>125</v>
      </c>
      <c r="AZ39" s="5" t="s">
        <v>209</v>
      </c>
      <c r="BA39" s="5" t="s">
        <v>246</v>
      </c>
      <c r="BB39" s="5" t="s">
        <v>247</v>
      </c>
      <c r="BM39" s="5" t="s">
        <v>1720</v>
      </c>
      <c r="BN39" s="5">
        <v>143</v>
      </c>
      <c r="BO39" s="5"/>
    </row>
    <row r="40" spans="1:67">
      <c r="A40" s="4" t="s">
        <v>248</v>
      </c>
      <c r="B40" s="5"/>
      <c r="C40" s="5" t="s">
        <v>85</v>
      </c>
      <c r="D40" s="5" t="s">
        <v>92</v>
      </c>
      <c r="E40" s="5"/>
      <c r="F40" s="5"/>
      <c r="G40" s="5">
        <v>30</v>
      </c>
      <c r="H40" s="5"/>
      <c r="I40" s="5"/>
      <c r="J40" s="5"/>
      <c r="K40" s="5"/>
      <c r="L40" s="5"/>
      <c r="M40" s="5">
        <v>1</v>
      </c>
      <c r="N40" s="5"/>
      <c r="O40" s="5"/>
      <c r="P40" s="6" t="s">
        <v>45</v>
      </c>
      <c r="Q40" s="5"/>
      <c r="R40" s="5"/>
      <c r="S40" s="5"/>
      <c r="T40" s="5"/>
      <c r="U40" s="7"/>
      <c r="V40" s="5"/>
      <c r="W40" s="5" t="s">
        <v>45</v>
      </c>
      <c r="X40" s="5"/>
      <c r="Y40" s="5"/>
      <c r="Z40" s="5"/>
      <c r="AA40" s="5"/>
      <c r="AB40" s="5"/>
      <c r="AC40" s="5"/>
      <c r="AD40" s="5">
        <v>2</v>
      </c>
      <c r="AE40" s="5">
        <v>6</v>
      </c>
      <c r="AF40" s="5">
        <v>2</v>
      </c>
      <c r="AG40" s="5"/>
      <c r="AH40" s="5">
        <v>4</v>
      </c>
      <c r="AI40" s="5"/>
      <c r="AJ40" s="5"/>
      <c r="AK40" s="5"/>
      <c r="AL40" s="5"/>
      <c r="AM40" s="5"/>
      <c r="AN40" s="5"/>
      <c r="AO40" s="5"/>
      <c r="AP40" s="5" t="s">
        <v>249</v>
      </c>
      <c r="AQ40" s="5"/>
      <c r="AR40" s="5"/>
      <c r="AS40" s="5"/>
      <c r="AT40" s="5" t="s">
        <v>250</v>
      </c>
      <c r="AU40" s="5"/>
      <c r="AV40" s="5">
        <v>3</v>
      </c>
      <c r="AW40" s="7"/>
      <c r="AX40" s="5">
        <v>4</v>
      </c>
      <c r="AY40" s="5" t="s">
        <v>95</v>
      </c>
      <c r="AZ40" s="5" t="s">
        <v>45</v>
      </c>
      <c r="BA40" s="5" t="s">
        <v>45</v>
      </c>
      <c r="BB40" s="5" t="s">
        <v>45</v>
      </c>
      <c r="BM40" s="5" t="s">
        <v>1688</v>
      </c>
      <c r="BN40" s="5">
        <v>38</v>
      </c>
      <c r="BO40" s="5"/>
    </row>
    <row r="41" spans="1:67">
      <c r="A41" s="4" t="s">
        <v>251</v>
      </c>
      <c r="B41" s="5"/>
      <c r="C41" s="5" t="s">
        <v>42</v>
      </c>
      <c r="D41" s="5" t="s">
        <v>92</v>
      </c>
      <c r="E41" s="5"/>
      <c r="F41" s="5">
        <v>3</v>
      </c>
      <c r="G41" s="5">
        <v>30</v>
      </c>
      <c r="H41" s="5"/>
      <c r="I41" s="5"/>
      <c r="J41" s="5"/>
      <c r="K41" s="5"/>
      <c r="L41" s="5"/>
      <c r="M41" s="5">
        <v>2</v>
      </c>
      <c r="N41" s="5"/>
      <c r="O41" s="5"/>
      <c r="P41" s="6" t="s">
        <v>252</v>
      </c>
      <c r="Q41" s="5"/>
      <c r="R41" s="5"/>
      <c r="S41" s="5"/>
      <c r="T41" s="5"/>
      <c r="U41" s="7"/>
      <c r="V41" s="5"/>
      <c r="W41" s="5" t="s">
        <v>45</v>
      </c>
      <c r="X41" s="5"/>
      <c r="Y41" s="5"/>
      <c r="Z41" s="5"/>
      <c r="AA41" s="5"/>
      <c r="AB41" s="5"/>
      <c r="AC41" s="5"/>
      <c r="AD41" s="5">
        <v>4</v>
      </c>
      <c r="AE41" s="5">
        <v>6</v>
      </c>
      <c r="AF41" s="5">
        <v>2</v>
      </c>
      <c r="AG41" s="5">
        <v>2</v>
      </c>
      <c r="AH41" s="5">
        <v>4</v>
      </c>
      <c r="AI41" s="5">
        <v>6</v>
      </c>
      <c r="AJ41" s="5"/>
      <c r="AK41" s="5"/>
      <c r="AL41" s="5"/>
      <c r="AM41" s="5"/>
      <c r="AN41" s="5"/>
      <c r="AO41" s="5"/>
      <c r="AP41" s="5" t="s">
        <v>249</v>
      </c>
      <c r="AQ41" s="5"/>
      <c r="AR41" s="5"/>
      <c r="AS41" s="5"/>
      <c r="AT41" s="5" t="s">
        <v>250</v>
      </c>
      <c r="AU41" s="5"/>
      <c r="AV41" s="5">
        <v>4</v>
      </c>
      <c r="AW41" s="7"/>
      <c r="AX41" s="5">
        <v>5</v>
      </c>
      <c r="AY41" s="5" t="s">
        <v>95</v>
      </c>
      <c r="AZ41" s="5" t="s">
        <v>45</v>
      </c>
      <c r="BA41" s="5" t="s">
        <v>45</v>
      </c>
      <c r="BB41" s="5" t="s">
        <v>45</v>
      </c>
      <c r="BM41" s="5" t="s">
        <v>1688</v>
      </c>
      <c r="BN41" s="5">
        <v>38</v>
      </c>
      <c r="BO41" s="5"/>
    </row>
    <row r="42" spans="1:67">
      <c r="A42" s="4" t="s">
        <v>253</v>
      </c>
      <c r="B42" s="5"/>
      <c r="C42" s="5" t="s">
        <v>42</v>
      </c>
      <c r="D42" s="5" t="s">
        <v>92</v>
      </c>
      <c r="E42" s="5"/>
      <c r="F42" s="5"/>
      <c r="G42" s="5">
        <v>30</v>
      </c>
      <c r="H42" s="5"/>
      <c r="I42" s="5"/>
      <c r="J42" s="5"/>
      <c r="K42" s="5"/>
      <c r="L42" s="5"/>
      <c r="M42" s="5"/>
      <c r="N42" s="5"/>
      <c r="O42" s="5"/>
      <c r="P42" s="6" t="s">
        <v>45</v>
      </c>
      <c r="Q42" s="5"/>
      <c r="R42" s="5"/>
      <c r="S42" s="5"/>
      <c r="T42" s="5"/>
      <c r="U42" s="7"/>
      <c r="V42" s="5"/>
      <c r="W42" s="5" t="s">
        <v>45</v>
      </c>
      <c r="X42" s="5"/>
      <c r="Y42" s="5"/>
      <c r="Z42" s="5"/>
      <c r="AA42" s="5"/>
      <c r="AB42" s="5"/>
      <c r="AC42" s="5"/>
      <c r="AD42" s="5"/>
      <c r="AE42" s="5"/>
      <c r="AF42" s="5"/>
      <c r="AG42" s="5"/>
      <c r="AH42" s="5"/>
      <c r="AI42" s="5"/>
      <c r="AJ42" s="5"/>
      <c r="AK42" s="5"/>
      <c r="AL42" s="5"/>
      <c r="AM42" s="5"/>
      <c r="AN42" s="5"/>
      <c r="AO42" s="5"/>
      <c r="AP42" s="5" t="s">
        <v>254</v>
      </c>
      <c r="AQ42" s="5"/>
      <c r="AR42" s="5"/>
      <c r="AS42" s="5"/>
      <c r="AT42" s="5" t="s">
        <v>102</v>
      </c>
      <c r="AU42" s="5"/>
      <c r="AV42" s="5">
        <v>1</v>
      </c>
      <c r="AW42" s="7"/>
      <c r="AX42" s="5"/>
      <c r="AY42" s="5" t="s">
        <v>104</v>
      </c>
      <c r="AZ42" s="5" t="s">
        <v>45</v>
      </c>
      <c r="BA42" s="5" t="s">
        <v>45</v>
      </c>
      <c r="BB42" s="5" t="s">
        <v>45</v>
      </c>
      <c r="BM42" s="5" t="s">
        <v>1730</v>
      </c>
      <c r="BN42" s="5"/>
      <c r="BO42" s="5"/>
    </row>
    <row r="43" spans="1:67">
      <c r="A43" s="4" t="s">
        <v>255</v>
      </c>
      <c r="B43" s="5"/>
      <c r="C43" s="5" t="s">
        <v>42</v>
      </c>
      <c r="D43" s="5" t="s">
        <v>92</v>
      </c>
      <c r="E43" s="5"/>
      <c r="F43" s="5"/>
      <c r="G43" s="5">
        <v>30</v>
      </c>
      <c r="H43" s="5"/>
      <c r="I43" s="5"/>
      <c r="J43" s="5"/>
      <c r="K43" s="5"/>
      <c r="L43" s="5"/>
      <c r="M43" s="5"/>
      <c r="N43" s="5"/>
      <c r="O43" s="5"/>
      <c r="P43" s="6" t="s">
        <v>45</v>
      </c>
      <c r="Q43" s="5"/>
      <c r="R43" s="5"/>
      <c r="S43" s="5" t="s">
        <v>77</v>
      </c>
      <c r="T43" s="5"/>
      <c r="U43" s="7"/>
      <c r="V43" s="5"/>
      <c r="W43" s="5" t="s">
        <v>45</v>
      </c>
      <c r="X43" s="5"/>
      <c r="Y43" s="5"/>
      <c r="Z43" s="5"/>
      <c r="AA43" s="5"/>
      <c r="AB43" s="5"/>
      <c r="AC43" s="5"/>
      <c r="AD43" s="5"/>
      <c r="AE43" s="5">
        <v>-2</v>
      </c>
      <c r="AF43" s="5"/>
      <c r="AG43" s="5">
        <v>2</v>
      </c>
      <c r="AH43" s="5"/>
      <c r="AI43" s="5"/>
      <c r="AJ43" s="5"/>
      <c r="AK43" s="5"/>
      <c r="AL43" s="5"/>
      <c r="AM43" s="5"/>
      <c r="AN43" s="5"/>
      <c r="AO43" s="5"/>
      <c r="AP43" s="5"/>
      <c r="AQ43" s="5"/>
      <c r="AR43" s="5"/>
      <c r="AS43" s="5"/>
      <c r="AT43" s="5" t="s">
        <v>256</v>
      </c>
      <c r="AU43" s="5" t="s">
        <v>257</v>
      </c>
      <c r="AV43" s="5"/>
      <c r="AW43" s="7"/>
      <c r="AX43" s="5"/>
      <c r="AY43" s="5" t="s">
        <v>258</v>
      </c>
      <c r="AZ43" s="5" t="s">
        <v>45</v>
      </c>
      <c r="BA43" s="5" t="s">
        <v>45</v>
      </c>
      <c r="BB43" s="5" t="s">
        <v>45</v>
      </c>
      <c r="BM43" s="5" t="s">
        <v>1722</v>
      </c>
      <c r="BN43" s="5"/>
      <c r="BO43" s="5"/>
    </row>
    <row r="44" spans="1:67">
      <c r="A44" s="4" t="s">
        <v>259</v>
      </c>
      <c r="B44" s="5"/>
      <c r="C44" s="5" t="s">
        <v>62</v>
      </c>
      <c r="D44" s="5" t="s">
        <v>43</v>
      </c>
      <c r="E44" s="5"/>
      <c r="F44" s="5">
        <v>12</v>
      </c>
      <c r="G44" s="5">
        <v>20</v>
      </c>
      <c r="H44" s="5"/>
      <c r="I44" s="5">
        <v>30</v>
      </c>
      <c r="J44" s="5"/>
      <c r="K44" s="5"/>
      <c r="L44" s="5"/>
      <c r="M44" s="5">
        <v>5</v>
      </c>
      <c r="N44" s="5" t="s">
        <v>260</v>
      </c>
      <c r="O44" s="5"/>
      <c r="P44" s="6" t="s">
        <v>261</v>
      </c>
      <c r="Q44" s="5"/>
      <c r="R44" s="5"/>
      <c r="S44" s="5"/>
      <c r="T44" s="5">
        <v>60</v>
      </c>
      <c r="U44" s="7"/>
      <c r="V44" s="5"/>
      <c r="W44" s="5" t="s">
        <v>45</v>
      </c>
      <c r="X44" s="5"/>
      <c r="Y44" s="5"/>
      <c r="Z44" s="5"/>
      <c r="AA44" s="5"/>
      <c r="AB44" s="5"/>
      <c r="AC44" s="5"/>
      <c r="AD44" s="5">
        <v>10</v>
      </c>
      <c r="AE44" s="5">
        <v>6</v>
      </c>
      <c r="AF44" s="5">
        <v>8</v>
      </c>
      <c r="AG44" s="5">
        <v>4</v>
      </c>
      <c r="AH44" s="5">
        <v>4</v>
      </c>
      <c r="AI44" s="5"/>
      <c r="AJ44" s="5"/>
      <c r="AK44" s="5"/>
      <c r="AL44" s="5"/>
      <c r="AM44" s="5"/>
      <c r="AN44" s="5"/>
      <c r="AO44" s="5"/>
      <c r="AP44" s="5" t="s">
        <v>262</v>
      </c>
      <c r="AQ44" s="5"/>
      <c r="AR44" s="5" t="s">
        <v>1798</v>
      </c>
      <c r="AS44" s="5" t="s">
        <v>263</v>
      </c>
      <c r="AT44" s="5" t="s">
        <v>264</v>
      </c>
      <c r="AU44" s="5" t="s">
        <v>265</v>
      </c>
      <c r="AV44" s="5">
        <v>9</v>
      </c>
      <c r="AW44" s="7"/>
      <c r="AX44" s="5">
        <v>2</v>
      </c>
      <c r="AY44" s="5" t="s">
        <v>113</v>
      </c>
      <c r="AZ44" s="5" t="s">
        <v>45</v>
      </c>
      <c r="BA44" s="5" t="s">
        <v>45</v>
      </c>
      <c r="BB44" s="5" t="s">
        <v>45</v>
      </c>
      <c r="BM44" s="5" t="s">
        <v>1614</v>
      </c>
      <c r="BN44" s="5">
        <v>62</v>
      </c>
      <c r="BO44" s="5" t="s">
        <v>1755</v>
      </c>
    </row>
    <row r="45" spans="1:67">
      <c r="A45" s="4" t="s">
        <v>266</v>
      </c>
      <c r="B45" s="5"/>
      <c r="C45" s="5" t="s">
        <v>42</v>
      </c>
      <c r="D45" s="5" t="s">
        <v>51</v>
      </c>
      <c r="E45" s="5" t="s">
        <v>175</v>
      </c>
      <c r="F45" s="5">
        <v>14</v>
      </c>
      <c r="G45" s="5">
        <v>30</v>
      </c>
      <c r="H45" s="5"/>
      <c r="I45" s="5"/>
      <c r="J45" s="5"/>
      <c r="K45" s="5"/>
      <c r="L45" s="5"/>
      <c r="M45" s="5">
        <v>8</v>
      </c>
      <c r="N45" s="5"/>
      <c r="O45" s="5"/>
      <c r="P45" s="6" t="s">
        <v>267</v>
      </c>
      <c r="Q45" s="5"/>
      <c r="R45" s="5"/>
      <c r="S45" s="5"/>
      <c r="T45" s="5"/>
      <c r="U45" s="7"/>
      <c r="V45" s="5" t="s">
        <v>130</v>
      </c>
      <c r="W45" s="5"/>
      <c r="X45" s="5" t="s">
        <v>131</v>
      </c>
      <c r="Y45" s="5">
        <v>21</v>
      </c>
      <c r="Z45" s="5" t="s">
        <v>268</v>
      </c>
      <c r="AA45" s="5"/>
      <c r="AB45" s="5"/>
      <c r="AC45" s="5"/>
      <c r="AD45" s="5">
        <v>8</v>
      </c>
      <c r="AE45" s="5">
        <v>18</v>
      </c>
      <c r="AF45" s="5">
        <v>6</v>
      </c>
      <c r="AG45" s="5">
        <v>6</v>
      </c>
      <c r="AH45" s="5">
        <v>12</v>
      </c>
      <c r="AI45" s="5">
        <v>6</v>
      </c>
      <c r="AJ45" s="5"/>
      <c r="AK45" s="5"/>
      <c r="AL45" s="5"/>
      <c r="AM45" s="5"/>
      <c r="AN45" s="5"/>
      <c r="AO45" s="5"/>
      <c r="AP45" s="5" t="s">
        <v>269</v>
      </c>
      <c r="AQ45" s="5"/>
      <c r="AR45" s="5"/>
      <c r="AS45" s="5"/>
      <c r="AT45" s="5" t="s">
        <v>270</v>
      </c>
      <c r="AU45" s="5"/>
      <c r="AV45" s="5">
        <v>11</v>
      </c>
      <c r="AW45" s="7"/>
      <c r="AX45" s="5">
        <v>6</v>
      </c>
      <c r="AY45" s="5" t="s">
        <v>95</v>
      </c>
      <c r="AZ45" s="5"/>
      <c r="BA45" s="5"/>
      <c r="BB45" s="5"/>
      <c r="BM45" s="5" t="s">
        <v>1725</v>
      </c>
      <c r="BN45" s="5">
        <v>114</v>
      </c>
      <c r="BO45" s="5"/>
    </row>
    <row r="46" spans="1:67">
      <c r="A46" s="4" t="s">
        <v>271</v>
      </c>
      <c r="B46" s="5"/>
      <c r="C46" s="5" t="s">
        <v>85</v>
      </c>
      <c r="D46" s="5" t="s">
        <v>272</v>
      </c>
      <c r="E46" s="5" t="s">
        <v>273</v>
      </c>
      <c r="F46" s="5">
        <v>2</v>
      </c>
      <c r="G46" s="5">
        <v>20</v>
      </c>
      <c r="H46" s="5"/>
      <c r="I46" s="5"/>
      <c r="J46" s="5"/>
      <c r="K46" s="5"/>
      <c r="L46" s="5"/>
      <c r="M46" s="5">
        <v>2</v>
      </c>
      <c r="N46" s="5"/>
      <c r="O46" s="5"/>
      <c r="P46" s="6" t="s">
        <v>274</v>
      </c>
      <c r="Q46" s="5"/>
      <c r="R46" s="5"/>
      <c r="S46" s="5" t="s">
        <v>77</v>
      </c>
      <c r="T46" s="5"/>
      <c r="U46" s="7"/>
      <c r="V46" s="5"/>
      <c r="W46" s="5" t="s">
        <v>45</v>
      </c>
      <c r="X46" s="5"/>
      <c r="Y46" s="5"/>
      <c r="Z46" s="5"/>
      <c r="AA46" s="5"/>
      <c r="AB46" s="5"/>
      <c r="AC46" s="5"/>
      <c r="AD46" s="5">
        <v>-2</v>
      </c>
      <c r="AE46" s="5">
        <v>4</v>
      </c>
      <c r="AF46" s="5">
        <v>2</v>
      </c>
      <c r="AG46" s="5">
        <v>4</v>
      </c>
      <c r="AH46" s="5">
        <v>6</v>
      </c>
      <c r="AI46" s="5">
        <v>6</v>
      </c>
      <c r="AJ46" s="5"/>
      <c r="AK46" s="5"/>
      <c r="AL46" s="5"/>
      <c r="AM46" s="5"/>
      <c r="AN46" s="5"/>
      <c r="AO46" s="5"/>
      <c r="AP46" s="5" t="s">
        <v>275</v>
      </c>
      <c r="AQ46" s="5"/>
      <c r="AR46" s="5"/>
      <c r="AS46" s="5"/>
      <c r="AT46" s="5" t="s">
        <v>276</v>
      </c>
      <c r="AU46" s="5" t="s">
        <v>277</v>
      </c>
      <c r="AV46" s="5">
        <v>1</v>
      </c>
      <c r="AW46" s="7"/>
      <c r="AX46" s="5">
        <v>2</v>
      </c>
      <c r="AY46" s="5" t="s">
        <v>95</v>
      </c>
      <c r="AZ46" s="5" t="s">
        <v>45</v>
      </c>
      <c r="BA46" s="5" t="s">
        <v>45</v>
      </c>
      <c r="BB46" s="5" t="s">
        <v>45</v>
      </c>
      <c r="BM46" s="5" t="s">
        <v>1731</v>
      </c>
      <c r="BN46" s="5">
        <v>121</v>
      </c>
      <c r="BO46" s="5"/>
    </row>
    <row r="47" spans="1:67">
      <c r="A47" s="4" t="s">
        <v>278</v>
      </c>
      <c r="B47" s="5"/>
      <c r="C47" s="5" t="s">
        <v>42</v>
      </c>
      <c r="D47" s="5" t="s">
        <v>43</v>
      </c>
      <c r="E47" s="5" t="s">
        <v>222</v>
      </c>
      <c r="F47" s="5">
        <f>(MCCell&gt;=1)+(MCCell&gt;=3)+(MCCell&gt;=5)+(MCCell&gt;=7)</f>
        <v>0</v>
      </c>
      <c r="G47" s="5">
        <v>30</v>
      </c>
      <c r="H47" s="5"/>
      <c r="I47" s="5"/>
      <c r="J47" s="5"/>
      <c r="K47" s="5"/>
      <c r="L47" s="5"/>
      <c r="M47" s="5">
        <f>1*(MCCell&gt;=2)+1*(MCCell&gt;=4)+(1*MCCell&gt;=6)+(1*MCCell&gt;=8)</f>
        <v>0</v>
      </c>
      <c r="N47" s="5" t="s">
        <v>279</v>
      </c>
      <c r="O47" s="5"/>
      <c r="P47" s="6" t="s">
        <v>45</v>
      </c>
      <c r="Q47" s="5"/>
      <c r="R47" s="5"/>
      <c r="S47" s="5"/>
      <c r="T47" s="5">
        <v>60</v>
      </c>
      <c r="U47" s="7"/>
      <c r="V47" s="5" t="s">
        <v>280</v>
      </c>
      <c r="W47" s="5" t="s">
        <v>45</v>
      </c>
      <c r="X47" s="5"/>
      <c r="Y47" s="5"/>
      <c r="Z47" s="5"/>
      <c r="AA47" s="5"/>
      <c r="AB47" s="5"/>
      <c r="AC47" s="5"/>
      <c r="AD47" s="5">
        <f>2*(MCCell&gt;=6)</f>
        <v>0</v>
      </c>
      <c r="AE47" s="5">
        <f>2*(MCCell&gt;=4)</f>
        <v>0</v>
      </c>
      <c r="AF47" s="5">
        <v>2</v>
      </c>
      <c r="AG47" s="5">
        <f>2*(MCCell&gt;=5)</f>
        <v>0</v>
      </c>
      <c r="AH47" s="5">
        <f>2*(MCCell&gt;=2)+2*(MCCell&gt;=7)</f>
        <v>0</v>
      </c>
      <c r="AI47" s="5">
        <f>2*(MCCell&gt;=3)</f>
        <v>0</v>
      </c>
      <c r="AJ47" s="5"/>
      <c r="AK47" s="5"/>
      <c r="AL47" s="5"/>
      <c r="AM47" s="5"/>
      <c r="AN47" s="5"/>
      <c r="AO47" s="5"/>
      <c r="AP47" s="5" t="s">
        <v>281</v>
      </c>
      <c r="AQ47" s="5"/>
      <c r="AR47" s="5"/>
      <c r="AS47" s="5"/>
      <c r="AT47" s="5" t="s">
        <v>102</v>
      </c>
      <c r="AU47" s="5" t="s">
        <v>282</v>
      </c>
      <c r="AV47" s="5">
        <f>1+1*(MCCell&gt;=3)+1*(MCCell&gt;=5)+1*(MCCell&gt;=7)</f>
        <v>1</v>
      </c>
      <c r="AW47" s="7"/>
      <c r="AX47" s="5">
        <f>1*(MCCell&gt;=2)+1*(MCCell&gt;=4)+1*(MCCell&gt;=6)+1*(MCCell&gt;=8)</f>
        <v>0</v>
      </c>
      <c r="AY47" s="5" t="s">
        <v>95</v>
      </c>
      <c r="AZ47" s="5" t="s">
        <v>105</v>
      </c>
      <c r="BA47" s="5" t="s">
        <v>283</v>
      </c>
      <c r="BB47" s="5" t="s">
        <v>284</v>
      </c>
      <c r="BM47" s="5" t="s">
        <v>1716</v>
      </c>
      <c r="BN47" s="5">
        <v>93</v>
      </c>
      <c r="BO47" s="5" t="s">
        <v>1609</v>
      </c>
    </row>
    <row r="48" spans="1:67">
      <c r="A48" s="4" t="s">
        <v>285</v>
      </c>
      <c r="B48" s="5"/>
      <c r="C48" s="5" t="s">
        <v>42</v>
      </c>
      <c r="D48" s="5" t="s">
        <v>286</v>
      </c>
      <c r="E48" s="5"/>
      <c r="F48" s="5">
        <v>2</v>
      </c>
      <c r="G48" s="5">
        <v>30</v>
      </c>
      <c r="H48" s="5"/>
      <c r="I48" s="5"/>
      <c r="J48" s="5"/>
      <c r="K48" s="5"/>
      <c r="L48" s="5"/>
      <c r="M48" s="5">
        <v>2</v>
      </c>
      <c r="N48" s="5" t="s">
        <v>287</v>
      </c>
      <c r="O48" s="5"/>
      <c r="P48" s="6" t="s">
        <v>45</v>
      </c>
      <c r="Q48" s="5"/>
      <c r="R48" s="5"/>
      <c r="S48" s="5" t="s">
        <v>77</v>
      </c>
      <c r="T48" s="5">
        <v>60</v>
      </c>
      <c r="U48" s="7"/>
      <c r="V48" s="5" t="s">
        <v>288</v>
      </c>
      <c r="W48" s="5" t="s">
        <v>45</v>
      </c>
      <c r="X48" s="5"/>
      <c r="Y48" s="5">
        <f>8+ClassLvl</f>
        <v>16</v>
      </c>
      <c r="Z48" s="5"/>
      <c r="AA48" s="5"/>
      <c r="AB48" s="5"/>
      <c r="AC48" s="5"/>
      <c r="AD48" s="5"/>
      <c r="AE48" s="5"/>
      <c r="AF48" s="5">
        <v>2</v>
      </c>
      <c r="AG48" s="5">
        <v>-2</v>
      </c>
      <c r="AH48" s="5">
        <v>-2</v>
      </c>
      <c r="AI48" s="5"/>
      <c r="AJ48" s="5"/>
      <c r="AK48" s="5"/>
      <c r="AL48" s="5"/>
      <c r="AM48" s="5"/>
      <c r="AN48" s="5"/>
      <c r="AO48" s="5"/>
      <c r="AP48" s="5" t="str">
        <f>IF(Gender="Male","Bluff,","")&amp;"Disguise,Intimidate,Listen,Spot"</f>
        <v>Disguise,Intimidate,Listen,Spot</v>
      </c>
      <c r="AQ48" s="5"/>
      <c r="AR48" s="5" t="s">
        <v>1796</v>
      </c>
      <c r="AS48" s="5" t="s">
        <v>289</v>
      </c>
      <c r="AT48" s="5" t="s">
        <v>102</v>
      </c>
      <c r="AU48" s="5" t="s">
        <v>290</v>
      </c>
      <c r="AV48" s="5"/>
      <c r="AW48" s="7"/>
      <c r="AX48" s="5">
        <v>1</v>
      </c>
      <c r="AY48" s="5" t="s">
        <v>113</v>
      </c>
      <c r="AZ48" s="5" t="s">
        <v>45</v>
      </c>
      <c r="BA48" s="5" t="s">
        <v>45</v>
      </c>
      <c r="BB48" s="5" t="s">
        <v>45</v>
      </c>
      <c r="BM48" s="5" t="s">
        <v>1732</v>
      </c>
      <c r="BN48" s="5">
        <v>215</v>
      </c>
      <c r="BO48" s="5"/>
    </row>
    <row r="49" spans="1:67">
      <c r="A49" s="4" t="s">
        <v>291</v>
      </c>
      <c r="B49" s="5"/>
      <c r="C49" s="5" t="s">
        <v>62</v>
      </c>
      <c r="D49" s="5" t="s">
        <v>286</v>
      </c>
      <c r="E49" s="5" t="s">
        <v>273</v>
      </c>
      <c r="F49" s="5">
        <v>8</v>
      </c>
      <c r="G49" s="5">
        <v>30</v>
      </c>
      <c r="H49" s="5"/>
      <c r="I49" s="5"/>
      <c r="J49" s="5">
        <v>60</v>
      </c>
      <c r="K49" s="5" t="s">
        <v>1463</v>
      </c>
      <c r="L49" s="5"/>
      <c r="M49" s="5">
        <v>6</v>
      </c>
      <c r="N49" s="5" t="s">
        <v>292</v>
      </c>
      <c r="O49" s="5"/>
      <c r="P49" s="6" t="s">
        <v>293</v>
      </c>
      <c r="Q49" s="5"/>
      <c r="R49" s="5"/>
      <c r="S49" s="5" t="s">
        <v>77</v>
      </c>
      <c r="T49" s="5">
        <v>60</v>
      </c>
      <c r="U49" s="7"/>
      <c r="V49" s="5" t="s">
        <v>294</v>
      </c>
      <c r="W49" s="5" t="s">
        <v>109</v>
      </c>
      <c r="X49" s="5"/>
      <c r="Y49" s="5">
        <f>20+ClassLvl</f>
        <v>28</v>
      </c>
      <c r="Z49" s="5"/>
      <c r="AA49" s="5"/>
      <c r="AB49" s="5"/>
      <c r="AC49" s="5"/>
      <c r="AD49" s="5">
        <v>4</v>
      </c>
      <c r="AE49" s="5">
        <v>2</v>
      </c>
      <c r="AF49" s="5">
        <v>2</v>
      </c>
      <c r="AG49" s="5"/>
      <c r="AH49" s="5"/>
      <c r="AI49" s="5"/>
      <c r="AJ49" s="5"/>
      <c r="AK49" s="5"/>
      <c r="AL49" s="5"/>
      <c r="AM49" s="5"/>
      <c r="AN49" s="5"/>
      <c r="AO49" s="5"/>
      <c r="AP49" s="5" t="s">
        <v>295</v>
      </c>
      <c r="AQ49" s="5"/>
      <c r="AR49" s="5"/>
      <c r="AS49" s="5" t="s">
        <v>296</v>
      </c>
      <c r="AT49" s="5" t="s">
        <v>102</v>
      </c>
      <c r="AU49" s="5"/>
      <c r="AV49" s="5">
        <v>8</v>
      </c>
      <c r="AW49" s="7"/>
      <c r="AX49" s="5">
        <v>3</v>
      </c>
      <c r="AY49" s="5" t="s">
        <v>125</v>
      </c>
      <c r="AZ49" s="5" t="s">
        <v>45</v>
      </c>
      <c r="BA49" s="5" t="s">
        <v>45</v>
      </c>
      <c r="BB49" s="5" t="s">
        <v>45</v>
      </c>
      <c r="BM49" s="5" t="s">
        <v>1669</v>
      </c>
      <c r="BN49" s="5"/>
      <c r="BO49" s="5"/>
    </row>
    <row r="50" spans="1:67">
      <c r="A50" s="4" t="s">
        <v>297</v>
      </c>
      <c r="B50" s="5"/>
      <c r="C50" s="5" t="s">
        <v>42</v>
      </c>
      <c r="D50" s="5" t="s">
        <v>286</v>
      </c>
      <c r="E50" s="5" t="s">
        <v>298</v>
      </c>
      <c r="F50" s="5">
        <v>2</v>
      </c>
      <c r="G50" s="5">
        <v>30</v>
      </c>
      <c r="H50" s="5"/>
      <c r="I50" s="5"/>
      <c r="J50" s="5"/>
      <c r="K50" s="5"/>
      <c r="L50" s="5"/>
      <c r="M50" s="5">
        <v>3</v>
      </c>
      <c r="N50" s="5" t="s">
        <v>287</v>
      </c>
      <c r="O50" s="5"/>
      <c r="P50" s="6" t="s">
        <v>45</v>
      </c>
      <c r="Q50" s="5"/>
      <c r="R50" s="5"/>
      <c r="S50" s="5" t="s">
        <v>77</v>
      </c>
      <c r="T50" s="5">
        <v>60</v>
      </c>
      <c r="U50" s="7"/>
      <c r="V50" s="5" t="s">
        <v>299</v>
      </c>
      <c r="W50" s="5" t="s">
        <v>108</v>
      </c>
      <c r="X50" s="5"/>
      <c r="Y50" s="5">
        <f>8+ClassLvl</f>
        <v>16</v>
      </c>
      <c r="Z50" s="5"/>
      <c r="AA50" s="5"/>
      <c r="AB50" s="5"/>
      <c r="AC50" s="5"/>
      <c r="AD50" s="5">
        <v>2</v>
      </c>
      <c r="AE50" s="5"/>
      <c r="AF50" s="5">
        <v>2</v>
      </c>
      <c r="AG50" s="5">
        <v>-2</v>
      </c>
      <c r="AH50" s="5">
        <v>-2</v>
      </c>
      <c r="AI50" s="5"/>
      <c r="AJ50" s="5"/>
      <c r="AK50" s="5"/>
      <c r="AL50" s="5"/>
      <c r="AM50" s="5"/>
      <c r="AN50" s="5"/>
      <c r="AO50" s="5"/>
      <c r="AP50" s="5" t="s">
        <v>300</v>
      </c>
      <c r="AQ50" s="5"/>
      <c r="AR50" s="5"/>
      <c r="AS50" s="5" t="s">
        <v>289</v>
      </c>
      <c r="AT50" s="5" t="s">
        <v>102</v>
      </c>
      <c r="AU50" s="5"/>
      <c r="AV50" s="5">
        <v>2</v>
      </c>
      <c r="AW50" s="7"/>
      <c r="AX50" s="5">
        <v>1</v>
      </c>
      <c r="AY50" s="5" t="s">
        <v>113</v>
      </c>
      <c r="AZ50" s="5" t="s">
        <v>45</v>
      </c>
      <c r="BA50" s="5" t="s">
        <v>45</v>
      </c>
      <c r="BB50" s="5" t="s">
        <v>45</v>
      </c>
      <c r="BM50" s="5" t="s">
        <v>1669</v>
      </c>
      <c r="BN50" s="5"/>
      <c r="BO50" s="5"/>
    </row>
    <row r="51" spans="1:67">
      <c r="A51" s="4" t="s">
        <v>301</v>
      </c>
      <c r="B51" s="5"/>
      <c r="C51" s="5" t="s">
        <v>42</v>
      </c>
      <c r="D51" s="5" t="s">
        <v>286</v>
      </c>
      <c r="E51" s="5"/>
      <c r="F51" s="5">
        <v>2</v>
      </c>
      <c r="G51" s="5">
        <v>30</v>
      </c>
      <c r="H51" s="5"/>
      <c r="I51" s="5"/>
      <c r="J51" s="5"/>
      <c r="K51" s="5"/>
      <c r="L51" s="5"/>
      <c r="M51" s="5">
        <v>2</v>
      </c>
      <c r="N51" s="5" t="s">
        <v>302</v>
      </c>
      <c r="O51" s="5"/>
      <c r="P51" s="6" t="s">
        <v>45</v>
      </c>
      <c r="Q51" s="5"/>
      <c r="R51" s="5"/>
      <c r="S51" s="5" t="s">
        <v>77</v>
      </c>
      <c r="T51" s="5">
        <v>60</v>
      </c>
      <c r="U51" s="7"/>
      <c r="V51" s="5" t="s">
        <v>288</v>
      </c>
      <c r="W51" s="5" t="s">
        <v>45</v>
      </c>
      <c r="X51" s="5"/>
      <c r="Y51" s="5">
        <f>11+ClassLvl</f>
        <v>19</v>
      </c>
      <c r="Z51" s="5"/>
      <c r="AA51" s="5"/>
      <c r="AB51" s="5"/>
      <c r="AC51" s="5"/>
      <c r="AD51" s="5"/>
      <c r="AE51" s="5">
        <v>2</v>
      </c>
      <c r="AF51" s="5">
        <v>2</v>
      </c>
      <c r="AG51" s="5">
        <v>-2</v>
      </c>
      <c r="AH51" s="5">
        <v>-2</v>
      </c>
      <c r="AI51" s="5"/>
      <c r="AJ51" s="5"/>
      <c r="AK51" s="5"/>
      <c r="AL51" s="5"/>
      <c r="AM51" s="5"/>
      <c r="AN51" s="5"/>
      <c r="AO51" s="5"/>
      <c r="AP51" s="5" t="s">
        <v>303</v>
      </c>
      <c r="AQ51" s="5"/>
      <c r="AR51" s="5" t="s">
        <v>1809</v>
      </c>
      <c r="AS51" s="5"/>
      <c r="AT51" s="5" t="s">
        <v>102</v>
      </c>
      <c r="AU51" s="5" t="s">
        <v>290</v>
      </c>
      <c r="AV51" s="5"/>
      <c r="AW51" s="7"/>
      <c r="AX51" s="5">
        <v>2</v>
      </c>
      <c r="AY51" s="5" t="s">
        <v>95</v>
      </c>
      <c r="AZ51" s="5" t="s">
        <v>45</v>
      </c>
      <c r="BA51" s="5" t="s">
        <v>45</v>
      </c>
      <c r="BB51" s="5" t="s">
        <v>45</v>
      </c>
      <c r="BM51" s="5" t="s">
        <v>1732</v>
      </c>
      <c r="BN51" s="5">
        <v>219</v>
      </c>
      <c r="BO51" s="5"/>
    </row>
    <row r="52" spans="1:67">
      <c r="A52" s="4" t="s">
        <v>304</v>
      </c>
      <c r="B52" s="5"/>
      <c r="C52" s="5" t="s">
        <v>62</v>
      </c>
      <c r="D52" s="5" t="s">
        <v>286</v>
      </c>
      <c r="E52" s="5"/>
      <c r="F52" s="5">
        <v>6</v>
      </c>
      <c r="G52" s="5">
        <v>30</v>
      </c>
      <c r="H52" s="5"/>
      <c r="I52" s="5"/>
      <c r="J52" s="5">
        <v>60</v>
      </c>
      <c r="K52" s="5" t="s">
        <v>1463</v>
      </c>
      <c r="L52" s="5"/>
      <c r="M52" s="5">
        <v>4</v>
      </c>
      <c r="N52" s="5" t="s">
        <v>305</v>
      </c>
      <c r="O52" s="5"/>
      <c r="P52" s="6" t="s">
        <v>306</v>
      </c>
      <c r="Q52" s="5"/>
      <c r="R52" s="5"/>
      <c r="S52" s="5" t="s">
        <v>77</v>
      </c>
      <c r="T52" s="5">
        <v>60</v>
      </c>
      <c r="U52" s="7"/>
      <c r="V52" s="5" t="s">
        <v>307</v>
      </c>
      <c r="W52" s="5" t="s">
        <v>45</v>
      </c>
      <c r="X52" s="5"/>
      <c r="Y52" s="5">
        <f>16+ClassLvl</f>
        <v>24</v>
      </c>
      <c r="Z52" s="5"/>
      <c r="AA52" s="5"/>
      <c r="AB52" s="5"/>
      <c r="AC52" s="5"/>
      <c r="AD52" s="5">
        <v>4</v>
      </c>
      <c r="AE52" s="5"/>
      <c r="AF52" s="5">
        <v>4</v>
      </c>
      <c r="AG52" s="5"/>
      <c r="AH52" s="5">
        <v>2</v>
      </c>
      <c r="AI52" s="5">
        <v>2</v>
      </c>
      <c r="AJ52" s="5"/>
      <c r="AK52" s="5"/>
      <c r="AL52" s="5"/>
      <c r="AM52" s="5"/>
      <c r="AN52" s="5"/>
      <c r="AO52" s="5"/>
      <c r="AP52" s="5" t="s">
        <v>308</v>
      </c>
      <c r="AQ52" s="5"/>
      <c r="AR52" s="5"/>
      <c r="AS52" s="5" t="s">
        <v>289</v>
      </c>
      <c r="AT52" s="5" t="s">
        <v>102</v>
      </c>
      <c r="AU52" s="5"/>
      <c r="AV52" s="5">
        <v>7</v>
      </c>
      <c r="AW52" s="7"/>
      <c r="AX52" s="5">
        <v>5</v>
      </c>
      <c r="AY52" s="5" t="s">
        <v>57</v>
      </c>
      <c r="AZ52" s="5" t="s">
        <v>45</v>
      </c>
      <c r="BA52" s="5" t="s">
        <v>45</v>
      </c>
      <c r="BB52" s="5" t="s">
        <v>45</v>
      </c>
      <c r="BM52" s="5" t="s">
        <v>1669</v>
      </c>
      <c r="BN52" s="5"/>
      <c r="BO52" s="5"/>
    </row>
    <row r="53" spans="1:67">
      <c r="A53" s="4" t="s">
        <v>309</v>
      </c>
      <c r="B53" s="5"/>
      <c r="C53" s="5" t="s">
        <v>42</v>
      </c>
      <c r="D53" s="5" t="s">
        <v>286</v>
      </c>
      <c r="E53" s="5"/>
      <c r="F53" s="5">
        <v>4</v>
      </c>
      <c r="G53" s="5">
        <v>30</v>
      </c>
      <c r="H53" s="5"/>
      <c r="I53" s="5"/>
      <c r="J53" s="5"/>
      <c r="K53" s="5"/>
      <c r="L53" s="5"/>
      <c r="M53" s="5">
        <v>8</v>
      </c>
      <c r="N53" s="5" t="s">
        <v>310</v>
      </c>
      <c r="O53" s="5"/>
      <c r="P53" s="6" t="s">
        <v>45</v>
      </c>
      <c r="Q53" s="5"/>
      <c r="R53" s="5"/>
      <c r="S53" s="5" t="s">
        <v>77</v>
      </c>
      <c r="T53" s="5">
        <v>60</v>
      </c>
      <c r="U53" s="7"/>
      <c r="V53" s="5" t="s">
        <v>288</v>
      </c>
      <c r="W53" s="5" t="s">
        <v>45</v>
      </c>
      <c r="X53" s="5"/>
      <c r="Y53" s="5">
        <f>14+ClassLvl</f>
        <v>22</v>
      </c>
      <c r="Z53" s="5"/>
      <c r="AA53" s="5"/>
      <c r="AB53" s="5"/>
      <c r="AC53" s="5"/>
      <c r="AD53" s="5">
        <v>2</v>
      </c>
      <c r="AE53" s="5"/>
      <c r="AF53" s="5"/>
      <c r="AG53" s="5">
        <v>2</v>
      </c>
      <c r="AH53" s="5">
        <v>2</v>
      </c>
      <c r="AI53" s="5"/>
      <c r="AJ53" s="5"/>
      <c r="AK53" s="5"/>
      <c r="AL53" s="5"/>
      <c r="AM53" s="5"/>
      <c r="AN53" s="5"/>
      <c r="AO53" s="5"/>
      <c r="AP53" s="5" t="s">
        <v>311</v>
      </c>
      <c r="AQ53" s="5"/>
      <c r="AR53" s="5"/>
      <c r="AS53" s="5" t="s">
        <v>289</v>
      </c>
      <c r="AT53" s="5" t="s">
        <v>102</v>
      </c>
      <c r="AU53" s="5"/>
      <c r="AV53" s="5">
        <v>5</v>
      </c>
      <c r="AW53" s="7"/>
      <c r="AX53" s="5">
        <v>3</v>
      </c>
      <c r="AY53" s="5" t="s">
        <v>312</v>
      </c>
      <c r="AZ53" s="5" t="s">
        <v>45</v>
      </c>
      <c r="BA53" s="5" t="s">
        <v>45</v>
      </c>
      <c r="BB53" s="5" t="s">
        <v>45</v>
      </c>
      <c r="BM53" s="5" t="s">
        <v>1669</v>
      </c>
      <c r="BN53" s="5"/>
      <c r="BO53" s="5"/>
    </row>
    <row r="54" spans="1:67">
      <c r="A54" s="4" t="s">
        <v>313</v>
      </c>
      <c r="B54" s="5"/>
      <c r="C54" s="5" t="s">
        <v>42</v>
      </c>
      <c r="D54" s="5" t="s">
        <v>286</v>
      </c>
      <c r="E54" s="5"/>
      <c r="F54" s="5">
        <v>2</v>
      </c>
      <c r="G54" s="5">
        <v>30</v>
      </c>
      <c r="H54" s="5"/>
      <c r="I54" s="5"/>
      <c r="J54" s="5"/>
      <c r="K54" s="5"/>
      <c r="L54" s="5"/>
      <c r="M54" s="5">
        <v>2</v>
      </c>
      <c r="N54" s="5" t="s">
        <v>198</v>
      </c>
      <c r="O54" s="5"/>
      <c r="P54" s="6" t="s">
        <v>45</v>
      </c>
      <c r="Q54" s="5"/>
      <c r="R54" s="5"/>
      <c r="S54" s="5" t="s">
        <v>77</v>
      </c>
      <c r="T54" s="5">
        <v>60</v>
      </c>
      <c r="U54" s="7"/>
      <c r="V54" s="5" t="s">
        <v>288</v>
      </c>
      <c r="W54" s="5" t="s">
        <v>45</v>
      </c>
      <c r="X54" s="5"/>
      <c r="Y54" s="5">
        <f>11+ClassLvl</f>
        <v>19</v>
      </c>
      <c r="Z54" s="5"/>
      <c r="AA54" s="5"/>
      <c r="AB54" s="5"/>
      <c r="AC54" s="5"/>
      <c r="AD54" s="5"/>
      <c r="AE54" s="5">
        <v>2</v>
      </c>
      <c r="AF54" s="5"/>
      <c r="AG54" s="5"/>
      <c r="AH54" s="5">
        <v>-2</v>
      </c>
      <c r="AI54" s="5">
        <v>2</v>
      </c>
      <c r="AJ54" s="5"/>
      <c r="AK54" s="5"/>
      <c r="AL54" s="5"/>
      <c r="AM54" s="5"/>
      <c r="AN54" s="5"/>
      <c r="AO54" s="5"/>
      <c r="AP54" s="5" t="s">
        <v>303</v>
      </c>
      <c r="AQ54" s="5"/>
      <c r="AR54" s="5"/>
      <c r="AS54" s="5"/>
      <c r="AT54" s="5" t="s">
        <v>102</v>
      </c>
      <c r="AU54" s="5"/>
      <c r="AV54" s="5">
        <v>4</v>
      </c>
      <c r="AW54" s="7"/>
      <c r="AX54" s="5">
        <v>2</v>
      </c>
      <c r="AY54" s="5" t="s">
        <v>95</v>
      </c>
      <c r="AZ54" s="5" t="s">
        <v>45</v>
      </c>
      <c r="BA54" s="5" t="s">
        <v>45</v>
      </c>
      <c r="BB54" s="5" t="s">
        <v>45</v>
      </c>
      <c r="BM54" s="5" t="s">
        <v>1669</v>
      </c>
      <c r="BN54" s="5"/>
      <c r="BO54" s="5"/>
    </row>
    <row r="55" spans="1:67">
      <c r="A55" s="4" t="s">
        <v>314</v>
      </c>
      <c r="B55" s="5"/>
      <c r="C55" s="5" t="s">
        <v>62</v>
      </c>
      <c r="D55" s="5" t="s">
        <v>286</v>
      </c>
      <c r="E55" s="5"/>
      <c r="F55" s="5">
        <v>3</v>
      </c>
      <c r="G55" s="5">
        <v>50</v>
      </c>
      <c r="H55" s="5"/>
      <c r="I55" s="5"/>
      <c r="J55" s="5"/>
      <c r="K55" s="5"/>
      <c r="L55" s="5"/>
      <c r="M55" s="5">
        <v>5</v>
      </c>
      <c r="N55" s="5" t="s">
        <v>315</v>
      </c>
      <c r="O55" s="5"/>
      <c r="P55" s="6" t="s">
        <v>45</v>
      </c>
      <c r="Q55" s="5"/>
      <c r="R55" s="5"/>
      <c r="S55" s="5" t="s">
        <v>77</v>
      </c>
      <c r="T55" s="5">
        <v>60</v>
      </c>
      <c r="U55" s="7"/>
      <c r="V55" s="5" t="s">
        <v>316</v>
      </c>
      <c r="W55" s="5" t="s">
        <v>45</v>
      </c>
      <c r="X55" s="5"/>
      <c r="Y55" s="5"/>
      <c r="Z55" s="5"/>
      <c r="AA55" s="5"/>
      <c r="AB55" s="5"/>
      <c r="AC55" s="5"/>
      <c r="AD55" s="5">
        <v>8</v>
      </c>
      <c r="AE55" s="5">
        <v>2</v>
      </c>
      <c r="AF55" s="5">
        <v>6</v>
      </c>
      <c r="AG55" s="5">
        <v>2</v>
      </c>
      <c r="AH55" s="5"/>
      <c r="AI55" s="5">
        <v>2</v>
      </c>
      <c r="AJ55" s="5"/>
      <c r="AK55" s="5"/>
      <c r="AL55" s="5"/>
      <c r="AM55" s="5"/>
      <c r="AN55" s="5"/>
      <c r="AO55" s="5"/>
      <c r="AP55" s="5" t="s">
        <v>317</v>
      </c>
      <c r="AQ55" s="5"/>
      <c r="AR55" s="5"/>
      <c r="AS55" s="5"/>
      <c r="AT55" s="5" t="s">
        <v>318</v>
      </c>
      <c r="AU55" s="5" t="s">
        <v>104</v>
      </c>
      <c r="AV55" s="5">
        <v>3</v>
      </c>
      <c r="AW55" s="7"/>
      <c r="AX55" s="5">
        <v>5</v>
      </c>
      <c r="AY55" s="5" t="s">
        <v>319</v>
      </c>
      <c r="AZ55" s="5" t="s">
        <v>45</v>
      </c>
      <c r="BA55" s="5" t="s">
        <v>45</v>
      </c>
      <c r="BB55" s="5" t="s">
        <v>45</v>
      </c>
      <c r="BM55" s="5" t="s">
        <v>1718</v>
      </c>
      <c r="BN55" s="5">
        <v>42</v>
      </c>
      <c r="BO55" s="5"/>
    </row>
    <row r="56" spans="1:67">
      <c r="A56" s="4" t="s">
        <v>320</v>
      </c>
      <c r="B56" s="5"/>
      <c r="C56" s="5" t="str">
        <f>IF(MCCell&gt;=9,"Large","Medium")</f>
        <v>Medium</v>
      </c>
      <c r="D56" s="5" t="s">
        <v>51</v>
      </c>
      <c r="E56" s="5"/>
      <c r="F56" s="5">
        <f>1*(MCCell&gt;=1)+1*(MCCell&gt;=2)+1*(MCCell&gt;=4)+1*(MCCell&gt;=6)+1*(MCCell&gt;=8)+1*(MCCell&gt;=10)</f>
        <v>0</v>
      </c>
      <c r="G56" s="5">
        <v>30</v>
      </c>
      <c r="H56" s="5"/>
      <c r="I56" s="5"/>
      <c r="J56" s="5"/>
      <c r="K56" s="5"/>
      <c r="L56" s="5"/>
      <c r="M56" s="5">
        <f>1*(MCCell&gt;=2)+2*(MCCell&gt;=7)+2*(MCCell&gt;=10)</f>
        <v>0</v>
      </c>
      <c r="N56" s="5" t="str">
        <f>IF(MCCell&gt;=1,"2 Claws+"&amp;IF(MCCell&gt;=7,5,4)&amp;"+0+1","")&amp;IF(MCCell&gt;=3,",Bite+"&amp;IF(MCCell&gt;=9,6,5)&amp;"+0+0","")</f>
        <v/>
      </c>
      <c r="O56" s="5"/>
      <c r="P56" s="6" t="s">
        <v>321</v>
      </c>
      <c r="Q56" s="5"/>
      <c r="R56" s="5"/>
      <c r="S56" s="5"/>
      <c r="T56" s="5"/>
      <c r="U56" s="7"/>
      <c r="V56" s="5" t="str">
        <f>IF(MCCell&gt;=5,"poison, ","")&amp;"sleep"</f>
        <v>sleep</v>
      </c>
      <c r="W56" s="5" t="s">
        <v>45</v>
      </c>
      <c r="X56" s="5" t="str">
        <f>IF(MCCell&gt;=10,"acid 20, cold 20, electricity 20, fire 20",IF(MCCell&gt;=5,"acid 10, cold 10, electricity 10, fire 10",IF(MCCell&gt;=1,"acid 5, cold 5, electricity 5, fire 5","")))</f>
        <v/>
      </c>
      <c r="Y56" s="5"/>
      <c r="Z56" s="5"/>
      <c r="AA56" s="5"/>
      <c r="AB56" s="5"/>
      <c r="AC56" s="5"/>
      <c r="AD56" s="5">
        <f>2*((MCCell&gt;=2)+(MCCell&gt;=4)+(MCCell&gt;=6)+(MCCell&gt;=7)+(MCCell&gt;=9)+(MCCell&gt;=10))</f>
        <v>0</v>
      </c>
      <c r="AE56" s="5">
        <f>2*((MCCell&gt;=3)+(MCCell&gt;=8))</f>
        <v>0</v>
      </c>
      <c r="AF56" s="5">
        <f>2*(MCCell&gt;=5)</f>
        <v>0</v>
      </c>
      <c r="AG56" s="5">
        <f>2*(MCCell&gt;=4)</f>
        <v>0</v>
      </c>
      <c r="AH56" s="5"/>
      <c r="AI56" s="5"/>
      <c r="AJ56" s="5"/>
      <c r="AK56" s="5"/>
      <c r="AL56" s="5"/>
      <c r="AM56" s="5"/>
      <c r="AN56" s="5"/>
      <c r="AO56" s="5"/>
      <c r="AP56" s="5" t="s">
        <v>322</v>
      </c>
      <c r="AQ56" s="5"/>
      <c r="AR56" s="5"/>
      <c r="AS56" s="5"/>
      <c r="AT56" s="5" t="s">
        <v>323</v>
      </c>
      <c r="AU56" s="5" t="s">
        <v>324</v>
      </c>
      <c r="AV56" s="5">
        <f>1+1*(MCCell&gt;=2)+1*(MCCell&gt;=4)+1*(MCCell&gt;=7)+1*(MCCell&gt;=9)</f>
        <v>1</v>
      </c>
      <c r="AW56" s="7"/>
      <c r="AX56" s="5">
        <f>1+1*(MCCell&gt;=4)+1*(MCCell&gt;=7)+1*(MCCell&gt;=10)</f>
        <v>1</v>
      </c>
      <c r="AY56" s="5" t="s">
        <v>325</v>
      </c>
      <c r="AZ56" s="5" t="s">
        <v>45</v>
      </c>
      <c r="BA56" s="5" t="s">
        <v>45</v>
      </c>
      <c r="BB56" s="5" t="s">
        <v>45</v>
      </c>
      <c r="BM56" s="5" t="s">
        <v>1733</v>
      </c>
      <c r="BN56" s="5">
        <v>8</v>
      </c>
      <c r="BO56" s="5" t="s">
        <v>1715</v>
      </c>
    </row>
    <row r="57" spans="1:67">
      <c r="A57" s="4" t="s">
        <v>326</v>
      </c>
      <c r="B57" s="5"/>
      <c r="C57" s="5" t="str">
        <f>IF($BL57,INDEX(TblRaceInfo,$BE57,COLUMN()),"Medium")</f>
        <v>Medium</v>
      </c>
      <c r="D57" s="5" t="s">
        <v>92</v>
      </c>
      <c r="E57" s="5" t="str">
        <f>"Dragonblood"&amp;IF($BL57,","&amp;INDEX(TblRaceInfo,$BE57,COLUMN()),"")</f>
        <v>Dragonblood</v>
      </c>
      <c r="F57" s="5" t="str">
        <f>IF($BL57,INDEX(TblRaceInfo,$BE57,COLUMN()),"")</f>
        <v/>
      </c>
      <c r="G57" s="5">
        <f>IF($BL57,INDEX(TblRaceInfo,$BE57,COLUMN()),0)</f>
        <v>0</v>
      </c>
      <c r="H57" s="5">
        <f>IF($BL57,INDEX(TblRaceInfo,$BE57,COLUMN()),0)</f>
        <v>0</v>
      </c>
      <c r="I57" s="5">
        <f>IF($BL57,INDEX(TblRaceInfo,$BE57,COLUMN()),0)</f>
        <v>0</v>
      </c>
      <c r="J57" s="5">
        <f>IF($BL57,MAX(IF(DragonbornAspect="Wings (Ex)",30,0),INDEX(TblRaceInfo,$BE57,COLUMN())),0)</f>
        <v>0</v>
      </c>
      <c r="K57" s="5" t="str">
        <f>IF($BL57,IF(DragonbornAspect="Wings (Ex)",IF(HitDice&gt;=6,IF(FtImprovedFlight,"good","average"),"glide"),""),"")</f>
        <v/>
      </c>
      <c r="L57" s="5">
        <f>IF($BL57,INDEX(TblRaceInfo,$BE57,COLUMN()),0)</f>
        <v>0</v>
      </c>
      <c r="M57" s="5"/>
      <c r="N57" s="5"/>
      <c r="O57" s="5"/>
      <c r="P57" s="6" t="s">
        <v>45</v>
      </c>
      <c r="Q57" s="5"/>
      <c r="R57" s="5"/>
      <c r="S57" s="5" t="str">
        <f>IF($BL57,IF(DragonbornAspect="Mind (Ex)",IF(HitDice&gt;9,"superior","normal"),""),"")</f>
        <v/>
      </c>
      <c r="T57" s="5">
        <f>IF($BL57,IF(DragonbornAspect="Mind (Ex)",30*((HitDice&gt;=1)+(HitDice&gt;=6)+(HitDice&gt;=9)+(HitDice&gt;=12)),0),0)</f>
        <v>0</v>
      </c>
      <c r="U57" s="7"/>
      <c r="V57" s="5" t="str">
        <f>IF($BL57,IF(DragonbornAspect="Mind (Ex)","paralysis, magic sleep effect, ",""),"")&amp;"frightful presence of dragons"</f>
        <v>frightful presence of dragons</v>
      </c>
      <c r="W57" s="5" t="s">
        <v>45</v>
      </c>
      <c r="X57" s="5" t="s">
        <v>45</v>
      </c>
      <c r="Y57" s="5"/>
      <c r="Z57" s="5"/>
      <c r="AA57" s="5"/>
      <c r="AB57" s="5"/>
      <c r="AC57" s="5"/>
      <c r="AD57" s="5">
        <f>IF($BL57,INDEX(TblRaceInfo,$BE57,COLUMN()),0)</f>
        <v>0</v>
      </c>
      <c r="AE57" s="5">
        <f>IF($BL57,INDEX(TblRaceInfo,$BE57,COLUMN()),0)-2</f>
        <v>-2</v>
      </c>
      <c r="AF57" s="5">
        <f>IF($BL57,INDEX(TblRaceInfo,$BE57,COLUMN()),0)+2</f>
        <v>2</v>
      </c>
      <c r="AG57" s="5">
        <f>IF($BL57,INDEX(TblRaceInfo,$BE57,COLUMN()),0)</f>
        <v>0</v>
      </c>
      <c r="AH57" s="5">
        <f>IF($BL57,INDEX(TblRaceInfo,$BE57,COLUMN()),0)</f>
        <v>0</v>
      </c>
      <c r="AI57" s="5">
        <f>IF($BL57,INDEX(TblRaceInfo,$BE57,COLUMN()),0)</f>
        <v>0</v>
      </c>
      <c r="AJ57" s="5"/>
      <c r="AK57" s="5"/>
      <c r="AL57" s="5"/>
      <c r="AM57" s="5"/>
      <c r="AN57" s="5"/>
      <c r="AO57" s="5"/>
      <c r="AP57" s="5"/>
      <c r="AQ57" s="5"/>
      <c r="AR57" s="5"/>
      <c r="AS57" s="5"/>
      <c r="AT57" s="5" t="str">
        <f>"Draconic"&amp;IF($BL57,", "&amp;CLEAN(INDEX(TblRaceInfo,$BE57,COLUMN())),"")</f>
        <v>Draconic</v>
      </c>
      <c r="AU57" s="5" t="str">
        <f>IF($BL57,CLEAN(INDEX(TblRaceInfo,$BE57,COLUMN())),"")</f>
        <v/>
      </c>
      <c r="AV57" s="5">
        <f>IF($BL57,INDEX(TblRaceInfo,$BE57,COLUMN()),0)</f>
        <v>0</v>
      </c>
      <c r="AW57" s="7"/>
      <c r="AX57" s="5">
        <f>IF($BL57,INDEX(TblRaceInfo,$BE57,COLUMN()),0)</f>
        <v>0</v>
      </c>
      <c r="AY57" s="5" t="str">
        <f>IF($BL57,IF(CLEAN(INDEX(TblRaceInfo,$BE57,COLUMN()))="Any","Any",IF(CLEAN(INDEX(TblRaceInfo,$BE57,COLUMN()))="Fighter","Fighter",CLEAN(INDEX(TblRaceInfo,$BE57,COLUMN()))&amp;IF(LENB(CLEAN(INDEX(TblRaceInfo,$BE57,COLUMN())))&gt;0,", ","")&amp;"Fighter")),"")</f>
        <v/>
      </c>
      <c r="AZ57" s="5" t="s">
        <v>45</v>
      </c>
      <c r="BA57" s="5" t="s">
        <v>45</v>
      </c>
      <c r="BB57" s="5" t="s">
        <v>45</v>
      </c>
      <c r="BM57" s="5" t="s">
        <v>1734</v>
      </c>
      <c r="BN57" s="5">
        <v>5</v>
      </c>
      <c r="BO57" s="5"/>
    </row>
    <row r="58" spans="1:67">
      <c r="A58" s="4" t="s">
        <v>327</v>
      </c>
      <c r="B58" s="5"/>
      <c r="C58" s="5" t="s">
        <v>85</v>
      </c>
      <c r="D58" s="5" t="s">
        <v>43</v>
      </c>
      <c r="E58" s="5"/>
      <c r="F58" s="5"/>
      <c r="G58" s="5">
        <v>20</v>
      </c>
      <c r="H58" s="5"/>
      <c r="I58" s="5"/>
      <c r="J58" s="5"/>
      <c r="K58" s="5"/>
      <c r="L58" s="5"/>
      <c r="M58" s="5">
        <v>3</v>
      </c>
      <c r="N58" s="5"/>
      <c r="O58" s="5"/>
      <c r="P58" s="6" t="s">
        <v>45</v>
      </c>
      <c r="Q58" s="5"/>
      <c r="R58" s="5"/>
      <c r="S58" s="5"/>
      <c r="T58" s="5"/>
      <c r="U58" s="7"/>
      <c r="V58" s="5"/>
      <c r="W58" s="5" t="s">
        <v>45</v>
      </c>
      <c r="X58" s="5" t="s">
        <v>45</v>
      </c>
      <c r="Y58" s="5"/>
      <c r="Z58" s="5"/>
      <c r="AA58" s="5"/>
      <c r="AB58" s="5"/>
      <c r="AC58" s="5"/>
      <c r="AD58" s="5">
        <v>-2</v>
      </c>
      <c r="AE58" s="5"/>
      <c r="AF58" s="5"/>
      <c r="AG58" s="5"/>
      <c r="AH58" s="5">
        <v>-2</v>
      </c>
      <c r="AI58" s="5">
        <v>2</v>
      </c>
      <c r="AJ58" s="5"/>
      <c r="AK58" s="5"/>
      <c r="AL58" s="5"/>
      <c r="AM58" s="5"/>
      <c r="AN58" s="5"/>
      <c r="AO58" s="5"/>
      <c r="AP58" s="5" t="s">
        <v>328</v>
      </c>
      <c r="AQ58" s="5"/>
      <c r="AR58" s="5"/>
      <c r="AS58" s="5"/>
      <c r="AT58" s="5" t="s">
        <v>102</v>
      </c>
      <c r="AU58" s="5" t="s">
        <v>329</v>
      </c>
      <c r="AV58" s="5"/>
      <c r="AW58" s="7"/>
      <c r="AX58" s="5">
        <v>1</v>
      </c>
      <c r="AY58" s="5" t="s">
        <v>330</v>
      </c>
      <c r="AZ58" s="5" t="s">
        <v>331</v>
      </c>
      <c r="BA58" s="5" t="s">
        <v>332</v>
      </c>
      <c r="BB58" s="5" t="s">
        <v>333</v>
      </c>
      <c r="BM58" s="5" t="s">
        <v>1724</v>
      </c>
      <c r="BN58" s="5">
        <v>194</v>
      </c>
      <c r="BO58" s="5"/>
    </row>
    <row r="59" spans="1:67">
      <c r="A59" s="4" t="s">
        <v>334</v>
      </c>
      <c r="B59" s="5"/>
      <c r="C59" s="5" t="s">
        <v>42</v>
      </c>
      <c r="D59" s="5" t="s">
        <v>51</v>
      </c>
      <c r="E59" s="5" t="s">
        <v>335</v>
      </c>
      <c r="F59" s="5">
        <v>5</v>
      </c>
      <c r="G59" s="5">
        <v>30</v>
      </c>
      <c r="H59" s="5"/>
      <c r="I59" s="5"/>
      <c r="J59" s="5"/>
      <c r="K59" s="5"/>
      <c r="L59" s="5"/>
      <c r="M59" s="5">
        <v>1</v>
      </c>
      <c r="N59" s="5" t="s">
        <v>336</v>
      </c>
      <c r="O59" s="5"/>
      <c r="P59" s="6" t="s">
        <v>337</v>
      </c>
      <c r="Q59" s="5"/>
      <c r="R59" s="5"/>
      <c r="S59" s="5"/>
      <c r="T59" s="5"/>
      <c r="U59" s="7"/>
      <c r="V59" s="5" t="s">
        <v>338</v>
      </c>
      <c r="W59" s="5" t="s">
        <v>45</v>
      </c>
      <c r="X59" s="5" t="s">
        <v>339</v>
      </c>
      <c r="Y59" s="5">
        <f>15+ClassLvl</f>
        <v>23</v>
      </c>
      <c r="Z59" s="5" t="s">
        <v>65</v>
      </c>
      <c r="AA59" s="5"/>
      <c r="AB59" s="5"/>
      <c r="AC59" s="5"/>
      <c r="AD59" s="5">
        <v>4</v>
      </c>
      <c r="AE59" s="5">
        <v>4</v>
      </c>
      <c r="AF59" s="5">
        <v>4</v>
      </c>
      <c r="AG59" s="5">
        <v>4</v>
      </c>
      <c r="AH59" s="5">
        <v>0</v>
      </c>
      <c r="AI59" s="5">
        <v>-2</v>
      </c>
      <c r="AJ59" s="5"/>
      <c r="AK59" s="5"/>
      <c r="AL59" s="5"/>
      <c r="AM59" s="5"/>
      <c r="AN59" s="5"/>
      <c r="AO59" s="5"/>
      <c r="AP59" s="5" t="s">
        <v>340</v>
      </c>
      <c r="AQ59" s="5"/>
      <c r="AR59" s="5"/>
      <c r="AS59" s="5" t="s">
        <v>341</v>
      </c>
      <c r="AT59" s="5" t="s">
        <v>342</v>
      </c>
      <c r="AU59" s="5" t="s">
        <v>156</v>
      </c>
      <c r="AV59" s="5">
        <v>4</v>
      </c>
      <c r="AW59" s="7"/>
      <c r="AX59" s="5">
        <v>3</v>
      </c>
      <c r="AY59" s="5" t="s">
        <v>325</v>
      </c>
      <c r="AZ59" s="5" t="s">
        <v>45</v>
      </c>
      <c r="BA59" s="5" t="s">
        <v>45</v>
      </c>
      <c r="BB59" s="5" t="s">
        <v>45</v>
      </c>
      <c r="BM59" s="5" t="s">
        <v>1614</v>
      </c>
      <c r="BN59" s="5">
        <v>124</v>
      </c>
      <c r="BO59" s="5"/>
    </row>
    <row r="60" spans="1:67">
      <c r="A60" s="4" t="s">
        <v>343</v>
      </c>
      <c r="B60" s="5"/>
      <c r="C60" s="5" t="s">
        <v>42</v>
      </c>
      <c r="D60" s="5" t="s">
        <v>272</v>
      </c>
      <c r="E60" s="5" t="s">
        <v>344</v>
      </c>
      <c r="F60" s="5"/>
      <c r="G60" s="5">
        <v>30</v>
      </c>
      <c r="H60" s="5"/>
      <c r="I60" s="5"/>
      <c r="J60" s="5"/>
      <c r="K60" s="5"/>
      <c r="L60" s="5"/>
      <c r="M60" s="5"/>
      <c r="N60" s="5"/>
      <c r="O60" s="5"/>
      <c r="P60" s="6"/>
      <c r="Q60" s="5"/>
      <c r="R60" s="5"/>
      <c r="S60" s="5" t="s">
        <v>77</v>
      </c>
      <c r="T60" s="5"/>
      <c r="U60" s="7"/>
      <c r="V60" s="5"/>
      <c r="W60" s="5"/>
      <c r="X60" s="5"/>
      <c r="Y60" s="5"/>
      <c r="Z60" s="5"/>
      <c r="AA60" s="5"/>
      <c r="AB60" s="5">
        <v>1</v>
      </c>
      <c r="AC60" s="5"/>
      <c r="AD60" s="5"/>
      <c r="AE60" s="5"/>
      <c r="AF60" s="5">
        <v>2</v>
      </c>
      <c r="AG60" s="5">
        <v>-2</v>
      </c>
      <c r="AH60" s="5"/>
      <c r="AI60" s="5"/>
      <c r="AJ60" s="5"/>
      <c r="AK60" s="5"/>
      <c r="AL60" s="5"/>
      <c r="AM60" s="5"/>
      <c r="AN60" s="5"/>
      <c r="AO60" s="5"/>
      <c r="AP60" s="5"/>
      <c r="AQ60" s="5"/>
      <c r="AR60" s="5"/>
      <c r="AS60" s="5"/>
      <c r="AT60" s="5" t="s">
        <v>345</v>
      </c>
      <c r="AU60" s="5" t="s">
        <v>346</v>
      </c>
      <c r="AV60" s="5"/>
      <c r="AW60" s="7"/>
      <c r="AX60" s="5"/>
      <c r="AY60" s="5" t="s">
        <v>347</v>
      </c>
      <c r="AZ60" s="5" t="s">
        <v>348</v>
      </c>
      <c r="BA60" s="5" t="s">
        <v>349</v>
      </c>
      <c r="BB60" s="5" t="s">
        <v>350</v>
      </c>
      <c r="BM60" s="5" t="s">
        <v>1721</v>
      </c>
      <c r="BN60" s="5">
        <v>10</v>
      </c>
      <c r="BO60" s="5"/>
    </row>
    <row r="61" spans="1:67">
      <c r="A61" s="4" t="s">
        <v>351</v>
      </c>
      <c r="B61" s="5"/>
      <c r="C61" s="5" t="s">
        <v>42</v>
      </c>
      <c r="D61" s="5" t="s">
        <v>92</v>
      </c>
      <c r="E61" s="5"/>
      <c r="F61" s="5"/>
      <c r="G61" s="5">
        <v>30</v>
      </c>
      <c r="H61" s="5"/>
      <c r="I61" s="5"/>
      <c r="J61" s="5"/>
      <c r="K61" s="5"/>
      <c r="L61" s="5"/>
      <c r="M61" s="5"/>
      <c r="N61" s="5"/>
      <c r="O61" s="5"/>
      <c r="P61" s="6"/>
      <c r="Q61" s="5"/>
      <c r="R61" s="5"/>
      <c r="S61" s="5"/>
      <c r="T61" s="5">
        <v>60</v>
      </c>
      <c r="U61" s="7"/>
      <c r="V61" s="5"/>
      <c r="W61" s="5"/>
      <c r="X61" s="5"/>
      <c r="Y61" s="5"/>
      <c r="Z61" s="5"/>
      <c r="AA61" s="5"/>
      <c r="AB61" s="5"/>
      <c r="AC61" s="5"/>
      <c r="AD61" s="5"/>
      <c r="AE61" s="5"/>
      <c r="AF61" s="5"/>
      <c r="AG61" s="5"/>
      <c r="AH61" s="5"/>
      <c r="AI61" s="5"/>
      <c r="AJ61" s="5"/>
      <c r="AK61" s="5"/>
      <c r="AL61" s="5"/>
      <c r="AM61" s="5"/>
      <c r="AN61" s="5"/>
      <c r="AO61" s="5"/>
      <c r="AP61" s="5"/>
      <c r="AQ61" s="5"/>
      <c r="AR61" s="5"/>
      <c r="AS61" s="5"/>
      <c r="AT61" s="5" t="s">
        <v>352</v>
      </c>
      <c r="AU61" s="5"/>
      <c r="AV61" s="5"/>
      <c r="AW61" s="7"/>
      <c r="AX61" s="5">
        <v>1</v>
      </c>
      <c r="AY61" s="5" t="s">
        <v>353</v>
      </c>
      <c r="AZ61" s="5"/>
      <c r="BA61" s="5"/>
      <c r="BB61" s="5"/>
      <c r="BM61" s="5" t="s">
        <v>1735</v>
      </c>
      <c r="BN61" s="5">
        <v>15</v>
      </c>
      <c r="BO61" s="5"/>
    </row>
    <row r="62" spans="1:67">
      <c r="A62" s="4" t="s">
        <v>354</v>
      </c>
      <c r="B62" s="5"/>
      <c r="C62" s="5" t="s">
        <v>85</v>
      </c>
      <c r="D62" s="5" t="s">
        <v>92</v>
      </c>
      <c r="E62" s="5" t="s">
        <v>355</v>
      </c>
      <c r="F62" s="5"/>
      <c r="G62" s="5">
        <v>20</v>
      </c>
      <c r="H62" s="5"/>
      <c r="I62" s="5"/>
      <c r="J62" s="5"/>
      <c r="K62" s="5"/>
      <c r="L62" s="5"/>
      <c r="M62" s="5"/>
      <c r="N62" s="5"/>
      <c r="O62" s="5"/>
      <c r="P62" s="6" t="s">
        <v>45</v>
      </c>
      <c r="Q62" s="5"/>
      <c r="R62" s="5"/>
      <c r="S62" s="5"/>
      <c r="T62" s="5">
        <v>60</v>
      </c>
      <c r="U62" s="7"/>
      <c r="V62" s="5" t="s">
        <v>109</v>
      </c>
      <c r="W62" s="5" t="s">
        <v>45</v>
      </c>
      <c r="X62" s="5" t="s">
        <v>45</v>
      </c>
      <c r="Y62" s="5"/>
      <c r="Z62" s="5"/>
      <c r="AA62" s="5"/>
      <c r="AB62" s="5"/>
      <c r="AC62" s="5"/>
      <c r="AD62" s="5">
        <v>4</v>
      </c>
      <c r="AE62" s="5">
        <v>-2</v>
      </c>
      <c r="AF62" s="5">
        <v>2</v>
      </c>
      <c r="AG62" s="5"/>
      <c r="AH62" s="5"/>
      <c r="AI62" s="5">
        <v>-2</v>
      </c>
      <c r="AJ62" s="5"/>
      <c r="AK62" s="5"/>
      <c r="AL62" s="5"/>
      <c r="AM62" s="5"/>
      <c r="AN62" s="5"/>
      <c r="AO62" s="5"/>
      <c r="AP62" s="5"/>
      <c r="AQ62" s="5" t="s">
        <v>1776</v>
      </c>
      <c r="AR62" s="5"/>
      <c r="AS62" s="5"/>
      <c r="AT62" s="5" t="s">
        <v>356</v>
      </c>
      <c r="AU62" s="5" t="s">
        <v>235</v>
      </c>
      <c r="AV62" s="5"/>
      <c r="AW62" s="7"/>
      <c r="AX62" s="5">
        <v>2</v>
      </c>
      <c r="AY62" s="5" t="s">
        <v>49</v>
      </c>
      <c r="AZ62" s="5" t="s">
        <v>357</v>
      </c>
      <c r="BA62" s="5" t="s">
        <v>358</v>
      </c>
      <c r="BB62" s="5" t="s">
        <v>359</v>
      </c>
      <c r="BM62" s="5" t="s">
        <v>1625</v>
      </c>
      <c r="BN62" s="5"/>
      <c r="BO62" s="5"/>
    </row>
    <row r="63" spans="1:67">
      <c r="A63" s="4" t="s">
        <v>360</v>
      </c>
      <c r="B63" s="5"/>
      <c r="C63" s="5" t="s">
        <v>42</v>
      </c>
      <c r="D63" s="5" t="s">
        <v>92</v>
      </c>
      <c r="E63" s="5" t="s">
        <v>355</v>
      </c>
      <c r="F63" s="5"/>
      <c r="G63" s="5">
        <v>20</v>
      </c>
      <c r="H63" s="5"/>
      <c r="I63" s="5"/>
      <c r="J63" s="5"/>
      <c r="K63" s="5"/>
      <c r="L63" s="5"/>
      <c r="M63" s="5"/>
      <c r="N63" s="5"/>
      <c r="O63" s="5"/>
      <c r="P63" s="6" t="s">
        <v>45</v>
      </c>
      <c r="Q63" s="5"/>
      <c r="R63" s="5"/>
      <c r="S63" s="5"/>
      <c r="T63" s="5">
        <v>60</v>
      </c>
      <c r="U63" s="7"/>
      <c r="V63" s="5"/>
      <c r="W63" s="5" t="s">
        <v>45</v>
      </c>
      <c r="X63" s="5" t="s">
        <v>45</v>
      </c>
      <c r="Y63" s="5"/>
      <c r="Z63" s="5"/>
      <c r="AA63" s="5"/>
      <c r="AB63" s="5"/>
      <c r="AC63" s="5"/>
      <c r="AD63" s="5"/>
      <c r="AE63" s="5"/>
      <c r="AF63" s="5">
        <v>2</v>
      </c>
      <c r="AG63" s="5"/>
      <c r="AH63" s="5"/>
      <c r="AI63" s="5">
        <v>-2</v>
      </c>
      <c r="AJ63" s="5"/>
      <c r="AK63" s="5"/>
      <c r="AL63" s="5"/>
      <c r="AM63" s="5"/>
      <c r="AN63" s="5"/>
      <c r="AO63" s="5"/>
      <c r="AP63" s="5"/>
      <c r="AQ63" s="5" t="s">
        <v>1776</v>
      </c>
      <c r="AR63" s="5"/>
      <c r="AS63" s="5"/>
      <c r="AT63" s="5" t="s">
        <v>356</v>
      </c>
      <c r="AU63" s="5" t="s">
        <v>361</v>
      </c>
      <c r="AV63" s="5"/>
      <c r="AW63" s="7"/>
      <c r="AX63" s="5"/>
      <c r="AY63" s="5" t="s">
        <v>113</v>
      </c>
      <c r="AZ63" s="5" t="s">
        <v>45</v>
      </c>
      <c r="BA63" s="5" t="s">
        <v>45</v>
      </c>
      <c r="BB63" s="5" t="s">
        <v>45</v>
      </c>
      <c r="BM63" s="5" t="s">
        <v>1665</v>
      </c>
      <c r="BN63" s="5"/>
      <c r="BO63" s="5" t="s">
        <v>1719</v>
      </c>
    </row>
    <row r="64" spans="1:67">
      <c r="A64" s="4" t="s">
        <v>362</v>
      </c>
      <c r="B64" s="5"/>
      <c r="C64" s="5" t="s">
        <v>42</v>
      </c>
      <c r="D64" s="5" t="s">
        <v>92</v>
      </c>
      <c r="E64" s="5" t="s">
        <v>355</v>
      </c>
      <c r="F64" s="5"/>
      <c r="G64" s="5">
        <v>20</v>
      </c>
      <c r="H64" s="5"/>
      <c r="I64" s="5"/>
      <c r="J64" s="5"/>
      <c r="K64" s="5"/>
      <c r="L64" s="5"/>
      <c r="M64" s="5"/>
      <c r="N64" s="5"/>
      <c r="O64" s="5"/>
      <c r="P64" s="6" t="s">
        <v>45</v>
      </c>
      <c r="Q64" s="5"/>
      <c r="R64" s="5"/>
      <c r="S64" s="5"/>
      <c r="T64" s="5">
        <v>120</v>
      </c>
      <c r="U64" s="7"/>
      <c r="V64" s="5"/>
      <c r="W64" s="5" t="s">
        <v>45</v>
      </c>
      <c r="X64" s="5" t="s">
        <v>45</v>
      </c>
      <c r="Y64" s="5"/>
      <c r="Z64" s="5"/>
      <c r="AA64" s="5"/>
      <c r="AB64" s="5"/>
      <c r="AC64" s="5"/>
      <c r="AD64" s="5"/>
      <c r="AE64" s="5"/>
      <c r="AF64" s="5">
        <v>2</v>
      </c>
      <c r="AG64" s="5"/>
      <c r="AH64" s="5"/>
      <c r="AI64" s="5">
        <v>-4</v>
      </c>
      <c r="AJ64" s="5"/>
      <c r="AK64" s="5"/>
      <c r="AL64" s="5"/>
      <c r="AM64" s="5"/>
      <c r="AN64" s="5"/>
      <c r="AO64" s="5"/>
      <c r="AP64" s="5" t="s">
        <v>363</v>
      </c>
      <c r="AQ64" s="5" t="s">
        <v>1776</v>
      </c>
      <c r="AR64" s="5"/>
      <c r="AS64" s="5"/>
      <c r="AT64" s="5" t="s">
        <v>356</v>
      </c>
      <c r="AU64" s="5" t="s">
        <v>361</v>
      </c>
      <c r="AV64" s="5"/>
      <c r="AW64" s="7"/>
      <c r="AX64" s="5"/>
      <c r="AY64" s="5" t="s">
        <v>95</v>
      </c>
      <c r="AZ64" s="5" t="s">
        <v>45</v>
      </c>
      <c r="BA64" s="5" t="s">
        <v>45</v>
      </c>
      <c r="BB64" s="5" t="s">
        <v>45</v>
      </c>
      <c r="BM64" s="5" t="s">
        <v>1732</v>
      </c>
      <c r="BN64" s="5"/>
      <c r="BO64" s="5"/>
    </row>
    <row r="65" spans="1:67">
      <c r="A65" s="4" t="s">
        <v>364</v>
      </c>
      <c r="B65" s="5"/>
      <c r="C65" s="5" t="s">
        <v>42</v>
      </c>
      <c r="D65" s="5" t="s">
        <v>92</v>
      </c>
      <c r="E65" s="5" t="s">
        <v>355</v>
      </c>
      <c r="F65" s="5"/>
      <c r="G65" s="5">
        <v>20</v>
      </c>
      <c r="H65" s="5"/>
      <c r="I65" s="5"/>
      <c r="J65" s="5"/>
      <c r="K65" s="5"/>
      <c r="L65" s="5"/>
      <c r="M65" s="5"/>
      <c r="N65" s="5"/>
      <c r="O65" s="5"/>
      <c r="P65" s="6" t="s">
        <v>45</v>
      </c>
      <c r="Q65" s="5"/>
      <c r="R65" s="5"/>
      <c r="S65" s="5"/>
      <c r="T65" s="5">
        <v>90</v>
      </c>
      <c r="U65" s="7"/>
      <c r="V65" s="5"/>
      <c r="W65" s="5" t="s">
        <v>45</v>
      </c>
      <c r="X65" s="5" t="s">
        <v>45</v>
      </c>
      <c r="Y65" s="5"/>
      <c r="Z65" s="5"/>
      <c r="AA65" s="5"/>
      <c r="AB65" s="5"/>
      <c r="AC65" s="5"/>
      <c r="AD65" s="5"/>
      <c r="AE65" s="5"/>
      <c r="AF65" s="5">
        <v>2</v>
      </c>
      <c r="AG65" s="5"/>
      <c r="AH65" s="5"/>
      <c r="AI65" s="5">
        <v>-2</v>
      </c>
      <c r="AJ65" s="5"/>
      <c r="AK65" s="5"/>
      <c r="AL65" s="5"/>
      <c r="AM65" s="5"/>
      <c r="AN65" s="5"/>
      <c r="AO65" s="5"/>
      <c r="AP65" s="5"/>
      <c r="AQ65" s="5" t="s">
        <v>1776</v>
      </c>
      <c r="AR65" s="5"/>
      <c r="AS65" s="5"/>
      <c r="AT65" s="5" t="s">
        <v>356</v>
      </c>
      <c r="AU65" s="5" t="s">
        <v>361</v>
      </c>
      <c r="AV65" s="5"/>
      <c r="AW65" s="7"/>
      <c r="AX65" s="5"/>
      <c r="AY65" s="5" t="s">
        <v>113</v>
      </c>
      <c r="AZ65" s="5" t="s">
        <v>45</v>
      </c>
      <c r="BA65" s="5" t="s">
        <v>45</v>
      </c>
      <c r="BB65" s="5" t="s">
        <v>45</v>
      </c>
      <c r="BM65" s="5" t="s">
        <v>1609</v>
      </c>
      <c r="BN65" s="5">
        <v>92</v>
      </c>
      <c r="BO65" s="5"/>
    </row>
    <row r="66" spans="1:67">
      <c r="A66" s="4" t="s">
        <v>365</v>
      </c>
      <c r="B66" s="5"/>
      <c r="C66" s="5" t="s">
        <v>42</v>
      </c>
      <c r="D66" s="5" t="s">
        <v>92</v>
      </c>
      <c r="E66" s="5" t="s">
        <v>355</v>
      </c>
      <c r="F66" s="5"/>
      <c r="G66" s="5">
        <v>20</v>
      </c>
      <c r="H66" s="5"/>
      <c r="I66" s="5"/>
      <c r="J66" s="5"/>
      <c r="K66" s="5"/>
      <c r="L66" s="5"/>
      <c r="M66" s="5"/>
      <c r="N66" s="5"/>
      <c r="O66" s="5"/>
      <c r="P66" s="6" t="s">
        <v>45</v>
      </c>
      <c r="Q66" s="5"/>
      <c r="R66" s="5"/>
      <c r="S66" s="5"/>
      <c r="T66" s="5">
        <v>90</v>
      </c>
      <c r="U66" s="7"/>
      <c r="V66" s="5"/>
      <c r="W66" s="5" t="s">
        <v>45</v>
      </c>
      <c r="X66" s="5" t="s">
        <v>45</v>
      </c>
      <c r="Y66" s="5"/>
      <c r="Z66" s="5"/>
      <c r="AA66" s="5"/>
      <c r="AB66" s="5"/>
      <c r="AC66" s="5"/>
      <c r="AD66" s="5"/>
      <c r="AE66" s="5">
        <v>-2</v>
      </c>
      <c r="AF66" s="5">
        <v>2</v>
      </c>
      <c r="AG66" s="5"/>
      <c r="AH66" s="5"/>
      <c r="AI66" s="5"/>
      <c r="AJ66" s="5"/>
      <c r="AK66" s="5"/>
      <c r="AL66" s="5"/>
      <c r="AM66" s="5"/>
      <c r="AN66" s="5"/>
      <c r="AO66" s="5"/>
      <c r="AP66" s="5"/>
      <c r="AQ66" s="5" t="s">
        <v>1776</v>
      </c>
      <c r="AR66" s="5"/>
      <c r="AS66" s="5"/>
      <c r="AT66" s="5" t="s">
        <v>356</v>
      </c>
      <c r="AU66" s="5" t="s">
        <v>366</v>
      </c>
      <c r="AV66" s="5"/>
      <c r="AW66" s="7"/>
      <c r="AX66" s="5"/>
      <c r="AY66" s="5" t="s">
        <v>72</v>
      </c>
      <c r="AZ66" s="5" t="s">
        <v>367</v>
      </c>
      <c r="BA66" s="5" t="s">
        <v>368</v>
      </c>
      <c r="BB66" s="5" t="s">
        <v>369</v>
      </c>
      <c r="BM66" s="5" t="s">
        <v>1736</v>
      </c>
      <c r="BN66" s="5">
        <v>88</v>
      </c>
      <c r="BO66" s="5"/>
    </row>
    <row r="67" spans="1:67">
      <c r="A67" s="4" t="s">
        <v>370</v>
      </c>
      <c r="B67" s="5"/>
      <c r="C67" s="5" t="s">
        <v>42</v>
      </c>
      <c r="D67" s="5" t="s">
        <v>92</v>
      </c>
      <c r="E67" s="5" t="s">
        <v>355</v>
      </c>
      <c r="F67" s="5"/>
      <c r="G67" s="5">
        <v>20</v>
      </c>
      <c r="H67" s="5"/>
      <c r="I67" s="5"/>
      <c r="J67" s="5"/>
      <c r="K67" s="5"/>
      <c r="L67" s="5"/>
      <c r="M67" s="5"/>
      <c r="N67" s="5"/>
      <c r="O67" s="5"/>
      <c r="P67" s="6" t="s">
        <v>45</v>
      </c>
      <c r="Q67" s="5"/>
      <c r="R67" s="5"/>
      <c r="S67" s="5"/>
      <c r="T67" s="5">
        <v>120</v>
      </c>
      <c r="U67" s="7"/>
      <c r="V67" s="5" t="s">
        <v>371</v>
      </c>
      <c r="W67" s="5" t="s">
        <v>45</v>
      </c>
      <c r="X67" s="5" t="s">
        <v>45</v>
      </c>
      <c r="Y67" s="5"/>
      <c r="Z67" s="5"/>
      <c r="AA67" s="5"/>
      <c r="AB67" s="5"/>
      <c r="AC67" s="5"/>
      <c r="AD67" s="5"/>
      <c r="AE67" s="5"/>
      <c r="AF67" s="5">
        <v>2</v>
      </c>
      <c r="AG67" s="5"/>
      <c r="AH67" s="5"/>
      <c r="AI67" s="5">
        <v>-4</v>
      </c>
      <c r="AJ67" s="5"/>
      <c r="AK67" s="5"/>
      <c r="AL67" s="5"/>
      <c r="AM67" s="5"/>
      <c r="AN67" s="5"/>
      <c r="AO67" s="5"/>
      <c r="AP67" s="5" t="s">
        <v>372</v>
      </c>
      <c r="AQ67" s="5"/>
      <c r="AR67" s="5"/>
      <c r="AS67" s="5"/>
      <c r="AT67" s="5" t="s">
        <v>373</v>
      </c>
      <c r="AU67" s="5" t="s">
        <v>374</v>
      </c>
      <c r="AV67" s="5"/>
      <c r="AW67" s="7"/>
      <c r="AX67" s="5">
        <v>1</v>
      </c>
      <c r="AY67" s="5" t="s">
        <v>113</v>
      </c>
      <c r="AZ67" s="5" t="s">
        <v>357</v>
      </c>
      <c r="BA67" s="5" t="s">
        <v>375</v>
      </c>
      <c r="BB67" s="5" t="s">
        <v>376</v>
      </c>
      <c r="BM67" s="5" t="s">
        <v>1609</v>
      </c>
      <c r="BN67" s="5">
        <v>92</v>
      </c>
      <c r="BO67" s="5" t="s">
        <v>1724</v>
      </c>
    </row>
    <row r="68" spans="1:67">
      <c r="A68" s="4" t="s">
        <v>377</v>
      </c>
      <c r="B68" s="5"/>
      <c r="C68" s="5" t="s">
        <v>42</v>
      </c>
      <c r="D68" s="5" t="s">
        <v>92</v>
      </c>
      <c r="E68" s="5" t="s">
        <v>378</v>
      </c>
      <c r="F68" s="5"/>
      <c r="G68" s="5">
        <v>20</v>
      </c>
      <c r="H68" s="5"/>
      <c r="I68" s="5"/>
      <c r="J68" s="5"/>
      <c r="K68" s="5"/>
      <c r="L68" s="5"/>
      <c r="M68" s="5"/>
      <c r="N68" s="5"/>
      <c r="O68" s="5"/>
      <c r="P68" s="6" t="s">
        <v>45</v>
      </c>
      <c r="Q68" s="5"/>
      <c r="R68" s="5"/>
      <c r="S68" s="5"/>
      <c r="T68" s="5">
        <v>60</v>
      </c>
      <c r="U68" s="7"/>
      <c r="V68" s="5"/>
      <c r="W68" s="5" t="s">
        <v>45</v>
      </c>
      <c r="X68" s="5" t="s">
        <v>165</v>
      </c>
      <c r="Y68" s="5"/>
      <c r="Z68" s="5"/>
      <c r="AA68" s="5"/>
      <c r="AB68" s="5"/>
      <c r="AC68" s="5"/>
      <c r="AD68" s="5"/>
      <c r="AE68" s="5"/>
      <c r="AF68" s="5">
        <v>2</v>
      </c>
      <c r="AG68" s="5"/>
      <c r="AH68" s="5"/>
      <c r="AI68" s="5">
        <v>-2</v>
      </c>
      <c r="AJ68" s="5"/>
      <c r="AK68" s="5"/>
      <c r="AL68" s="5"/>
      <c r="AM68" s="5"/>
      <c r="AN68" s="5"/>
      <c r="AO68" s="5"/>
      <c r="AP68" s="5"/>
      <c r="AQ68" s="5" t="s">
        <v>1776</v>
      </c>
      <c r="AR68" s="5"/>
      <c r="AS68" s="5"/>
      <c r="AT68" s="5" t="s">
        <v>356</v>
      </c>
      <c r="AU68" s="5" t="str">
        <f>IF(HRDLCS,"Elven, Goblin, Ogre","Giant, Gnome, Goblin, Orc, Terran, Undercommon")</f>
        <v>Giant, Gnome, Goblin, Orc, Terran, Undercommon</v>
      </c>
      <c r="AV68" s="5"/>
      <c r="AW68" s="7"/>
      <c r="AX68" s="5"/>
      <c r="AY68" s="5" t="s">
        <v>113</v>
      </c>
      <c r="AZ68" s="5" t="s">
        <v>45</v>
      </c>
      <c r="BA68" s="5" t="s">
        <v>45</v>
      </c>
      <c r="BB68" s="5" t="s">
        <v>45</v>
      </c>
      <c r="BM68" s="5" t="s">
        <v>1737</v>
      </c>
      <c r="BN68" s="5"/>
      <c r="BO68" s="5"/>
    </row>
    <row r="69" spans="1:67">
      <c r="A69" s="4" t="s">
        <v>379</v>
      </c>
      <c r="B69" s="5"/>
      <c r="C69" s="5" t="s">
        <v>42</v>
      </c>
      <c r="D69" s="5" t="s">
        <v>92</v>
      </c>
      <c r="E69" s="5" t="s">
        <v>355</v>
      </c>
      <c r="F69" s="5"/>
      <c r="G69" s="5">
        <v>20</v>
      </c>
      <c r="H69" s="5"/>
      <c r="I69" s="5"/>
      <c r="J69" s="5"/>
      <c r="K69" s="5"/>
      <c r="L69" s="5"/>
      <c r="M69" s="5"/>
      <c r="N69" s="5"/>
      <c r="O69" s="5"/>
      <c r="P69" s="6" t="s">
        <v>45</v>
      </c>
      <c r="Q69" s="5"/>
      <c r="R69" s="5"/>
      <c r="S69" s="5"/>
      <c r="T69" s="5">
        <v>60</v>
      </c>
      <c r="U69" s="7"/>
      <c r="V69" s="5"/>
      <c r="W69" s="5" t="s">
        <v>45</v>
      </c>
      <c r="X69" s="5" t="s">
        <v>45</v>
      </c>
      <c r="Y69" s="5"/>
      <c r="Z69" s="5"/>
      <c r="AA69" s="5"/>
      <c r="AB69" s="5"/>
      <c r="AC69" s="5"/>
      <c r="AD69" s="5"/>
      <c r="AE69" s="5"/>
      <c r="AF69" s="5">
        <v>2</v>
      </c>
      <c r="AG69" s="5"/>
      <c r="AH69" s="5"/>
      <c r="AI69" s="5">
        <v>-2</v>
      </c>
      <c r="AJ69" s="5"/>
      <c r="AK69" s="5"/>
      <c r="AL69" s="5"/>
      <c r="AM69" s="5"/>
      <c r="AN69" s="5"/>
      <c r="AO69" s="5"/>
      <c r="AP69" s="5"/>
      <c r="AQ69" s="5" t="s">
        <v>1776</v>
      </c>
      <c r="AR69" s="5"/>
      <c r="AS69" s="5"/>
      <c r="AT69" s="5" t="s">
        <v>356</v>
      </c>
      <c r="AU69" s="5" t="s">
        <v>361</v>
      </c>
      <c r="AV69" s="5"/>
      <c r="AW69" s="7"/>
      <c r="AX69" s="5"/>
      <c r="AY69" s="5" t="s">
        <v>113</v>
      </c>
      <c r="AZ69" s="5" t="s">
        <v>357</v>
      </c>
      <c r="BA69" s="5" t="s">
        <v>375</v>
      </c>
      <c r="BB69" s="5" t="s">
        <v>380</v>
      </c>
      <c r="BM69" s="5" t="s">
        <v>1731</v>
      </c>
      <c r="BN69" s="5">
        <v>122</v>
      </c>
      <c r="BO69" s="5"/>
    </row>
    <row r="70" spans="1:67">
      <c r="A70" s="4" t="s">
        <v>381</v>
      </c>
      <c r="B70" s="5"/>
      <c r="C70" s="5" t="s">
        <v>42</v>
      </c>
      <c r="D70" s="5" t="s">
        <v>92</v>
      </c>
      <c r="E70" s="5" t="s">
        <v>355</v>
      </c>
      <c r="F70" s="5"/>
      <c r="G70" s="5">
        <v>20</v>
      </c>
      <c r="H70" s="5"/>
      <c r="I70" s="5"/>
      <c r="J70" s="5"/>
      <c r="K70" s="5"/>
      <c r="L70" s="5"/>
      <c r="M70" s="5"/>
      <c r="N70" s="5"/>
      <c r="O70" s="5"/>
      <c r="P70" s="6" t="s">
        <v>45</v>
      </c>
      <c r="Q70" s="5"/>
      <c r="R70" s="5"/>
      <c r="S70" s="5"/>
      <c r="T70" s="5">
        <v>60</v>
      </c>
      <c r="U70" s="7"/>
      <c r="V70" s="5"/>
      <c r="W70" s="5" t="s">
        <v>45</v>
      </c>
      <c r="X70" s="5" t="s">
        <v>45</v>
      </c>
      <c r="Y70" s="5"/>
      <c r="Z70" s="5"/>
      <c r="AA70" s="5"/>
      <c r="AB70" s="5"/>
      <c r="AC70" s="5"/>
      <c r="AD70" s="5"/>
      <c r="AE70" s="5">
        <v>-2</v>
      </c>
      <c r="AF70" s="5">
        <v>2</v>
      </c>
      <c r="AG70" s="5"/>
      <c r="AH70" s="5"/>
      <c r="AI70" s="5"/>
      <c r="AJ70" s="5"/>
      <c r="AK70" s="5"/>
      <c r="AL70" s="5"/>
      <c r="AM70" s="5"/>
      <c r="AN70" s="5"/>
      <c r="AO70" s="5"/>
      <c r="AP70" s="5"/>
      <c r="AQ70" s="5" t="s">
        <v>1776</v>
      </c>
      <c r="AR70" s="5"/>
      <c r="AS70" s="5"/>
      <c r="AT70" s="5" t="s">
        <v>356</v>
      </c>
      <c r="AU70" s="5" t="s">
        <v>382</v>
      </c>
      <c r="AV70" s="5"/>
      <c r="AW70" s="7"/>
      <c r="AX70" s="5"/>
      <c r="AY70" s="5" t="s">
        <v>113</v>
      </c>
      <c r="AZ70" s="5" t="s">
        <v>357</v>
      </c>
      <c r="BA70" s="5" t="s">
        <v>375</v>
      </c>
      <c r="BB70" s="5" t="s">
        <v>380</v>
      </c>
      <c r="BM70" s="5" t="s">
        <v>1626</v>
      </c>
      <c r="BN70" s="5"/>
      <c r="BO70" s="5" t="s">
        <v>1698</v>
      </c>
    </row>
    <row r="71" spans="1:67">
      <c r="A71" s="4" t="s">
        <v>383</v>
      </c>
      <c r="B71" s="5"/>
      <c r="C71" s="5" t="s">
        <v>42</v>
      </c>
      <c r="D71" s="5" t="s">
        <v>92</v>
      </c>
      <c r="E71" s="5" t="s">
        <v>355</v>
      </c>
      <c r="F71" s="5"/>
      <c r="G71" s="5">
        <v>20</v>
      </c>
      <c r="H71" s="5"/>
      <c r="I71" s="5"/>
      <c r="J71" s="5"/>
      <c r="K71" s="5"/>
      <c r="L71" s="5"/>
      <c r="M71" s="5"/>
      <c r="N71" s="5"/>
      <c r="O71" s="5"/>
      <c r="P71" s="6" t="s">
        <v>384</v>
      </c>
      <c r="Q71" s="5"/>
      <c r="R71" s="5"/>
      <c r="S71" s="5"/>
      <c r="T71" s="5">
        <v>120</v>
      </c>
      <c r="U71" s="7"/>
      <c r="V71" s="5" t="s">
        <v>385</v>
      </c>
      <c r="W71" s="5" t="s">
        <v>45</v>
      </c>
      <c r="X71" s="5" t="s">
        <v>45</v>
      </c>
      <c r="Y71" s="5"/>
      <c r="Z71" s="5"/>
      <c r="AA71" s="5"/>
      <c r="AB71" s="5"/>
      <c r="AC71" s="5"/>
      <c r="AD71" s="5"/>
      <c r="AE71" s="5"/>
      <c r="AF71" s="5">
        <v>2</v>
      </c>
      <c r="AG71" s="5"/>
      <c r="AH71" s="5"/>
      <c r="AI71" s="5">
        <v>-4</v>
      </c>
      <c r="AJ71" s="5"/>
      <c r="AK71" s="5"/>
      <c r="AL71" s="5"/>
      <c r="AM71" s="5"/>
      <c r="AN71" s="5"/>
      <c r="AO71" s="5"/>
      <c r="AP71" s="5" t="s">
        <v>372</v>
      </c>
      <c r="AQ71" s="5" t="s">
        <v>1776</v>
      </c>
      <c r="AR71" s="5"/>
      <c r="AS71" s="5"/>
      <c r="AT71" s="5" t="s">
        <v>342</v>
      </c>
      <c r="AU71" s="5" t="s">
        <v>386</v>
      </c>
      <c r="AV71" s="5"/>
      <c r="AW71" s="7"/>
      <c r="AX71" s="5">
        <v>2</v>
      </c>
      <c r="AY71" s="5" t="s">
        <v>113</v>
      </c>
      <c r="AZ71" s="5" t="s">
        <v>357</v>
      </c>
      <c r="BA71" s="5" t="s">
        <v>375</v>
      </c>
      <c r="BB71" s="5" t="s">
        <v>376</v>
      </c>
      <c r="BM71" s="5" t="s">
        <v>1626</v>
      </c>
      <c r="BN71" s="5"/>
      <c r="BO71" s="5" t="s">
        <v>1698</v>
      </c>
    </row>
    <row r="72" spans="1:67">
      <c r="A72" s="4" t="s">
        <v>387</v>
      </c>
      <c r="B72" s="5"/>
      <c r="C72" s="5" t="s">
        <v>85</v>
      </c>
      <c r="D72" s="5" t="s">
        <v>92</v>
      </c>
      <c r="E72" s="5" t="s">
        <v>355</v>
      </c>
      <c r="F72" s="5"/>
      <c r="G72" s="5">
        <v>20</v>
      </c>
      <c r="H72" s="5"/>
      <c r="I72" s="5"/>
      <c r="J72" s="5"/>
      <c r="K72" s="5"/>
      <c r="L72" s="5"/>
      <c r="M72" s="5"/>
      <c r="N72" s="5"/>
      <c r="O72" s="5"/>
      <c r="P72" s="6" t="s">
        <v>45</v>
      </c>
      <c r="Q72" s="5"/>
      <c r="R72" s="5"/>
      <c r="S72" s="5"/>
      <c r="T72" s="5">
        <v>60</v>
      </c>
      <c r="U72" s="7"/>
      <c r="V72" s="5"/>
      <c r="W72" s="5" t="s">
        <v>45</v>
      </c>
      <c r="X72" s="5" t="s">
        <v>45</v>
      </c>
      <c r="Y72" s="5"/>
      <c r="Z72" s="5"/>
      <c r="AA72" s="5"/>
      <c r="AB72" s="5"/>
      <c r="AC72" s="5"/>
      <c r="AD72" s="5"/>
      <c r="AE72" s="5">
        <v>2</v>
      </c>
      <c r="AF72" s="5">
        <v>2</v>
      </c>
      <c r="AG72" s="5">
        <v>-4</v>
      </c>
      <c r="AH72" s="5"/>
      <c r="AI72" s="5">
        <v>-4</v>
      </c>
      <c r="AJ72" s="5"/>
      <c r="AK72" s="5"/>
      <c r="AL72" s="5"/>
      <c r="AM72" s="5"/>
      <c r="AN72" s="5"/>
      <c r="AO72" s="5"/>
      <c r="AP72" s="5" t="s">
        <v>388</v>
      </c>
      <c r="AQ72" s="5"/>
      <c r="AR72" s="5"/>
      <c r="AS72" s="5"/>
      <c r="AT72" s="5" t="s">
        <v>389</v>
      </c>
      <c r="AU72" s="5"/>
      <c r="AV72" s="5"/>
      <c r="AW72" s="7"/>
      <c r="AX72" s="5"/>
      <c r="AY72" s="5" t="s">
        <v>95</v>
      </c>
      <c r="AZ72" s="5" t="s">
        <v>45</v>
      </c>
      <c r="BA72" s="5" t="s">
        <v>45</v>
      </c>
      <c r="BB72" s="5" t="s">
        <v>45</v>
      </c>
      <c r="BM72" s="5" t="s">
        <v>1732</v>
      </c>
      <c r="BN72" s="5"/>
      <c r="BO72" s="5"/>
    </row>
    <row r="73" spans="1:67">
      <c r="A73" s="4" t="s">
        <v>390</v>
      </c>
      <c r="B73" s="5"/>
      <c r="C73" s="5" t="s">
        <v>42</v>
      </c>
      <c r="D73" s="5" t="s">
        <v>92</v>
      </c>
      <c r="E73" s="5" t="s">
        <v>355</v>
      </c>
      <c r="F73" s="5"/>
      <c r="G73" s="5">
        <v>20</v>
      </c>
      <c r="H73" s="5"/>
      <c r="I73" s="5"/>
      <c r="J73" s="5"/>
      <c r="K73" s="5"/>
      <c r="L73" s="5"/>
      <c r="M73" s="5"/>
      <c r="N73" s="5"/>
      <c r="O73" s="5"/>
      <c r="P73" s="6" t="s">
        <v>45</v>
      </c>
      <c r="Q73" s="5"/>
      <c r="R73" s="5"/>
      <c r="S73" s="5"/>
      <c r="T73" s="5">
        <v>60</v>
      </c>
      <c r="U73" s="7"/>
      <c r="V73" s="5"/>
      <c r="W73" s="5" t="s">
        <v>45</v>
      </c>
      <c r="X73" s="5" t="s">
        <v>45</v>
      </c>
      <c r="Y73" s="5"/>
      <c r="Z73" s="5"/>
      <c r="AA73" s="5"/>
      <c r="AB73" s="5"/>
      <c r="AC73" s="5"/>
      <c r="AD73" s="5"/>
      <c r="AE73" s="5"/>
      <c r="AF73" s="5">
        <v>2</v>
      </c>
      <c r="AG73" s="5"/>
      <c r="AH73" s="5"/>
      <c r="AI73" s="5">
        <v>-2</v>
      </c>
      <c r="AJ73" s="5"/>
      <c r="AK73" s="5"/>
      <c r="AL73" s="5"/>
      <c r="AM73" s="5"/>
      <c r="AN73" s="5"/>
      <c r="AO73" s="5"/>
      <c r="AP73" s="5"/>
      <c r="AQ73" s="5" t="s">
        <v>1776</v>
      </c>
      <c r="AR73" s="5"/>
      <c r="AS73" s="5"/>
      <c r="AT73" s="5" t="s">
        <v>356</v>
      </c>
      <c r="AU73" s="5" t="str">
        <f>IF(HRDLCS,"Elven, Goblin, Ogre","Giant, Gnome, Goblin, Orc, Terran, Undercommon")</f>
        <v>Giant, Gnome, Goblin, Orc, Terran, Undercommon</v>
      </c>
      <c r="AV73" s="5"/>
      <c r="AW73" s="7"/>
      <c r="AX73" s="5"/>
      <c r="AY73" s="5" t="s">
        <v>113</v>
      </c>
      <c r="AZ73" s="5" t="s">
        <v>357</v>
      </c>
      <c r="BA73" s="5" t="s">
        <v>375</v>
      </c>
      <c r="BB73" s="5" t="s">
        <v>380</v>
      </c>
      <c r="BM73" s="5" t="s">
        <v>1749</v>
      </c>
      <c r="BN73" s="5"/>
      <c r="BO73" s="5"/>
    </row>
    <row r="74" spans="1:67">
      <c r="A74" s="4" t="s">
        <v>391</v>
      </c>
      <c r="B74" s="5"/>
      <c r="C74" s="5" t="s">
        <v>42</v>
      </c>
      <c r="D74" s="5" t="s">
        <v>92</v>
      </c>
      <c r="E74" s="5" t="s">
        <v>355</v>
      </c>
      <c r="F74" s="5"/>
      <c r="G74" s="5">
        <v>20</v>
      </c>
      <c r="H74" s="5"/>
      <c r="I74" s="5"/>
      <c r="J74" s="5"/>
      <c r="K74" s="5"/>
      <c r="L74" s="5"/>
      <c r="M74" s="5"/>
      <c r="N74" s="5"/>
      <c r="O74" s="5"/>
      <c r="P74" s="6" t="s">
        <v>45</v>
      </c>
      <c r="Q74" s="5"/>
      <c r="R74" s="5"/>
      <c r="S74" s="5"/>
      <c r="T74" s="5">
        <v>60</v>
      </c>
      <c r="U74" s="7"/>
      <c r="V74" s="5"/>
      <c r="W74" s="5" t="s">
        <v>45</v>
      </c>
      <c r="X74" s="5" t="s">
        <v>45</v>
      </c>
      <c r="Y74" s="5"/>
      <c r="Z74" s="5"/>
      <c r="AA74" s="5"/>
      <c r="AB74" s="5"/>
      <c r="AC74" s="5"/>
      <c r="AD74" s="5"/>
      <c r="AE74" s="5"/>
      <c r="AF74" s="5">
        <v>2</v>
      </c>
      <c r="AG74" s="5"/>
      <c r="AH74" s="5"/>
      <c r="AI74" s="5">
        <v>-2</v>
      </c>
      <c r="AJ74" s="5"/>
      <c r="AK74" s="5"/>
      <c r="AL74" s="5"/>
      <c r="AM74" s="5"/>
      <c r="AN74" s="5"/>
      <c r="AO74" s="5"/>
      <c r="AP74" s="5"/>
      <c r="AQ74" s="5" t="s">
        <v>1776</v>
      </c>
      <c r="AR74" s="5"/>
      <c r="AS74" s="5"/>
      <c r="AT74" s="5" t="s">
        <v>356</v>
      </c>
      <c r="AU74" s="5" t="str">
        <f>IF(HRDLCS,"Giant, Gnome, Hammertalk","Giant, Gnome, Goblin, Orc, Terran, Undercommon")</f>
        <v>Giant, Gnome, Goblin, Orc, Terran, Undercommon</v>
      </c>
      <c r="AV74" s="5"/>
      <c r="AW74" s="7"/>
      <c r="AX74" s="5"/>
      <c r="AY74" s="5" t="s">
        <v>113</v>
      </c>
      <c r="AZ74" s="5" t="s">
        <v>45</v>
      </c>
      <c r="BA74" s="5" t="s">
        <v>45</v>
      </c>
      <c r="BB74" s="5" t="s">
        <v>45</v>
      </c>
      <c r="BM74" s="5" t="s">
        <v>1609</v>
      </c>
      <c r="BN74" s="5">
        <v>93</v>
      </c>
      <c r="BO74" s="5" t="s">
        <v>1756</v>
      </c>
    </row>
    <row r="75" spans="1:67">
      <c r="A75" s="4" t="s">
        <v>392</v>
      </c>
      <c r="B75" s="5"/>
      <c r="C75" s="5" t="s">
        <v>42</v>
      </c>
      <c r="D75" s="5" t="s">
        <v>92</v>
      </c>
      <c r="E75" s="5" t="s">
        <v>355</v>
      </c>
      <c r="F75" s="5"/>
      <c r="G75" s="5">
        <v>20</v>
      </c>
      <c r="H75" s="5"/>
      <c r="I75" s="5"/>
      <c r="J75" s="5"/>
      <c r="K75" s="5"/>
      <c r="L75" s="5"/>
      <c r="M75" s="5"/>
      <c r="N75" s="5"/>
      <c r="O75" s="5"/>
      <c r="P75" s="6" t="s">
        <v>45</v>
      </c>
      <c r="Q75" s="5"/>
      <c r="R75" s="5"/>
      <c r="S75" s="5"/>
      <c r="T75" s="5">
        <v>60</v>
      </c>
      <c r="U75" s="7"/>
      <c r="V75" s="5"/>
      <c r="W75" s="5" t="s">
        <v>45</v>
      </c>
      <c r="X75" s="5" t="s">
        <v>45</v>
      </c>
      <c r="Y75" s="5"/>
      <c r="Z75" s="5"/>
      <c r="AA75" s="5"/>
      <c r="AB75" s="5"/>
      <c r="AC75" s="5"/>
      <c r="AD75" s="5"/>
      <c r="AE75" s="5"/>
      <c r="AF75" s="5">
        <v>2</v>
      </c>
      <c r="AG75" s="5"/>
      <c r="AH75" s="5"/>
      <c r="AI75" s="5">
        <v>-2</v>
      </c>
      <c r="AJ75" s="5"/>
      <c r="AK75" s="5"/>
      <c r="AL75" s="5"/>
      <c r="AM75" s="5"/>
      <c r="AN75" s="5"/>
      <c r="AO75" s="5"/>
      <c r="AP75" s="5" t="s">
        <v>393</v>
      </c>
      <c r="AQ75" s="5" t="s">
        <v>1776</v>
      </c>
      <c r="AR75" s="5"/>
      <c r="AS75" s="5"/>
      <c r="AT75" s="5" t="s">
        <v>356</v>
      </c>
      <c r="AU75" s="5" t="s">
        <v>361</v>
      </c>
      <c r="AV75" s="5"/>
      <c r="AW75" s="7"/>
      <c r="AX75" s="5"/>
      <c r="AY75" s="5" t="s">
        <v>113</v>
      </c>
      <c r="AZ75" s="5" t="s">
        <v>45</v>
      </c>
      <c r="BA75" s="5" t="s">
        <v>45</v>
      </c>
      <c r="BB75" s="5" t="s">
        <v>45</v>
      </c>
      <c r="BM75" s="5" t="s">
        <v>1720</v>
      </c>
      <c r="BN75" s="5"/>
      <c r="BO75" s="5"/>
    </row>
    <row r="76" spans="1:67">
      <c r="A76" s="4" t="s">
        <v>394</v>
      </c>
      <c r="B76" s="5"/>
      <c r="C76" s="5" t="s">
        <v>42</v>
      </c>
      <c r="D76" s="5" t="s">
        <v>92</v>
      </c>
      <c r="E76" s="5" t="s">
        <v>355</v>
      </c>
      <c r="F76" s="5"/>
      <c r="G76" s="5">
        <v>20</v>
      </c>
      <c r="H76" s="5"/>
      <c r="I76" s="5"/>
      <c r="J76" s="5"/>
      <c r="K76" s="5"/>
      <c r="L76" s="5"/>
      <c r="M76" s="5"/>
      <c r="N76" s="5"/>
      <c r="O76" s="5"/>
      <c r="P76" s="6" t="s">
        <v>45</v>
      </c>
      <c r="Q76" s="5"/>
      <c r="R76" s="5"/>
      <c r="S76" s="5"/>
      <c r="T76" s="5">
        <v>60</v>
      </c>
      <c r="U76" s="7"/>
      <c r="V76" s="5"/>
      <c r="W76" s="5" t="s">
        <v>45</v>
      </c>
      <c r="X76" s="5" t="s">
        <v>45</v>
      </c>
      <c r="Y76" s="5"/>
      <c r="Z76" s="5"/>
      <c r="AA76" s="5"/>
      <c r="AB76" s="5"/>
      <c r="AC76" s="5"/>
      <c r="AD76" s="5"/>
      <c r="AE76" s="5"/>
      <c r="AF76" s="5">
        <v>2</v>
      </c>
      <c r="AG76" s="5"/>
      <c r="AH76" s="5"/>
      <c r="AI76" s="5">
        <v>-2</v>
      </c>
      <c r="AJ76" s="5"/>
      <c r="AK76" s="5"/>
      <c r="AL76" s="5"/>
      <c r="AM76" s="5"/>
      <c r="AN76" s="5"/>
      <c r="AO76" s="5"/>
      <c r="AP76" s="5"/>
      <c r="AQ76" s="5" t="s">
        <v>1776</v>
      </c>
      <c r="AR76" s="5"/>
      <c r="AS76" s="5"/>
      <c r="AT76" s="5" t="s">
        <v>356</v>
      </c>
      <c r="AU76" s="5" t="s">
        <v>395</v>
      </c>
      <c r="AV76" s="5"/>
      <c r="AW76" s="7"/>
      <c r="AX76" s="5"/>
      <c r="AY76" s="5" t="s">
        <v>113</v>
      </c>
      <c r="AZ76" s="5" t="s">
        <v>357</v>
      </c>
      <c r="BA76" s="5" t="s">
        <v>396</v>
      </c>
      <c r="BB76" s="5" t="s">
        <v>397</v>
      </c>
      <c r="BM76" s="5" t="s">
        <v>1626</v>
      </c>
      <c r="BN76" s="5"/>
      <c r="BO76" s="5" t="s">
        <v>1698</v>
      </c>
    </row>
    <row r="77" spans="1:67">
      <c r="A77" s="4" t="s">
        <v>398</v>
      </c>
      <c r="B77" s="5"/>
      <c r="C77" s="5" t="s">
        <v>42</v>
      </c>
      <c r="D77" s="5" t="s">
        <v>92</v>
      </c>
      <c r="E77" s="5" t="s">
        <v>355</v>
      </c>
      <c r="F77" s="5"/>
      <c r="G77" s="5">
        <v>20</v>
      </c>
      <c r="H77" s="5"/>
      <c r="I77" s="5"/>
      <c r="J77" s="5"/>
      <c r="K77" s="5"/>
      <c r="L77" s="5"/>
      <c r="M77" s="5"/>
      <c r="N77" s="5"/>
      <c r="O77" s="5"/>
      <c r="P77" s="6" t="s">
        <v>45</v>
      </c>
      <c r="Q77" s="5"/>
      <c r="R77" s="5"/>
      <c r="S77" s="5"/>
      <c r="T77" s="5">
        <v>60</v>
      </c>
      <c r="U77" s="7"/>
      <c r="V77" s="5"/>
      <c r="W77" s="5" t="s">
        <v>45</v>
      </c>
      <c r="X77" s="5" t="s">
        <v>45</v>
      </c>
      <c r="Y77" s="5"/>
      <c r="Z77" s="5"/>
      <c r="AA77" s="5"/>
      <c r="AB77" s="5"/>
      <c r="AC77" s="5"/>
      <c r="AD77" s="5"/>
      <c r="AE77" s="5"/>
      <c r="AF77" s="5">
        <v>2</v>
      </c>
      <c r="AG77" s="5"/>
      <c r="AH77" s="5"/>
      <c r="AI77" s="5">
        <v>-2</v>
      </c>
      <c r="AJ77" s="5"/>
      <c r="AK77" s="5"/>
      <c r="AL77" s="5"/>
      <c r="AM77" s="5"/>
      <c r="AN77" s="5"/>
      <c r="AO77" s="5"/>
      <c r="AP77" s="5"/>
      <c r="AQ77" s="5" t="s">
        <v>1776</v>
      </c>
      <c r="AR77" s="5"/>
      <c r="AS77" s="5"/>
      <c r="AT77" s="5" t="s">
        <v>342</v>
      </c>
      <c r="AU77" s="5" t="s">
        <v>235</v>
      </c>
      <c r="AV77" s="5"/>
      <c r="AW77" s="7"/>
      <c r="AX77" s="5">
        <v>4</v>
      </c>
      <c r="AY77" s="5" t="s">
        <v>399</v>
      </c>
      <c r="AZ77" s="5" t="s">
        <v>357</v>
      </c>
      <c r="BA77" s="5" t="s">
        <v>396</v>
      </c>
      <c r="BB77" s="5" t="s">
        <v>400</v>
      </c>
      <c r="BM77" s="5" t="s">
        <v>1625</v>
      </c>
      <c r="BN77" s="5"/>
      <c r="BO77" s="5"/>
    </row>
    <row r="78" spans="1:67">
      <c r="A78" s="4" t="s">
        <v>401</v>
      </c>
      <c r="B78" s="5"/>
      <c r="C78" s="5" t="s">
        <v>85</v>
      </c>
      <c r="D78" s="5" t="s">
        <v>92</v>
      </c>
      <c r="E78" s="5" t="s">
        <v>355</v>
      </c>
      <c r="F78" s="5"/>
      <c r="G78" s="5">
        <v>20</v>
      </c>
      <c r="H78" s="5"/>
      <c r="I78" s="5"/>
      <c r="J78" s="5"/>
      <c r="K78" s="5"/>
      <c r="L78" s="5"/>
      <c r="M78" s="5"/>
      <c r="N78" s="5"/>
      <c r="O78" s="5"/>
      <c r="P78" s="6" t="s">
        <v>45</v>
      </c>
      <c r="Q78" s="5"/>
      <c r="R78" s="5"/>
      <c r="S78" s="5"/>
      <c r="T78" s="5">
        <v>60</v>
      </c>
      <c r="U78" s="7"/>
      <c r="V78" s="5"/>
      <c r="W78" s="5" t="s">
        <v>45</v>
      </c>
      <c r="X78" s="5" t="s">
        <v>402</v>
      </c>
      <c r="Y78" s="5"/>
      <c r="Z78" s="5"/>
      <c r="AA78" s="5"/>
      <c r="AB78" s="5"/>
      <c r="AC78" s="5"/>
      <c r="AD78" s="5"/>
      <c r="AE78" s="5"/>
      <c r="AF78" s="5">
        <v>2</v>
      </c>
      <c r="AG78" s="5"/>
      <c r="AH78" s="5"/>
      <c r="AI78" s="5">
        <v>-2</v>
      </c>
      <c r="AJ78" s="5"/>
      <c r="AK78" s="5"/>
      <c r="AL78" s="5"/>
      <c r="AM78" s="5"/>
      <c r="AN78" s="5"/>
      <c r="AO78" s="5"/>
      <c r="AP78" s="5"/>
      <c r="AQ78" s="5"/>
      <c r="AR78" s="5" t="s">
        <v>1793</v>
      </c>
      <c r="AS78" s="5"/>
      <c r="AT78" s="5" t="s">
        <v>356</v>
      </c>
      <c r="AU78" s="5" t="s">
        <v>403</v>
      </c>
      <c r="AV78" s="5"/>
      <c r="AW78" s="7"/>
      <c r="AX78" s="5"/>
      <c r="AY78" s="5" t="s">
        <v>125</v>
      </c>
      <c r="AZ78" s="5" t="s">
        <v>357</v>
      </c>
      <c r="BA78" s="5" t="s">
        <v>404</v>
      </c>
      <c r="BB78" s="5" t="s">
        <v>359</v>
      </c>
      <c r="BM78" s="5" t="s">
        <v>1625</v>
      </c>
      <c r="BN78" s="5">
        <v>23</v>
      </c>
      <c r="BO78" s="5"/>
    </row>
    <row r="79" spans="1:67">
      <c r="A79" s="4" t="s">
        <v>406</v>
      </c>
      <c r="B79" s="5"/>
      <c r="C79" s="5" t="s">
        <v>42</v>
      </c>
      <c r="D79" s="5" t="s">
        <v>240</v>
      </c>
      <c r="E79" s="5"/>
      <c r="F79" s="5"/>
      <c r="G79" s="5">
        <v>30</v>
      </c>
      <c r="H79" s="5"/>
      <c r="I79" s="5"/>
      <c r="J79" s="5"/>
      <c r="K79" s="5"/>
      <c r="L79" s="5"/>
      <c r="M79" s="5"/>
      <c r="N79" s="5"/>
      <c r="O79" s="5"/>
      <c r="P79" s="6" t="s">
        <v>45</v>
      </c>
      <c r="Q79" s="5"/>
      <c r="R79" s="5"/>
      <c r="S79" s="5"/>
      <c r="T79" s="5"/>
      <c r="U79" s="7"/>
      <c r="V79" s="5"/>
      <c r="W79" s="5" t="s">
        <v>45</v>
      </c>
      <c r="X79" s="5" t="s">
        <v>45</v>
      </c>
      <c r="Y79" s="5"/>
      <c r="Z79" s="5"/>
      <c r="AA79" s="5"/>
      <c r="AB79" s="5"/>
      <c r="AC79" s="5"/>
      <c r="AD79" s="5"/>
      <c r="AE79" s="5"/>
      <c r="AF79" s="5"/>
      <c r="AG79" s="5"/>
      <c r="AH79" s="5"/>
      <c r="AI79" s="5">
        <v>-2</v>
      </c>
      <c r="AJ79" s="5"/>
      <c r="AK79" s="5"/>
      <c r="AL79" s="5"/>
      <c r="AM79" s="5"/>
      <c r="AN79" s="5"/>
      <c r="AO79" s="5"/>
      <c r="AP79" s="5"/>
      <c r="AQ79" s="5"/>
      <c r="AR79" s="5"/>
      <c r="AS79" s="5"/>
      <c r="AT79" s="5" t="s">
        <v>102</v>
      </c>
      <c r="AU79" s="5" t="s">
        <v>104</v>
      </c>
      <c r="AV79" s="5"/>
      <c r="AW79" s="7"/>
      <c r="AX79" s="5"/>
      <c r="AY79" s="5" t="s">
        <v>161</v>
      </c>
      <c r="AZ79" s="5" t="s">
        <v>407</v>
      </c>
      <c r="BA79" s="5" t="s">
        <v>59</v>
      </c>
      <c r="BB79" s="5" t="s">
        <v>60</v>
      </c>
      <c r="BM79" s="5" t="s">
        <v>1724</v>
      </c>
      <c r="BN79" s="5">
        <v>196</v>
      </c>
      <c r="BO79" s="5"/>
    </row>
    <row r="80" spans="1:67">
      <c r="A80" s="4" t="s">
        <v>408</v>
      </c>
      <c r="B80" s="5"/>
      <c r="C80" s="5" t="s">
        <v>42</v>
      </c>
      <c r="D80" s="5" t="s">
        <v>92</v>
      </c>
      <c r="E80" s="5" t="s">
        <v>409</v>
      </c>
      <c r="F80" s="5"/>
      <c r="G80" s="5">
        <v>30</v>
      </c>
      <c r="H80" s="5"/>
      <c r="I80" s="5"/>
      <c r="J80" s="5"/>
      <c r="K80" s="5"/>
      <c r="L80" s="5">
        <v>40</v>
      </c>
      <c r="M80" s="5"/>
      <c r="N80" s="5"/>
      <c r="O80" s="5"/>
      <c r="P80" s="6" t="s">
        <v>45</v>
      </c>
      <c r="Q80" s="5"/>
      <c r="R80" s="5"/>
      <c r="S80" s="5" t="s">
        <v>410</v>
      </c>
      <c r="T80" s="5"/>
      <c r="U80" s="7"/>
      <c r="V80" s="5" t="s">
        <v>411</v>
      </c>
      <c r="W80" s="5" t="s">
        <v>45</v>
      </c>
      <c r="X80" s="5" t="s">
        <v>45</v>
      </c>
      <c r="Y80" s="5"/>
      <c r="Z80" s="5"/>
      <c r="AA80" s="5"/>
      <c r="AB80" s="5"/>
      <c r="AC80" s="5"/>
      <c r="AD80" s="5"/>
      <c r="AE80" s="5">
        <v>2</v>
      </c>
      <c r="AF80" s="5"/>
      <c r="AG80" s="5">
        <v>-2</v>
      </c>
      <c r="AH80" s="5"/>
      <c r="AI80" s="5"/>
      <c r="AJ80" s="5"/>
      <c r="AK80" s="5"/>
      <c r="AL80" s="5"/>
      <c r="AM80" s="5"/>
      <c r="AN80" s="5"/>
      <c r="AO80" s="5"/>
      <c r="AP80" s="5" t="s">
        <v>412</v>
      </c>
      <c r="AQ80" s="5"/>
      <c r="AR80" s="5" t="s">
        <v>1801</v>
      </c>
      <c r="AS80" s="5"/>
      <c r="AT80" s="5" t="s">
        <v>413</v>
      </c>
      <c r="AU80" s="5" t="s">
        <v>414</v>
      </c>
      <c r="AV80" s="5"/>
      <c r="AW80" s="7"/>
      <c r="AX80" s="5"/>
      <c r="AY80" s="5" t="s">
        <v>113</v>
      </c>
      <c r="AZ80" s="5" t="s">
        <v>415</v>
      </c>
      <c r="BA80" s="5" t="s">
        <v>59</v>
      </c>
      <c r="BB80" s="5" t="s">
        <v>416</v>
      </c>
      <c r="BM80" s="5" t="s">
        <v>1609</v>
      </c>
      <c r="BN80" s="5">
        <v>103</v>
      </c>
      <c r="BO80" s="5" t="s">
        <v>1757</v>
      </c>
    </row>
    <row r="81" spans="1:67">
      <c r="A81" s="4" t="s">
        <v>417</v>
      </c>
      <c r="B81" s="5"/>
      <c r="C81" s="5" t="s">
        <v>42</v>
      </c>
      <c r="D81" s="5" t="s">
        <v>92</v>
      </c>
      <c r="E81" s="5" t="s">
        <v>418</v>
      </c>
      <c r="F81" s="5"/>
      <c r="G81" s="5">
        <v>30</v>
      </c>
      <c r="H81" s="5"/>
      <c r="I81" s="5"/>
      <c r="J81" s="5"/>
      <c r="K81" s="5"/>
      <c r="L81" s="5"/>
      <c r="M81" s="5"/>
      <c r="N81" s="5"/>
      <c r="O81" s="5"/>
      <c r="P81" s="6" t="s">
        <v>419</v>
      </c>
      <c r="Q81" s="5"/>
      <c r="R81" s="5"/>
      <c r="S81" s="5"/>
      <c r="T81" s="5">
        <v>120</v>
      </c>
      <c r="U81" s="7"/>
      <c r="V81" s="5" t="s">
        <v>411</v>
      </c>
      <c r="W81" s="5" t="s">
        <v>45</v>
      </c>
      <c r="X81" s="5" t="s">
        <v>45</v>
      </c>
      <c r="Y81" s="5">
        <f>11+ClassLvl</f>
        <v>19</v>
      </c>
      <c r="Z81" s="5"/>
      <c r="AA81" s="5"/>
      <c r="AB81" s="5"/>
      <c r="AC81" s="5"/>
      <c r="AD81" s="5"/>
      <c r="AE81" s="5">
        <v>2</v>
      </c>
      <c r="AF81" s="5">
        <v>-2</v>
      </c>
      <c r="AG81" s="5">
        <v>2</v>
      </c>
      <c r="AH81" s="5"/>
      <c r="AI81" s="5">
        <v>2</v>
      </c>
      <c r="AJ81" s="5"/>
      <c r="AK81" s="5"/>
      <c r="AL81" s="5"/>
      <c r="AM81" s="5"/>
      <c r="AN81" s="5"/>
      <c r="AO81" s="5"/>
      <c r="AP81" s="5" t="s">
        <v>420</v>
      </c>
      <c r="AQ81" s="5"/>
      <c r="AR81" s="5" t="s">
        <v>1785</v>
      </c>
      <c r="AS81" s="5"/>
      <c r="AT81" s="5" t="str">
        <f>IF(CampaignCell=4,"Common, Drow, Undercommon","Common, Elven, Undercommon")</f>
        <v>Common, Elven, Undercommon</v>
      </c>
      <c r="AU81" s="5" t="s">
        <v>421</v>
      </c>
      <c r="AV81" s="5">
        <v>1</v>
      </c>
      <c r="AW81" s="7"/>
      <c r="AX81" s="5">
        <v>2</v>
      </c>
      <c r="AY81" s="5" t="str">
        <f>IF(Gender="Male","Wizard","Cleric")</f>
        <v>Cleric</v>
      </c>
      <c r="AZ81" s="5" t="s">
        <v>45</v>
      </c>
      <c r="BA81" s="5" t="s">
        <v>45</v>
      </c>
      <c r="BB81" s="5" t="s">
        <v>45</v>
      </c>
      <c r="BM81" s="5" t="s">
        <v>1737</v>
      </c>
      <c r="BN81" s="5"/>
      <c r="BO81" s="5"/>
    </row>
    <row r="82" spans="1:67">
      <c r="A82" s="4" t="s">
        <v>422</v>
      </c>
      <c r="B82" s="5"/>
      <c r="C82" s="5" t="s">
        <v>42</v>
      </c>
      <c r="D82" s="5" t="s">
        <v>92</v>
      </c>
      <c r="E82" s="5" t="s">
        <v>423</v>
      </c>
      <c r="F82" s="5"/>
      <c r="G82" s="5">
        <v>30</v>
      </c>
      <c r="H82" s="5"/>
      <c r="I82" s="5"/>
      <c r="J82" s="5"/>
      <c r="K82" s="5"/>
      <c r="L82" s="5"/>
      <c r="M82" s="5"/>
      <c r="N82" s="5"/>
      <c r="O82" s="5"/>
      <c r="P82" s="6" t="s">
        <v>424</v>
      </c>
      <c r="Q82" s="5"/>
      <c r="R82" s="5"/>
      <c r="S82" s="5"/>
      <c r="T82" s="5">
        <v>120</v>
      </c>
      <c r="U82" s="7"/>
      <c r="V82" s="5" t="s">
        <v>411</v>
      </c>
      <c r="W82" s="5" t="s">
        <v>45</v>
      </c>
      <c r="X82" s="5" t="s">
        <v>45</v>
      </c>
      <c r="Y82" s="5">
        <f>11+ClassLvl</f>
        <v>19</v>
      </c>
      <c r="Z82" s="5"/>
      <c r="AA82" s="5"/>
      <c r="AB82" s="5"/>
      <c r="AC82" s="5"/>
      <c r="AD82" s="5"/>
      <c r="AE82" s="5">
        <v>2</v>
      </c>
      <c r="AF82" s="5">
        <v>-2</v>
      </c>
      <c r="AG82" s="5">
        <v>2</v>
      </c>
      <c r="AH82" s="5"/>
      <c r="AI82" s="5">
        <v>2</v>
      </c>
      <c r="AJ82" s="5"/>
      <c r="AK82" s="5"/>
      <c r="AL82" s="5"/>
      <c r="AM82" s="5"/>
      <c r="AN82" s="5"/>
      <c r="AO82" s="5"/>
      <c r="AP82" s="5" t="s">
        <v>425</v>
      </c>
      <c r="AQ82" s="5"/>
      <c r="AR82" s="5" t="s">
        <v>1785</v>
      </c>
      <c r="AS82" s="5"/>
      <c r="AT82" s="5" t="str">
        <f>IF(CampaignCell=4,"Common, Drow, Undercommon","Common, Elven, Undercommon")</f>
        <v>Common, Elven, Undercommon</v>
      </c>
      <c r="AU82" s="5" t="s">
        <v>421</v>
      </c>
      <c r="AV82" s="5">
        <v>1</v>
      </c>
      <c r="AW82" s="7"/>
      <c r="AX82" s="5">
        <v>2</v>
      </c>
      <c r="AY82" s="5" t="str">
        <f>IF(Gender="Male","Wizard","Cleric")</f>
        <v>Cleric</v>
      </c>
      <c r="AZ82" s="5" t="s">
        <v>415</v>
      </c>
      <c r="BA82" s="5" t="s">
        <v>426</v>
      </c>
      <c r="BB82" s="5" t="s">
        <v>427</v>
      </c>
      <c r="BM82" s="5" t="s">
        <v>1609</v>
      </c>
      <c r="BN82" s="5">
        <v>103</v>
      </c>
      <c r="BO82" s="5" t="s">
        <v>1626</v>
      </c>
    </row>
    <row r="83" spans="1:67">
      <c r="A83" s="4" t="s">
        <v>428</v>
      </c>
      <c r="B83" s="5"/>
      <c r="C83" s="5" t="s">
        <v>42</v>
      </c>
      <c r="D83" s="5" t="s">
        <v>92</v>
      </c>
      <c r="E83" s="5" t="s">
        <v>418</v>
      </c>
      <c r="F83" s="5"/>
      <c r="G83" s="5">
        <v>30</v>
      </c>
      <c r="H83" s="5"/>
      <c r="I83" s="5"/>
      <c r="J83" s="5"/>
      <c r="K83" s="5"/>
      <c r="L83" s="5"/>
      <c r="M83" s="5"/>
      <c r="N83" s="5"/>
      <c r="O83" s="5"/>
      <c r="P83" s="6" t="s">
        <v>45</v>
      </c>
      <c r="Q83" s="5"/>
      <c r="R83" s="5"/>
      <c r="S83" s="5" t="s">
        <v>77</v>
      </c>
      <c r="T83" s="5"/>
      <c r="U83" s="7"/>
      <c r="V83" s="5" t="s">
        <v>411</v>
      </c>
      <c r="W83" s="5" t="s">
        <v>45</v>
      </c>
      <c r="X83" s="5" t="s">
        <v>45</v>
      </c>
      <c r="Y83" s="5"/>
      <c r="Z83" s="5"/>
      <c r="AA83" s="5"/>
      <c r="AB83" s="5"/>
      <c r="AC83" s="5"/>
      <c r="AD83" s="5"/>
      <c r="AE83" s="5">
        <v>2</v>
      </c>
      <c r="AF83" s="5">
        <v>-2</v>
      </c>
      <c r="AG83" s="5"/>
      <c r="AH83" s="5"/>
      <c r="AI83" s="5"/>
      <c r="AJ83" s="5"/>
      <c r="AK83" s="5"/>
      <c r="AL83" s="5"/>
      <c r="AM83" s="5"/>
      <c r="AN83" s="5"/>
      <c r="AO83" s="5"/>
      <c r="AP83" s="5" t="s">
        <v>425</v>
      </c>
      <c r="AQ83" s="5"/>
      <c r="AR83" s="5" t="s">
        <v>1802</v>
      </c>
      <c r="AS83" s="5"/>
      <c r="AT83" s="5" t="s">
        <v>413</v>
      </c>
      <c r="AU83" s="5" t="s">
        <v>429</v>
      </c>
      <c r="AV83" s="5"/>
      <c r="AW83" s="7"/>
      <c r="AX83" s="5"/>
      <c r="AY83" s="5" t="s">
        <v>319</v>
      </c>
      <c r="AZ83" s="5" t="s">
        <v>45</v>
      </c>
      <c r="BA83" s="5" t="s">
        <v>45</v>
      </c>
      <c r="BB83" s="5" t="s">
        <v>45</v>
      </c>
      <c r="BM83" s="5" t="s">
        <v>1737</v>
      </c>
      <c r="BN83" s="5"/>
      <c r="BO83" s="5"/>
    </row>
    <row r="84" spans="1:67">
      <c r="A84" s="4" t="s">
        <v>430</v>
      </c>
      <c r="B84" s="5"/>
      <c r="C84" s="5" t="s">
        <v>42</v>
      </c>
      <c r="D84" s="5" t="s">
        <v>92</v>
      </c>
      <c r="E84" s="5" t="s">
        <v>423</v>
      </c>
      <c r="F84" s="5"/>
      <c r="G84" s="5">
        <v>30</v>
      </c>
      <c r="H84" s="5"/>
      <c r="I84" s="5"/>
      <c r="J84" s="5"/>
      <c r="K84" s="5"/>
      <c r="L84" s="5"/>
      <c r="M84" s="5"/>
      <c r="N84" s="5"/>
      <c r="O84" s="5"/>
      <c r="P84" s="6" t="s">
        <v>45</v>
      </c>
      <c r="Q84" s="5"/>
      <c r="R84" s="5"/>
      <c r="S84" s="5" t="s">
        <v>77</v>
      </c>
      <c r="T84" s="5"/>
      <c r="U84" s="7"/>
      <c r="V84" s="5" t="s">
        <v>411</v>
      </c>
      <c r="W84" s="5" t="s">
        <v>45</v>
      </c>
      <c r="X84" s="5" t="s">
        <v>45</v>
      </c>
      <c r="Y84" s="5"/>
      <c r="Z84" s="5"/>
      <c r="AA84" s="5"/>
      <c r="AB84" s="5"/>
      <c r="AC84" s="5"/>
      <c r="AD84" s="5">
        <v>-2</v>
      </c>
      <c r="AE84" s="5">
        <v>2</v>
      </c>
      <c r="AF84" s="5">
        <v>-2</v>
      </c>
      <c r="AG84" s="5">
        <v>2</v>
      </c>
      <c r="AH84" s="5"/>
      <c r="AI84" s="5"/>
      <c r="AJ84" s="5"/>
      <c r="AK84" s="5"/>
      <c r="AL84" s="5"/>
      <c r="AM84" s="5"/>
      <c r="AN84" s="5"/>
      <c r="AO84" s="5"/>
      <c r="AP84" s="5" t="s">
        <v>425</v>
      </c>
      <c r="AQ84" s="5"/>
      <c r="AR84" s="5" t="s">
        <v>1784</v>
      </c>
      <c r="AS84" s="5"/>
      <c r="AT84" s="5" t="s">
        <v>413</v>
      </c>
      <c r="AU84" s="5" t="s">
        <v>429</v>
      </c>
      <c r="AV84" s="5"/>
      <c r="AW84" s="7"/>
      <c r="AX84" s="5"/>
      <c r="AY84" s="5" t="s">
        <v>258</v>
      </c>
      <c r="AZ84" s="5" t="s">
        <v>45</v>
      </c>
      <c r="BA84" s="5" t="s">
        <v>45</v>
      </c>
      <c r="BB84" s="5" t="s">
        <v>45</v>
      </c>
      <c r="BM84" s="5" t="s">
        <v>1609</v>
      </c>
      <c r="BN84" s="5">
        <v>104</v>
      </c>
      <c r="BO84" s="5"/>
    </row>
    <row r="85" spans="1:67">
      <c r="A85" s="4" t="s">
        <v>431</v>
      </c>
      <c r="B85" s="5"/>
      <c r="C85" s="5" t="s">
        <v>42</v>
      </c>
      <c r="D85" s="5" t="s">
        <v>92</v>
      </c>
      <c r="E85" s="5" t="s">
        <v>423</v>
      </c>
      <c r="F85" s="5"/>
      <c r="G85" s="5">
        <v>30</v>
      </c>
      <c r="H85" s="5"/>
      <c r="I85" s="5"/>
      <c r="J85" s="5"/>
      <c r="K85" s="5"/>
      <c r="L85" s="5"/>
      <c r="M85" s="5"/>
      <c r="N85" s="5"/>
      <c r="O85" s="5"/>
      <c r="P85" s="6" t="s">
        <v>45</v>
      </c>
      <c r="Q85" s="5"/>
      <c r="R85" s="5"/>
      <c r="S85" s="5" t="s">
        <v>77</v>
      </c>
      <c r="T85" s="5"/>
      <c r="U85" s="7"/>
      <c r="V85" s="5" t="s">
        <v>411</v>
      </c>
      <c r="W85" s="5" t="s">
        <v>45</v>
      </c>
      <c r="X85" s="5" t="s">
        <v>45</v>
      </c>
      <c r="Y85" s="5"/>
      <c r="Z85" s="5"/>
      <c r="AA85" s="5"/>
      <c r="AB85" s="5"/>
      <c r="AC85" s="5"/>
      <c r="AD85" s="5"/>
      <c r="AE85" s="5">
        <v>2</v>
      </c>
      <c r="AF85" s="5">
        <v>-2</v>
      </c>
      <c r="AG85" s="5"/>
      <c r="AH85" s="5"/>
      <c r="AI85" s="5"/>
      <c r="AJ85" s="5"/>
      <c r="AK85" s="5"/>
      <c r="AL85" s="5"/>
      <c r="AM85" s="5"/>
      <c r="AN85" s="5"/>
      <c r="AO85" s="5"/>
      <c r="AP85" s="5" t="s">
        <v>425</v>
      </c>
      <c r="AQ85" s="5"/>
      <c r="AR85" s="5" t="s">
        <v>1784</v>
      </c>
      <c r="AS85" s="5"/>
      <c r="AT85" s="5" t="s">
        <v>413</v>
      </c>
      <c r="AU85" s="5" t="s">
        <v>429</v>
      </c>
      <c r="AV85" s="5"/>
      <c r="AW85" s="7"/>
      <c r="AX85" s="5"/>
      <c r="AY85" s="5" t="s">
        <v>258</v>
      </c>
      <c r="AZ85" s="5" t="s">
        <v>415</v>
      </c>
      <c r="BA85" s="5" t="s">
        <v>432</v>
      </c>
      <c r="BB85" s="5" t="s">
        <v>427</v>
      </c>
      <c r="BM85" s="5" t="s">
        <v>1749</v>
      </c>
      <c r="BN85" s="5"/>
      <c r="BO85" s="5"/>
    </row>
    <row r="86" spans="1:67">
      <c r="A86" s="4" t="s">
        <v>433</v>
      </c>
      <c r="B86" s="5"/>
      <c r="C86" s="5" t="s">
        <v>42</v>
      </c>
      <c r="D86" s="5" t="s">
        <v>92</v>
      </c>
      <c r="E86" s="5" t="s">
        <v>423</v>
      </c>
      <c r="F86" s="5"/>
      <c r="G86" s="5">
        <v>30</v>
      </c>
      <c r="H86" s="5"/>
      <c r="I86" s="5"/>
      <c r="J86" s="5"/>
      <c r="K86" s="5"/>
      <c r="L86" s="5"/>
      <c r="M86" s="5"/>
      <c r="N86" s="5"/>
      <c r="O86" s="5"/>
      <c r="P86" s="6" t="s">
        <v>45</v>
      </c>
      <c r="Q86" s="5"/>
      <c r="R86" s="5"/>
      <c r="S86" s="5" t="s">
        <v>77</v>
      </c>
      <c r="T86" s="5"/>
      <c r="U86" s="7"/>
      <c r="V86" s="5" t="s">
        <v>411</v>
      </c>
      <c r="W86" s="5" t="s">
        <v>45</v>
      </c>
      <c r="X86" s="5" t="s">
        <v>45</v>
      </c>
      <c r="Y86" s="5"/>
      <c r="Z86" s="5"/>
      <c r="AA86" s="5"/>
      <c r="AB86" s="5"/>
      <c r="AC86" s="5"/>
      <c r="AD86" s="5"/>
      <c r="AE86" s="5">
        <v>2</v>
      </c>
      <c r="AF86" s="5"/>
      <c r="AG86" s="5">
        <v>-2</v>
      </c>
      <c r="AH86" s="5"/>
      <c r="AI86" s="5">
        <v>-2</v>
      </c>
      <c r="AJ86" s="5"/>
      <c r="AK86" s="5"/>
      <c r="AL86" s="5"/>
      <c r="AM86" s="5"/>
      <c r="AN86" s="5"/>
      <c r="AO86" s="5"/>
      <c r="AP86" s="5" t="s">
        <v>434</v>
      </c>
      <c r="AQ86" s="5"/>
      <c r="AR86" s="5" t="s">
        <v>1800</v>
      </c>
      <c r="AS86" s="5"/>
      <c r="AT86" s="5" t="s">
        <v>219</v>
      </c>
      <c r="AU86" s="5" t="s">
        <v>435</v>
      </c>
      <c r="AV86" s="5"/>
      <c r="AW86" s="7"/>
      <c r="AX86" s="5"/>
      <c r="AY86" s="5" t="s">
        <v>49</v>
      </c>
      <c r="AZ86" s="5" t="s">
        <v>45</v>
      </c>
      <c r="BA86" s="5" t="s">
        <v>45</v>
      </c>
      <c r="BB86" s="5" t="s">
        <v>45</v>
      </c>
      <c r="BM86" s="5" t="s">
        <v>1732</v>
      </c>
      <c r="BN86" s="5"/>
      <c r="BO86" s="5"/>
    </row>
    <row r="87" spans="1:67">
      <c r="A87" s="4" t="s">
        <v>436</v>
      </c>
      <c r="B87" s="5"/>
      <c r="C87" s="5" t="s">
        <v>42</v>
      </c>
      <c r="D87" s="5" t="s">
        <v>92</v>
      </c>
      <c r="E87" s="5" t="s">
        <v>423</v>
      </c>
      <c r="F87" s="5"/>
      <c r="G87" s="5">
        <v>30</v>
      </c>
      <c r="H87" s="5"/>
      <c r="I87" s="5"/>
      <c r="J87" s="5"/>
      <c r="K87" s="5"/>
      <c r="L87" s="5"/>
      <c r="M87" s="5"/>
      <c r="N87" s="5"/>
      <c r="O87" s="5"/>
      <c r="P87" s="6" t="s">
        <v>45</v>
      </c>
      <c r="Q87" s="5"/>
      <c r="R87" s="5"/>
      <c r="S87" s="5" t="s">
        <v>77</v>
      </c>
      <c r="T87" s="5"/>
      <c r="U87" s="7"/>
      <c r="V87" s="5" t="s">
        <v>411</v>
      </c>
      <c r="W87" s="5" t="s">
        <v>45</v>
      </c>
      <c r="X87" s="5" t="s">
        <v>45</v>
      </c>
      <c r="Y87" s="5"/>
      <c r="Z87" s="5"/>
      <c r="AA87" s="5"/>
      <c r="AB87" s="5"/>
      <c r="AC87" s="5"/>
      <c r="AD87" s="5"/>
      <c r="AE87" s="5">
        <v>2</v>
      </c>
      <c r="AF87" s="5">
        <v>-2</v>
      </c>
      <c r="AG87" s="5"/>
      <c r="AH87" s="5"/>
      <c r="AI87" s="5"/>
      <c r="AJ87" s="5"/>
      <c r="AK87" s="5"/>
      <c r="AL87" s="5"/>
      <c r="AM87" s="5"/>
      <c r="AN87" s="5"/>
      <c r="AO87" s="5"/>
      <c r="AP87" s="5" t="s">
        <v>425</v>
      </c>
      <c r="AQ87" s="5"/>
      <c r="AR87" s="5" t="s">
        <v>1784</v>
      </c>
      <c r="AS87" s="5"/>
      <c r="AT87" s="5" t="s">
        <v>413</v>
      </c>
      <c r="AU87" s="5" t="s">
        <v>437</v>
      </c>
      <c r="AV87" s="5"/>
      <c r="AW87" s="7"/>
      <c r="AX87" s="5"/>
      <c r="AY87" s="5" t="s">
        <v>258</v>
      </c>
      <c r="AZ87" s="5" t="s">
        <v>415</v>
      </c>
      <c r="BA87" s="5" t="s">
        <v>59</v>
      </c>
      <c r="BB87" s="5" t="s">
        <v>438</v>
      </c>
      <c r="BM87" s="5" t="s">
        <v>1626</v>
      </c>
      <c r="BN87" s="5"/>
      <c r="BO87" s="5" t="s">
        <v>1698</v>
      </c>
    </row>
    <row r="88" spans="1:67">
      <c r="A88" s="4" t="s">
        <v>439</v>
      </c>
      <c r="B88" s="5"/>
      <c r="C88" s="5" t="s">
        <v>42</v>
      </c>
      <c r="D88" s="5" t="s">
        <v>92</v>
      </c>
      <c r="E88" s="5" t="s">
        <v>423</v>
      </c>
      <c r="F88" s="5"/>
      <c r="G88" s="5">
        <v>30</v>
      </c>
      <c r="H88" s="5"/>
      <c r="I88" s="5"/>
      <c r="J88" s="5"/>
      <c r="K88" s="5"/>
      <c r="L88" s="5"/>
      <c r="M88" s="5"/>
      <c r="N88" s="5"/>
      <c r="O88" s="5"/>
      <c r="P88" s="6" t="s">
        <v>45</v>
      </c>
      <c r="Q88" s="5"/>
      <c r="R88" s="5"/>
      <c r="S88" s="5" t="s">
        <v>77</v>
      </c>
      <c r="T88" s="5"/>
      <c r="U88" s="7"/>
      <c r="V88" s="5"/>
      <c r="W88" s="5" t="s">
        <v>45</v>
      </c>
      <c r="X88" s="5" t="s">
        <v>45</v>
      </c>
      <c r="Y88" s="5"/>
      <c r="Z88" s="5"/>
      <c r="AA88" s="5"/>
      <c r="AB88" s="5"/>
      <c r="AC88" s="5"/>
      <c r="AD88" s="5"/>
      <c r="AE88" s="5">
        <v>2</v>
      </c>
      <c r="AF88" s="5"/>
      <c r="AG88" s="5">
        <v>-2</v>
      </c>
      <c r="AH88" s="5"/>
      <c r="AI88" s="5"/>
      <c r="AJ88" s="5"/>
      <c r="AK88" s="5"/>
      <c r="AL88" s="5"/>
      <c r="AM88" s="5"/>
      <c r="AN88" s="5"/>
      <c r="AO88" s="5"/>
      <c r="AP88" s="5" t="s">
        <v>425</v>
      </c>
      <c r="AQ88" s="5"/>
      <c r="AR88" s="5" t="s">
        <v>1784</v>
      </c>
      <c r="AS88" s="5"/>
      <c r="AT88" s="5" t="s">
        <v>413</v>
      </c>
      <c r="AU88" s="5" t="s">
        <v>429</v>
      </c>
      <c r="AV88" s="5"/>
      <c r="AW88" s="7"/>
      <c r="AX88" s="5"/>
      <c r="AY88" s="5" t="s">
        <v>72</v>
      </c>
      <c r="AZ88" s="5" t="s">
        <v>45</v>
      </c>
      <c r="BA88" s="5" t="s">
        <v>45</v>
      </c>
      <c r="BB88" s="5" t="s">
        <v>45</v>
      </c>
      <c r="BM88" s="5" t="s">
        <v>1665</v>
      </c>
      <c r="BN88" s="5"/>
      <c r="BO88" s="5"/>
    </row>
    <row r="89" spans="1:67">
      <c r="A89" s="4" t="s">
        <v>440</v>
      </c>
      <c r="B89" s="5"/>
      <c r="C89" s="5" t="s">
        <v>42</v>
      </c>
      <c r="D89" s="5" t="s">
        <v>92</v>
      </c>
      <c r="E89" s="5" t="s">
        <v>423</v>
      </c>
      <c r="F89" s="5"/>
      <c r="G89" s="5">
        <v>30</v>
      </c>
      <c r="H89" s="5"/>
      <c r="I89" s="5"/>
      <c r="J89" s="5"/>
      <c r="K89" s="5"/>
      <c r="L89" s="5"/>
      <c r="M89" s="5"/>
      <c r="N89" s="5"/>
      <c r="O89" s="5"/>
      <c r="P89" s="6" t="s">
        <v>45</v>
      </c>
      <c r="Q89" s="5"/>
      <c r="R89" s="5"/>
      <c r="S89" s="5" t="s">
        <v>77</v>
      </c>
      <c r="T89" s="5"/>
      <c r="U89" s="7"/>
      <c r="V89" s="5" t="s">
        <v>411</v>
      </c>
      <c r="W89" s="5" t="s">
        <v>45</v>
      </c>
      <c r="X89" s="5" t="s">
        <v>45</v>
      </c>
      <c r="Y89" s="5"/>
      <c r="Z89" s="5"/>
      <c r="AA89" s="5"/>
      <c r="AB89" s="5"/>
      <c r="AC89" s="5"/>
      <c r="AD89" s="5"/>
      <c r="AE89" s="5">
        <v>2</v>
      </c>
      <c r="AF89" s="5">
        <v>-2</v>
      </c>
      <c r="AG89" s="5"/>
      <c r="AH89" s="5"/>
      <c r="AI89" s="5"/>
      <c r="AJ89" s="5"/>
      <c r="AK89" s="5"/>
      <c r="AL89" s="5"/>
      <c r="AM89" s="5"/>
      <c r="AN89" s="5"/>
      <c r="AO89" s="5"/>
      <c r="AP89" s="5" t="s">
        <v>441</v>
      </c>
      <c r="AQ89" s="5"/>
      <c r="AR89" s="5" t="s">
        <v>1784</v>
      </c>
      <c r="AS89" s="5"/>
      <c r="AT89" s="5" t="s">
        <v>413</v>
      </c>
      <c r="AU89" s="5" t="s">
        <v>442</v>
      </c>
      <c r="AV89" s="5"/>
      <c r="AW89" s="7"/>
      <c r="AX89" s="5"/>
      <c r="AY89" s="5" t="s">
        <v>258</v>
      </c>
      <c r="AZ89" s="5" t="s">
        <v>45</v>
      </c>
      <c r="BA89" s="5" t="s">
        <v>45</v>
      </c>
      <c r="BB89" s="5" t="s">
        <v>45</v>
      </c>
      <c r="BM89" s="5" t="s">
        <v>1732</v>
      </c>
      <c r="BN89" s="5"/>
      <c r="BO89" s="5"/>
    </row>
    <row r="90" spans="1:67">
      <c r="A90" s="4" t="s">
        <v>443</v>
      </c>
      <c r="B90" s="5"/>
      <c r="C90" s="5" t="s">
        <v>42</v>
      </c>
      <c r="D90" s="5" t="s">
        <v>92</v>
      </c>
      <c r="E90" s="5" t="s">
        <v>423</v>
      </c>
      <c r="F90" s="5"/>
      <c r="G90" s="5">
        <v>30</v>
      </c>
      <c r="H90" s="5"/>
      <c r="I90" s="5"/>
      <c r="J90" s="5"/>
      <c r="K90" s="5"/>
      <c r="L90" s="5">
        <v>30</v>
      </c>
      <c r="M90" s="5"/>
      <c r="N90" s="5"/>
      <c r="O90" s="5"/>
      <c r="P90" s="6" t="s">
        <v>444</v>
      </c>
      <c r="Q90" s="5"/>
      <c r="R90" s="5"/>
      <c r="S90" s="5" t="s">
        <v>77</v>
      </c>
      <c r="T90" s="5">
        <v>60</v>
      </c>
      <c r="U90" s="7"/>
      <c r="V90" s="5" t="s">
        <v>411</v>
      </c>
      <c r="W90" s="5" t="s">
        <v>45</v>
      </c>
      <c r="X90" s="5" t="s">
        <v>45</v>
      </c>
      <c r="Y90" s="5"/>
      <c r="Z90" s="5"/>
      <c r="AA90" s="5"/>
      <c r="AB90" s="5"/>
      <c r="AC90" s="5"/>
      <c r="AD90" s="5">
        <v>2</v>
      </c>
      <c r="AE90" s="5">
        <v>2</v>
      </c>
      <c r="AF90" s="5"/>
      <c r="AG90" s="5"/>
      <c r="AH90" s="5"/>
      <c r="AI90" s="5">
        <v>-2</v>
      </c>
      <c r="AJ90" s="5"/>
      <c r="AK90" s="5"/>
      <c r="AL90" s="5"/>
      <c r="AM90" s="5"/>
      <c r="AN90" s="5"/>
      <c r="AO90" s="5"/>
      <c r="AP90" s="5" t="s">
        <v>54</v>
      </c>
      <c r="AQ90" s="5"/>
      <c r="AR90" s="5" t="s">
        <v>1801</v>
      </c>
      <c r="AS90" s="5"/>
      <c r="AT90" s="5" t="s">
        <v>445</v>
      </c>
      <c r="AU90" s="5" t="s">
        <v>446</v>
      </c>
      <c r="AV90" s="5"/>
      <c r="AW90" s="7"/>
      <c r="AX90" s="5">
        <v>1</v>
      </c>
      <c r="AY90" s="5" t="s">
        <v>113</v>
      </c>
      <c r="AZ90" s="5" t="s">
        <v>45</v>
      </c>
      <c r="BA90" s="5" t="s">
        <v>45</v>
      </c>
      <c r="BB90" s="5" t="s">
        <v>45</v>
      </c>
      <c r="BM90" s="5" t="s">
        <v>1732</v>
      </c>
      <c r="BN90" s="5"/>
      <c r="BO90" s="5"/>
    </row>
    <row r="91" spans="1:67">
      <c r="A91" s="4" t="s">
        <v>447</v>
      </c>
      <c r="B91" s="5"/>
      <c r="C91" s="5" t="s">
        <v>42</v>
      </c>
      <c r="D91" s="5" t="s">
        <v>92</v>
      </c>
      <c r="E91" s="5" t="s">
        <v>423</v>
      </c>
      <c r="F91" s="5"/>
      <c r="G91" s="5">
        <v>30</v>
      </c>
      <c r="H91" s="5"/>
      <c r="I91" s="5"/>
      <c r="J91" s="5"/>
      <c r="K91" s="5"/>
      <c r="L91" s="5">
        <v>30</v>
      </c>
      <c r="M91" s="5"/>
      <c r="N91" s="5"/>
      <c r="O91" s="5"/>
      <c r="P91" s="6" t="s">
        <v>45</v>
      </c>
      <c r="Q91" s="5"/>
      <c r="R91" s="5"/>
      <c r="S91" s="5" t="s">
        <v>77</v>
      </c>
      <c r="T91" s="5"/>
      <c r="U91" s="7"/>
      <c r="V91" s="5" t="s">
        <v>411</v>
      </c>
      <c r="W91" s="5" t="s">
        <v>45</v>
      </c>
      <c r="X91" s="5" t="s">
        <v>45</v>
      </c>
      <c r="Y91" s="5"/>
      <c r="Z91" s="5"/>
      <c r="AA91" s="5"/>
      <c r="AB91" s="5"/>
      <c r="AC91" s="5"/>
      <c r="AD91" s="5"/>
      <c r="AE91" s="5">
        <v>2</v>
      </c>
      <c r="AF91" s="5"/>
      <c r="AG91" s="5">
        <v>2</v>
      </c>
      <c r="AH91" s="5">
        <v>-2</v>
      </c>
      <c r="AI91" s="5">
        <v>-2</v>
      </c>
      <c r="AJ91" s="5"/>
      <c r="AK91" s="5"/>
      <c r="AL91" s="5"/>
      <c r="AM91" s="5"/>
      <c r="AN91" s="5"/>
      <c r="AO91" s="5"/>
      <c r="AP91" s="5" t="s">
        <v>54</v>
      </c>
      <c r="AQ91" s="5"/>
      <c r="AR91" s="5" t="s">
        <v>1801</v>
      </c>
      <c r="AS91" s="5"/>
      <c r="AT91" s="5" t="s">
        <v>448</v>
      </c>
      <c r="AU91" s="5" t="s">
        <v>449</v>
      </c>
      <c r="AV91" s="5"/>
      <c r="AW91" s="7"/>
      <c r="AX91" s="5">
        <v>1</v>
      </c>
      <c r="AY91" s="5" t="s">
        <v>125</v>
      </c>
      <c r="AZ91" s="5" t="s">
        <v>45</v>
      </c>
      <c r="BA91" s="5" t="s">
        <v>45</v>
      </c>
      <c r="BB91" s="5" t="s">
        <v>45</v>
      </c>
      <c r="BM91" s="5" t="s">
        <v>1732</v>
      </c>
      <c r="BN91" s="5"/>
      <c r="BO91" s="5"/>
    </row>
    <row r="92" spans="1:67">
      <c r="A92" s="4" t="s">
        <v>450</v>
      </c>
      <c r="B92" s="5"/>
      <c r="C92" s="5" t="s">
        <v>42</v>
      </c>
      <c r="D92" s="5" t="s">
        <v>92</v>
      </c>
      <c r="E92" s="5" t="s">
        <v>423</v>
      </c>
      <c r="F92" s="5"/>
      <c r="G92" s="5">
        <v>30</v>
      </c>
      <c r="H92" s="5"/>
      <c r="I92" s="5"/>
      <c r="J92" s="5"/>
      <c r="K92" s="5"/>
      <c r="L92" s="5"/>
      <c r="M92" s="5"/>
      <c r="N92" s="5"/>
      <c r="O92" s="5"/>
      <c r="P92" s="6" t="s">
        <v>45</v>
      </c>
      <c r="Q92" s="5"/>
      <c r="R92" s="5"/>
      <c r="S92" s="5" t="s">
        <v>77</v>
      </c>
      <c r="T92" s="5"/>
      <c r="U92" s="7"/>
      <c r="V92" s="5" t="s">
        <v>411</v>
      </c>
      <c r="W92" s="5" t="s">
        <v>45</v>
      </c>
      <c r="X92" s="5" t="s">
        <v>45</v>
      </c>
      <c r="Y92" s="5"/>
      <c r="Z92" s="5"/>
      <c r="AA92" s="5"/>
      <c r="AB92" s="5"/>
      <c r="AC92" s="5"/>
      <c r="AD92" s="5"/>
      <c r="AE92" s="5">
        <v>2</v>
      </c>
      <c r="AF92" s="5">
        <v>-2</v>
      </c>
      <c r="AG92" s="5">
        <v>2</v>
      </c>
      <c r="AH92" s="5"/>
      <c r="AI92" s="5">
        <v>-2</v>
      </c>
      <c r="AJ92" s="5"/>
      <c r="AK92" s="5"/>
      <c r="AL92" s="5"/>
      <c r="AM92" s="5"/>
      <c r="AN92" s="5"/>
      <c r="AO92" s="5"/>
      <c r="AP92" s="5" t="s">
        <v>451</v>
      </c>
      <c r="AQ92" s="5"/>
      <c r="AR92" s="5" t="s">
        <v>1784</v>
      </c>
      <c r="AS92" s="5"/>
      <c r="AT92" s="5" t="s">
        <v>452</v>
      </c>
      <c r="AU92" s="5" t="s">
        <v>453</v>
      </c>
      <c r="AV92" s="5"/>
      <c r="AW92" s="7"/>
      <c r="AX92" s="5"/>
      <c r="AY92" s="5" t="s">
        <v>258</v>
      </c>
      <c r="AZ92" s="5" t="s">
        <v>45</v>
      </c>
      <c r="BA92" s="5" t="s">
        <v>45</v>
      </c>
      <c r="BB92" s="5" t="s">
        <v>45</v>
      </c>
      <c r="BM92" s="5" t="s">
        <v>1732</v>
      </c>
      <c r="BN92" s="5"/>
      <c r="BO92" s="5"/>
    </row>
    <row r="93" spans="1:67">
      <c r="A93" s="4" t="s">
        <v>454</v>
      </c>
      <c r="B93" s="5"/>
      <c r="C93" s="5" t="s">
        <v>42</v>
      </c>
      <c r="D93" s="5" t="s">
        <v>92</v>
      </c>
      <c r="E93" s="5" t="s">
        <v>423</v>
      </c>
      <c r="F93" s="5"/>
      <c r="G93" s="5">
        <v>30</v>
      </c>
      <c r="H93" s="5"/>
      <c r="I93" s="5"/>
      <c r="J93" s="5"/>
      <c r="K93" s="5"/>
      <c r="L93" s="5"/>
      <c r="M93" s="5"/>
      <c r="N93" s="5"/>
      <c r="O93" s="5"/>
      <c r="P93" s="6" t="s">
        <v>45</v>
      </c>
      <c r="Q93" s="5"/>
      <c r="R93" s="5"/>
      <c r="S93" s="5" t="s">
        <v>77</v>
      </c>
      <c r="T93" s="5"/>
      <c r="U93" s="7"/>
      <c r="V93" s="5" t="s">
        <v>411</v>
      </c>
      <c r="W93" s="5" t="s">
        <v>45</v>
      </c>
      <c r="X93" s="5" t="s">
        <v>45</v>
      </c>
      <c r="Y93" s="5"/>
      <c r="Z93" s="5"/>
      <c r="AA93" s="5"/>
      <c r="AB93" s="5"/>
      <c r="AC93" s="5"/>
      <c r="AD93" s="5"/>
      <c r="AE93" s="5">
        <v>2</v>
      </c>
      <c r="AF93" s="5"/>
      <c r="AG93" s="5"/>
      <c r="AH93" s="5"/>
      <c r="AI93" s="5">
        <v>-2</v>
      </c>
      <c r="AJ93" s="5"/>
      <c r="AK93" s="5"/>
      <c r="AL93" s="5"/>
      <c r="AM93" s="5"/>
      <c r="AN93" s="5"/>
      <c r="AO93" s="5"/>
      <c r="AP93" s="5" t="s">
        <v>425</v>
      </c>
      <c r="AQ93" s="5"/>
      <c r="AR93" s="5" t="s">
        <v>1784</v>
      </c>
      <c r="AS93" s="5"/>
      <c r="AT93" s="5" t="s">
        <v>413</v>
      </c>
      <c r="AU93" s="5" t="s">
        <v>429</v>
      </c>
      <c r="AV93" s="5"/>
      <c r="AW93" s="7"/>
      <c r="AX93" s="5"/>
      <c r="AY93" s="5" t="s">
        <v>258</v>
      </c>
      <c r="AZ93" s="5" t="s">
        <v>415</v>
      </c>
      <c r="BA93" s="5" t="s">
        <v>432</v>
      </c>
      <c r="BB93" s="5" t="s">
        <v>427</v>
      </c>
      <c r="BM93" s="5" t="s">
        <v>1731</v>
      </c>
      <c r="BN93" s="5"/>
      <c r="BO93" s="5"/>
    </row>
    <row r="94" spans="1:67">
      <c r="A94" s="4" t="s">
        <v>455</v>
      </c>
      <c r="B94" s="5"/>
      <c r="C94" s="5" t="s">
        <v>42</v>
      </c>
      <c r="D94" s="5" t="s">
        <v>92</v>
      </c>
      <c r="E94" s="5" t="s">
        <v>423</v>
      </c>
      <c r="F94" s="5"/>
      <c r="G94" s="5">
        <v>30</v>
      </c>
      <c r="H94" s="5"/>
      <c r="I94" s="5"/>
      <c r="J94" s="5"/>
      <c r="K94" s="5"/>
      <c r="L94" s="5"/>
      <c r="M94" s="5"/>
      <c r="N94" s="5"/>
      <c r="O94" s="5"/>
      <c r="P94" s="6" t="s">
        <v>45</v>
      </c>
      <c r="Q94" s="5"/>
      <c r="R94" s="5"/>
      <c r="S94" s="5" t="s">
        <v>77</v>
      </c>
      <c r="T94" s="5"/>
      <c r="U94" s="7"/>
      <c r="V94" s="5" t="s">
        <v>411</v>
      </c>
      <c r="W94" s="5" t="s">
        <v>45</v>
      </c>
      <c r="X94" s="5" t="s">
        <v>45</v>
      </c>
      <c r="Y94" s="5"/>
      <c r="Z94" s="5"/>
      <c r="AA94" s="5"/>
      <c r="AB94" s="5"/>
      <c r="AC94" s="5"/>
      <c r="AD94" s="5"/>
      <c r="AE94" s="5"/>
      <c r="AF94" s="5">
        <v>-2</v>
      </c>
      <c r="AG94" s="5">
        <v>2</v>
      </c>
      <c r="AH94" s="5"/>
      <c r="AI94" s="5"/>
      <c r="AJ94" s="5"/>
      <c r="AK94" s="5"/>
      <c r="AL94" s="5"/>
      <c r="AM94" s="5"/>
      <c r="AN94" s="5"/>
      <c r="AO94" s="5"/>
      <c r="AP94" s="5" t="s">
        <v>425</v>
      </c>
      <c r="AQ94" s="5"/>
      <c r="AR94" s="5" t="s">
        <v>1784</v>
      </c>
      <c r="AS94" s="5"/>
      <c r="AT94" s="5" t="s">
        <v>413</v>
      </c>
      <c r="AU94" s="5" t="s">
        <v>456</v>
      </c>
      <c r="AV94" s="5"/>
      <c r="AW94" s="7"/>
      <c r="AX94" s="5"/>
      <c r="AY94" s="5" t="s">
        <v>258</v>
      </c>
      <c r="AZ94" s="5" t="s">
        <v>415</v>
      </c>
      <c r="BA94" s="5" t="s">
        <v>59</v>
      </c>
      <c r="BB94" s="5" t="s">
        <v>438</v>
      </c>
      <c r="BM94" s="5" t="s">
        <v>1626</v>
      </c>
      <c r="BN94" s="5"/>
      <c r="BO94" s="5" t="s">
        <v>1698</v>
      </c>
    </row>
    <row r="95" spans="1:67">
      <c r="A95" s="4" t="s">
        <v>457</v>
      </c>
      <c r="B95" s="5"/>
      <c r="C95" s="5" t="s">
        <v>42</v>
      </c>
      <c r="D95" s="5" t="s">
        <v>92</v>
      </c>
      <c r="E95" s="5" t="s">
        <v>423</v>
      </c>
      <c r="F95" s="5"/>
      <c r="G95" s="5">
        <v>30</v>
      </c>
      <c r="H95" s="5"/>
      <c r="I95" s="5"/>
      <c r="J95" s="5"/>
      <c r="K95" s="5"/>
      <c r="L95" s="5"/>
      <c r="M95" s="5"/>
      <c r="N95" s="5"/>
      <c r="O95" s="5"/>
      <c r="P95" s="6" t="s">
        <v>424</v>
      </c>
      <c r="Q95" s="5"/>
      <c r="R95" s="5"/>
      <c r="S95" s="5"/>
      <c r="T95" s="5">
        <v>120</v>
      </c>
      <c r="U95" s="7"/>
      <c r="V95" s="5" t="s">
        <v>411</v>
      </c>
      <c r="W95" s="5" t="s">
        <v>45</v>
      </c>
      <c r="X95" s="5" t="s">
        <v>45</v>
      </c>
      <c r="Y95" s="5">
        <f>11+ClassLvl+2*FtDarkBlood</f>
        <v>19</v>
      </c>
      <c r="Z95" s="5"/>
      <c r="AA95" s="5"/>
      <c r="AB95" s="5"/>
      <c r="AC95" s="5"/>
      <c r="AD95" s="5"/>
      <c r="AE95" s="5">
        <v>2</v>
      </c>
      <c r="AF95" s="5">
        <v>-2</v>
      </c>
      <c r="AG95" s="5">
        <v>2</v>
      </c>
      <c r="AH95" s="5"/>
      <c r="AI95" s="5">
        <v>2</v>
      </c>
      <c r="AJ95" s="5"/>
      <c r="AK95" s="5"/>
      <c r="AL95" s="5"/>
      <c r="AM95" s="5"/>
      <c r="AN95" s="5"/>
      <c r="AO95" s="5"/>
      <c r="AP95" s="5" t="s">
        <v>458</v>
      </c>
      <c r="AQ95" s="5"/>
      <c r="AR95" s="5" t="s">
        <v>1784</v>
      </c>
      <c r="AS95" s="5"/>
      <c r="AT95" s="5" t="s">
        <v>459</v>
      </c>
      <c r="AU95" s="5" t="s">
        <v>460</v>
      </c>
      <c r="AV95" s="5">
        <v>1</v>
      </c>
      <c r="AW95" s="7"/>
      <c r="AX95" s="5">
        <v>2</v>
      </c>
      <c r="AY95" s="5" t="str">
        <f>IF(HRCA,"Warlock","Sorcerer")</f>
        <v>Sorcerer</v>
      </c>
      <c r="AZ95" s="5" t="s">
        <v>45</v>
      </c>
      <c r="BA95" s="5" t="s">
        <v>45</v>
      </c>
      <c r="BB95" s="5" t="s">
        <v>45</v>
      </c>
      <c r="BM95" s="5" t="s">
        <v>1717</v>
      </c>
      <c r="BN95" s="5"/>
      <c r="BO95" s="5"/>
    </row>
    <row r="96" spans="1:67">
      <c r="A96" s="4" t="s">
        <v>461</v>
      </c>
      <c r="B96" s="5"/>
      <c r="C96" s="5" t="s">
        <v>42</v>
      </c>
      <c r="D96" s="5" t="s">
        <v>92</v>
      </c>
      <c r="E96" s="5" t="s">
        <v>423</v>
      </c>
      <c r="F96" s="5"/>
      <c r="G96" s="5">
        <v>30</v>
      </c>
      <c r="H96" s="5"/>
      <c r="I96" s="5"/>
      <c r="J96" s="5"/>
      <c r="K96" s="5"/>
      <c r="L96" s="5"/>
      <c r="M96" s="5"/>
      <c r="N96" s="5"/>
      <c r="O96" s="5"/>
      <c r="P96" s="6" t="s">
        <v>45</v>
      </c>
      <c r="Q96" s="5"/>
      <c r="R96" s="5"/>
      <c r="S96" s="5" t="s">
        <v>77</v>
      </c>
      <c r="T96" s="5"/>
      <c r="U96" s="7"/>
      <c r="V96" s="5" t="s">
        <v>411</v>
      </c>
      <c r="W96" s="5" t="s">
        <v>45</v>
      </c>
      <c r="X96" s="5" t="s">
        <v>45</v>
      </c>
      <c r="Y96" s="5"/>
      <c r="Z96" s="5"/>
      <c r="AA96" s="5"/>
      <c r="AB96" s="5"/>
      <c r="AC96" s="5"/>
      <c r="AD96" s="5"/>
      <c r="AE96" s="5">
        <v>2</v>
      </c>
      <c r="AF96" s="5"/>
      <c r="AG96" s="5">
        <v>-2</v>
      </c>
      <c r="AH96" s="5"/>
      <c r="AI96" s="5"/>
      <c r="AJ96" s="5"/>
      <c r="AK96" s="5"/>
      <c r="AL96" s="5"/>
      <c r="AM96" s="5"/>
      <c r="AN96" s="5"/>
      <c r="AO96" s="5"/>
      <c r="AP96" s="5" t="s">
        <v>425</v>
      </c>
      <c r="AQ96" s="5"/>
      <c r="AR96" s="5" t="s">
        <v>1784</v>
      </c>
      <c r="AS96" s="5"/>
      <c r="AT96" s="5" t="s">
        <v>413</v>
      </c>
      <c r="AU96" s="5" t="s">
        <v>429</v>
      </c>
      <c r="AV96" s="5"/>
      <c r="AW96" s="7"/>
      <c r="AX96" s="5"/>
      <c r="AY96" s="5" t="s">
        <v>319</v>
      </c>
      <c r="AZ96" s="5" t="s">
        <v>415</v>
      </c>
      <c r="BA96" s="5" t="s">
        <v>59</v>
      </c>
      <c r="BB96" s="5" t="s">
        <v>416</v>
      </c>
      <c r="BM96" s="5" t="s">
        <v>1609</v>
      </c>
      <c r="BN96" s="5">
        <v>104</v>
      </c>
      <c r="BO96" s="5" t="s">
        <v>1758</v>
      </c>
    </row>
    <row r="97" spans="1:67">
      <c r="A97" s="4" t="s">
        <v>462</v>
      </c>
      <c r="B97" s="5"/>
      <c r="C97" s="5" t="s">
        <v>42</v>
      </c>
      <c r="D97" s="5" t="s">
        <v>92</v>
      </c>
      <c r="E97" s="5" t="s">
        <v>423</v>
      </c>
      <c r="F97" s="5"/>
      <c r="G97" s="5">
        <v>30</v>
      </c>
      <c r="H97" s="5"/>
      <c r="I97" s="5"/>
      <c r="J97" s="5">
        <v>50</v>
      </c>
      <c r="K97" s="5" t="s">
        <v>1271</v>
      </c>
      <c r="L97" s="5"/>
      <c r="M97" s="5"/>
      <c r="N97" s="5"/>
      <c r="O97" s="5"/>
      <c r="P97" s="6" t="s">
        <v>45</v>
      </c>
      <c r="Q97" s="5"/>
      <c r="R97" s="5"/>
      <c r="S97" s="5" t="s">
        <v>77</v>
      </c>
      <c r="T97" s="5"/>
      <c r="U97" s="7"/>
      <c r="V97" s="5" t="s">
        <v>411</v>
      </c>
      <c r="W97" s="5" t="s">
        <v>45</v>
      </c>
      <c r="X97" s="5" t="s">
        <v>45</v>
      </c>
      <c r="Y97" s="5"/>
      <c r="Z97" s="5"/>
      <c r="AA97" s="5"/>
      <c r="AB97" s="5"/>
      <c r="AC97" s="5"/>
      <c r="AD97" s="5"/>
      <c r="AE97" s="5">
        <v>4</v>
      </c>
      <c r="AF97" s="5">
        <v>-2</v>
      </c>
      <c r="AG97" s="5">
        <v>2</v>
      </c>
      <c r="AH97" s="5">
        <v>2</v>
      </c>
      <c r="AI97" s="5"/>
      <c r="AJ97" s="5"/>
      <c r="AK97" s="5"/>
      <c r="AL97" s="5"/>
      <c r="AM97" s="5"/>
      <c r="AN97" s="5"/>
      <c r="AO97" s="5"/>
      <c r="AP97" s="5" t="s">
        <v>463</v>
      </c>
      <c r="AQ97" s="5"/>
      <c r="AR97" s="5" t="s">
        <v>1782</v>
      </c>
      <c r="AS97" s="5"/>
      <c r="AT97" s="5" t="s">
        <v>413</v>
      </c>
      <c r="AU97" s="5" t="s">
        <v>235</v>
      </c>
      <c r="AV97" s="5"/>
      <c r="AW97" s="7"/>
      <c r="AX97" s="5">
        <v>3</v>
      </c>
      <c r="AY97" s="5" t="s">
        <v>325</v>
      </c>
      <c r="AZ97" s="5" t="s">
        <v>464</v>
      </c>
      <c r="BA97" s="5" t="s">
        <v>465</v>
      </c>
      <c r="BB97" s="5" t="s">
        <v>466</v>
      </c>
      <c r="BM97" s="5" t="s">
        <v>1625</v>
      </c>
      <c r="BN97" s="5"/>
      <c r="BO97" s="5"/>
    </row>
    <row r="98" spans="1:67">
      <c r="A98" s="4" t="s">
        <v>467</v>
      </c>
      <c r="B98" s="5"/>
      <c r="C98" s="5" t="s">
        <v>42</v>
      </c>
      <c r="D98" s="5" t="s">
        <v>92</v>
      </c>
      <c r="E98" s="5" t="s">
        <v>423</v>
      </c>
      <c r="F98" s="5"/>
      <c r="G98" s="5">
        <v>30</v>
      </c>
      <c r="H98" s="5"/>
      <c r="I98" s="5"/>
      <c r="J98" s="5"/>
      <c r="K98" s="5"/>
      <c r="L98" s="5"/>
      <c r="M98" s="5"/>
      <c r="N98" s="5"/>
      <c r="O98" s="5"/>
      <c r="P98" s="6" t="s">
        <v>45</v>
      </c>
      <c r="Q98" s="5"/>
      <c r="R98" s="5"/>
      <c r="S98" s="5" t="s">
        <v>77</v>
      </c>
      <c r="T98" s="5"/>
      <c r="U98" s="7"/>
      <c r="V98" s="5" t="s">
        <v>411</v>
      </c>
      <c r="W98" s="5" t="s">
        <v>45</v>
      </c>
      <c r="X98" s="5" t="s">
        <v>45</v>
      </c>
      <c r="Y98" s="5"/>
      <c r="Z98" s="5"/>
      <c r="AA98" s="5"/>
      <c r="AB98" s="5"/>
      <c r="AC98" s="5"/>
      <c r="AD98" s="5">
        <v>2</v>
      </c>
      <c r="AE98" s="5">
        <v>2</v>
      </c>
      <c r="AF98" s="5">
        <v>-2</v>
      </c>
      <c r="AG98" s="5">
        <v>-2</v>
      </c>
      <c r="AH98" s="5"/>
      <c r="AI98" s="5"/>
      <c r="AJ98" s="5"/>
      <c r="AK98" s="5"/>
      <c r="AL98" s="5"/>
      <c r="AM98" s="5"/>
      <c r="AN98" s="5"/>
      <c r="AO98" s="5"/>
      <c r="AP98" s="5" t="s">
        <v>425</v>
      </c>
      <c r="AQ98" s="5"/>
      <c r="AR98" s="5" t="s">
        <v>1784</v>
      </c>
      <c r="AS98" s="5"/>
      <c r="AT98" s="5" t="s">
        <v>413</v>
      </c>
      <c r="AU98" s="5" t="s">
        <v>429</v>
      </c>
      <c r="AV98" s="5"/>
      <c r="AW98" s="7"/>
      <c r="AX98" s="5"/>
      <c r="AY98" s="5" t="s">
        <v>49</v>
      </c>
      <c r="AZ98" s="5" t="s">
        <v>415</v>
      </c>
      <c r="BA98" s="5" t="s">
        <v>59</v>
      </c>
      <c r="BB98" s="5" t="s">
        <v>416</v>
      </c>
      <c r="BM98" s="5" t="s">
        <v>1609</v>
      </c>
      <c r="BN98" s="5">
        <v>104</v>
      </c>
      <c r="BO98" s="5" t="s">
        <v>1758</v>
      </c>
    </row>
    <row r="99" spans="1:67">
      <c r="A99" s="4" t="s">
        <v>471</v>
      </c>
      <c r="B99" s="5"/>
      <c r="C99" s="5" t="s">
        <v>42</v>
      </c>
      <c r="D99" s="5" t="s">
        <v>51</v>
      </c>
      <c r="E99" s="5" t="s">
        <v>127</v>
      </c>
      <c r="F99" s="5">
        <v>9</v>
      </c>
      <c r="G99" s="5">
        <v>30</v>
      </c>
      <c r="H99" s="5"/>
      <c r="I99" s="5"/>
      <c r="J99" s="5">
        <v>50</v>
      </c>
      <c r="K99" s="5" t="s">
        <v>472</v>
      </c>
      <c r="L99" s="5"/>
      <c r="M99" s="5">
        <v>8</v>
      </c>
      <c r="N99" s="5"/>
      <c r="O99" s="5"/>
      <c r="P99" s="6" t="str">
        <f>"Greater Teleport (at will), Charm Monster (at will, DC "&amp;14+ChaMod&amp;"), Minor Image (at will, DC "&amp;12+ChaMod&amp;"), Unholy Blight (at will, DC "&amp;14+ChaMod&amp;")."</f>
        <v>Greater Teleport (at will), Charm Monster (at will, DC 13), Minor Image (at will, DC 11), Unholy Blight (at will, DC 13).</v>
      </c>
      <c r="Q99" s="5"/>
      <c r="R99" s="5"/>
      <c r="S99" s="5"/>
      <c r="T99" s="5">
        <v>60</v>
      </c>
      <c r="U99" s="7"/>
      <c r="V99" s="5" t="s">
        <v>130</v>
      </c>
      <c r="W99" s="5"/>
      <c r="X99" s="5" t="s">
        <v>131</v>
      </c>
      <c r="Y99" s="5">
        <v>20</v>
      </c>
      <c r="Z99" s="5" t="s">
        <v>178</v>
      </c>
      <c r="AA99" s="5"/>
      <c r="AB99" s="5"/>
      <c r="AC99" s="5"/>
      <c r="AD99" s="5">
        <v>10</v>
      </c>
      <c r="AE99" s="5">
        <v>10</v>
      </c>
      <c r="AF99" s="5">
        <v>10</v>
      </c>
      <c r="AG99" s="5">
        <v>4</v>
      </c>
      <c r="AH99" s="5">
        <v>8</v>
      </c>
      <c r="AI99" s="5">
        <v>10</v>
      </c>
      <c r="AJ99" s="5"/>
      <c r="AK99" s="5"/>
      <c r="AL99" s="5"/>
      <c r="AM99" s="5"/>
      <c r="AN99" s="5"/>
      <c r="AO99" s="5"/>
      <c r="AP99" s="5" t="s">
        <v>473</v>
      </c>
      <c r="AQ99" s="5"/>
      <c r="AR99" s="5"/>
      <c r="AS99" s="5" t="s">
        <v>474</v>
      </c>
      <c r="AT99" s="5" t="s">
        <v>134</v>
      </c>
      <c r="AU99" s="5"/>
      <c r="AV99" s="5">
        <v>8</v>
      </c>
      <c r="AW99" s="7"/>
      <c r="AX99" s="5">
        <v>7</v>
      </c>
      <c r="AY99" s="5"/>
      <c r="AZ99" s="5"/>
      <c r="BA99" s="5"/>
      <c r="BB99" s="5"/>
      <c r="BM99" s="5" t="s">
        <v>1609</v>
      </c>
      <c r="BN99" s="5"/>
      <c r="BO99" s="5"/>
    </row>
    <row r="100" spans="1:67">
      <c r="A100" s="4" t="s">
        <v>475</v>
      </c>
      <c r="B100" s="5"/>
      <c r="C100" s="5" t="s">
        <v>42</v>
      </c>
      <c r="D100" s="5" t="s">
        <v>240</v>
      </c>
      <c r="E100" s="5" t="s">
        <v>136</v>
      </c>
      <c r="F100" s="5">
        <v>16</v>
      </c>
      <c r="G100" s="5">
        <v>30</v>
      </c>
      <c r="H100" s="5"/>
      <c r="I100" s="5"/>
      <c r="J100" s="5"/>
      <c r="K100" s="5"/>
      <c r="L100" s="5"/>
      <c r="M100" s="5">
        <v>15</v>
      </c>
      <c r="N100" s="5"/>
      <c r="O100" s="5"/>
      <c r="P100" s="6" t="s">
        <v>45</v>
      </c>
      <c r="Q100" s="5"/>
      <c r="R100" s="5"/>
      <c r="S100" s="5"/>
      <c r="T100" s="5">
        <v>60</v>
      </c>
      <c r="U100" s="7"/>
      <c r="V100" s="5"/>
      <c r="W100" s="5" t="s">
        <v>45</v>
      </c>
      <c r="X100" s="5" t="s">
        <v>45</v>
      </c>
      <c r="Y100" s="5"/>
      <c r="Z100" s="5"/>
      <c r="AA100" s="5"/>
      <c r="AB100" s="5"/>
      <c r="AC100" s="5"/>
      <c r="AD100" s="5">
        <v>2</v>
      </c>
      <c r="AE100" s="5">
        <v>8</v>
      </c>
      <c r="AF100" s="5">
        <v>4</v>
      </c>
      <c r="AG100" s="5">
        <v>20</v>
      </c>
      <c r="AH100" s="5">
        <v>4</v>
      </c>
      <c r="AI100" s="5">
        <v>4</v>
      </c>
      <c r="AJ100" s="5"/>
      <c r="AK100" s="5"/>
      <c r="AL100" s="5"/>
      <c r="AM100" s="5"/>
      <c r="AN100" s="5"/>
      <c r="AO100" s="5"/>
      <c r="AP100" s="5" t="s">
        <v>476</v>
      </c>
      <c r="AQ100" s="5"/>
      <c r="AR100" s="5" t="s">
        <v>1788</v>
      </c>
      <c r="AS100" s="5"/>
      <c r="AT100" s="5" t="s">
        <v>477</v>
      </c>
      <c r="AU100" s="5" t="s">
        <v>478</v>
      </c>
      <c r="AV100" s="5">
        <v>17</v>
      </c>
      <c r="AW100" s="7"/>
      <c r="AX100" s="5">
        <v>4</v>
      </c>
      <c r="AY100" s="5" t="s">
        <v>258</v>
      </c>
      <c r="AZ100" s="5" t="s">
        <v>45</v>
      </c>
      <c r="BA100" s="5" t="s">
        <v>45</v>
      </c>
      <c r="BB100" s="5" t="s">
        <v>45</v>
      </c>
      <c r="BM100" s="5" t="s">
        <v>1688</v>
      </c>
      <c r="BN100" s="5">
        <v>65</v>
      </c>
      <c r="BO100" s="5"/>
    </row>
    <row r="101" spans="1:67">
      <c r="A101" s="4" t="s">
        <v>479</v>
      </c>
      <c r="B101" s="5"/>
      <c r="C101" s="5" t="s">
        <v>42</v>
      </c>
      <c r="D101" s="5" t="s">
        <v>240</v>
      </c>
      <c r="E101" s="5" t="s">
        <v>136</v>
      </c>
      <c r="F101" s="5">
        <v>5</v>
      </c>
      <c r="G101" s="5">
        <v>30</v>
      </c>
      <c r="H101" s="5"/>
      <c r="I101" s="5"/>
      <c r="J101" s="5"/>
      <c r="K101" s="5"/>
      <c r="L101" s="5"/>
      <c r="M101" s="5">
        <v>4</v>
      </c>
      <c r="N101" s="5"/>
      <c r="O101" s="5"/>
      <c r="P101" s="6" t="s">
        <v>45</v>
      </c>
      <c r="Q101" s="5"/>
      <c r="R101" s="5"/>
      <c r="S101" s="5"/>
      <c r="T101" s="5">
        <v>60</v>
      </c>
      <c r="U101" s="7"/>
      <c r="V101" s="5"/>
      <c r="W101" s="5" t="s">
        <v>45</v>
      </c>
      <c r="X101" s="5" t="s">
        <v>45</v>
      </c>
      <c r="Y101" s="5"/>
      <c r="Z101" s="5"/>
      <c r="AA101" s="5"/>
      <c r="AB101" s="5"/>
      <c r="AC101" s="5"/>
      <c r="AD101" s="5">
        <v>4</v>
      </c>
      <c r="AE101" s="5">
        <v>4</v>
      </c>
      <c r="AF101" s="5">
        <v>2</v>
      </c>
      <c r="AG101" s="5">
        <v>12</v>
      </c>
      <c r="AH101" s="5">
        <v>4</v>
      </c>
      <c r="AI101" s="5">
        <v>2</v>
      </c>
      <c r="AJ101" s="5"/>
      <c r="AK101" s="5"/>
      <c r="AL101" s="5"/>
      <c r="AM101" s="5"/>
      <c r="AN101" s="5"/>
      <c r="AO101" s="5"/>
      <c r="AP101" s="5" t="s">
        <v>480</v>
      </c>
      <c r="AQ101" s="5"/>
      <c r="AR101" s="5" t="s">
        <v>1788</v>
      </c>
      <c r="AS101" s="5"/>
      <c r="AT101" s="5" t="s">
        <v>477</v>
      </c>
      <c r="AU101" s="5" t="s">
        <v>478</v>
      </c>
      <c r="AV101" s="5">
        <v>9</v>
      </c>
      <c r="AW101" s="7"/>
      <c r="AX101" s="5">
        <v>7</v>
      </c>
      <c r="AY101" s="5" t="s">
        <v>258</v>
      </c>
      <c r="AZ101" s="5" t="s">
        <v>45</v>
      </c>
      <c r="BA101" s="5" t="s">
        <v>45</v>
      </c>
      <c r="BB101" s="5" t="s">
        <v>45</v>
      </c>
      <c r="BM101" s="5" t="s">
        <v>1688</v>
      </c>
      <c r="BN101" s="5">
        <v>66</v>
      </c>
      <c r="BO101" s="5"/>
    </row>
    <row r="102" spans="1:67">
      <c r="A102" s="4" t="s">
        <v>481</v>
      </c>
      <c r="B102" s="5"/>
      <c r="C102" s="5" t="s">
        <v>42</v>
      </c>
      <c r="D102" s="5" t="s">
        <v>240</v>
      </c>
      <c r="E102" s="5" t="s">
        <v>136</v>
      </c>
      <c r="F102" s="5">
        <v>11</v>
      </c>
      <c r="G102" s="5">
        <v>30</v>
      </c>
      <c r="H102" s="5"/>
      <c r="I102" s="5"/>
      <c r="J102" s="5"/>
      <c r="K102" s="5"/>
      <c r="L102" s="5"/>
      <c r="M102" s="5">
        <v>10</v>
      </c>
      <c r="N102" s="5"/>
      <c r="O102" s="5"/>
      <c r="P102" s="6" t="s">
        <v>45</v>
      </c>
      <c r="Q102" s="5"/>
      <c r="R102" s="5"/>
      <c r="S102" s="5"/>
      <c r="T102" s="5">
        <v>60</v>
      </c>
      <c r="U102" s="7"/>
      <c r="V102" s="5"/>
      <c r="W102" s="5" t="s">
        <v>45</v>
      </c>
      <c r="X102" s="5" t="s">
        <v>45</v>
      </c>
      <c r="Y102" s="5"/>
      <c r="Z102" s="5"/>
      <c r="AA102" s="5"/>
      <c r="AB102" s="5"/>
      <c r="AC102" s="5"/>
      <c r="AD102" s="5">
        <v>2</v>
      </c>
      <c r="AE102" s="5">
        <v>6</v>
      </c>
      <c r="AF102" s="5">
        <v>4</v>
      </c>
      <c r="AG102" s="5">
        <v>16</v>
      </c>
      <c r="AH102" s="5">
        <v>4</v>
      </c>
      <c r="AI102" s="5">
        <v>2</v>
      </c>
      <c r="AJ102" s="5"/>
      <c r="AK102" s="5"/>
      <c r="AL102" s="5"/>
      <c r="AM102" s="5"/>
      <c r="AN102" s="5"/>
      <c r="AO102" s="5"/>
      <c r="AP102" s="5" t="s">
        <v>482</v>
      </c>
      <c r="AQ102" s="5"/>
      <c r="AR102" s="5" t="s">
        <v>1788</v>
      </c>
      <c r="AS102" s="5"/>
      <c r="AT102" s="5" t="s">
        <v>477</v>
      </c>
      <c r="AU102" s="5" t="s">
        <v>478</v>
      </c>
      <c r="AV102" s="5">
        <v>13</v>
      </c>
      <c r="AW102" s="7"/>
      <c r="AX102" s="5">
        <v>5</v>
      </c>
      <c r="AY102" s="5" t="s">
        <v>258</v>
      </c>
      <c r="AZ102" s="5" t="s">
        <v>45</v>
      </c>
      <c r="BA102" s="5" t="s">
        <v>45</v>
      </c>
      <c r="BB102" s="5" t="s">
        <v>45</v>
      </c>
      <c r="BM102" s="5" t="s">
        <v>1688</v>
      </c>
      <c r="BN102" s="5">
        <v>67</v>
      </c>
      <c r="BO102" s="5"/>
    </row>
    <row r="103" spans="1:67">
      <c r="A103" s="4" t="s">
        <v>483</v>
      </c>
      <c r="B103" s="5"/>
      <c r="C103" s="5" t="s">
        <v>62</v>
      </c>
      <c r="D103" s="5" t="s">
        <v>173</v>
      </c>
      <c r="E103" s="5"/>
      <c r="F103" s="5">
        <v>10</v>
      </c>
      <c r="G103" s="5">
        <v>40</v>
      </c>
      <c r="H103" s="5"/>
      <c r="I103" s="5"/>
      <c r="J103" s="5"/>
      <c r="K103" s="5"/>
      <c r="L103" s="5"/>
      <c r="M103" s="5"/>
      <c r="N103" s="5"/>
      <c r="O103" s="5"/>
      <c r="P103" s="6" t="s">
        <v>45</v>
      </c>
      <c r="Q103" s="5"/>
      <c r="R103" s="5"/>
      <c r="S103" s="5"/>
      <c r="T103" s="5"/>
      <c r="U103" s="7"/>
      <c r="V103" s="5"/>
      <c r="W103" s="5" t="s">
        <v>45</v>
      </c>
      <c r="X103" s="5" t="s">
        <v>45</v>
      </c>
      <c r="Y103" s="5"/>
      <c r="Z103" s="5"/>
      <c r="AA103" s="5"/>
      <c r="AB103" s="5"/>
      <c r="AC103" s="5"/>
      <c r="AD103" s="5">
        <v>12</v>
      </c>
      <c r="AE103" s="5">
        <v>-2</v>
      </c>
      <c r="AF103" s="5">
        <v>4</v>
      </c>
      <c r="AG103" s="5">
        <v>-4</v>
      </c>
      <c r="AH103" s="5">
        <v>-2</v>
      </c>
      <c r="AI103" s="5"/>
      <c r="AJ103" s="5"/>
      <c r="AK103" s="5"/>
      <c r="AL103" s="5"/>
      <c r="AM103" s="5"/>
      <c r="AN103" s="5"/>
      <c r="AO103" s="5"/>
      <c r="AP103" s="5" t="s">
        <v>425</v>
      </c>
      <c r="AQ103" s="5"/>
      <c r="AR103" s="5"/>
      <c r="AS103" s="5"/>
      <c r="AT103" s="5" t="s">
        <v>173</v>
      </c>
      <c r="AU103" s="5" t="s">
        <v>484</v>
      </c>
      <c r="AV103" s="5">
        <v>6</v>
      </c>
      <c r="AW103" s="7"/>
      <c r="AX103" s="5">
        <v>5</v>
      </c>
      <c r="AY103" s="5" t="s">
        <v>125</v>
      </c>
      <c r="AZ103" s="5" t="s">
        <v>45</v>
      </c>
      <c r="BA103" s="5" t="s">
        <v>45</v>
      </c>
      <c r="BB103" s="5" t="s">
        <v>45</v>
      </c>
      <c r="BM103" s="5" t="s">
        <v>1609</v>
      </c>
      <c r="BN103" s="5">
        <v>106</v>
      </c>
      <c r="BO103" s="5"/>
    </row>
    <row r="104" spans="1:67">
      <c r="A104" s="4" t="s">
        <v>485</v>
      </c>
      <c r="B104" s="5"/>
      <c r="C104" s="5" t="s">
        <v>42</v>
      </c>
      <c r="D104" s="5" t="s">
        <v>92</v>
      </c>
      <c r="E104" s="5"/>
      <c r="F104" s="5"/>
      <c r="G104" s="5">
        <v>30</v>
      </c>
      <c r="H104" s="5"/>
      <c r="I104" s="5"/>
      <c r="J104" s="5"/>
      <c r="K104" s="5"/>
      <c r="L104" s="5"/>
      <c r="M104" s="5"/>
      <c r="N104" s="5"/>
      <c r="O104" s="5"/>
      <c r="P104" s="6" t="s">
        <v>486</v>
      </c>
      <c r="Q104" s="5"/>
      <c r="R104" s="5"/>
      <c r="S104" s="5"/>
      <c r="T104" s="5"/>
      <c r="U104" s="7"/>
      <c r="V104" s="5"/>
      <c r="W104" s="5" t="s">
        <v>45</v>
      </c>
      <c r="X104" s="5" t="s">
        <v>45</v>
      </c>
      <c r="Y104" s="5"/>
      <c r="Z104" s="5"/>
      <c r="AA104" s="5"/>
      <c r="AB104" s="5"/>
      <c r="AC104" s="5"/>
      <c r="AD104" s="5">
        <v>-2</v>
      </c>
      <c r="AE104" s="5">
        <v>2</v>
      </c>
      <c r="AF104" s="5"/>
      <c r="AG104" s="5"/>
      <c r="AH104" s="5"/>
      <c r="AI104" s="5"/>
      <c r="AJ104" s="5"/>
      <c r="AK104" s="5"/>
      <c r="AL104" s="5"/>
      <c r="AM104" s="5"/>
      <c r="AN104" s="5"/>
      <c r="AO104" s="5"/>
      <c r="AP104" s="5" t="s">
        <v>487</v>
      </c>
      <c r="AQ104" s="5"/>
      <c r="AR104" s="5"/>
      <c r="AS104" s="5"/>
      <c r="AT104" s="5" t="s">
        <v>488</v>
      </c>
      <c r="AU104" s="5" t="s">
        <v>489</v>
      </c>
      <c r="AV104" s="5"/>
      <c r="AW104" s="7"/>
      <c r="AX104" s="5"/>
      <c r="AY104" s="5" t="s">
        <v>95</v>
      </c>
      <c r="AZ104" s="5" t="s">
        <v>45</v>
      </c>
      <c r="BA104" s="5" t="s">
        <v>45</v>
      </c>
      <c r="BB104" s="5" t="s">
        <v>45</v>
      </c>
      <c r="BM104" s="5" t="s">
        <v>1733</v>
      </c>
      <c r="BN104" s="5"/>
      <c r="BO104" s="5"/>
    </row>
    <row r="105" spans="1:67">
      <c r="A105" s="4" t="s">
        <v>1750</v>
      </c>
      <c r="B105" s="5"/>
      <c r="C105" s="5" t="s">
        <v>42</v>
      </c>
      <c r="D105" s="5" t="s">
        <v>51</v>
      </c>
      <c r="E105" s="5" t="s">
        <v>175</v>
      </c>
      <c r="F105" s="5">
        <v>9</v>
      </c>
      <c r="G105" s="5">
        <v>30</v>
      </c>
      <c r="H105" s="5"/>
      <c r="I105" s="5"/>
      <c r="J105" s="5"/>
      <c r="K105" s="5"/>
      <c r="L105" s="5"/>
      <c r="M105" s="5">
        <v>7</v>
      </c>
      <c r="N105" s="5"/>
      <c r="O105" s="5"/>
      <c r="P105" s="6" t="str">
        <f>"Disguise Self, Greater Teleport (at will), Mirror Image (1/day), Dispel Magic (DC "&amp;13+ChaMod&amp;"), Vampiric Touch (3/day)."</f>
        <v>Disguise Self, Greater Teleport (at will), Mirror Image (1/day), Dispel Magic (DC 12), Vampiric Touch (3/day).</v>
      </c>
      <c r="Q105" s="5"/>
      <c r="R105" s="5"/>
      <c r="S105" s="5"/>
      <c r="T105" s="5"/>
      <c r="U105" s="7"/>
      <c r="V105" s="5" t="s">
        <v>130</v>
      </c>
      <c r="W105" s="5"/>
      <c r="X105" s="5" t="s">
        <v>131</v>
      </c>
      <c r="Y105" s="5">
        <v>17</v>
      </c>
      <c r="Z105" s="5" t="s">
        <v>490</v>
      </c>
      <c r="AA105" s="5"/>
      <c r="AB105" s="5"/>
      <c r="AC105" s="5"/>
      <c r="AD105" s="5">
        <v>4</v>
      </c>
      <c r="AE105" s="5">
        <v>10</v>
      </c>
      <c r="AF105" s="5">
        <v>6</v>
      </c>
      <c r="AG105" s="5">
        <v>4</v>
      </c>
      <c r="AH105" s="5">
        <v>4</v>
      </c>
      <c r="AI105" s="5">
        <v>12</v>
      </c>
      <c r="AJ105" s="5"/>
      <c r="AK105" s="5"/>
      <c r="AL105" s="5"/>
      <c r="AM105" s="5"/>
      <c r="AN105" s="5"/>
      <c r="AO105" s="5"/>
      <c r="AP105" s="5" t="s">
        <v>491</v>
      </c>
      <c r="AQ105" s="5"/>
      <c r="AR105" s="5"/>
      <c r="AS105" s="5"/>
      <c r="AT105" s="5" t="s">
        <v>492</v>
      </c>
      <c r="AU105" s="5"/>
      <c r="AV105" s="5">
        <v>7</v>
      </c>
      <c r="AW105" s="7"/>
      <c r="AX105" s="5">
        <v>4</v>
      </c>
      <c r="AY105" s="5" t="s">
        <v>95</v>
      </c>
      <c r="AZ105" s="5"/>
      <c r="BA105" s="5"/>
      <c r="BB105" s="5"/>
      <c r="BM105" s="5" t="s">
        <v>1725</v>
      </c>
      <c r="BN105" s="5">
        <v>117</v>
      </c>
      <c r="BO105" s="5"/>
    </row>
    <row r="106" spans="1:67">
      <c r="A106" s="4" t="s">
        <v>493</v>
      </c>
      <c r="B106" s="5"/>
      <c r="C106" s="5" t="s">
        <v>62</v>
      </c>
      <c r="D106" s="5" t="s">
        <v>173</v>
      </c>
      <c r="E106" s="5" t="s">
        <v>136</v>
      </c>
      <c r="F106" s="5">
        <v>4</v>
      </c>
      <c r="G106" s="5">
        <v>40</v>
      </c>
      <c r="H106" s="5"/>
      <c r="I106" s="5"/>
      <c r="J106" s="5"/>
      <c r="K106" s="5"/>
      <c r="L106" s="5"/>
      <c r="M106" s="5">
        <v>6</v>
      </c>
      <c r="N106" s="5"/>
      <c r="O106" s="5"/>
      <c r="P106" s="6" t="s">
        <v>494</v>
      </c>
      <c r="Q106" s="5"/>
      <c r="R106" s="5"/>
      <c r="S106" s="5" t="s">
        <v>77</v>
      </c>
      <c r="T106" s="5">
        <v>60</v>
      </c>
      <c r="U106" s="7"/>
      <c r="V106" s="5"/>
      <c r="W106" s="5" t="s">
        <v>45</v>
      </c>
      <c r="X106" s="5" t="s">
        <v>45</v>
      </c>
      <c r="Y106" s="5"/>
      <c r="Z106" s="5"/>
      <c r="AA106" s="5"/>
      <c r="AB106" s="5"/>
      <c r="AC106" s="5"/>
      <c r="AD106" s="5">
        <v>10</v>
      </c>
      <c r="AE106" s="5">
        <v>2</v>
      </c>
      <c r="AF106" s="5">
        <v>4</v>
      </c>
      <c r="AG106" s="5">
        <v>2</v>
      </c>
      <c r="AH106" s="5">
        <v>2</v>
      </c>
      <c r="AI106" s="5">
        <v>-4</v>
      </c>
      <c r="AJ106" s="5"/>
      <c r="AK106" s="5"/>
      <c r="AL106" s="5"/>
      <c r="AM106" s="5"/>
      <c r="AN106" s="5"/>
      <c r="AO106" s="5"/>
      <c r="AP106" s="5" t="s">
        <v>495</v>
      </c>
      <c r="AQ106" s="5"/>
      <c r="AR106" s="5"/>
      <c r="AS106" s="5" t="s">
        <v>496</v>
      </c>
      <c r="AT106" s="5" t="s">
        <v>497</v>
      </c>
      <c r="AU106" s="5"/>
      <c r="AV106" s="5">
        <v>5</v>
      </c>
      <c r="AW106" s="7"/>
      <c r="AX106" s="5">
        <v>5</v>
      </c>
      <c r="AY106" s="5" t="s">
        <v>258</v>
      </c>
      <c r="AZ106" s="5" t="s">
        <v>45</v>
      </c>
      <c r="BA106" s="5" t="s">
        <v>45</v>
      </c>
      <c r="BB106" s="5" t="s">
        <v>45</v>
      </c>
      <c r="BM106" s="5" t="s">
        <v>1688</v>
      </c>
      <c r="BN106" s="5">
        <v>68</v>
      </c>
      <c r="BO106" s="5"/>
    </row>
    <row r="107" spans="1:67">
      <c r="A107" s="4" t="s">
        <v>498</v>
      </c>
      <c r="B107" s="5"/>
      <c r="C107" s="5" t="s">
        <v>42</v>
      </c>
      <c r="D107" s="5" t="s">
        <v>43</v>
      </c>
      <c r="E107" s="5"/>
      <c r="F107" s="5">
        <f>1+1*(MCCell&gt;=3)</f>
        <v>1</v>
      </c>
      <c r="G107" s="5">
        <v>30</v>
      </c>
      <c r="H107" s="5"/>
      <c r="I107" s="5"/>
      <c r="J107" s="5"/>
      <c r="K107" s="5"/>
      <c r="L107" s="5"/>
      <c r="M107" s="5">
        <f>1*(MCCell&gt;=2)+1*(MCCell&gt;=4)</f>
        <v>0</v>
      </c>
      <c r="N107" s="5" t="str">
        <f>"2 Claws+"&amp;IF(MCCell&gt;=3,5,4)&amp;"+0+1"</f>
        <v>2 Claws+4+0+1</v>
      </c>
      <c r="O107" s="5"/>
      <c r="P107" s="6" t="s">
        <v>45</v>
      </c>
      <c r="Q107" s="5"/>
      <c r="R107" s="5"/>
      <c r="S107" s="5"/>
      <c r="T107" s="5">
        <v>60</v>
      </c>
      <c r="U107" s="7"/>
      <c r="V107" s="5"/>
      <c r="W107" s="5" t="s">
        <v>45</v>
      </c>
      <c r="X107" s="5" t="s">
        <v>499</v>
      </c>
      <c r="Y107" s="5"/>
      <c r="Z107" s="5"/>
      <c r="AA107" s="5"/>
      <c r="AB107" s="5"/>
      <c r="AC107" s="5"/>
      <c r="AD107" s="5">
        <f>2+2*(MCCell&gt;=2)</f>
        <v>2</v>
      </c>
      <c r="AE107" s="5">
        <f>2*(MCCell&gt;=4)</f>
        <v>0</v>
      </c>
      <c r="AF107" s="5">
        <f>2*(MCCell&gt;=2)+2*(MCCell&gt;=4)</f>
        <v>0</v>
      </c>
      <c r="AG107" s="5">
        <v>-2</v>
      </c>
      <c r="AH107" s="5"/>
      <c r="AI107" s="5">
        <v>-2</v>
      </c>
      <c r="AJ107" s="5"/>
      <c r="AK107" s="5"/>
      <c r="AL107" s="5"/>
      <c r="AM107" s="5"/>
      <c r="AN107" s="5"/>
      <c r="AO107" s="5"/>
      <c r="AP107" s="5" t="s">
        <v>500</v>
      </c>
      <c r="AQ107" s="5"/>
      <c r="AR107" s="5"/>
      <c r="AS107" s="5"/>
      <c r="AT107" s="5" t="s">
        <v>501</v>
      </c>
      <c r="AU107" s="5" t="s">
        <v>502</v>
      </c>
      <c r="AV107" s="5">
        <f>1+1*(MCCell&gt;=3)</f>
        <v>1</v>
      </c>
      <c r="AW107" s="7"/>
      <c r="AX107" s="5">
        <f>1*(MCCell&gt;=2)+1*(MCCell&gt;=4)</f>
        <v>0</v>
      </c>
      <c r="AY107" s="5" t="s">
        <v>125</v>
      </c>
      <c r="AZ107" s="5" t="s">
        <v>209</v>
      </c>
      <c r="BA107" s="5" t="s">
        <v>503</v>
      </c>
      <c r="BB107" s="5" t="s">
        <v>504</v>
      </c>
      <c r="BM107" s="5" t="s">
        <v>1736</v>
      </c>
      <c r="BN107" s="5"/>
      <c r="BO107" s="5"/>
    </row>
    <row r="108" spans="1:67">
      <c r="A108" s="4" t="s">
        <v>505</v>
      </c>
      <c r="B108" s="5"/>
      <c r="C108" s="5" t="s">
        <v>42</v>
      </c>
      <c r="D108" s="5" t="s">
        <v>51</v>
      </c>
      <c r="E108" s="5" t="s">
        <v>52</v>
      </c>
      <c r="F108" s="5"/>
      <c r="G108" s="5">
        <v>30</v>
      </c>
      <c r="H108" s="5"/>
      <c r="I108" s="5"/>
      <c r="J108" s="5">
        <v>40</v>
      </c>
      <c r="K108" s="5" t="s">
        <v>1463</v>
      </c>
      <c r="L108" s="5"/>
      <c r="M108" s="5"/>
      <c r="N108" s="5"/>
      <c r="O108" s="5"/>
      <c r="P108" s="6" t="s">
        <v>506</v>
      </c>
      <c r="Q108" s="5"/>
      <c r="R108" s="5"/>
      <c r="S108" s="5" t="s">
        <v>77</v>
      </c>
      <c r="T108" s="5"/>
      <c r="U108" s="7"/>
      <c r="V108" s="5" t="s">
        <v>411</v>
      </c>
      <c r="W108" s="5" t="s">
        <v>45</v>
      </c>
      <c r="X108" s="5" t="s">
        <v>45</v>
      </c>
      <c r="Y108" s="5"/>
      <c r="Z108" s="5" t="str">
        <f>IF(FeyriDR,"10/magic","")</f>
        <v/>
      </c>
      <c r="AA108" s="5"/>
      <c r="AB108" s="5"/>
      <c r="AC108" s="5"/>
      <c r="AD108" s="5"/>
      <c r="AE108" s="5">
        <v>2</v>
      </c>
      <c r="AF108" s="5">
        <v>-2</v>
      </c>
      <c r="AG108" s="5">
        <v>2</v>
      </c>
      <c r="AH108" s="5"/>
      <c r="AI108" s="5"/>
      <c r="AJ108" s="5"/>
      <c r="AK108" s="5"/>
      <c r="AL108" s="5"/>
      <c r="AM108" s="5"/>
      <c r="AN108" s="5"/>
      <c r="AO108" s="5"/>
      <c r="AP108" s="5" t="s">
        <v>507</v>
      </c>
      <c r="AQ108" s="5"/>
      <c r="AR108" s="5"/>
      <c r="AS108" s="5"/>
      <c r="AT108" s="5" t="s">
        <v>508</v>
      </c>
      <c r="AU108" s="5" t="s">
        <v>509</v>
      </c>
      <c r="AV108" s="5"/>
      <c r="AW108" s="7"/>
      <c r="AX108" s="5">
        <f>2+FeyriHasSpecialAbility</f>
        <v>2</v>
      </c>
      <c r="AY108" s="5" t="s">
        <v>319</v>
      </c>
      <c r="AZ108" s="5" t="s">
        <v>45</v>
      </c>
      <c r="BA108" s="5" t="s">
        <v>45</v>
      </c>
      <c r="BB108" s="5" t="s">
        <v>45</v>
      </c>
      <c r="BM108" s="5" t="s">
        <v>1625</v>
      </c>
      <c r="BN108" s="5"/>
      <c r="BO108" s="5" t="s">
        <v>1715</v>
      </c>
    </row>
    <row r="109" spans="1:67">
      <c r="A109" s="4" t="s">
        <v>510</v>
      </c>
      <c r="B109" s="5"/>
      <c r="C109" s="5" t="s">
        <v>42</v>
      </c>
      <c r="D109" s="5" t="s">
        <v>272</v>
      </c>
      <c r="E109" s="5"/>
      <c r="F109" s="5"/>
      <c r="G109" s="5">
        <v>30</v>
      </c>
      <c r="H109" s="5"/>
      <c r="I109" s="5"/>
      <c r="J109" s="5"/>
      <c r="K109" s="5"/>
      <c r="L109" s="5"/>
      <c r="M109" s="5"/>
      <c r="N109" s="5"/>
      <c r="O109" s="5"/>
      <c r="P109" s="6" t="s">
        <v>511</v>
      </c>
      <c r="Q109" s="5"/>
      <c r="R109" s="5"/>
      <c r="S109" s="5"/>
      <c r="T109" s="5"/>
      <c r="U109" s="7"/>
      <c r="V109" s="5" t="s">
        <v>512</v>
      </c>
      <c r="W109" s="5" t="s">
        <v>45</v>
      </c>
      <c r="X109" s="5" t="s">
        <v>45</v>
      </c>
      <c r="Y109" s="5"/>
      <c r="Z109" s="5"/>
      <c r="AA109" s="5"/>
      <c r="AB109" s="5"/>
      <c r="AC109" s="5"/>
      <c r="AD109" s="5"/>
      <c r="AE109" s="5">
        <v>2</v>
      </c>
      <c r="AF109" s="5">
        <v>-2</v>
      </c>
      <c r="AG109" s="5"/>
      <c r="AH109" s="5"/>
      <c r="AI109" s="5">
        <v>2</v>
      </c>
      <c r="AJ109" s="5"/>
      <c r="AK109" s="5"/>
      <c r="AL109" s="5"/>
      <c r="AM109" s="5"/>
      <c r="AN109" s="5"/>
      <c r="AO109" s="5"/>
      <c r="AP109" s="5" t="s">
        <v>513</v>
      </c>
      <c r="AQ109" s="5"/>
      <c r="AR109" s="5"/>
      <c r="AS109" s="5"/>
      <c r="AT109" s="5" t="s">
        <v>102</v>
      </c>
      <c r="AU109" s="5"/>
      <c r="AV109" s="5"/>
      <c r="AW109" s="7"/>
      <c r="AX109" s="5">
        <v>1</v>
      </c>
      <c r="AY109" s="5" t="s">
        <v>353</v>
      </c>
      <c r="AZ109" s="5" t="s">
        <v>45</v>
      </c>
      <c r="BA109" s="5" t="s">
        <v>45</v>
      </c>
      <c r="BB109" s="5" t="s">
        <v>45</v>
      </c>
      <c r="BM109" s="5" t="s">
        <v>1688</v>
      </c>
      <c r="BN109" s="5">
        <v>71</v>
      </c>
      <c r="BO109" s="5"/>
    </row>
    <row r="110" spans="1:67">
      <c r="A110" s="4" t="s">
        <v>514</v>
      </c>
      <c r="B110" s="5"/>
      <c r="C110" s="5" t="s">
        <v>62</v>
      </c>
      <c r="D110" s="5" t="s">
        <v>173</v>
      </c>
      <c r="E110" s="5"/>
      <c r="F110" s="5">
        <v>13</v>
      </c>
      <c r="G110" s="5">
        <v>40</v>
      </c>
      <c r="H110" s="5"/>
      <c r="I110" s="5"/>
      <c r="J110" s="5"/>
      <c r="K110" s="5"/>
      <c r="L110" s="5"/>
      <c r="M110" s="5">
        <v>12</v>
      </c>
      <c r="N110" s="5" t="s">
        <v>515</v>
      </c>
      <c r="O110" s="5"/>
      <c r="P110" s="6" t="s">
        <v>516</v>
      </c>
      <c r="Q110" s="5"/>
      <c r="R110" s="5"/>
      <c r="S110" s="5"/>
      <c r="T110" s="5"/>
      <c r="U110" s="7"/>
      <c r="V110" s="5"/>
      <c r="W110" s="5" t="s">
        <v>45</v>
      </c>
      <c r="X110" s="5" t="s">
        <v>45</v>
      </c>
      <c r="Y110" s="5"/>
      <c r="Z110" s="5"/>
      <c r="AA110" s="5"/>
      <c r="AB110" s="5"/>
      <c r="AC110" s="5"/>
      <c r="AD110" s="5">
        <v>26</v>
      </c>
      <c r="AE110" s="5">
        <v>2</v>
      </c>
      <c r="AF110" s="5">
        <v>12</v>
      </c>
      <c r="AG110" s="5">
        <v>4</v>
      </c>
      <c r="AH110" s="5">
        <v>4</v>
      </c>
      <c r="AI110" s="5">
        <v>4</v>
      </c>
      <c r="AJ110" s="5"/>
      <c r="AK110" s="5"/>
      <c r="AL110" s="5"/>
      <c r="AM110" s="5"/>
      <c r="AN110" s="5"/>
      <c r="AO110" s="5"/>
      <c r="AP110" s="5" t="s">
        <v>517</v>
      </c>
      <c r="AQ110" s="5"/>
      <c r="AR110" s="5"/>
      <c r="AS110" s="5"/>
      <c r="AT110" s="5" t="s">
        <v>173</v>
      </c>
      <c r="AU110" s="5" t="s">
        <v>102</v>
      </c>
      <c r="AV110" s="5">
        <v>12</v>
      </c>
      <c r="AW110" s="7"/>
      <c r="AX110" s="5">
        <v>5</v>
      </c>
      <c r="AY110" s="5" t="s">
        <v>72</v>
      </c>
      <c r="AZ110" s="5" t="s">
        <v>45</v>
      </c>
      <c r="BA110" s="5" t="s">
        <v>45</v>
      </c>
      <c r="BB110" s="5" t="s">
        <v>45</v>
      </c>
      <c r="BM110" s="5" t="s">
        <v>1614</v>
      </c>
      <c r="BN110" s="5">
        <v>101</v>
      </c>
      <c r="BO110" s="5"/>
    </row>
    <row r="111" spans="1:67">
      <c r="A111" s="4" t="s">
        <v>518</v>
      </c>
      <c r="B111" s="5"/>
      <c r="C111" s="5" t="s">
        <v>519</v>
      </c>
      <c r="D111" s="5" t="s">
        <v>173</v>
      </c>
      <c r="E111" s="5"/>
      <c r="F111" s="5">
        <v>15</v>
      </c>
      <c r="G111" s="5">
        <v>40</v>
      </c>
      <c r="H111" s="5"/>
      <c r="I111" s="5"/>
      <c r="J111" s="5"/>
      <c r="K111" s="5"/>
      <c r="L111" s="5"/>
      <c r="M111" s="5">
        <v>9</v>
      </c>
      <c r="N111" s="5" t="s">
        <v>520</v>
      </c>
      <c r="O111" s="5"/>
      <c r="P111" s="6" t="s">
        <v>45</v>
      </c>
      <c r="Q111" s="5"/>
      <c r="R111" s="5"/>
      <c r="S111" s="5"/>
      <c r="T111" s="5"/>
      <c r="U111" s="7"/>
      <c r="V111" s="5"/>
      <c r="W111" s="5" t="s">
        <v>45</v>
      </c>
      <c r="X111" s="5" t="s">
        <v>45</v>
      </c>
      <c r="Y111" s="5"/>
      <c r="Z111" s="5" t="s">
        <v>521</v>
      </c>
      <c r="AA111" s="5"/>
      <c r="AB111" s="5"/>
      <c r="AC111" s="5"/>
      <c r="AD111" s="5">
        <v>24</v>
      </c>
      <c r="AE111" s="5">
        <v>2</v>
      </c>
      <c r="AF111" s="5">
        <v>12</v>
      </c>
      <c r="AG111" s="5"/>
      <c r="AH111" s="5">
        <v>2</v>
      </c>
      <c r="AI111" s="5">
        <v>-2</v>
      </c>
      <c r="AJ111" s="5"/>
      <c r="AK111" s="5"/>
      <c r="AL111" s="5"/>
      <c r="AM111" s="5"/>
      <c r="AN111" s="5"/>
      <c r="AO111" s="5"/>
      <c r="AP111" s="5" t="s">
        <v>522</v>
      </c>
      <c r="AQ111" s="5"/>
      <c r="AR111" s="5"/>
      <c r="AS111" s="5"/>
      <c r="AT111" s="5" t="s">
        <v>173</v>
      </c>
      <c r="AU111" s="5" t="s">
        <v>102</v>
      </c>
      <c r="AV111" s="5">
        <v>11</v>
      </c>
      <c r="AW111" s="7"/>
      <c r="AX111" s="5">
        <v>4</v>
      </c>
      <c r="AY111" s="5" t="s">
        <v>125</v>
      </c>
      <c r="AZ111" s="5" t="s">
        <v>45</v>
      </c>
      <c r="BA111" s="5" t="s">
        <v>45</v>
      </c>
      <c r="BB111" s="5" t="s">
        <v>45</v>
      </c>
      <c r="BM111" s="5" t="s">
        <v>1614</v>
      </c>
      <c r="BN111" s="5">
        <v>105</v>
      </c>
      <c r="BO111" s="5"/>
    </row>
    <row r="112" spans="1:67">
      <c r="A112" s="4" t="s">
        <v>523</v>
      </c>
      <c r="B112" s="5"/>
      <c r="C112" s="5" t="s">
        <v>42</v>
      </c>
      <c r="D112" s="5" t="s">
        <v>43</v>
      </c>
      <c r="E112" s="5" t="s">
        <v>298</v>
      </c>
      <c r="F112" s="5">
        <v>4</v>
      </c>
      <c r="G112" s="5">
        <v>30</v>
      </c>
      <c r="H112" s="5"/>
      <c r="I112" s="5"/>
      <c r="J112" s="5"/>
      <c r="K112" s="5"/>
      <c r="L112" s="5"/>
      <c r="M112" s="5">
        <v>2</v>
      </c>
      <c r="N112" s="5"/>
      <c r="O112" s="5"/>
      <c r="P112" s="6" t="s">
        <v>45</v>
      </c>
      <c r="Q112" s="5"/>
      <c r="R112" s="5"/>
      <c r="S112" s="5"/>
      <c r="T112" s="5">
        <v>60</v>
      </c>
      <c r="U112" s="7"/>
      <c r="V112" s="5"/>
      <c r="W112" s="5" t="s">
        <v>45</v>
      </c>
      <c r="X112" s="5" t="s">
        <v>45</v>
      </c>
      <c r="Y112" s="5"/>
      <c r="Z112" s="5"/>
      <c r="AA112" s="5"/>
      <c r="AB112" s="5"/>
      <c r="AC112" s="5"/>
      <c r="AD112" s="5">
        <v>4</v>
      </c>
      <c r="AE112" s="5">
        <v>2</v>
      </c>
      <c r="AF112" s="5">
        <v>2</v>
      </c>
      <c r="AG112" s="5"/>
      <c r="AH112" s="5"/>
      <c r="AI112" s="5">
        <v>-2</v>
      </c>
      <c r="AJ112" s="5"/>
      <c r="AK112" s="5"/>
      <c r="AL112" s="5"/>
      <c r="AM112" s="5"/>
      <c r="AN112" s="5"/>
      <c r="AO112" s="5"/>
      <c r="AP112" s="5"/>
      <c r="AQ112" s="5"/>
      <c r="AR112" s="5" t="s">
        <v>1805</v>
      </c>
      <c r="AS112" s="5"/>
      <c r="AT112" s="5" t="s">
        <v>102</v>
      </c>
      <c r="AU112" s="5" t="s">
        <v>524</v>
      </c>
      <c r="AV112" s="5"/>
      <c r="AW112" s="7"/>
      <c r="AX112" s="5">
        <v>1</v>
      </c>
      <c r="AY112" s="5" t="s">
        <v>125</v>
      </c>
      <c r="AZ112" s="5" t="s">
        <v>45</v>
      </c>
      <c r="BA112" s="5" t="s">
        <v>45</v>
      </c>
      <c r="BB112" s="5" t="s">
        <v>45</v>
      </c>
      <c r="BM112" s="5" t="s">
        <v>1731</v>
      </c>
      <c r="BN112" s="5">
        <v>130</v>
      </c>
      <c r="BO112" s="5"/>
    </row>
    <row r="113" spans="1:67">
      <c r="A113" s="4" t="s">
        <v>525</v>
      </c>
      <c r="B113" s="5"/>
      <c r="C113" s="5" t="s">
        <v>42</v>
      </c>
      <c r="D113" s="5" t="s">
        <v>43</v>
      </c>
      <c r="E113" s="5" t="s">
        <v>526</v>
      </c>
      <c r="F113" s="5">
        <v>4</v>
      </c>
      <c r="G113" s="5">
        <v>40</v>
      </c>
      <c r="H113" s="5"/>
      <c r="I113" s="5"/>
      <c r="J113" s="5">
        <v>60</v>
      </c>
      <c r="K113" s="5" t="s">
        <v>1271</v>
      </c>
      <c r="L113" s="5"/>
      <c r="M113" s="5">
        <v>4</v>
      </c>
      <c r="N113" s="5" t="s">
        <v>527</v>
      </c>
      <c r="O113" s="5"/>
      <c r="P113" s="6" t="s">
        <v>45</v>
      </c>
      <c r="Q113" s="5"/>
      <c r="R113" s="5"/>
      <c r="S113" s="5"/>
      <c r="T113" s="5">
        <v>60</v>
      </c>
      <c r="U113" s="7"/>
      <c r="V113" s="5"/>
      <c r="W113" s="5" t="s">
        <v>45</v>
      </c>
      <c r="X113" s="5" t="s">
        <v>45</v>
      </c>
      <c r="Y113" s="5"/>
      <c r="Z113" s="5" t="s">
        <v>170</v>
      </c>
      <c r="AA113" s="5"/>
      <c r="AB113" s="5"/>
      <c r="AC113" s="5"/>
      <c r="AD113" s="5">
        <v>4</v>
      </c>
      <c r="AE113" s="5">
        <v>4</v>
      </c>
      <c r="AF113" s="5">
        <v>8</v>
      </c>
      <c r="AG113" s="5">
        <v>-4</v>
      </c>
      <c r="AH113" s="5"/>
      <c r="AI113" s="5">
        <v>-4</v>
      </c>
      <c r="AJ113" s="5"/>
      <c r="AK113" s="5"/>
      <c r="AL113" s="5"/>
      <c r="AM113" s="5"/>
      <c r="AN113" s="5"/>
      <c r="AO113" s="5"/>
      <c r="AP113" s="5" t="s">
        <v>528</v>
      </c>
      <c r="AQ113" s="5"/>
      <c r="AR113" s="5"/>
      <c r="AS113" s="5"/>
      <c r="AT113" s="5" t="s">
        <v>102</v>
      </c>
      <c r="AU113" s="5" t="s">
        <v>282</v>
      </c>
      <c r="AV113" s="5">
        <v>4</v>
      </c>
      <c r="AW113" s="7"/>
      <c r="AX113" s="5">
        <v>5</v>
      </c>
      <c r="AY113" s="5" t="s">
        <v>113</v>
      </c>
      <c r="AZ113" s="5" t="s">
        <v>45</v>
      </c>
      <c r="BA113" s="5" t="s">
        <v>45</v>
      </c>
      <c r="BB113" s="5" t="s">
        <v>45</v>
      </c>
      <c r="BM113" s="5" t="s">
        <v>1609</v>
      </c>
      <c r="BN113" s="5">
        <v>113</v>
      </c>
      <c r="BO113" s="5"/>
    </row>
    <row r="114" spans="1:67">
      <c r="A114" s="4" t="s">
        <v>529</v>
      </c>
      <c r="B114" s="5"/>
      <c r="C114" s="5" t="s">
        <v>42</v>
      </c>
      <c r="D114" s="5" t="s">
        <v>51</v>
      </c>
      <c r="E114" s="5" t="s">
        <v>52</v>
      </c>
      <c r="F114" s="5"/>
      <c r="G114" s="5">
        <v>30</v>
      </c>
      <c r="H114" s="5"/>
      <c r="I114" s="5"/>
      <c r="J114" s="5"/>
      <c r="K114" s="5"/>
      <c r="L114" s="5"/>
      <c r="M114" s="5"/>
      <c r="N114" s="5"/>
      <c r="O114" s="5"/>
      <c r="P114" s="6" t="s">
        <v>530</v>
      </c>
      <c r="Q114" s="5"/>
      <c r="R114" s="5"/>
      <c r="S114" s="5"/>
      <c r="T114" s="5"/>
      <c r="U114" s="7"/>
      <c r="V114" s="5"/>
      <c r="W114" s="5" t="s">
        <v>45</v>
      </c>
      <c r="X114" s="5" t="s">
        <v>45</v>
      </c>
      <c r="Y114" s="5"/>
      <c r="Z114" s="5"/>
      <c r="AA114" s="5"/>
      <c r="AB114" s="5"/>
      <c r="AC114" s="5"/>
      <c r="AD114" s="5"/>
      <c r="AE114" s="5">
        <v>2</v>
      </c>
      <c r="AF114" s="5"/>
      <c r="AG114" s="5">
        <v>2</v>
      </c>
      <c r="AH114" s="5">
        <v>-2</v>
      </c>
      <c r="AI114" s="5">
        <v>-2</v>
      </c>
      <c r="AJ114" s="5"/>
      <c r="AK114" s="5"/>
      <c r="AL114" s="5"/>
      <c r="AM114" s="5"/>
      <c r="AN114" s="5"/>
      <c r="AO114" s="5"/>
      <c r="AP114" s="5"/>
      <c r="AQ114" s="5"/>
      <c r="AR114" s="5"/>
      <c r="AS114" s="5"/>
      <c r="AT114" s="5" t="s">
        <v>102</v>
      </c>
      <c r="AU114" s="5" t="s">
        <v>104</v>
      </c>
      <c r="AV114" s="5"/>
      <c r="AW114" s="7"/>
      <c r="AX114" s="5">
        <v>1</v>
      </c>
      <c r="AY114" s="5" t="s">
        <v>113</v>
      </c>
      <c r="AZ114" s="5" t="s">
        <v>58</v>
      </c>
      <c r="BA114" s="5" t="s">
        <v>59</v>
      </c>
      <c r="BB114" s="5" t="s">
        <v>531</v>
      </c>
      <c r="BM114" s="5" t="s">
        <v>1626</v>
      </c>
      <c r="BN114" s="5"/>
      <c r="BO114" s="5" t="s">
        <v>1698</v>
      </c>
    </row>
    <row r="115" spans="1:67">
      <c r="A115" s="4" t="s">
        <v>532</v>
      </c>
      <c r="B115" s="5"/>
      <c r="C115" s="5" t="s">
        <v>42</v>
      </c>
      <c r="D115" s="5" t="s">
        <v>51</v>
      </c>
      <c r="E115" s="5" t="s">
        <v>52</v>
      </c>
      <c r="F115" s="5"/>
      <c r="G115" s="5">
        <v>30</v>
      </c>
      <c r="H115" s="5"/>
      <c r="I115" s="5"/>
      <c r="J115" s="5"/>
      <c r="K115" s="5"/>
      <c r="L115" s="5"/>
      <c r="M115" s="5"/>
      <c r="N115" s="5"/>
      <c r="O115" s="5"/>
      <c r="P115" s="6" t="s">
        <v>45</v>
      </c>
      <c r="Q115" s="5"/>
      <c r="R115" s="5"/>
      <c r="S115" s="5"/>
      <c r="T115" s="5"/>
      <c r="U115" s="7"/>
      <c r="V115" s="5"/>
      <c r="W115" s="5" t="s">
        <v>45</v>
      </c>
      <c r="X115" s="5" t="s">
        <v>45</v>
      </c>
      <c r="Y115" s="5"/>
      <c r="Z115" s="5"/>
      <c r="AA115" s="5"/>
      <c r="AB115" s="5"/>
      <c r="AC115" s="5"/>
      <c r="AD115" s="5">
        <v>2</v>
      </c>
      <c r="AE115" s="5"/>
      <c r="AF115" s="5">
        <v>2</v>
      </c>
      <c r="AG115" s="5"/>
      <c r="AH115" s="5">
        <v>-2</v>
      </c>
      <c r="AI115" s="5">
        <v>-2</v>
      </c>
      <c r="AJ115" s="5"/>
      <c r="AK115" s="5"/>
      <c r="AL115" s="5"/>
      <c r="AM115" s="5"/>
      <c r="AN115" s="5"/>
      <c r="AO115" s="5"/>
      <c r="AP115" s="5"/>
      <c r="AQ115" s="5"/>
      <c r="AR115" s="5"/>
      <c r="AS115" s="5"/>
      <c r="AT115" s="5" t="s">
        <v>102</v>
      </c>
      <c r="AU115" s="5" t="s">
        <v>104</v>
      </c>
      <c r="AV115" s="5"/>
      <c r="AW115" s="7"/>
      <c r="AX115" s="5">
        <v>1</v>
      </c>
      <c r="AY115" s="5" t="s">
        <v>113</v>
      </c>
      <c r="AZ115" s="5" t="s">
        <v>58</v>
      </c>
      <c r="BA115" s="5" t="s">
        <v>59</v>
      </c>
      <c r="BB115" s="5" t="s">
        <v>533</v>
      </c>
      <c r="BM115" s="5" t="s">
        <v>1626</v>
      </c>
      <c r="BN115" s="5"/>
      <c r="BO115" s="5" t="s">
        <v>1698</v>
      </c>
    </row>
    <row r="116" spans="1:67">
      <c r="A116" s="4" t="s">
        <v>534</v>
      </c>
      <c r="B116" s="5"/>
      <c r="C116" s="5" t="s">
        <v>42</v>
      </c>
      <c r="D116" s="5" t="s">
        <v>51</v>
      </c>
      <c r="E116" s="5" t="s">
        <v>52</v>
      </c>
      <c r="F116" s="5"/>
      <c r="G116" s="5">
        <v>30</v>
      </c>
      <c r="H116" s="5"/>
      <c r="I116" s="5"/>
      <c r="J116" s="5"/>
      <c r="K116" s="5"/>
      <c r="L116" s="5"/>
      <c r="M116" s="5"/>
      <c r="N116" s="5"/>
      <c r="O116" s="5"/>
      <c r="P116" s="6" t="s">
        <v>45</v>
      </c>
      <c r="Q116" s="5"/>
      <c r="R116" s="5"/>
      <c r="S116" s="5"/>
      <c r="T116" s="5"/>
      <c r="U116" s="7"/>
      <c r="V116" s="5"/>
      <c r="W116" s="5" t="s">
        <v>45</v>
      </c>
      <c r="X116" s="5" t="s">
        <v>45</v>
      </c>
      <c r="Y116" s="5"/>
      <c r="Z116" s="5"/>
      <c r="AA116" s="5"/>
      <c r="AB116" s="5"/>
      <c r="AC116" s="5"/>
      <c r="AD116" s="5"/>
      <c r="AE116" s="5"/>
      <c r="AF116" s="5"/>
      <c r="AG116" s="5">
        <v>2</v>
      </c>
      <c r="AH116" s="5"/>
      <c r="AI116" s="5">
        <v>-2</v>
      </c>
      <c r="AJ116" s="5"/>
      <c r="AK116" s="5"/>
      <c r="AL116" s="5"/>
      <c r="AM116" s="5"/>
      <c r="AN116" s="5"/>
      <c r="AO116" s="5"/>
      <c r="AP116" s="5"/>
      <c r="AQ116" s="5"/>
      <c r="AR116" s="5"/>
      <c r="AS116" s="5"/>
      <c r="AT116" s="5" t="s">
        <v>102</v>
      </c>
      <c r="AU116" s="5" t="s">
        <v>104</v>
      </c>
      <c r="AV116" s="5"/>
      <c r="AW116" s="7"/>
      <c r="AX116" s="5">
        <v>1</v>
      </c>
      <c r="AY116" s="5" t="s">
        <v>113</v>
      </c>
      <c r="AZ116" s="5" t="s">
        <v>58</v>
      </c>
      <c r="BA116" s="5" t="s">
        <v>535</v>
      </c>
      <c r="BB116" s="5" t="s">
        <v>60</v>
      </c>
      <c r="BM116" s="5" t="s">
        <v>1626</v>
      </c>
      <c r="BN116" s="5"/>
      <c r="BO116" s="5" t="s">
        <v>1698</v>
      </c>
    </row>
    <row r="117" spans="1:67">
      <c r="A117" s="4" t="s">
        <v>536</v>
      </c>
      <c r="B117" s="5"/>
      <c r="C117" s="5" t="s">
        <v>42</v>
      </c>
      <c r="D117" s="5" t="s">
        <v>51</v>
      </c>
      <c r="E117" s="5" t="s">
        <v>52</v>
      </c>
      <c r="F117" s="5"/>
      <c r="G117" s="5">
        <v>30</v>
      </c>
      <c r="H117" s="5"/>
      <c r="I117" s="5"/>
      <c r="J117" s="5"/>
      <c r="K117" s="5"/>
      <c r="L117" s="5">
        <v>30</v>
      </c>
      <c r="M117" s="5"/>
      <c r="N117" s="5"/>
      <c r="O117" s="5"/>
      <c r="P117" s="6" t="s">
        <v>45</v>
      </c>
      <c r="Q117" s="5"/>
      <c r="R117" s="5"/>
      <c r="S117" s="5"/>
      <c r="T117" s="5"/>
      <c r="U117" s="7"/>
      <c r="V117" s="5"/>
      <c r="W117" s="5" t="s">
        <v>45</v>
      </c>
      <c r="X117" s="5" t="s">
        <v>45</v>
      </c>
      <c r="Y117" s="5"/>
      <c r="Z117" s="5"/>
      <c r="AA117" s="5"/>
      <c r="AB117" s="5"/>
      <c r="AC117" s="5"/>
      <c r="AD117" s="5"/>
      <c r="AE117" s="5"/>
      <c r="AF117" s="5">
        <v>2</v>
      </c>
      <c r="AG117" s="5"/>
      <c r="AH117" s="5"/>
      <c r="AI117" s="5">
        <v>-2</v>
      </c>
      <c r="AJ117" s="5"/>
      <c r="AK117" s="5"/>
      <c r="AL117" s="5"/>
      <c r="AM117" s="5"/>
      <c r="AN117" s="5"/>
      <c r="AO117" s="5"/>
      <c r="AP117" s="5"/>
      <c r="AQ117" s="5"/>
      <c r="AR117" s="5"/>
      <c r="AS117" s="5"/>
      <c r="AT117" s="5" t="s">
        <v>102</v>
      </c>
      <c r="AU117" s="5" t="s">
        <v>104</v>
      </c>
      <c r="AV117" s="5"/>
      <c r="AW117" s="7"/>
      <c r="AX117" s="5">
        <v>1</v>
      </c>
      <c r="AY117" s="5" t="s">
        <v>113</v>
      </c>
      <c r="AZ117" s="5" t="s">
        <v>58</v>
      </c>
      <c r="BA117" s="5" t="s">
        <v>537</v>
      </c>
      <c r="BB117" s="5" t="s">
        <v>60</v>
      </c>
      <c r="BM117" s="5" t="s">
        <v>1626</v>
      </c>
      <c r="BN117" s="5"/>
      <c r="BO117" s="5" t="s">
        <v>1698</v>
      </c>
    </row>
    <row r="118" spans="1:67">
      <c r="A118" s="4" t="s">
        <v>538</v>
      </c>
      <c r="B118" s="5"/>
      <c r="C118" s="5" t="s">
        <v>62</v>
      </c>
      <c r="D118" s="5" t="s">
        <v>173</v>
      </c>
      <c r="E118" s="5" t="s">
        <v>273</v>
      </c>
      <c r="F118" s="5">
        <v>15</v>
      </c>
      <c r="G118" s="5">
        <v>40</v>
      </c>
      <c r="H118" s="5"/>
      <c r="I118" s="5"/>
      <c r="J118" s="5"/>
      <c r="K118" s="5"/>
      <c r="L118" s="5"/>
      <c r="M118" s="5">
        <v>8</v>
      </c>
      <c r="N118" s="5" t="s">
        <v>539</v>
      </c>
      <c r="O118" s="5"/>
      <c r="P118" s="6" t="s">
        <v>45</v>
      </c>
      <c r="Q118" s="5"/>
      <c r="R118" s="5"/>
      <c r="S118" s="5" t="s">
        <v>77</v>
      </c>
      <c r="T118" s="5"/>
      <c r="U118" s="7"/>
      <c r="V118" s="5" t="s">
        <v>108</v>
      </c>
      <c r="W118" s="5" t="s">
        <v>109</v>
      </c>
      <c r="X118" s="5" t="s">
        <v>45</v>
      </c>
      <c r="Y118" s="5"/>
      <c r="Z118" s="5"/>
      <c r="AA118" s="5"/>
      <c r="AB118" s="5"/>
      <c r="AC118" s="5"/>
      <c r="AD118" s="5">
        <v>20</v>
      </c>
      <c r="AE118" s="5">
        <v>-2</v>
      </c>
      <c r="AF118" s="5">
        <v>10</v>
      </c>
      <c r="AG118" s="5"/>
      <c r="AH118" s="5">
        <v>4</v>
      </c>
      <c r="AI118" s="5"/>
      <c r="AJ118" s="5"/>
      <c r="AK118" s="5"/>
      <c r="AL118" s="5"/>
      <c r="AM118" s="5"/>
      <c r="AN118" s="5"/>
      <c r="AO118" s="5"/>
      <c r="AP118" s="5" t="s">
        <v>540</v>
      </c>
      <c r="AQ118" s="5"/>
      <c r="AR118" s="5"/>
      <c r="AS118" s="5"/>
      <c r="AT118" s="5" t="s">
        <v>173</v>
      </c>
      <c r="AU118" s="5" t="s">
        <v>541</v>
      </c>
      <c r="AV118" s="5">
        <v>10</v>
      </c>
      <c r="AW118" s="7"/>
      <c r="AX118" s="5">
        <v>4</v>
      </c>
      <c r="AY118" s="5" t="s">
        <v>125</v>
      </c>
      <c r="AZ118" s="5" t="s">
        <v>45</v>
      </c>
      <c r="BA118" s="5" t="s">
        <v>45</v>
      </c>
      <c r="BB118" s="5" t="s">
        <v>45</v>
      </c>
      <c r="BM118" s="5" t="s">
        <v>1609</v>
      </c>
      <c r="BN118" s="5">
        <v>121</v>
      </c>
      <c r="BO118" s="5"/>
    </row>
    <row r="119" spans="1:67">
      <c r="A119" s="4" t="s">
        <v>542</v>
      </c>
      <c r="B119" s="5"/>
      <c r="C119" s="5" t="s">
        <v>519</v>
      </c>
      <c r="D119" s="5" t="s">
        <v>173</v>
      </c>
      <c r="E119" s="5"/>
      <c r="F119" s="5">
        <v>13</v>
      </c>
      <c r="G119" s="5">
        <v>40</v>
      </c>
      <c r="H119" s="5"/>
      <c r="I119" s="5"/>
      <c r="J119" s="5"/>
      <c r="K119" s="5"/>
      <c r="L119" s="5"/>
      <c r="M119" s="5">
        <v>11</v>
      </c>
      <c r="N119" s="5"/>
      <c r="O119" s="5"/>
      <c r="P119" s="6" t="s">
        <v>45</v>
      </c>
      <c r="Q119" s="5"/>
      <c r="R119" s="5"/>
      <c r="S119" s="5" t="s">
        <v>77</v>
      </c>
      <c r="T119" s="5"/>
      <c r="U119" s="7"/>
      <c r="V119" s="5"/>
      <c r="W119" s="5" t="s">
        <v>45</v>
      </c>
      <c r="X119" s="5" t="s">
        <v>45</v>
      </c>
      <c r="Y119" s="5"/>
      <c r="Z119" s="5"/>
      <c r="AA119" s="5"/>
      <c r="AB119" s="5"/>
      <c r="AC119" s="5"/>
      <c r="AD119" s="5">
        <v>22</v>
      </c>
      <c r="AE119" s="5">
        <v>2</v>
      </c>
      <c r="AF119" s="5">
        <v>12</v>
      </c>
      <c r="AG119" s="5">
        <v>4</v>
      </c>
      <c r="AH119" s="5">
        <v>6</v>
      </c>
      <c r="AI119" s="5">
        <v>10</v>
      </c>
      <c r="AJ119" s="5"/>
      <c r="AK119" s="5"/>
      <c r="AL119" s="5"/>
      <c r="AM119" s="5"/>
      <c r="AN119" s="5"/>
      <c r="AO119" s="5"/>
      <c r="AP119" s="5" t="s">
        <v>543</v>
      </c>
      <c r="AQ119" s="5"/>
      <c r="AR119" s="5"/>
      <c r="AS119" s="5"/>
      <c r="AT119" s="5" t="s">
        <v>173</v>
      </c>
      <c r="AU119" s="5" t="s">
        <v>102</v>
      </c>
      <c r="AV119" s="5">
        <v>11</v>
      </c>
      <c r="AW119" s="7"/>
      <c r="AX119" s="5">
        <v>4</v>
      </c>
      <c r="AY119" s="5" t="s">
        <v>49</v>
      </c>
      <c r="AZ119" s="5" t="s">
        <v>45</v>
      </c>
      <c r="BA119" s="5" t="s">
        <v>45</v>
      </c>
      <c r="BB119" s="5" t="s">
        <v>45</v>
      </c>
      <c r="BM119" s="5" t="s">
        <v>1614</v>
      </c>
      <c r="BN119" s="5">
        <v>110</v>
      </c>
      <c r="BO119" s="5"/>
    </row>
    <row r="120" spans="1:67">
      <c r="A120" s="4" t="s">
        <v>544</v>
      </c>
      <c r="B120" s="5"/>
      <c r="C120" s="5" t="s">
        <v>62</v>
      </c>
      <c r="D120" s="5" t="s">
        <v>173</v>
      </c>
      <c r="E120" s="5" t="s">
        <v>298</v>
      </c>
      <c r="F120" s="5">
        <v>14</v>
      </c>
      <c r="G120" s="5">
        <v>40</v>
      </c>
      <c r="H120" s="5"/>
      <c r="I120" s="5"/>
      <c r="J120" s="5"/>
      <c r="K120" s="5"/>
      <c r="L120" s="5"/>
      <c r="M120" s="5">
        <v>9</v>
      </c>
      <c r="N120" s="5" t="s">
        <v>539</v>
      </c>
      <c r="O120" s="5"/>
      <c r="P120" s="6" t="s">
        <v>45</v>
      </c>
      <c r="Q120" s="5"/>
      <c r="R120" s="5"/>
      <c r="S120" s="5" t="s">
        <v>77</v>
      </c>
      <c r="T120" s="5"/>
      <c r="U120" s="7"/>
      <c r="V120" s="5" t="s">
        <v>109</v>
      </c>
      <c r="W120" s="5" t="s">
        <v>108</v>
      </c>
      <c r="X120" s="5" t="s">
        <v>45</v>
      </c>
      <c r="Y120" s="5"/>
      <c r="Z120" s="5"/>
      <c r="AA120" s="5"/>
      <c r="AB120" s="5"/>
      <c r="AC120" s="5"/>
      <c r="AD120" s="5">
        <v>18</v>
      </c>
      <c r="AE120" s="5">
        <v>-2</v>
      </c>
      <c r="AF120" s="5">
        <v>10</v>
      </c>
      <c r="AG120" s="5"/>
      <c r="AH120" s="5">
        <v>4</v>
      </c>
      <c r="AI120" s="5"/>
      <c r="AJ120" s="5"/>
      <c r="AK120" s="5"/>
      <c r="AL120" s="5"/>
      <c r="AM120" s="5"/>
      <c r="AN120" s="5"/>
      <c r="AO120" s="5"/>
      <c r="AP120" s="5" t="s">
        <v>540</v>
      </c>
      <c r="AQ120" s="5"/>
      <c r="AR120" s="5"/>
      <c r="AS120" s="5"/>
      <c r="AT120" s="5" t="s">
        <v>173</v>
      </c>
      <c r="AU120" s="5" t="s">
        <v>541</v>
      </c>
      <c r="AV120" s="5">
        <v>9</v>
      </c>
      <c r="AW120" s="7"/>
      <c r="AX120" s="5">
        <v>4</v>
      </c>
      <c r="AY120" s="5" t="s">
        <v>125</v>
      </c>
      <c r="AZ120" s="5" t="s">
        <v>45</v>
      </c>
      <c r="BA120" s="5" t="s">
        <v>45</v>
      </c>
      <c r="BB120" s="5" t="s">
        <v>45</v>
      </c>
      <c r="BM120" s="5" t="s">
        <v>1609</v>
      </c>
      <c r="BN120" s="5">
        <v>122</v>
      </c>
      <c r="BO120" s="5" t="s">
        <v>1731</v>
      </c>
    </row>
    <row r="121" spans="1:67">
      <c r="A121" s="4" t="s">
        <v>545</v>
      </c>
      <c r="B121" s="5"/>
      <c r="C121" s="5" t="s">
        <v>62</v>
      </c>
      <c r="D121" s="5" t="s">
        <v>173</v>
      </c>
      <c r="E121" s="5"/>
      <c r="F121" s="5">
        <v>12</v>
      </c>
      <c r="G121" s="5">
        <v>40</v>
      </c>
      <c r="H121" s="5"/>
      <c r="I121" s="5"/>
      <c r="J121" s="5"/>
      <c r="K121" s="5"/>
      <c r="L121" s="5"/>
      <c r="M121" s="5">
        <v>9</v>
      </c>
      <c r="N121" s="5" t="s">
        <v>539</v>
      </c>
      <c r="O121" s="5"/>
      <c r="P121" s="6" t="s">
        <v>45</v>
      </c>
      <c r="Q121" s="5"/>
      <c r="R121" s="5"/>
      <c r="S121" s="5" t="s">
        <v>77</v>
      </c>
      <c r="T121" s="5"/>
      <c r="U121" s="7"/>
      <c r="V121" s="5"/>
      <c r="W121" s="5" t="s">
        <v>45</v>
      </c>
      <c r="X121" s="5" t="s">
        <v>45</v>
      </c>
      <c r="Y121" s="5"/>
      <c r="Z121" s="5"/>
      <c r="AA121" s="5"/>
      <c r="AB121" s="5"/>
      <c r="AC121" s="5"/>
      <c r="AD121" s="5">
        <v>14</v>
      </c>
      <c r="AE121" s="5">
        <v>-2</v>
      </c>
      <c r="AF121" s="5">
        <v>8</v>
      </c>
      <c r="AG121" s="5">
        <v>-4</v>
      </c>
      <c r="AH121" s="5"/>
      <c r="AI121" s="5">
        <v>-4</v>
      </c>
      <c r="AJ121" s="5"/>
      <c r="AK121" s="5"/>
      <c r="AL121" s="5"/>
      <c r="AM121" s="5"/>
      <c r="AN121" s="5"/>
      <c r="AO121" s="5"/>
      <c r="AP121" s="5" t="s">
        <v>546</v>
      </c>
      <c r="AQ121" s="5"/>
      <c r="AR121" s="5"/>
      <c r="AS121" s="5"/>
      <c r="AT121" s="5" t="s">
        <v>173</v>
      </c>
      <c r="AU121" s="5" t="s">
        <v>541</v>
      </c>
      <c r="AV121" s="5">
        <v>7</v>
      </c>
      <c r="AW121" s="7"/>
      <c r="AX121" s="5">
        <v>4</v>
      </c>
      <c r="AY121" s="5" t="s">
        <v>125</v>
      </c>
      <c r="AZ121" s="5" t="s">
        <v>45</v>
      </c>
      <c r="BA121" s="5" t="s">
        <v>45</v>
      </c>
      <c r="BB121" s="5" t="s">
        <v>45</v>
      </c>
      <c r="BM121" s="5" t="s">
        <v>1609</v>
      </c>
      <c r="BN121" s="5"/>
      <c r="BO121" s="5"/>
    </row>
    <row r="122" spans="1:67">
      <c r="A122" s="4" t="s">
        <v>547</v>
      </c>
      <c r="B122" s="5"/>
      <c r="C122" s="5" t="s">
        <v>62</v>
      </c>
      <c r="D122" s="5" t="s">
        <v>173</v>
      </c>
      <c r="E122" s="5"/>
      <c r="F122" s="5">
        <v>11</v>
      </c>
      <c r="G122" s="5">
        <v>40</v>
      </c>
      <c r="H122" s="5"/>
      <c r="I122" s="5"/>
      <c r="J122" s="5"/>
      <c r="K122" s="5"/>
      <c r="L122" s="5"/>
      <c r="M122" s="5">
        <v>5</v>
      </c>
      <c r="N122" s="5"/>
      <c r="O122" s="5"/>
      <c r="P122" s="6" t="s">
        <v>548</v>
      </c>
      <c r="Q122" s="5"/>
      <c r="R122" s="5"/>
      <c r="S122" s="5" t="s">
        <v>77</v>
      </c>
      <c r="T122" s="5"/>
      <c r="U122" s="7"/>
      <c r="V122" s="5"/>
      <c r="W122" s="5" t="s">
        <v>45</v>
      </c>
      <c r="X122" s="5" t="s">
        <v>45</v>
      </c>
      <c r="Y122" s="5"/>
      <c r="Z122" s="5"/>
      <c r="AA122" s="5"/>
      <c r="AB122" s="5"/>
      <c r="AC122" s="5"/>
      <c r="AD122" s="5">
        <v>10</v>
      </c>
      <c r="AE122" s="5">
        <v>18</v>
      </c>
      <c r="AF122" s="5">
        <v>3</v>
      </c>
      <c r="AG122" s="5">
        <v>2</v>
      </c>
      <c r="AH122" s="5">
        <v>2</v>
      </c>
      <c r="AI122" s="5">
        <v>-4</v>
      </c>
      <c r="AJ122" s="5"/>
      <c r="AK122" s="5"/>
      <c r="AL122" s="5"/>
      <c r="AM122" s="5"/>
      <c r="AN122" s="5"/>
      <c r="AO122" s="5"/>
      <c r="AP122" s="5" t="s">
        <v>549</v>
      </c>
      <c r="AQ122" s="5"/>
      <c r="AR122" s="5"/>
      <c r="AS122" s="5"/>
      <c r="AT122" s="5" t="s">
        <v>173</v>
      </c>
      <c r="AU122" s="5" t="s">
        <v>550</v>
      </c>
      <c r="AV122" s="5">
        <v>8</v>
      </c>
      <c r="AW122" s="7"/>
      <c r="AX122" s="5">
        <v>5</v>
      </c>
      <c r="AY122" s="5" t="s">
        <v>49</v>
      </c>
      <c r="AZ122" s="5" t="s">
        <v>45</v>
      </c>
      <c r="BA122" s="5" t="s">
        <v>45</v>
      </c>
      <c r="BB122" s="5" t="s">
        <v>45</v>
      </c>
      <c r="BM122" s="5" t="s">
        <v>1717</v>
      </c>
      <c r="BN122" s="5"/>
      <c r="BO122" s="5"/>
    </row>
    <row r="123" spans="1:67">
      <c r="A123" s="4" t="s">
        <v>551</v>
      </c>
      <c r="B123" s="5"/>
      <c r="C123" s="5" t="s">
        <v>62</v>
      </c>
      <c r="D123" s="5" t="s">
        <v>173</v>
      </c>
      <c r="E123" s="5" t="s">
        <v>552</v>
      </c>
      <c r="F123" s="5">
        <v>15</v>
      </c>
      <c r="G123" s="5">
        <v>40</v>
      </c>
      <c r="H123" s="5">
        <v>10</v>
      </c>
      <c r="I123" s="5"/>
      <c r="J123" s="5"/>
      <c r="K123" s="5"/>
      <c r="L123" s="5"/>
      <c r="M123" s="5">
        <v>11</v>
      </c>
      <c r="N123" s="5" t="s">
        <v>45</v>
      </c>
      <c r="O123" s="5"/>
      <c r="P123" s="6" t="s">
        <v>553</v>
      </c>
      <c r="Q123" s="5"/>
      <c r="R123" s="5"/>
      <c r="S123" s="5" t="s">
        <v>77</v>
      </c>
      <c r="T123" s="5"/>
      <c r="U123" s="7"/>
      <c r="V123" s="5" t="s">
        <v>108</v>
      </c>
      <c r="W123" s="5" t="s">
        <v>109</v>
      </c>
      <c r="X123" s="5" t="s">
        <v>45</v>
      </c>
      <c r="Y123" s="5"/>
      <c r="Z123" s="5"/>
      <c r="AA123" s="5"/>
      <c r="AB123" s="5"/>
      <c r="AC123" s="5"/>
      <c r="AD123" s="5">
        <v>16</v>
      </c>
      <c r="AE123" s="5">
        <v>10</v>
      </c>
      <c r="AF123" s="5">
        <v>10</v>
      </c>
      <c r="AG123" s="5"/>
      <c r="AH123" s="5">
        <v>6</v>
      </c>
      <c r="AI123" s="5">
        <v>2</v>
      </c>
      <c r="AJ123" s="5"/>
      <c r="AK123" s="5"/>
      <c r="AL123" s="5"/>
      <c r="AM123" s="5"/>
      <c r="AN123" s="5"/>
      <c r="AO123" s="5"/>
      <c r="AP123" s="5" t="s">
        <v>554</v>
      </c>
      <c r="AQ123" s="5"/>
      <c r="AR123" s="5" t="s">
        <v>1799</v>
      </c>
      <c r="AS123" s="5"/>
      <c r="AT123" s="5" t="s">
        <v>555</v>
      </c>
      <c r="AU123" s="5" t="s">
        <v>556</v>
      </c>
      <c r="AV123" s="5">
        <v>10</v>
      </c>
      <c r="AW123" s="7"/>
      <c r="AX123" s="5">
        <v>4</v>
      </c>
      <c r="AY123" s="5" t="s">
        <v>113</v>
      </c>
      <c r="AZ123" s="5" t="s">
        <v>45</v>
      </c>
      <c r="BA123" s="5" t="s">
        <v>45</v>
      </c>
      <c r="BB123" s="5" t="s">
        <v>45</v>
      </c>
      <c r="BM123" s="5" t="s">
        <v>1718</v>
      </c>
      <c r="BN123" s="5">
        <v>58</v>
      </c>
      <c r="BO123" s="5"/>
    </row>
    <row r="124" spans="1:67">
      <c r="A124" s="4" t="s">
        <v>557</v>
      </c>
      <c r="B124" s="5"/>
      <c r="C124" s="5" t="s">
        <v>62</v>
      </c>
      <c r="D124" s="5" t="s">
        <v>173</v>
      </c>
      <c r="E124" s="5" t="s">
        <v>526</v>
      </c>
      <c r="F124" s="5">
        <v>14</v>
      </c>
      <c r="G124" s="5">
        <v>40</v>
      </c>
      <c r="H124" s="5"/>
      <c r="I124" s="5"/>
      <c r="J124" s="5"/>
      <c r="K124" s="5"/>
      <c r="L124" s="5"/>
      <c r="M124" s="5">
        <v>11</v>
      </c>
      <c r="N124" s="5" t="s">
        <v>539</v>
      </c>
      <c r="O124" s="5"/>
      <c r="P124" s="6" t="s">
        <v>45</v>
      </c>
      <c r="Q124" s="5"/>
      <c r="R124" s="5"/>
      <c r="S124" s="5" t="s">
        <v>77</v>
      </c>
      <c r="T124" s="5">
        <v>60</v>
      </c>
      <c r="U124" s="7"/>
      <c r="V124" s="5"/>
      <c r="W124" s="5" t="s">
        <v>45</v>
      </c>
      <c r="X124" s="5" t="s">
        <v>45</v>
      </c>
      <c r="Y124" s="5"/>
      <c r="Z124" s="5"/>
      <c r="AA124" s="5"/>
      <c r="AB124" s="5"/>
      <c r="AC124" s="5"/>
      <c r="AD124" s="5">
        <v>16</v>
      </c>
      <c r="AE124" s="5">
        <v>4</v>
      </c>
      <c r="AF124" s="5">
        <v>8</v>
      </c>
      <c r="AG124" s="5"/>
      <c r="AH124" s="5">
        <v>2</v>
      </c>
      <c r="AI124" s="5"/>
      <c r="AJ124" s="5"/>
      <c r="AK124" s="5"/>
      <c r="AL124" s="5"/>
      <c r="AM124" s="5"/>
      <c r="AN124" s="5"/>
      <c r="AO124" s="5"/>
      <c r="AP124" s="5" t="s">
        <v>558</v>
      </c>
      <c r="AQ124" s="5"/>
      <c r="AR124" s="5"/>
      <c r="AS124" s="5"/>
      <c r="AT124" s="5" t="s">
        <v>173</v>
      </c>
      <c r="AU124" s="5" t="s">
        <v>541</v>
      </c>
      <c r="AV124" s="5">
        <v>8</v>
      </c>
      <c r="AW124" s="7"/>
      <c r="AX124" s="5">
        <v>4</v>
      </c>
      <c r="AY124" s="5" t="s">
        <v>125</v>
      </c>
      <c r="AZ124" s="5" t="s">
        <v>45</v>
      </c>
      <c r="BA124" s="5" t="s">
        <v>45</v>
      </c>
      <c r="BB124" s="5" t="s">
        <v>45</v>
      </c>
      <c r="BM124" s="5" t="s">
        <v>1609</v>
      </c>
      <c r="BN124" s="5">
        <v>124</v>
      </c>
      <c r="BO124" s="5"/>
    </row>
    <row r="125" spans="1:67">
      <c r="A125" s="4" t="s">
        <v>559</v>
      </c>
      <c r="B125" s="5"/>
      <c r="C125" s="5" t="s">
        <v>519</v>
      </c>
      <c r="D125" s="5" t="s">
        <v>173</v>
      </c>
      <c r="E125" s="5" t="s">
        <v>273</v>
      </c>
      <c r="F125" s="5">
        <v>13</v>
      </c>
      <c r="G125" s="5">
        <v>40</v>
      </c>
      <c r="H125" s="5"/>
      <c r="I125" s="5"/>
      <c r="J125" s="5"/>
      <c r="K125" s="5"/>
      <c r="L125" s="5"/>
      <c r="M125" s="5">
        <v>10</v>
      </c>
      <c r="N125" s="5"/>
      <c r="O125" s="5"/>
      <c r="P125" s="6" t="s">
        <v>560</v>
      </c>
      <c r="Q125" s="5"/>
      <c r="R125" s="5"/>
      <c r="S125" s="5" t="s">
        <v>77</v>
      </c>
      <c r="T125" s="5"/>
      <c r="U125" s="7"/>
      <c r="V125" s="5" t="s">
        <v>108</v>
      </c>
      <c r="W125" s="5" t="s">
        <v>109</v>
      </c>
      <c r="X125" s="5" t="s">
        <v>45</v>
      </c>
      <c r="Y125" s="5"/>
      <c r="Z125" s="5"/>
      <c r="AA125" s="5"/>
      <c r="AB125" s="5"/>
      <c r="AC125" s="5"/>
      <c r="AD125" s="5">
        <v>26</v>
      </c>
      <c r="AE125" s="5">
        <v>4</v>
      </c>
      <c r="AF125" s="5">
        <v>14</v>
      </c>
      <c r="AG125" s="5">
        <v>4</v>
      </c>
      <c r="AH125" s="5">
        <v>8</v>
      </c>
      <c r="AI125" s="5">
        <v>4</v>
      </c>
      <c r="AJ125" s="5"/>
      <c r="AK125" s="5"/>
      <c r="AL125" s="5"/>
      <c r="AM125" s="5"/>
      <c r="AN125" s="5"/>
      <c r="AO125" s="5"/>
      <c r="AP125" s="5" t="s">
        <v>561</v>
      </c>
      <c r="AQ125" s="5"/>
      <c r="AR125" s="5"/>
      <c r="AS125" s="5"/>
      <c r="AT125" s="5" t="s">
        <v>173</v>
      </c>
      <c r="AU125" s="5" t="s">
        <v>102</v>
      </c>
      <c r="AV125" s="5">
        <v>12</v>
      </c>
      <c r="AW125" s="7"/>
      <c r="AX125" s="5">
        <v>4</v>
      </c>
      <c r="AY125" s="5" t="s">
        <v>49</v>
      </c>
      <c r="AZ125" s="5" t="s">
        <v>45</v>
      </c>
      <c r="BA125" s="5" t="s">
        <v>45</v>
      </c>
      <c r="BB125" s="5" t="s">
        <v>45</v>
      </c>
      <c r="BM125" s="5" t="s">
        <v>1614</v>
      </c>
      <c r="BN125" s="5">
        <v>110</v>
      </c>
      <c r="BO125" s="5"/>
    </row>
    <row r="126" spans="1:67">
      <c r="A126" s="4" t="s">
        <v>562</v>
      </c>
      <c r="B126" s="5"/>
      <c r="C126" s="5" t="s">
        <v>42</v>
      </c>
      <c r="D126" s="5" t="s">
        <v>92</v>
      </c>
      <c r="E126" s="5" t="s">
        <v>136</v>
      </c>
      <c r="F126" s="5"/>
      <c r="G126" s="5">
        <v>30</v>
      </c>
      <c r="H126" s="5"/>
      <c r="I126" s="5"/>
      <c r="J126" s="5"/>
      <c r="K126" s="5"/>
      <c r="L126" s="5"/>
      <c r="M126" s="5"/>
      <c r="N126" s="5"/>
      <c r="O126" s="5"/>
      <c r="P126" s="6" t="s">
        <v>45</v>
      </c>
      <c r="Q126" s="5"/>
      <c r="R126" s="5"/>
      <c r="S126" s="5"/>
      <c r="T126" s="5">
        <v>60</v>
      </c>
      <c r="U126" s="7"/>
      <c r="V126" s="5"/>
      <c r="W126" s="5" t="s">
        <v>45</v>
      </c>
      <c r="X126" s="5" t="s">
        <v>45</v>
      </c>
      <c r="Y126" s="5"/>
      <c r="Z126" s="5"/>
      <c r="AA126" s="5"/>
      <c r="AB126" s="5"/>
      <c r="AC126" s="5"/>
      <c r="AD126" s="5"/>
      <c r="AE126" s="5">
        <v>2</v>
      </c>
      <c r="AF126" s="5">
        <v>2</v>
      </c>
      <c r="AG126" s="5"/>
      <c r="AH126" s="5">
        <v>-2</v>
      </c>
      <c r="AI126" s="5"/>
      <c r="AJ126" s="5"/>
      <c r="AK126" s="5"/>
      <c r="AL126" s="5"/>
      <c r="AM126" s="5"/>
      <c r="AN126" s="5"/>
      <c r="AO126" s="5"/>
      <c r="AP126" s="5"/>
      <c r="AQ126" s="5"/>
      <c r="AR126" s="5"/>
      <c r="AS126" s="5"/>
      <c r="AT126" s="5" t="str">
        <f>IF(HRXPH,"Common, Gith","Gith")</f>
        <v>Gith</v>
      </c>
      <c r="AU126" s="5" t="str">
        <f>IF(HRXPH,"Abyssal, Celestial, Draconic, Infernal, Undercommon","Common, Infernal, Draconic, Undercommon")</f>
        <v>Common, Infernal, Draconic, Undercommon</v>
      </c>
      <c r="AV126" s="5"/>
      <c r="AW126" s="7"/>
      <c r="AX126" s="5">
        <v>2</v>
      </c>
      <c r="AY126" s="5" t="s">
        <v>113</v>
      </c>
      <c r="AZ126" s="5" t="s">
        <v>105</v>
      </c>
      <c r="BA126" s="5" t="s">
        <v>563</v>
      </c>
      <c r="BB126" s="5" t="s">
        <v>60</v>
      </c>
      <c r="BM126" s="5" t="s">
        <v>1609</v>
      </c>
      <c r="BN126" s="5">
        <v>127</v>
      </c>
      <c r="BO126" s="5" t="s">
        <v>1759</v>
      </c>
    </row>
    <row r="127" spans="1:67">
      <c r="A127" s="4" t="s">
        <v>564</v>
      </c>
      <c r="B127" s="5"/>
      <c r="C127" s="5" t="s">
        <v>42</v>
      </c>
      <c r="D127" s="5" t="s">
        <v>92</v>
      </c>
      <c r="E127" s="5" t="s">
        <v>136</v>
      </c>
      <c r="F127" s="5"/>
      <c r="G127" s="5">
        <v>30</v>
      </c>
      <c r="H127" s="5"/>
      <c r="I127" s="5"/>
      <c r="J127" s="5"/>
      <c r="K127" s="5"/>
      <c r="L127" s="5"/>
      <c r="M127" s="5"/>
      <c r="N127" s="5"/>
      <c r="O127" s="5"/>
      <c r="P127" s="6" t="s">
        <v>45</v>
      </c>
      <c r="Q127" s="5"/>
      <c r="R127" s="5"/>
      <c r="S127" s="5"/>
      <c r="T127" s="5">
        <v>60</v>
      </c>
      <c r="U127" s="7"/>
      <c r="V127" s="5"/>
      <c r="W127" s="5" t="s">
        <v>45</v>
      </c>
      <c r="X127" s="5" t="s">
        <v>45</v>
      </c>
      <c r="Y127" s="5"/>
      <c r="Z127" s="5"/>
      <c r="AA127" s="5"/>
      <c r="AB127" s="5"/>
      <c r="AC127" s="5"/>
      <c r="AD127" s="5"/>
      <c r="AE127" s="5">
        <v>6</v>
      </c>
      <c r="AF127" s="5"/>
      <c r="AG127" s="5">
        <v>-2</v>
      </c>
      <c r="AH127" s="5">
        <v>2</v>
      </c>
      <c r="AI127" s="5"/>
      <c r="AJ127" s="5"/>
      <c r="AK127" s="5"/>
      <c r="AL127" s="5"/>
      <c r="AM127" s="5"/>
      <c r="AN127" s="5"/>
      <c r="AO127" s="5"/>
      <c r="AP127" s="5"/>
      <c r="AQ127" s="5"/>
      <c r="AR127" s="5"/>
      <c r="AS127" s="5"/>
      <c r="AT127" s="5" t="str">
        <f>IF(HRXPH,"Common, Gith","Gith")</f>
        <v>Gith</v>
      </c>
      <c r="AU127" s="5" t="str">
        <f>IF(HRXPH,"Abyssal, Celestial, Draconic, Slaad, Undercommon","Common, Slaad, Undercommon")</f>
        <v>Common, Slaad, Undercommon</v>
      </c>
      <c r="AV127" s="5"/>
      <c r="AW127" s="7"/>
      <c r="AX127" s="5">
        <v>2</v>
      </c>
      <c r="AY127" s="5" t="s">
        <v>90</v>
      </c>
      <c r="AZ127" s="5" t="s">
        <v>105</v>
      </c>
      <c r="BA127" s="5" t="s">
        <v>565</v>
      </c>
      <c r="BB127" s="5" t="s">
        <v>376</v>
      </c>
      <c r="BM127" s="5" t="s">
        <v>1609</v>
      </c>
      <c r="BN127" s="5">
        <v>129</v>
      </c>
      <c r="BO127" s="5" t="s">
        <v>1759</v>
      </c>
    </row>
    <row r="128" spans="1:67">
      <c r="A128" s="4" t="s">
        <v>566</v>
      </c>
      <c r="B128" s="5"/>
      <c r="C128" s="5" t="s">
        <v>85</v>
      </c>
      <c r="D128" s="5" t="s">
        <v>51</v>
      </c>
      <c r="E128" s="5" t="s">
        <v>52</v>
      </c>
      <c r="F128" s="5"/>
      <c r="G128" s="5">
        <v>20</v>
      </c>
      <c r="H128" s="5"/>
      <c r="I128" s="5"/>
      <c r="J128" s="5"/>
      <c r="K128" s="5"/>
      <c r="L128" s="5"/>
      <c r="M128" s="5"/>
      <c r="N128" s="5" t="s">
        <v>45</v>
      </c>
      <c r="O128" s="5"/>
      <c r="P128" s="6" t="s">
        <v>45</v>
      </c>
      <c r="Q128" s="5"/>
      <c r="R128" s="5"/>
      <c r="S128" s="5" t="s">
        <v>77</v>
      </c>
      <c r="T128" s="5"/>
      <c r="U128" s="7"/>
      <c r="V128" s="5"/>
      <c r="W128" s="5" t="s">
        <v>45</v>
      </c>
      <c r="X128" s="5" t="s">
        <v>45</v>
      </c>
      <c r="Y128" s="5"/>
      <c r="Z128" s="5"/>
      <c r="AA128" s="5"/>
      <c r="AB128" s="5"/>
      <c r="AC128" s="5"/>
      <c r="AD128" s="5">
        <v>-2</v>
      </c>
      <c r="AE128" s="5">
        <v>2</v>
      </c>
      <c r="AF128" s="5"/>
      <c r="AG128" s="5">
        <v>-2</v>
      </c>
      <c r="AH128" s="5">
        <v>-2</v>
      </c>
      <c r="AI128" s="5">
        <v>2</v>
      </c>
      <c r="AJ128" s="5"/>
      <c r="AK128" s="5"/>
      <c r="AL128" s="5"/>
      <c r="AM128" s="5"/>
      <c r="AN128" s="5"/>
      <c r="AO128" s="5"/>
      <c r="AP128" s="5" t="s">
        <v>567</v>
      </c>
      <c r="AQ128" s="5"/>
      <c r="AR128" s="5"/>
      <c r="AS128" s="5" t="s">
        <v>568</v>
      </c>
      <c r="AT128" s="5" t="s">
        <v>124</v>
      </c>
      <c r="AU128" s="5" t="s">
        <v>569</v>
      </c>
      <c r="AV128" s="5"/>
      <c r="AW128" s="7"/>
      <c r="AX128" s="5">
        <v>2</v>
      </c>
      <c r="AY128" s="5" t="s">
        <v>319</v>
      </c>
      <c r="AZ128" s="5" t="s">
        <v>45</v>
      </c>
      <c r="BA128" s="5" t="s">
        <v>45</v>
      </c>
      <c r="BB128" s="5" t="s">
        <v>45</v>
      </c>
      <c r="BM128" s="5" t="s">
        <v>1722</v>
      </c>
      <c r="BN128" s="5"/>
      <c r="BO128" s="5"/>
    </row>
    <row r="129" spans="1:67">
      <c r="A129" s="4" t="s">
        <v>570</v>
      </c>
      <c r="B129" s="5"/>
      <c r="C129" s="5" t="s">
        <v>42</v>
      </c>
      <c r="D129" s="5" t="s">
        <v>92</v>
      </c>
      <c r="E129" s="5" t="s">
        <v>570</v>
      </c>
      <c r="F129" s="5">
        <f>1+1*(MCCell&gt;=2)</f>
        <v>1</v>
      </c>
      <c r="G129" s="5">
        <v>30</v>
      </c>
      <c r="H129" s="5"/>
      <c r="I129" s="5"/>
      <c r="J129" s="5"/>
      <c r="K129" s="5"/>
      <c r="L129" s="5"/>
      <c r="M129" s="5">
        <f>1*(MCCell&gt;=3)</f>
        <v>0</v>
      </c>
      <c r="N129" s="5"/>
      <c r="O129" s="5"/>
      <c r="P129" s="6" t="s">
        <v>45</v>
      </c>
      <c r="Q129" s="5"/>
      <c r="R129" s="5"/>
      <c r="S129" s="5"/>
      <c r="T129" s="5">
        <v>60</v>
      </c>
      <c r="U129" s="7"/>
      <c r="V129" s="5"/>
      <c r="W129" s="5" t="s">
        <v>45</v>
      </c>
      <c r="X129" s="5" t="s">
        <v>45</v>
      </c>
      <c r="Y129" s="5"/>
      <c r="Z129" s="5"/>
      <c r="AA129" s="5"/>
      <c r="AB129" s="5"/>
      <c r="AC129" s="5"/>
      <c r="AD129" s="5">
        <f>2+2*(MCCell&gt;=3)</f>
        <v>2</v>
      </c>
      <c r="AE129" s="5"/>
      <c r="AF129" s="5">
        <f>2*(MCCell&gt;=2)</f>
        <v>0</v>
      </c>
      <c r="AG129" s="5">
        <v>-2</v>
      </c>
      <c r="AH129" s="5"/>
      <c r="AI129" s="5">
        <v>-2</v>
      </c>
      <c r="AJ129" s="5"/>
      <c r="AK129" s="5"/>
      <c r="AL129" s="5"/>
      <c r="AM129" s="5"/>
      <c r="AN129" s="5"/>
      <c r="AO129" s="5"/>
      <c r="AP129" s="5" t="s">
        <v>571</v>
      </c>
      <c r="AQ129" s="5"/>
      <c r="AR129" s="5"/>
      <c r="AS129" s="5"/>
      <c r="AT129" s="5" t="s">
        <v>570</v>
      </c>
      <c r="AU129" s="5" t="s">
        <v>541</v>
      </c>
      <c r="AV129" s="5"/>
      <c r="AW129" s="7"/>
      <c r="AX129" s="5">
        <f>1*(MCCell&gt;=3)</f>
        <v>0</v>
      </c>
      <c r="AY129" s="5" t="s">
        <v>49</v>
      </c>
      <c r="AZ129" s="5" t="s">
        <v>209</v>
      </c>
      <c r="BA129" s="5" t="s">
        <v>572</v>
      </c>
      <c r="BB129" s="5" t="s">
        <v>573</v>
      </c>
      <c r="BM129" s="5" t="s">
        <v>1609</v>
      </c>
      <c r="BN129" s="5">
        <v>130</v>
      </c>
      <c r="BO129" s="5" t="s">
        <v>1683</v>
      </c>
    </row>
    <row r="130" spans="1:67">
      <c r="A130" s="4" t="s">
        <v>574</v>
      </c>
      <c r="B130" s="5"/>
      <c r="C130" s="5" t="s">
        <v>42</v>
      </c>
      <c r="D130" s="5" t="s">
        <v>92</v>
      </c>
      <c r="E130" s="5" t="s">
        <v>570</v>
      </c>
      <c r="F130" s="5">
        <v>2</v>
      </c>
      <c r="G130" s="5">
        <v>30</v>
      </c>
      <c r="H130" s="5"/>
      <c r="I130" s="5"/>
      <c r="J130" s="5"/>
      <c r="K130" s="5"/>
      <c r="L130" s="5"/>
      <c r="M130" s="5">
        <v>2</v>
      </c>
      <c r="N130" s="5"/>
      <c r="O130" s="5"/>
      <c r="P130" s="6" t="s">
        <v>45</v>
      </c>
      <c r="Q130" s="5"/>
      <c r="R130" s="5"/>
      <c r="S130" s="5"/>
      <c r="T130" s="5">
        <v>60</v>
      </c>
      <c r="U130" s="7"/>
      <c r="V130" s="5"/>
      <c r="W130" s="5" t="s">
        <v>45</v>
      </c>
      <c r="X130" s="5" t="s">
        <v>45</v>
      </c>
      <c r="Y130" s="5"/>
      <c r="Z130" s="5"/>
      <c r="AA130" s="5"/>
      <c r="AB130" s="5"/>
      <c r="AC130" s="5"/>
      <c r="AD130" s="5">
        <v>6</v>
      </c>
      <c r="AE130" s="5">
        <v>2</v>
      </c>
      <c r="AF130" s="5">
        <v>4</v>
      </c>
      <c r="AG130" s="5"/>
      <c r="AH130" s="5"/>
      <c r="AI130" s="5"/>
      <c r="AJ130" s="5"/>
      <c r="AK130" s="5"/>
      <c r="AL130" s="5"/>
      <c r="AM130" s="5"/>
      <c r="AN130" s="5"/>
      <c r="AO130" s="5"/>
      <c r="AP130" s="5" t="s">
        <v>571</v>
      </c>
      <c r="AQ130" s="5"/>
      <c r="AR130" s="5" t="s">
        <v>1789</v>
      </c>
      <c r="AS130" s="5"/>
      <c r="AT130" s="5" t="s">
        <v>575</v>
      </c>
      <c r="AU130" s="5" t="s">
        <v>556</v>
      </c>
      <c r="AV130" s="5">
        <v>2</v>
      </c>
      <c r="AW130" s="7"/>
      <c r="AX130" s="5">
        <v>2</v>
      </c>
      <c r="AY130" s="5" t="s">
        <v>49</v>
      </c>
      <c r="AZ130" s="5" t="s">
        <v>45</v>
      </c>
      <c r="BA130" s="5" t="s">
        <v>45</v>
      </c>
      <c r="BB130" s="5" t="s">
        <v>45</v>
      </c>
      <c r="BM130" s="5" t="s">
        <v>1718</v>
      </c>
      <c r="BN130" s="5">
        <v>62</v>
      </c>
      <c r="BO130" s="5"/>
    </row>
    <row r="131" spans="1:67">
      <c r="A131" s="4" t="s">
        <v>576</v>
      </c>
      <c r="B131" s="5"/>
      <c r="C131" s="5" t="s">
        <v>85</v>
      </c>
      <c r="D131" s="5" t="s">
        <v>92</v>
      </c>
      <c r="E131" s="5" t="s">
        <v>468</v>
      </c>
      <c r="F131" s="5"/>
      <c r="G131" s="5">
        <v>20</v>
      </c>
      <c r="H131" s="5"/>
      <c r="I131" s="5"/>
      <c r="J131" s="5"/>
      <c r="K131" s="5"/>
      <c r="L131" s="5"/>
      <c r="M131" s="5"/>
      <c r="N131" s="5"/>
      <c r="O131" s="5"/>
      <c r="P131" s="6" t="s">
        <v>577</v>
      </c>
      <c r="Q131" s="5"/>
      <c r="R131" s="5"/>
      <c r="S131" s="5" t="s">
        <v>77</v>
      </c>
      <c r="T131" s="5"/>
      <c r="U131" s="7"/>
      <c r="V131" s="5" t="s">
        <v>578</v>
      </c>
      <c r="W131" s="5" t="s">
        <v>45</v>
      </c>
      <c r="X131" s="5" t="s">
        <v>45</v>
      </c>
      <c r="Y131" s="5"/>
      <c r="Z131" s="5"/>
      <c r="AA131" s="5"/>
      <c r="AB131" s="5"/>
      <c r="AC131" s="5"/>
      <c r="AD131" s="5">
        <v>-2</v>
      </c>
      <c r="AE131" s="5">
        <v>2</v>
      </c>
      <c r="AF131" s="5">
        <v>2</v>
      </c>
      <c r="AG131" s="5"/>
      <c r="AH131" s="5"/>
      <c r="AI131" s="5">
        <v>2</v>
      </c>
      <c r="AJ131" s="5"/>
      <c r="AK131" s="5"/>
      <c r="AL131" s="5"/>
      <c r="AM131" s="5"/>
      <c r="AN131" s="5"/>
      <c r="AO131" s="5"/>
      <c r="AP131" s="5" t="s">
        <v>184</v>
      </c>
      <c r="AQ131" s="5" t="s">
        <v>1775</v>
      </c>
      <c r="AR131" s="5"/>
      <c r="AS131" s="5"/>
      <c r="AT131" s="5" t="s">
        <v>579</v>
      </c>
      <c r="AU131" s="5" t="s">
        <v>580</v>
      </c>
      <c r="AV131" s="5"/>
      <c r="AW131" s="7"/>
      <c r="AX131" s="5">
        <v>1</v>
      </c>
      <c r="AY131" s="5" t="s">
        <v>319</v>
      </c>
      <c r="AZ131" s="5" t="s">
        <v>214</v>
      </c>
      <c r="BA131" s="5" t="s">
        <v>404</v>
      </c>
      <c r="BB131" s="5" t="s">
        <v>581</v>
      </c>
      <c r="BM131" s="5" t="s">
        <v>1736</v>
      </c>
      <c r="BN131" s="5">
        <v>86</v>
      </c>
      <c r="BO131" s="5"/>
    </row>
    <row r="132" spans="1:67">
      <c r="A132" s="4" t="s">
        <v>582</v>
      </c>
      <c r="B132" s="5"/>
      <c r="C132" s="5" t="s">
        <v>85</v>
      </c>
      <c r="D132" s="5" t="s">
        <v>92</v>
      </c>
      <c r="E132" s="5" t="s">
        <v>468</v>
      </c>
      <c r="F132" s="5"/>
      <c r="G132" s="5">
        <v>20</v>
      </c>
      <c r="H132" s="5"/>
      <c r="I132" s="5"/>
      <c r="J132" s="5"/>
      <c r="K132" s="5"/>
      <c r="L132" s="5"/>
      <c r="M132" s="5"/>
      <c r="N132" s="5"/>
      <c r="O132" s="5"/>
      <c r="P132" s="6" t="s">
        <v>583</v>
      </c>
      <c r="Q132" s="5"/>
      <c r="R132" s="5"/>
      <c r="S132" s="5"/>
      <c r="T132" s="5">
        <v>60</v>
      </c>
      <c r="U132" s="7"/>
      <c r="V132" s="5"/>
      <c r="W132" s="5" t="s">
        <v>45</v>
      </c>
      <c r="X132" s="5" t="s">
        <v>45</v>
      </c>
      <c r="Y132" s="5">
        <f>11+ClassLvl</f>
        <v>19</v>
      </c>
      <c r="Z132" s="5"/>
      <c r="AA132" s="5"/>
      <c r="AB132" s="5"/>
      <c r="AC132" s="5"/>
      <c r="AD132" s="5">
        <v>-2</v>
      </c>
      <c r="AE132" s="5">
        <v>2</v>
      </c>
      <c r="AF132" s="5"/>
      <c r="AG132" s="5"/>
      <c r="AH132" s="5">
        <v>2</v>
      </c>
      <c r="AI132" s="5">
        <v>2</v>
      </c>
      <c r="AJ132" s="5"/>
      <c r="AK132" s="5"/>
      <c r="AL132" s="5"/>
      <c r="AM132" s="5"/>
      <c r="AN132" s="5"/>
      <c r="AO132" s="5"/>
      <c r="AP132" s="5" t="s">
        <v>584</v>
      </c>
      <c r="AQ132" s="5" t="s">
        <v>1775</v>
      </c>
      <c r="AR132" s="5"/>
      <c r="AS132" s="5"/>
      <c r="AT132" s="5" t="s">
        <v>585</v>
      </c>
      <c r="AU132" s="5" t="s">
        <v>586</v>
      </c>
      <c r="AV132" s="5">
        <v>1</v>
      </c>
      <c r="AW132" s="7"/>
      <c r="AX132" s="5">
        <v>3</v>
      </c>
      <c r="AY132" s="5" t="s">
        <v>258</v>
      </c>
      <c r="AZ132" s="5" t="s">
        <v>587</v>
      </c>
      <c r="BA132" s="5" t="s">
        <v>588</v>
      </c>
      <c r="BB132" s="5" t="s">
        <v>589</v>
      </c>
      <c r="BM132" s="5" t="s">
        <v>1626</v>
      </c>
      <c r="BN132" s="5"/>
      <c r="BO132" s="5" t="s">
        <v>1698</v>
      </c>
    </row>
    <row r="133" spans="1:67">
      <c r="A133" s="4" t="s">
        <v>590</v>
      </c>
      <c r="B133" s="5"/>
      <c r="C133" s="5" t="s">
        <v>85</v>
      </c>
      <c r="D133" s="5" t="s">
        <v>92</v>
      </c>
      <c r="E133" s="5" t="s">
        <v>468</v>
      </c>
      <c r="F133" s="5"/>
      <c r="G133" s="5">
        <v>20</v>
      </c>
      <c r="H133" s="5"/>
      <c r="I133" s="5"/>
      <c r="J133" s="5"/>
      <c r="K133" s="5"/>
      <c r="L133" s="5"/>
      <c r="M133" s="5"/>
      <c r="N133" s="5"/>
      <c r="O133" s="5"/>
      <c r="P133" s="6" t="s">
        <v>591</v>
      </c>
      <c r="Q133" s="5"/>
      <c r="R133" s="5"/>
      <c r="S133" s="5" t="s">
        <v>77</v>
      </c>
      <c r="T133" s="5"/>
      <c r="U133" s="7"/>
      <c r="V133" s="5"/>
      <c r="W133" s="5" t="s">
        <v>45</v>
      </c>
      <c r="X133" s="5" t="s">
        <v>45</v>
      </c>
      <c r="Y133" s="5"/>
      <c r="Z133" s="5"/>
      <c r="AA133" s="5"/>
      <c r="AB133" s="5"/>
      <c r="AC133" s="5"/>
      <c r="AD133" s="5">
        <v>-2</v>
      </c>
      <c r="AE133" s="5"/>
      <c r="AF133" s="5">
        <v>2</v>
      </c>
      <c r="AG133" s="5"/>
      <c r="AH133" s="5"/>
      <c r="AI133" s="5"/>
      <c r="AJ133" s="5"/>
      <c r="AK133" s="5"/>
      <c r="AL133" s="5"/>
      <c r="AM133" s="5"/>
      <c r="AN133" s="5"/>
      <c r="AO133" s="5"/>
      <c r="AP133" s="5" t="s">
        <v>592</v>
      </c>
      <c r="AQ133" s="5" t="s">
        <v>1775</v>
      </c>
      <c r="AR133" s="5"/>
      <c r="AS133" s="5"/>
      <c r="AT133" s="5" t="s">
        <v>593</v>
      </c>
      <c r="AU133" s="5" t="s">
        <v>594</v>
      </c>
      <c r="AV133" s="5"/>
      <c r="AW133" s="7"/>
      <c r="AX133" s="5"/>
      <c r="AY133" s="5" t="s">
        <v>595</v>
      </c>
      <c r="AZ133" s="5" t="s">
        <v>464</v>
      </c>
      <c r="BA133" s="5" t="s">
        <v>596</v>
      </c>
      <c r="BB133" s="5" t="s">
        <v>597</v>
      </c>
      <c r="BM133" s="5" t="s">
        <v>1609</v>
      </c>
      <c r="BN133" s="5">
        <v>132</v>
      </c>
      <c r="BO133" s="5" t="s">
        <v>1625</v>
      </c>
    </row>
    <row r="134" spans="1:67">
      <c r="A134" s="4" t="s">
        <v>598</v>
      </c>
      <c r="B134" s="5"/>
      <c r="C134" s="5" t="s">
        <v>85</v>
      </c>
      <c r="D134" s="5" t="s">
        <v>92</v>
      </c>
      <c r="E134" s="5" t="s">
        <v>468</v>
      </c>
      <c r="F134" s="5"/>
      <c r="G134" s="5">
        <v>20</v>
      </c>
      <c r="H134" s="5"/>
      <c r="I134" s="5"/>
      <c r="J134" s="5"/>
      <c r="K134" s="5"/>
      <c r="L134" s="5"/>
      <c r="M134" s="5"/>
      <c r="N134" s="5"/>
      <c r="O134" s="5"/>
      <c r="P134" s="6" t="s">
        <v>599</v>
      </c>
      <c r="Q134" s="5"/>
      <c r="R134" s="5"/>
      <c r="S134" s="5" t="s">
        <v>77</v>
      </c>
      <c r="T134" s="5"/>
      <c r="U134" s="7"/>
      <c r="V134" s="5"/>
      <c r="W134" s="5" t="s">
        <v>45</v>
      </c>
      <c r="X134" s="5" t="s">
        <v>45</v>
      </c>
      <c r="Y134" s="5"/>
      <c r="Z134" s="5"/>
      <c r="AA134" s="5"/>
      <c r="AB134" s="5"/>
      <c r="AC134" s="5"/>
      <c r="AD134" s="5">
        <v>-2</v>
      </c>
      <c r="AE134" s="5"/>
      <c r="AF134" s="5">
        <v>2</v>
      </c>
      <c r="AG134" s="5"/>
      <c r="AH134" s="5"/>
      <c r="AI134" s="5"/>
      <c r="AJ134" s="5"/>
      <c r="AK134" s="5"/>
      <c r="AL134" s="5"/>
      <c r="AM134" s="5"/>
      <c r="AN134" s="5"/>
      <c r="AO134" s="5"/>
      <c r="AP134" s="5" t="s">
        <v>600</v>
      </c>
      <c r="AQ134" s="5" t="s">
        <v>1775</v>
      </c>
      <c r="AR134" s="5"/>
      <c r="AS134" s="5"/>
      <c r="AT134" s="5" t="s">
        <v>579</v>
      </c>
      <c r="AU134" s="5" t="s">
        <v>601</v>
      </c>
      <c r="AV134" s="5"/>
      <c r="AW134" s="7"/>
      <c r="AX134" s="5"/>
      <c r="AY134" s="5" t="s">
        <v>353</v>
      </c>
      <c r="AZ134" s="5" t="s">
        <v>464</v>
      </c>
      <c r="BA134" s="5" t="s">
        <v>602</v>
      </c>
      <c r="BB134" s="5" t="s">
        <v>589</v>
      </c>
      <c r="BM134" s="5" t="s">
        <v>1731</v>
      </c>
      <c r="BN134" s="5"/>
      <c r="BO134" s="5"/>
    </row>
    <row r="135" spans="1:67">
      <c r="A135" s="4" t="s">
        <v>603</v>
      </c>
      <c r="B135" s="5"/>
      <c r="C135" s="5" t="s">
        <v>85</v>
      </c>
      <c r="D135" s="5" t="s">
        <v>92</v>
      </c>
      <c r="E135" s="5" t="s">
        <v>468</v>
      </c>
      <c r="F135" s="5"/>
      <c r="G135" s="5">
        <v>20</v>
      </c>
      <c r="H135" s="5"/>
      <c r="I135" s="5"/>
      <c r="J135" s="5"/>
      <c r="K135" s="5"/>
      <c r="L135" s="5"/>
      <c r="M135" s="5"/>
      <c r="N135" s="5"/>
      <c r="O135" s="5"/>
      <c r="P135" s="6" t="str">
        <f>"Speak With Animals (burrowing)" &amp;IF(Cha&gt;10,", dancing lights, ghost sound (DC " &amp; 10+ChaMod &amp; "), prestidigitation.","")</f>
        <v>Speak With Animals (burrowing)</v>
      </c>
      <c r="Q135" s="5"/>
      <c r="R135" s="5"/>
      <c r="S135" s="5" t="s">
        <v>77</v>
      </c>
      <c r="T135" s="5"/>
      <c r="U135" s="7"/>
      <c r="V135" s="5"/>
      <c r="W135" s="5" t="s">
        <v>45</v>
      </c>
      <c r="X135" s="5" t="s">
        <v>45</v>
      </c>
      <c r="Y135" s="5"/>
      <c r="Z135" s="5"/>
      <c r="AA135" s="5"/>
      <c r="AB135" s="5"/>
      <c r="AC135" s="5"/>
      <c r="AD135" s="5">
        <v>-2</v>
      </c>
      <c r="AE135" s="5"/>
      <c r="AF135" s="5">
        <v>2</v>
      </c>
      <c r="AG135" s="5"/>
      <c r="AH135" s="5"/>
      <c r="AI135" s="5"/>
      <c r="AJ135" s="5"/>
      <c r="AK135" s="5"/>
      <c r="AL135" s="5"/>
      <c r="AM135" s="5"/>
      <c r="AN135" s="5"/>
      <c r="AO135" s="5"/>
      <c r="AP135" s="5" t="s">
        <v>600</v>
      </c>
      <c r="AQ135" s="5" t="s">
        <v>1775</v>
      </c>
      <c r="AR135" s="5"/>
      <c r="AS135" s="5"/>
      <c r="AT135" s="5" t="s">
        <v>579</v>
      </c>
      <c r="AU135" s="5" t="s">
        <v>601</v>
      </c>
      <c r="AV135" s="5"/>
      <c r="AW135" s="7"/>
      <c r="AX135" s="5"/>
      <c r="AY135" s="5" t="s">
        <v>353</v>
      </c>
      <c r="AZ135" s="5" t="s">
        <v>464</v>
      </c>
      <c r="BA135" s="5" t="s">
        <v>602</v>
      </c>
      <c r="BB135" s="5" t="s">
        <v>589</v>
      </c>
      <c r="BM135" s="5" t="s">
        <v>1749</v>
      </c>
      <c r="BN135" s="5"/>
      <c r="BO135" s="5"/>
    </row>
    <row r="136" spans="1:67">
      <c r="A136" s="4" t="s">
        <v>604</v>
      </c>
      <c r="B136" s="5"/>
      <c r="C136" s="5" t="s">
        <v>85</v>
      </c>
      <c r="D136" s="5" t="s">
        <v>92</v>
      </c>
      <c r="E136" s="5" t="s">
        <v>605</v>
      </c>
      <c r="F136" s="5"/>
      <c r="G136" s="5">
        <v>20</v>
      </c>
      <c r="H136" s="5"/>
      <c r="I136" s="5"/>
      <c r="J136" s="5"/>
      <c r="K136" s="5"/>
      <c r="L136" s="5"/>
      <c r="M136" s="5"/>
      <c r="N136" s="5"/>
      <c r="O136" s="5"/>
      <c r="P136" s="6" t="s">
        <v>591</v>
      </c>
      <c r="Q136" s="5"/>
      <c r="R136" s="5"/>
      <c r="S136" s="5" t="s">
        <v>77</v>
      </c>
      <c r="T136" s="5"/>
      <c r="U136" s="7"/>
      <c r="V136" s="5"/>
      <c r="W136" s="5" t="s">
        <v>45</v>
      </c>
      <c r="X136" s="5" t="s">
        <v>45</v>
      </c>
      <c r="Y136" s="5"/>
      <c r="Z136" s="5"/>
      <c r="AA136" s="5"/>
      <c r="AB136" s="5"/>
      <c r="AC136" s="5"/>
      <c r="AD136" s="5">
        <v>-2</v>
      </c>
      <c r="AE136" s="5"/>
      <c r="AF136" s="5">
        <v>2</v>
      </c>
      <c r="AG136" s="5"/>
      <c r="AH136" s="5"/>
      <c r="AI136" s="5"/>
      <c r="AJ136" s="5"/>
      <c r="AK136" s="5"/>
      <c r="AL136" s="5"/>
      <c r="AM136" s="5"/>
      <c r="AN136" s="5"/>
      <c r="AO136" s="5"/>
      <c r="AP136" s="5" t="s">
        <v>606</v>
      </c>
      <c r="AQ136" s="5" t="s">
        <v>1775</v>
      </c>
      <c r="AR136" s="5"/>
      <c r="AS136" s="5"/>
      <c r="AT136" s="5" t="s">
        <v>579</v>
      </c>
      <c r="AU136" s="5" t="s">
        <v>601</v>
      </c>
      <c r="AV136" s="5"/>
      <c r="AW136" s="7"/>
      <c r="AX136" s="5"/>
      <c r="AY136" s="5" t="s">
        <v>49</v>
      </c>
      <c r="AZ136" s="5" t="s">
        <v>45</v>
      </c>
      <c r="BA136" s="5" t="s">
        <v>45</v>
      </c>
      <c r="BB136" s="5" t="s">
        <v>45</v>
      </c>
      <c r="BM136" s="5" t="s">
        <v>1737</v>
      </c>
      <c r="BN136" s="5"/>
      <c r="BO136" s="5"/>
    </row>
    <row r="137" spans="1:67">
      <c r="A137" s="4" t="s">
        <v>607</v>
      </c>
      <c r="B137" s="5"/>
      <c r="C137" s="5" t="s">
        <v>85</v>
      </c>
      <c r="D137" s="5" t="s">
        <v>92</v>
      </c>
      <c r="E137" s="5" t="s">
        <v>468</v>
      </c>
      <c r="F137" s="5"/>
      <c r="G137" s="5">
        <v>20</v>
      </c>
      <c r="H137" s="5"/>
      <c r="I137" s="5"/>
      <c r="J137" s="5"/>
      <c r="K137" s="5"/>
      <c r="L137" s="5"/>
      <c r="M137" s="5"/>
      <c r="N137" s="5"/>
      <c r="O137" s="5"/>
      <c r="P137" s="6" t="s">
        <v>583</v>
      </c>
      <c r="Q137" s="5"/>
      <c r="R137" s="5"/>
      <c r="S137" s="5" t="s">
        <v>77</v>
      </c>
      <c r="T137" s="5">
        <v>120</v>
      </c>
      <c r="U137" s="7"/>
      <c r="V137" s="5"/>
      <c r="W137" s="5" t="s">
        <v>45</v>
      </c>
      <c r="X137" s="5" t="s">
        <v>45</v>
      </c>
      <c r="Y137" s="5">
        <f>11+ClassLvl</f>
        <v>19</v>
      </c>
      <c r="Z137" s="5"/>
      <c r="AA137" s="5"/>
      <c r="AB137" s="5"/>
      <c r="AC137" s="5"/>
      <c r="AD137" s="5">
        <v>-2</v>
      </c>
      <c r="AE137" s="5">
        <v>2</v>
      </c>
      <c r="AF137" s="5"/>
      <c r="AG137" s="5"/>
      <c r="AH137" s="5">
        <v>2</v>
      </c>
      <c r="AI137" s="5">
        <v>-4</v>
      </c>
      <c r="AJ137" s="5"/>
      <c r="AK137" s="5"/>
      <c r="AL137" s="5"/>
      <c r="AM137" s="5"/>
      <c r="AN137" s="5"/>
      <c r="AO137" s="5"/>
      <c r="AP137" s="5" t="s">
        <v>584</v>
      </c>
      <c r="AQ137" s="5" t="s">
        <v>1775</v>
      </c>
      <c r="AR137" s="5"/>
      <c r="AS137" s="5"/>
      <c r="AT137" s="5" t="s">
        <v>608</v>
      </c>
      <c r="AU137" s="5" t="s">
        <v>609</v>
      </c>
      <c r="AV137" s="5">
        <v>1</v>
      </c>
      <c r="AW137" s="7"/>
      <c r="AX137" s="5">
        <v>3</v>
      </c>
      <c r="AY137" s="5" t="s">
        <v>95</v>
      </c>
      <c r="AZ137" s="5" t="s">
        <v>45</v>
      </c>
      <c r="BA137" s="5" t="s">
        <v>45</v>
      </c>
      <c r="BB137" s="5" t="s">
        <v>45</v>
      </c>
      <c r="BM137" s="5" t="s">
        <v>1609</v>
      </c>
      <c r="BN137" s="5">
        <v>132</v>
      </c>
      <c r="BO137" s="5"/>
    </row>
    <row r="138" spans="1:67">
      <c r="A138" s="4" t="s">
        <v>610</v>
      </c>
      <c r="B138" s="5"/>
      <c r="C138" s="5" t="s">
        <v>85</v>
      </c>
      <c r="D138" s="5" t="s">
        <v>92</v>
      </c>
      <c r="E138" s="5" t="s">
        <v>468</v>
      </c>
      <c r="F138" s="5"/>
      <c r="G138" s="5">
        <v>20</v>
      </c>
      <c r="H138" s="5"/>
      <c r="I138" s="5"/>
      <c r="J138" s="5"/>
      <c r="K138" s="5"/>
      <c r="L138" s="5"/>
      <c r="M138" s="5"/>
      <c r="N138" s="5"/>
      <c r="O138" s="5"/>
      <c r="P138" s="6" t="s">
        <v>45</v>
      </c>
      <c r="Q138" s="5"/>
      <c r="R138" s="5"/>
      <c r="S138" s="5" t="s">
        <v>77</v>
      </c>
      <c r="T138" s="5"/>
      <c r="U138" s="7"/>
      <c r="V138" s="5"/>
      <c r="W138" s="5" t="s">
        <v>45</v>
      </c>
      <c r="X138" s="5" t="s">
        <v>45</v>
      </c>
      <c r="Y138" s="5"/>
      <c r="Z138" s="5"/>
      <c r="AA138" s="5"/>
      <c r="AB138" s="5"/>
      <c r="AC138" s="5"/>
      <c r="AD138" s="5">
        <v>-2</v>
      </c>
      <c r="AE138" s="5">
        <v>2</v>
      </c>
      <c r="AF138" s="5"/>
      <c r="AG138" s="5"/>
      <c r="AH138" s="5"/>
      <c r="AI138" s="5"/>
      <c r="AJ138" s="5"/>
      <c r="AK138" s="5"/>
      <c r="AL138" s="5"/>
      <c r="AM138" s="5"/>
      <c r="AN138" s="5"/>
      <c r="AO138" s="5"/>
      <c r="AP138" s="5" t="s">
        <v>611</v>
      </c>
      <c r="AQ138" s="5" t="s">
        <v>1775</v>
      </c>
      <c r="AR138" s="5"/>
      <c r="AS138" s="5"/>
      <c r="AT138" s="5" t="s">
        <v>579</v>
      </c>
      <c r="AU138" s="5" t="s">
        <v>612</v>
      </c>
      <c r="AV138" s="5"/>
      <c r="AW138" s="7"/>
      <c r="AX138" s="5"/>
      <c r="AY138" s="5" t="s">
        <v>231</v>
      </c>
      <c r="AZ138" s="5" t="s">
        <v>45</v>
      </c>
      <c r="BA138" s="5" t="s">
        <v>45</v>
      </c>
      <c r="BB138" s="5" t="s">
        <v>45</v>
      </c>
      <c r="BM138" s="5" t="s">
        <v>1732</v>
      </c>
      <c r="BN138" s="5"/>
      <c r="BO138" s="5"/>
    </row>
    <row r="139" spans="1:67">
      <c r="A139" s="4" t="s">
        <v>613</v>
      </c>
      <c r="B139" s="5"/>
      <c r="C139" s="5" t="s">
        <v>85</v>
      </c>
      <c r="D139" s="5" t="s">
        <v>92</v>
      </c>
      <c r="E139" s="5" t="s">
        <v>468</v>
      </c>
      <c r="F139" s="5"/>
      <c r="G139" s="5">
        <v>20</v>
      </c>
      <c r="H139" s="5"/>
      <c r="I139" s="5"/>
      <c r="J139" s="5"/>
      <c r="K139" s="5"/>
      <c r="L139" s="5"/>
      <c r="M139" s="5"/>
      <c r="N139" s="5"/>
      <c r="O139" s="5"/>
      <c r="P139" s="6" t="s">
        <v>45</v>
      </c>
      <c r="Q139" s="5"/>
      <c r="R139" s="5"/>
      <c r="S139" s="5" t="s">
        <v>77</v>
      </c>
      <c r="T139" s="5"/>
      <c r="U139" s="7"/>
      <c r="V139" s="5"/>
      <c r="W139" s="5" t="s">
        <v>45</v>
      </c>
      <c r="X139" s="5" t="s">
        <v>45</v>
      </c>
      <c r="Y139" s="5"/>
      <c r="Z139" s="5"/>
      <c r="AA139" s="5"/>
      <c r="AB139" s="5"/>
      <c r="AC139" s="5"/>
      <c r="AD139" s="5">
        <v>-2</v>
      </c>
      <c r="AE139" s="5">
        <v>2</v>
      </c>
      <c r="AF139" s="5"/>
      <c r="AG139" s="5">
        <v>2</v>
      </c>
      <c r="AH139" s="5">
        <v>-2</v>
      </c>
      <c r="AI139" s="5"/>
      <c r="AJ139" s="5"/>
      <c r="AK139" s="5"/>
      <c r="AL139" s="5"/>
      <c r="AM139" s="5"/>
      <c r="AN139" s="5"/>
      <c r="AO139" s="5"/>
      <c r="AP139" s="5" t="str">
        <f>"Craft (alchemy)+3,"&amp;IF(TinkerGnomeGuild="Craft","Craft (any)+2",IF(TinkerGnomeGuild="Technical","Profession (any)+2",IF(TinkerGnomeGuild="Sage","Knowledge (any)+2","")))</f>
        <v>Craft (alchemy)+3,</v>
      </c>
      <c r="AQ139" s="5" t="s">
        <v>1775</v>
      </c>
      <c r="AR139" s="5"/>
      <c r="AS139" s="5"/>
      <c r="AT139" s="5" t="s">
        <v>579</v>
      </c>
      <c r="AU139" s="5" t="s">
        <v>612</v>
      </c>
      <c r="AV139" s="5"/>
      <c r="AW139" s="7"/>
      <c r="AX139" s="5"/>
      <c r="AY139" s="5" t="s">
        <v>231</v>
      </c>
      <c r="AZ139" s="5" t="s">
        <v>45</v>
      </c>
      <c r="BA139" s="5" t="s">
        <v>45</v>
      </c>
      <c r="BB139" s="5" t="s">
        <v>45</v>
      </c>
      <c r="BM139" s="5" t="s">
        <v>1732</v>
      </c>
      <c r="BN139" s="5"/>
      <c r="BO139" s="5"/>
    </row>
    <row r="140" spans="1:67">
      <c r="A140" s="4" t="s">
        <v>614</v>
      </c>
      <c r="B140" s="5"/>
      <c r="C140" s="5" t="s">
        <v>85</v>
      </c>
      <c r="D140" s="5" t="s">
        <v>92</v>
      </c>
      <c r="E140" s="5" t="s">
        <v>468</v>
      </c>
      <c r="F140" s="5"/>
      <c r="G140" s="5">
        <v>20</v>
      </c>
      <c r="H140" s="5"/>
      <c r="I140" s="5"/>
      <c r="J140" s="5"/>
      <c r="K140" s="5"/>
      <c r="L140" s="5"/>
      <c r="M140" s="5"/>
      <c r="N140" s="5"/>
      <c r="O140" s="5"/>
      <c r="P140" s="6" t="s">
        <v>615</v>
      </c>
      <c r="Q140" s="5"/>
      <c r="R140" s="5"/>
      <c r="S140" s="5" t="s">
        <v>77</v>
      </c>
      <c r="T140" s="5"/>
      <c r="U140" s="7"/>
      <c r="V140" s="5"/>
      <c r="W140" s="5" t="s">
        <v>45</v>
      </c>
      <c r="X140" s="5" t="s">
        <v>45</v>
      </c>
      <c r="Y140" s="5"/>
      <c r="Z140" s="5"/>
      <c r="AA140" s="5"/>
      <c r="AB140" s="5"/>
      <c r="AC140" s="5"/>
      <c r="AD140" s="5">
        <v>-2</v>
      </c>
      <c r="AE140" s="5"/>
      <c r="AF140" s="5">
        <v>2</v>
      </c>
      <c r="AG140" s="5"/>
      <c r="AH140" s="5"/>
      <c r="AI140" s="5"/>
      <c r="AJ140" s="5"/>
      <c r="AK140" s="5"/>
      <c r="AL140" s="5"/>
      <c r="AM140" s="5"/>
      <c r="AN140" s="5"/>
      <c r="AO140" s="5"/>
      <c r="AP140" s="5" t="s">
        <v>184</v>
      </c>
      <c r="AQ140" s="5" t="s">
        <v>1775</v>
      </c>
      <c r="AR140" s="5"/>
      <c r="AS140" s="5"/>
      <c r="AT140" s="5" t="s">
        <v>579</v>
      </c>
      <c r="AU140" s="5" t="s">
        <v>601</v>
      </c>
      <c r="AV140" s="5"/>
      <c r="AW140" s="7"/>
      <c r="AX140" s="5"/>
      <c r="AY140" s="5" t="s">
        <v>353</v>
      </c>
      <c r="AZ140" s="5" t="s">
        <v>45</v>
      </c>
      <c r="BA140" s="5" t="s">
        <v>45</v>
      </c>
      <c r="BB140" s="5" t="s">
        <v>45</v>
      </c>
      <c r="BM140" s="5" t="s">
        <v>1720</v>
      </c>
      <c r="BN140" s="5"/>
      <c r="BO140" s="5"/>
    </row>
    <row r="141" spans="1:67">
      <c r="A141" s="4" t="s">
        <v>616</v>
      </c>
      <c r="B141" s="5"/>
      <c r="C141" s="5" t="s">
        <v>85</v>
      </c>
      <c r="D141" s="5" t="s">
        <v>92</v>
      </c>
      <c r="E141" s="5" t="s">
        <v>468</v>
      </c>
      <c r="F141" s="5"/>
      <c r="G141" s="5">
        <v>30</v>
      </c>
      <c r="H141" s="5"/>
      <c r="I141" s="5"/>
      <c r="J141" s="5"/>
      <c r="K141" s="5"/>
      <c r="L141" s="5"/>
      <c r="M141" s="5"/>
      <c r="N141" s="5"/>
      <c r="O141" s="5"/>
      <c r="P141" s="6" t="str">
        <f>"Silence"&amp;IF(Cha&gt;10,", ghost sound (DC " &amp; 10+ChaMod &amp; "), mage hand, message.","")</f>
        <v>Silence</v>
      </c>
      <c r="Q141" s="5"/>
      <c r="R141" s="5"/>
      <c r="S141" s="5" t="s">
        <v>77</v>
      </c>
      <c r="T141" s="5">
        <v>60</v>
      </c>
      <c r="U141" s="7"/>
      <c r="V141" s="5"/>
      <c r="W141" s="5" t="s">
        <v>45</v>
      </c>
      <c r="X141" s="5" t="s">
        <v>45</v>
      </c>
      <c r="Y141" s="5"/>
      <c r="Z141" s="5"/>
      <c r="AA141" s="5"/>
      <c r="AB141" s="5"/>
      <c r="AC141" s="5"/>
      <c r="AD141" s="5">
        <v>-2</v>
      </c>
      <c r="AE141" s="5">
        <v>2</v>
      </c>
      <c r="AF141" s="5">
        <v>2</v>
      </c>
      <c r="AG141" s="5"/>
      <c r="AH141" s="5"/>
      <c r="AI141" s="5">
        <v>-2</v>
      </c>
      <c r="AJ141" s="5"/>
      <c r="AK141" s="5"/>
      <c r="AL141" s="5"/>
      <c r="AM141" s="5"/>
      <c r="AN141" s="5"/>
      <c r="AO141" s="5"/>
      <c r="AP141" s="5" t="s">
        <v>617</v>
      </c>
      <c r="AQ141" s="5" t="s">
        <v>1775</v>
      </c>
      <c r="AR141" s="5"/>
      <c r="AS141" s="5"/>
      <c r="AT141" s="5" t="s">
        <v>468</v>
      </c>
      <c r="AU141" s="5" t="s">
        <v>265</v>
      </c>
      <c r="AV141" s="5"/>
      <c r="AW141" s="7"/>
      <c r="AX141" s="5"/>
      <c r="AY141" s="5"/>
      <c r="AZ141" s="5" t="s">
        <v>618</v>
      </c>
      <c r="BA141" s="5" t="s">
        <v>602</v>
      </c>
      <c r="BB141" s="5" t="s">
        <v>619</v>
      </c>
      <c r="BM141" s="5" t="s">
        <v>1736</v>
      </c>
      <c r="BN141" s="5">
        <v>94</v>
      </c>
      <c r="BO141" s="5"/>
    </row>
    <row r="142" spans="1:67">
      <c r="A142" s="4" t="s">
        <v>621</v>
      </c>
      <c r="B142" s="5"/>
      <c r="C142" s="5" t="s">
        <v>42</v>
      </c>
      <c r="D142" s="5" t="s">
        <v>43</v>
      </c>
      <c r="E142" s="5"/>
      <c r="F142" s="5">
        <v>3</v>
      </c>
      <c r="G142" s="5">
        <v>30</v>
      </c>
      <c r="H142" s="5"/>
      <c r="I142" s="5"/>
      <c r="J142" s="5"/>
      <c r="K142" s="5"/>
      <c r="L142" s="5"/>
      <c r="M142" s="5">
        <v>2</v>
      </c>
      <c r="N142" s="5" t="s">
        <v>622</v>
      </c>
      <c r="O142" s="5"/>
      <c r="P142" s="6" t="s">
        <v>45</v>
      </c>
      <c r="Q142" s="5"/>
      <c r="R142" s="5"/>
      <c r="S142" s="5"/>
      <c r="T142" s="5">
        <v>60</v>
      </c>
      <c r="U142" s="7"/>
      <c r="V142" s="5"/>
      <c r="W142" s="5" t="s">
        <v>45</v>
      </c>
      <c r="X142" s="5" t="s">
        <v>45</v>
      </c>
      <c r="Y142" s="5"/>
      <c r="Z142" s="5"/>
      <c r="AA142" s="5"/>
      <c r="AB142" s="5"/>
      <c r="AC142" s="5"/>
      <c r="AD142" s="5">
        <v>2</v>
      </c>
      <c r="AE142" s="5">
        <v>2</v>
      </c>
      <c r="AF142" s="5"/>
      <c r="AG142" s="5">
        <v>-2</v>
      </c>
      <c r="AH142" s="5">
        <v>-2</v>
      </c>
      <c r="AI142" s="5"/>
      <c r="AJ142" s="5"/>
      <c r="AK142" s="5"/>
      <c r="AL142" s="5"/>
      <c r="AM142" s="5"/>
      <c r="AN142" s="5"/>
      <c r="AO142" s="5"/>
      <c r="AP142" s="5" t="s">
        <v>623</v>
      </c>
      <c r="AQ142" s="5"/>
      <c r="AR142" s="5" t="s">
        <v>1791</v>
      </c>
      <c r="AS142" s="5"/>
      <c r="AT142" s="5" t="s">
        <v>624</v>
      </c>
      <c r="AU142" s="5" t="s">
        <v>89</v>
      </c>
      <c r="AV142" s="5">
        <v>2</v>
      </c>
      <c r="AW142" s="7"/>
      <c r="AX142" s="5">
        <v>1</v>
      </c>
      <c r="AY142" s="5" t="s">
        <v>125</v>
      </c>
      <c r="AZ142" s="5" t="s">
        <v>45</v>
      </c>
      <c r="BA142" s="5" t="s">
        <v>45</v>
      </c>
      <c r="BB142" s="5" t="s">
        <v>45</v>
      </c>
      <c r="BM142" s="5" t="s">
        <v>1718</v>
      </c>
      <c r="BN142" s="5">
        <v>63</v>
      </c>
      <c r="BO142" s="5"/>
    </row>
    <row r="143" spans="1:67">
      <c r="A143" s="4" t="s">
        <v>625</v>
      </c>
      <c r="B143" s="5"/>
      <c r="C143" s="5" t="s">
        <v>85</v>
      </c>
      <c r="D143" s="5" t="s">
        <v>92</v>
      </c>
      <c r="E143" s="5" t="s">
        <v>143</v>
      </c>
      <c r="F143" s="5"/>
      <c r="G143" s="5">
        <v>30</v>
      </c>
      <c r="H143" s="5"/>
      <c r="I143" s="5"/>
      <c r="J143" s="5"/>
      <c r="K143" s="5"/>
      <c r="L143" s="5"/>
      <c r="M143" s="5"/>
      <c r="N143" s="5"/>
      <c r="O143" s="5"/>
      <c r="P143" s="6" t="s">
        <v>45</v>
      </c>
      <c r="Q143" s="5"/>
      <c r="R143" s="5"/>
      <c r="S143" s="5"/>
      <c r="T143" s="5">
        <v>60</v>
      </c>
      <c r="U143" s="7"/>
      <c r="V143" s="5"/>
      <c r="W143" s="5" t="s">
        <v>45</v>
      </c>
      <c r="X143" s="5" t="s">
        <v>45</v>
      </c>
      <c r="Y143" s="5"/>
      <c r="Z143" s="5"/>
      <c r="AA143" s="5"/>
      <c r="AB143" s="5"/>
      <c r="AC143" s="5"/>
      <c r="AD143" s="5">
        <v>-2</v>
      </c>
      <c r="AE143" s="5">
        <v>2</v>
      </c>
      <c r="AF143" s="5"/>
      <c r="AG143" s="5"/>
      <c r="AH143" s="5"/>
      <c r="AI143" s="5">
        <v>-2</v>
      </c>
      <c r="AJ143" s="5"/>
      <c r="AK143" s="5"/>
      <c r="AL143" s="5"/>
      <c r="AM143" s="5"/>
      <c r="AN143" s="5"/>
      <c r="AO143" s="5"/>
      <c r="AP143" s="5" t="s">
        <v>158</v>
      </c>
      <c r="AQ143" s="5"/>
      <c r="AR143" s="5"/>
      <c r="AS143" s="5"/>
      <c r="AT143" s="5" t="s">
        <v>159</v>
      </c>
      <c r="AU143" s="5" t="s">
        <v>160</v>
      </c>
      <c r="AV143" s="5"/>
      <c r="AW143" s="7"/>
      <c r="AX143" s="5"/>
      <c r="AY143" s="5" t="s">
        <v>95</v>
      </c>
      <c r="AZ143" s="5" t="s">
        <v>45</v>
      </c>
      <c r="BA143" s="5" t="s">
        <v>45</v>
      </c>
      <c r="BB143" s="5" t="s">
        <v>45</v>
      </c>
      <c r="BM143" s="5" t="s">
        <v>1609</v>
      </c>
      <c r="BN143" s="5">
        <v>133</v>
      </c>
      <c r="BO143" s="5" t="s">
        <v>1625</v>
      </c>
    </row>
    <row r="144" spans="1:67">
      <c r="A144" s="4" t="s">
        <v>626</v>
      </c>
      <c r="B144" s="5"/>
      <c r="C144" s="5" t="s">
        <v>42</v>
      </c>
      <c r="D144" s="5" t="s">
        <v>43</v>
      </c>
      <c r="E144" s="5" t="s">
        <v>143</v>
      </c>
      <c r="F144" s="5">
        <v>2</v>
      </c>
      <c r="G144" s="5">
        <v>20</v>
      </c>
      <c r="H144" s="5"/>
      <c r="I144" s="5"/>
      <c r="J144" s="5"/>
      <c r="K144" s="5"/>
      <c r="L144" s="5"/>
      <c r="M144" s="5">
        <v>4</v>
      </c>
      <c r="N144" s="5" t="s">
        <v>627</v>
      </c>
      <c r="O144" s="5"/>
      <c r="P144" s="6" t="s">
        <v>45</v>
      </c>
      <c r="Q144" s="5"/>
      <c r="R144" s="5"/>
      <c r="S144" s="5"/>
      <c r="T144" s="5">
        <v>60</v>
      </c>
      <c r="U144" s="7"/>
      <c r="V144" s="5"/>
      <c r="W144" s="5" t="s">
        <v>45</v>
      </c>
      <c r="X144" s="5" t="s">
        <v>499</v>
      </c>
      <c r="Y144" s="5"/>
      <c r="Z144" s="5"/>
      <c r="AA144" s="5"/>
      <c r="AB144" s="5"/>
      <c r="AC144" s="5"/>
      <c r="AD144" s="5">
        <v>6</v>
      </c>
      <c r="AE144" s="5">
        <v>2</v>
      </c>
      <c r="AF144" s="5">
        <v>4</v>
      </c>
      <c r="AG144" s="5">
        <v>2</v>
      </c>
      <c r="AH144" s="5">
        <v>2</v>
      </c>
      <c r="AI144" s="5">
        <v>-2</v>
      </c>
      <c r="AJ144" s="5"/>
      <c r="AK144" s="5"/>
      <c r="AL144" s="5"/>
      <c r="AM144" s="5"/>
      <c r="AN144" s="5"/>
      <c r="AO144" s="5"/>
      <c r="AP144" s="5" t="s">
        <v>628</v>
      </c>
      <c r="AQ144" s="5"/>
      <c r="AR144" s="5"/>
      <c r="AS144" s="5"/>
      <c r="AT144" s="5" t="s">
        <v>629</v>
      </c>
      <c r="AU144" s="5" t="s">
        <v>235</v>
      </c>
      <c r="AV144" s="5"/>
      <c r="AW144" s="7"/>
      <c r="AX144" s="5">
        <v>4</v>
      </c>
      <c r="AY144" s="5" t="s">
        <v>125</v>
      </c>
      <c r="AZ144" s="5" t="s">
        <v>45</v>
      </c>
      <c r="BA144" s="5" t="s">
        <v>45</v>
      </c>
      <c r="BB144" s="5" t="s">
        <v>45</v>
      </c>
      <c r="BM144" s="5" t="s">
        <v>1625</v>
      </c>
      <c r="BN144" s="5"/>
      <c r="BO144" s="5" t="s">
        <v>1715</v>
      </c>
    </row>
    <row r="145" spans="1:67">
      <c r="A145" s="4" t="s">
        <v>630</v>
      </c>
      <c r="B145" s="5"/>
      <c r="C145" s="5" t="s">
        <v>85</v>
      </c>
      <c r="D145" s="5" t="s">
        <v>92</v>
      </c>
      <c r="E145" s="5" t="s">
        <v>143</v>
      </c>
      <c r="F145" s="5"/>
      <c r="G145" s="5">
        <v>30</v>
      </c>
      <c r="H145" s="5"/>
      <c r="I145" s="5">
        <v>20</v>
      </c>
      <c r="J145" s="5"/>
      <c r="K145" s="5"/>
      <c r="L145" s="5"/>
      <c r="M145" s="5">
        <v>1</v>
      </c>
      <c r="N145" s="5" t="s">
        <v>244</v>
      </c>
      <c r="O145" s="5"/>
      <c r="P145" s="6" t="s">
        <v>45</v>
      </c>
      <c r="Q145" s="5"/>
      <c r="R145" s="5"/>
      <c r="S145" s="5"/>
      <c r="T145" s="5">
        <v>60</v>
      </c>
      <c r="U145" s="7"/>
      <c r="V145" s="5"/>
      <c r="W145" s="5" t="s">
        <v>45</v>
      </c>
      <c r="X145" s="5" t="s">
        <v>45</v>
      </c>
      <c r="Y145" s="5"/>
      <c r="Z145" s="5"/>
      <c r="AA145" s="5"/>
      <c r="AB145" s="5"/>
      <c r="AC145" s="5"/>
      <c r="AD145" s="5"/>
      <c r="AE145" s="5">
        <v>2</v>
      </c>
      <c r="AF145" s="5"/>
      <c r="AG145" s="5">
        <v>-2</v>
      </c>
      <c r="AH145" s="5"/>
      <c r="AI145" s="5"/>
      <c r="AJ145" s="5"/>
      <c r="AK145" s="5"/>
      <c r="AL145" s="5"/>
      <c r="AM145" s="5"/>
      <c r="AN145" s="5"/>
      <c r="AO145" s="5"/>
      <c r="AP145" s="5" t="s">
        <v>631</v>
      </c>
      <c r="AQ145" s="5"/>
      <c r="AR145" s="5" t="s">
        <v>1797</v>
      </c>
      <c r="AS145" s="5"/>
      <c r="AT145" s="5" t="s">
        <v>625</v>
      </c>
      <c r="AU145" s="5" t="s">
        <v>632</v>
      </c>
      <c r="AV145" s="5"/>
      <c r="AW145" s="7"/>
      <c r="AX145" s="5">
        <v>1</v>
      </c>
      <c r="AY145" s="5" t="s">
        <v>125</v>
      </c>
      <c r="AZ145" s="5" t="s">
        <v>45</v>
      </c>
      <c r="BA145" s="5" t="s">
        <v>45</v>
      </c>
      <c r="BB145" s="5" t="s">
        <v>45</v>
      </c>
      <c r="BM145" s="5" t="s">
        <v>1718</v>
      </c>
      <c r="BN145" s="5">
        <v>64</v>
      </c>
      <c r="BO145" s="5"/>
    </row>
    <row r="146" spans="1:67">
      <c r="A146" s="4" t="s">
        <v>633</v>
      </c>
      <c r="B146" s="5"/>
      <c r="C146" s="5" t="s">
        <v>85</v>
      </c>
      <c r="D146" s="5" t="s">
        <v>92</v>
      </c>
      <c r="E146" s="5" t="s">
        <v>143</v>
      </c>
      <c r="F146" s="5"/>
      <c r="G146" s="5">
        <v>30</v>
      </c>
      <c r="H146" s="5"/>
      <c r="I146" s="5">
        <v>20</v>
      </c>
      <c r="J146" s="5"/>
      <c r="K146" s="5"/>
      <c r="L146" s="5"/>
      <c r="M146" s="5"/>
      <c r="N146" s="5"/>
      <c r="O146" s="5"/>
      <c r="P146" s="6" t="s">
        <v>45</v>
      </c>
      <c r="Q146" s="5"/>
      <c r="R146" s="5"/>
      <c r="S146" s="5"/>
      <c r="T146" s="5">
        <v>60</v>
      </c>
      <c r="U146" s="7"/>
      <c r="V146" s="5"/>
      <c r="W146" s="5" t="s">
        <v>45</v>
      </c>
      <c r="X146" s="5" t="s">
        <v>45</v>
      </c>
      <c r="Y146" s="5"/>
      <c r="Z146" s="5"/>
      <c r="AA146" s="5"/>
      <c r="AB146" s="5"/>
      <c r="AC146" s="5"/>
      <c r="AD146" s="5"/>
      <c r="AE146" s="5">
        <v>2</v>
      </c>
      <c r="AF146" s="5"/>
      <c r="AG146" s="5">
        <v>-2</v>
      </c>
      <c r="AH146" s="5"/>
      <c r="AI146" s="5">
        <v>-2</v>
      </c>
      <c r="AJ146" s="5"/>
      <c r="AK146" s="5"/>
      <c r="AL146" s="5"/>
      <c r="AM146" s="5"/>
      <c r="AN146" s="5"/>
      <c r="AO146" s="5"/>
      <c r="AP146" s="5" t="s">
        <v>634</v>
      </c>
      <c r="AQ146" s="5"/>
      <c r="AR146" s="5"/>
      <c r="AS146" s="5"/>
      <c r="AT146" s="5" t="s">
        <v>159</v>
      </c>
      <c r="AU146" s="5" t="s">
        <v>635</v>
      </c>
      <c r="AV146" s="5"/>
      <c r="AW146" s="7"/>
      <c r="AX146" s="5"/>
      <c r="AY146" s="5" t="s">
        <v>113</v>
      </c>
      <c r="AZ146" s="5" t="s">
        <v>45</v>
      </c>
      <c r="BA146" s="5" t="s">
        <v>45</v>
      </c>
      <c r="BB146" s="5" t="s">
        <v>45</v>
      </c>
      <c r="BM146" s="5" t="s">
        <v>1731</v>
      </c>
      <c r="BN146" s="5">
        <v>136</v>
      </c>
      <c r="BO146" s="5"/>
    </row>
    <row r="147" spans="1:67">
      <c r="A147" s="4" t="s">
        <v>636</v>
      </c>
      <c r="B147" s="5"/>
      <c r="C147" s="5" t="s">
        <v>42</v>
      </c>
      <c r="D147" s="5" t="s">
        <v>43</v>
      </c>
      <c r="E147" s="5"/>
      <c r="F147" s="5"/>
      <c r="G147" s="5">
        <v>30</v>
      </c>
      <c r="H147" s="5"/>
      <c r="I147" s="5"/>
      <c r="J147" s="5"/>
      <c r="K147" s="5"/>
      <c r="L147" s="5"/>
      <c r="M147" s="5"/>
      <c r="N147" s="5"/>
      <c r="O147" s="5"/>
      <c r="P147" s="6" t="s">
        <v>45</v>
      </c>
      <c r="Q147" s="5"/>
      <c r="R147" s="5"/>
      <c r="S147" s="5"/>
      <c r="T147" s="5">
        <v>60</v>
      </c>
      <c r="U147" s="7"/>
      <c r="V147" s="5"/>
      <c r="W147" s="5" t="s">
        <v>45</v>
      </c>
      <c r="X147" s="5" t="s">
        <v>45</v>
      </c>
      <c r="Y147" s="5"/>
      <c r="Z147" s="5"/>
      <c r="AA147" s="5"/>
      <c r="AB147" s="5"/>
      <c r="AC147" s="5"/>
      <c r="AD147" s="5">
        <v>4</v>
      </c>
      <c r="AE147" s="5">
        <v>-2</v>
      </c>
      <c r="AF147" s="5">
        <v>2</v>
      </c>
      <c r="AG147" s="5"/>
      <c r="AH147" s="5"/>
      <c r="AI147" s="5"/>
      <c r="AJ147" s="5"/>
      <c r="AK147" s="5"/>
      <c r="AL147" s="5"/>
      <c r="AM147" s="5"/>
      <c r="AN147" s="5"/>
      <c r="AO147" s="5"/>
      <c r="AP147" s="5" t="s">
        <v>637</v>
      </c>
      <c r="AQ147" s="5"/>
      <c r="AR147" s="5"/>
      <c r="AS147" s="5"/>
      <c r="AT147" s="5" t="s">
        <v>638</v>
      </c>
      <c r="AU147" s="5" t="s">
        <v>639</v>
      </c>
      <c r="AV147" s="5"/>
      <c r="AW147" s="7"/>
      <c r="AX147" s="5">
        <v>1</v>
      </c>
      <c r="AY147" s="5" t="s">
        <v>125</v>
      </c>
      <c r="AZ147" s="5" t="s">
        <v>45</v>
      </c>
      <c r="BA147" s="5" t="s">
        <v>45</v>
      </c>
      <c r="BB147" s="5" t="s">
        <v>45</v>
      </c>
      <c r="BM147" s="5" t="s">
        <v>1736</v>
      </c>
      <c r="BN147" s="5"/>
      <c r="BO147" s="5"/>
    </row>
    <row r="148" spans="1:67">
      <c r="A148" s="4" t="s">
        <v>640</v>
      </c>
      <c r="B148" s="5"/>
      <c r="C148" s="5" t="s">
        <v>641</v>
      </c>
      <c r="D148" s="5" t="s">
        <v>272</v>
      </c>
      <c r="E148" s="5"/>
      <c r="F148" s="5"/>
      <c r="G148" s="5">
        <v>20</v>
      </c>
      <c r="H148" s="5"/>
      <c r="I148" s="5"/>
      <c r="J148" s="5">
        <v>40</v>
      </c>
      <c r="K148" s="5" t="s">
        <v>1463</v>
      </c>
      <c r="L148" s="5"/>
      <c r="M148" s="5">
        <v>2</v>
      </c>
      <c r="N148" s="5"/>
      <c r="O148" s="5"/>
      <c r="P148" s="6" t="s">
        <v>642</v>
      </c>
      <c r="Q148" s="5"/>
      <c r="R148" s="5"/>
      <c r="S148" s="5"/>
      <c r="T148" s="5"/>
      <c r="U148" s="7"/>
      <c r="V148" s="5"/>
      <c r="W148" s="5" t="s">
        <v>45</v>
      </c>
      <c r="X148" s="5" t="s">
        <v>45</v>
      </c>
      <c r="Y148" s="5">
        <f>17+ClassLvl</f>
        <v>25</v>
      </c>
      <c r="Z148" s="5" t="s">
        <v>643</v>
      </c>
      <c r="AA148" s="5"/>
      <c r="AB148" s="5"/>
      <c r="AC148" s="5"/>
      <c r="AD148" s="5">
        <v>-6</v>
      </c>
      <c r="AE148" s="5">
        <v>8</v>
      </c>
      <c r="AF148" s="5">
        <v>2</v>
      </c>
      <c r="AG148" s="5"/>
      <c r="AH148" s="5">
        <v>2</v>
      </c>
      <c r="AI148" s="5">
        <v>4</v>
      </c>
      <c r="AJ148" s="5"/>
      <c r="AK148" s="5"/>
      <c r="AL148" s="5"/>
      <c r="AM148" s="5"/>
      <c r="AN148" s="5"/>
      <c r="AO148" s="5"/>
      <c r="AP148" s="5" t="s">
        <v>644</v>
      </c>
      <c r="AQ148" s="5"/>
      <c r="AR148" s="5" t="s">
        <v>1806</v>
      </c>
      <c r="AS148" s="5" t="s">
        <v>645</v>
      </c>
      <c r="AT148" s="5" t="s">
        <v>345</v>
      </c>
      <c r="AU148" s="5" t="s">
        <v>646</v>
      </c>
      <c r="AV148" s="5">
        <v>1</v>
      </c>
      <c r="AW148" s="7"/>
      <c r="AX148" s="5">
        <v>3</v>
      </c>
      <c r="AY148" s="5" t="s">
        <v>95</v>
      </c>
      <c r="AZ148" s="5" t="s">
        <v>45</v>
      </c>
      <c r="BA148" s="5" t="s">
        <v>45</v>
      </c>
      <c r="BB148" s="5" t="s">
        <v>45</v>
      </c>
      <c r="BM148" s="5" t="s">
        <v>1609</v>
      </c>
      <c r="BN148" s="5">
        <v>235</v>
      </c>
      <c r="BO148" s="5"/>
    </row>
    <row r="149" spans="1:67">
      <c r="A149" s="4" t="s">
        <v>647</v>
      </c>
      <c r="B149" s="5"/>
      <c r="C149" s="5" t="s">
        <v>42</v>
      </c>
      <c r="D149" s="5" t="s">
        <v>43</v>
      </c>
      <c r="E149" s="5"/>
      <c r="F149" s="5">
        <v>2</v>
      </c>
      <c r="G149" s="5">
        <v>30</v>
      </c>
      <c r="H149" s="5"/>
      <c r="I149" s="5"/>
      <c r="J149" s="5"/>
      <c r="K149" s="5"/>
      <c r="L149" s="5"/>
      <c r="M149" s="5">
        <v>4</v>
      </c>
      <c r="N149" s="5"/>
      <c r="O149" s="5"/>
      <c r="P149" s="6" t="s">
        <v>45</v>
      </c>
      <c r="Q149" s="5"/>
      <c r="R149" s="5"/>
      <c r="S149" s="5"/>
      <c r="T149" s="5"/>
      <c r="U149" s="7"/>
      <c r="V149" s="6" t="s">
        <v>648</v>
      </c>
      <c r="W149" s="5" t="s">
        <v>45</v>
      </c>
      <c r="X149" s="5" t="s">
        <v>45</v>
      </c>
      <c r="Y149" s="5"/>
      <c r="Z149" s="5"/>
      <c r="AA149" s="5"/>
      <c r="AB149" s="5"/>
      <c r="AC149" s="5"/>
      <c r="AD149" s="5">
        <v>4</v>
      </c>
      <c r="AE149" s="5">
        <v>2</v>
      </c>
      <c r="AF149" s="5">
        <v>2</v>
      </c>
      <c r="AG149" s="5"/>
      <c r="AH149" s="5">
        <v>-2</v>
      </c>
      <c r="AI149" s="5">
        <v>-4</v>
      </c>
      <c r="AJ149" s="5"/>
      <c r="AK149" s="5"/>
      <c r="AL149" s="5"/>
      <c r="AM149" s="5"/>
      <c r="AN149" s="5"/>
      <c r="AO149" s="5"/>
      <c r="AP149" s="5" t="s">
        <v>649</v>
      </c>
      <c r="AQ149" s="5"/>
      <c r="AR149" s="5" t="s">
        <v>1781</v>
      </c>
      <c r="AS149" s="5" t="s">
        <v>195</v>
      </c>
      <c r="AT149" s="5" t="s">
        <v>650</v>
      </c>
      <c r="AU149" s="5" t="s">
        <v>651</v>
      </c>
      <c r="AV149" s="5">
        <v>1</v>
      </c>
      <c r="AW149" s="7"/>
      <c r="AX149" s="5">
        <v>2</v>
      </c>
      <c r="AY149" s="5" t="s">
        <v>125</v>
      </c>
      <c r="AZ149" s="5" t="s">
        <v>45</v>
      </c>
      <c r="BA149" s="5" t="s">
        <v>45</v>
      </c>
      <c r="BB149" s="5" t="s">
        <v>45</v>
      </c>
      <c r="BM149" s="5" t="s">
        <v>1609</v>
      </c>
      <c r="BN149" s="5">
        <v>140</v>
      </c>
      <c r="BO149" s="5"/>
    </row>
    <row r="150" spans="1:67">
      <c r="A150" s="4" t="s">
        <v>652</v>
      </c>
      <c r="B150" s="5"/>
      <c r="C150" s="5" t="s">
        <v>42</v>
      </c>
      <c r="D150" s="5" t="s">
        <v>51</v>
      </c>
      <c r="E150" s="5" t="s">
        <v>653</v>
      </c>
      <c r="F150" s="5">
        <v>4</v>
      </c>
      <c r="G150" s="5">
        <v>50</v>
      </c>
      <c r="H150" s="5"/>
      <c r="I150" s="5"/>
      <c r="J150" s="5"/>
      <c r="K150" s="5"/>
      <c r="L150" s="5"/>
      <c r="M150" s="5">
        <v>4</v>
      </c>
      <c r="N150" s="5" t="s">
        <v>654</v>
      </c>
      <c r="O150" s="5"/>
      <c r="P150" s="6" t="s">
        <v>655</v>
      </c>
      <c r="Q150" s="5"/>
      <c r="R150" s="5"/>
      <c r="S150" s="5" t="s">
        <v>77</v>
      </c>
      <c r="T150" s="5"/>
      <c r="U150" s="7"/>
      <c r="V150" s="5" t="s">
        <v>78</v>
      </c>
      <c r="W150" s="5" t="s">
        <v>45</v>
      </c>
      <c r="X150" s="5" t="s">
        <v>656</v>
      </c>
      <c r="Y150" s="5"/>
      <c r="Z150" s="5"/>
      <c r="AA150" s="5"/>
      <c r="AB150" s="5"/>
      <c r="AC150" s="5"/>
      <c r="AD150" s="5">
        <v>8</v>
      </c>
      <c r="AE150" s="5">
        <v>6</v>
      </c>
      <c r="AF150" s="5">
        <v>4</v>
      </c>
      <c r="AG150" s="5">
        <v>2</v>
      </c>
      <c r="AH150" s="5">
        <v>6</v>
      </c>
      <c r="AI150" s="5">
        <v>6</v>
      </c>
      <c r="AJ150" s="5"/>
      <c r="AK150" s="5"/>
      <c r="AL150" s="5"/>
      <c r="AM150" s="5"/>
      <c r="AN150" s="5"/>
      <c r="AO150" s="5"/>
      <c r="AP150" s="5" t="s">
        <v>657</v>
      </c>
      <c r="AQ150" s="5"/>
      <c r="AR150" s="5"/>
      <c r="AS150" s="5"/>
      <c r="AT150" s="5" t="s">
        <v>658</v>
      </c>
      <c r="AU150" s="5" t="s">
        <v>102</v>
      </c>
      <c r="AV150" s="5">
        <v>3</v>
      </c>
      <c r="AW150" s="7"/>
      <c r="AX150" s="5">
        <v>5</v>
      </c>
      <c r="AY150" s="5" t="s">
        <v>49</v>
      </c>
      <c r="AZ150" s="5" t="s">
        <v>45</v>
      </c>
      <c r="BA150" s="5" t="s">
        <v>45</v>
      </c>
      <c r="BB150" s="5" t="s">
        <v>45</v>
      </c>
      <c r="BM150" s="5" t="s">
        <v>1614</v>
      </c>
      <c r="BN150" s="5"/>
      <c r="BO150" s="5"/>
    </row>
    <row r="151" spans="1:67">
      <c r="A151" s="4" t="s">
        <v>659</v>
      </c>
      <c r="B151" s="5"/>
      <c r="C151" s="5" t="s">
        <v>42</v>
      </c>
      <c r="D151" s="5" t="s">
        <v>51</v>
      </c>
      <c r="E151" s="5" t="s">
        <v>653</v>
      </c>
      <c r="F151" s="5">
        <v>8</v>
      </c>
      <c r="G151" s="5">
        <v>50</v>
      </c>
      <c r="H151" s="5"/>
      <c r="I151" s="5"/>
      <c r="J151" s="5"/>
      <c r="K151" s="5"/>
      <c r="L151" s="5"/>
      <c r="M151" s="5">
        <v>3</v>
      </c>
      <c r="N151" s="5" t="s">
        <v>660</v>
      </c>
      <c r="O151" s="5"/>
      <c r="P151" s="6" t="s">
        <v>661</v>
      </c>
      <c r="Q151" s="5"/>
      <c r="R151" s="5"/>
      <c r="S151" s="5" t="s">
        <v>77</v>
      </c>
      <c r="T151" s="5"/>
      <c r="U151" s="7"/>
      <c r="V151" s="5" t="s">
        <v>78</v>
      </c>
      <c r="W151" s="5" t="s">
        <v>45</v>
      </c>
      <c r="X151" s="5" t="s">
        <v>656</v>
      </c>
      <c r="Y151" s="5"/>
      <c r="Z151" s="5" t="s">
        <v>662</v>
      </c>
      <c r="AA151" s="5"/>
      <c r="AB151" s="5"/>
      <c r="AC151" s="5"/>
      <c r="AD151" s="5">
        <v>12</v>
      </c>
      <c r="AE151" s="5">
        <v>10</v>
      </c>
      <c r="AF151" s="5">
        <v>2</v>
      </c>
      <c r="AG151" s="5">
        <v>6</v>
      </c>
      <c r="AH151" s="5">
        <v>8</v>
      </c>
      <c r="AI151" s="5">
        <v>4</v>
      </c>
      <c r="AJ151" s="5"/>
      <c r="AK151" s="5"/>
      <c r="AL151" s="5"/>
      <c r="AM151" s="5"/>
      <c r="AN151" s="5"/>
      <c r="AO151" s="5"/>
      <c r="AP151" s="5" t="s">
        <v>663</v>
      </c>
      <c r="AQ151" s="5"/>
      <c r="AR151" s="5"/>
      <c r="AS151" s="5"/>
      <c r="AT151" s="5" t="s">
        <v>658</v>
      </c>
      <c r="AU151" s="5" t="s">
        <v>102</v>
      </c>
      <c r="AV151" s="5">
        <v>5</v>
      </c>
      <c r="AW151" s="7"/>
      <c r="AX151" s="5">
        <v>7</v>
      </c>
      <c r="AY151" s="5" t="s">
        <v>49</v>
      </c>
      <c r="AZ151" s="5" t="s">
        <v>45</v>
      </c>
      <c r="BA151" s="5" t="s">
        <v>45</v>
      </c>
      <c r="BB151" s="5" t="s">
        <v>45</v>
      </c>
      <c r="BM151" s="5" t="s">
        <v>1614</v>
      </c>
      <c r="BN151" s="5"/>
      <c r="BO151" s="5"/>
    </row>
    <row r="152" spans="1:67">
      <c r="A152" s="4" t="s">
        <v>664</v>
      </c>
      <c r="B152" s="5"/>
      <c r="C152" s="5" t="s">
        <v>42</v>
      </c>
      <c r="D152" s="5" t="s">
        <v>92</v>
      </c>
      <c r="E152" s="5"/>
      <c r="F152" s="5"/>
      <c r="G152" s="5">
        <v>30</v>
      </c>
      <c r="H152" s="5"/>
      <c r="I152" s="5"/>
      <c r="J152" s="5"/>
      <c r="K152" s="5"/>
      <c r="L152" s="5"/>
      <c r="M152" s="5"/>
      <c r="N152" s="5"/>
      <c r="O152" s="5"/>
      <c r="P152" s="6" t="s">
        <v>45</v>
      </c>
      <c r="Q152" s="5"/>
      <c r="R152" s="5"/>
      <c r="S152" s="5"/>
      <c r="T152" s="5"/>
      <c r="U152" s="7"/>
      <c r="V152" s="5"/>
      <c r="W152" s="5" t="s">
        <v>45</v>
      </c>
      <c r="X152" s="5" t="s">
        <v>45</v>
      </c>
      <c r="Y152" s="5"/>
      <c r="Z152" s="5"/>
      <c r="AA152" s="5"/>
      <c r="AB152" s="5"/>
      <c r="AC152" s="5"/>
      <c r="AD152" s="5"/>
      <c r="AE152" s="5">
        <v>2</v>
      </c>
      <c r="AF152" s="5"/>
      <c r="AG152" s="5"/>
      <c r="AH152" s="5"/>
      <c r="AI152" s="5">
        <v>-2</v>
      </c>
      <c r="AJ152" s="5"/>
      <c r="AK152" s="5"/>
      <c r="AL152" s="5"/>
      <c r="AM152" s="5"/>
      <c r="AN152" s="5"/>
      <c r="AO152" s="5"/>
      <c r="AP152" s="5" t="s">
        <v>665</v>
      </c>
      <c r="AQ152" s="5"/>
      <c r="AR152" s="5"/>
      <c r="AS152" s="5"/>
      <c r="AT152" s="5" t="s">
        <v>666</v>
      </c>
      <c r="AU152" s="5" t="s">
        <v>667</v>
      </c>
      <c r="AV152" s="5"/>
      <c r="AW152" s="7"/>
      <c r="AX152" s="5"/>
      <c r="AY152" s="5" t="s">
        <v>95</v>
      </c>
      <c r="AZ152" s="5" t="s">
        <v>668</v>
      </c>
      <c r="BA152" s="5" t="s">
        <v>669</v>
      </c>
      <c r="BB152" s="5" t="s">
        <v>670</v>
      </c>
      <c r="BM152" s="5" t="s">
        <v>1720</v>
      </c>
      <c r="BN152" s="5">
        <v>151</v>
      </c>
      <c r="BO152" s="5"/>
    </row>
    <row r="153" spans="1:67">
      <c r="A153" s="4" t="s">
        <v>671</v>
      </c>
      <c r="B153" s="5"/>
      <c r="C153" s="5" t="s">
        <v>42</v>
      </c>
      <c r="D153" s="5" t="s">
        <v>92</v>
      </c>
      <c r="E153" s="5" t="s">
        <v>423</v>
      </c>
      <c r="F153" s="5"/>
      <c r="G153" s="5">
        <v>30</v>
      </c>
      <c r="H153" s="5"/>
      <c r="I153" s="5"/>
      <c r="J153" s="5"/>
      <c r="K153" s="5"/>
      <c r="L153" s="5"/>
      <c r="M153" s="5"/>
      <c r="N153" s="5"/>
      <c r="O153" s="5"/>
      <c r="P153" s="6" t="s">
        <v>45</v>
      </c>
      <c r="Q153" s="5"/>
      <c r="R153" s="5"/>
      <c r="S153" s="5" t="s">
        <v>77</v>
      </c>
      <c r="T153" s="5"/>
      <c r="U153" s="7"/>
      <c r="V153" s="5" t="s">
        <v>411</v>
      </c>
      <c r="W153" s="5" t="s">
        <v>45</v>
      </c>
      <c r="X153" s="5" t="s">
        <v>45</v>
      </c>
      <c r="Y153" s="5"/>
      <c r="Z153" s="5"/>
      <c r="AA153" s="5"/>
      <c r="AB153" s="5"/>
      <c r="AC153" s="5"/>
      <c r="AD153" s="5"/>
      <c r="AE153" s="5"/>
      <c r="AF153" s="5"/>
      <c r="AG153" s="5"/>
      <c r="AH153" s="5"/>
      <c r="AI153" s="5"/>
      <c r="AJ153" s="5"/>
      <c r="AK153" s="5"/>
      <c r="AL153" s="5"/>
      <c r="AM153" s="5"/>
      <c r="AN153" s="5"/>
      <c r="AO153" s="5"/>
      <c r="AP153" s="5" t="s">
        <v>672</v>
      </c>
      <c r="AQ153" s="5"/>
      <c r="AR153" s="5"/>
      <c r="AS153" s="5"/>
      <c r="AT153" s="5" t="s">
        <v>413</v>
      </c>
      <c r="AU153" s="5" t="s">
        <v>104</v>
      </c>
      <c r="AV153" s="5"/>
      <c r="AW153" s="7"/>
      <c r="AX153" s="5"/>
      <c r="AY153" s="5" t="s">
        <v>104</v>
      </c>
      <c r="AZ153" s="5" t="s">
        <v>139</v>
      </c>
      <c r="BA153" s="5" t="s">
        <v>673</v>
      </c>
      <c r="BB153" s="5" t="s">
        <v>416</v>
      </c>
      <c r="BM153" s="5" t="s">
        <v>1749</v>
      </c>
      <c r="BN153" s="5"/>
      <c r="BO153" s="5" t="s">
        <v>1609</v>
      </c>
    </row>
    <row r="154" spans="1:67">
      <c r="A154" s="4" t="s">
        <v>674</v>
      </c>
      <c r="B154" s="5"/>
      <c r="C154" s="5" t="s">
        <v>42</v>
      </c>
      <c r="D154" s="5" t="s">
        <v>92</v>
      </c>
      <c r="E154" s="5" t="s">
        <v>409</v>
      </c>
      <c r="F154" s="5"/>
      <c r="G154" s="5">
        <v>30</v>
      </c>
      <c r="H154" s="5"/>
      <c r="I154" s="5"/>
      <c r="J154" s="5"/>
      <c r="K154" s="5"/>
      <c r="L154" s="5">
        <f>IF(FtWaterAdaptation,20,15)</f>
        <v>15</v>
      </c>
      <c r="M154" s="5"/>
      <c r="N154" s="5"/>
      <c r="O154" s="5"/>
      <c r="P154" s="6" t="s">
        <v>45</v>
      </c>
      <c r="Q154" s="5"/>
      <c r="R154" s="5"/>
      <c r="S154" s="5" t="s">
        <v>77</v>
      </c>
      <c r="T154" s="5"/>
      <c r="U154" s="7"/>
      <c r="V154" s="5" t="s">
        <v>411</v>
      </c>
      <c r="W154" s="5" t="s">
        <v>45</v>
      </c>
      <c r="X154" s="5" t="s">
        <v>45</v>
      </c>
      <c r="Y154" s="5"/>
      <c r="Z154" s="5"/>
      <c r="AA154" s="5"/>
      <c r="AB154" s="5"/>
      <c r="AC154" s="5"/>
      <c r="AD154" s="5"/>
      <c r="AE154" s="5"/>
      <c r="AF154" s="5"/>
      <c r="AG154" s="5"/>
      <c r="AH154" s="5"/>
      <c r="AI154" s="5"/>
      <c r="AJ154" s="5"/>
      <c r="AK154" s="5"/>
      <c r="AL154" s="5"/>
      <c r="AM154" s="5"/>
      <c r="AN154" s="5"/>
      <c r="AO154" s="5"/>
      <c r="AP154" s="5" t="s">
        <v>675</v>
      </c>
      <c r="AQ154" s="5"/>
      <c r="AR154" s="5"/>
      <c r="AS154" s="5"/>
      <c r="AT154" s="5" t="s">
        <v>413</v>
      </c>
      <c r="AU154" s="5" t="s">
        <v>104</v>
      </c>
      <c r="AV154" s="5"/>
      <c r="AW154" s="7"/>
      <c r="AX154" s="5"/>
      <c r="AY154" s="5" t="s">
        <v>104</v>
      </c>
      <c r="AZ154" s="5" t="s">
        <v>139</v>
      </c>
      <c r="BA154" s="5" t="s">
        <v>59</v>
      </c>
      <c r="BB154" s="5" t="s">
        <v>60</v>
      </c>
      <c r="BM154" s="5" t="s">
        <v>1625</v>
      </c>
      <c r="BN154" s="5"/>
      <c r="BO154" s="5" t="s">
        <v>1720</v>
      </c>
    </row>
    <row r="155" spans="1:67">
      <c r="A155" s="4" t="s">
        <v>676</v>
      </c>
      <c r="B155" s="5"/>
      <c r="C155" s="5" t="s">
        <v>42</v>
      </c>
      <c r="D155" s="5" t="s">
        <v>92</v>
      </c>
      <c r="E155" s="5" t="s">
        <v>418</v>
      </c>
      <c r="F155" s="5"/>
      <c r="G155" s="5">
        <v>30</v>
      </c>
      <c r="H155" s="5"/>
      <c r="I155" s="5"/>
      <c r="J155" s="5"/>
      <c r="K155" s="5"/>
      <c r="L155" s="5"/>
      <c r="M155" s="5"/>
      <c r="N155" s="5"/>
      <c r="O155" s="5"/>
      <c r="P155" s="6" t="s">
        <v>677</v>
      </c>
      <c r="Q155" s="5"/>
      <c r="R155" s="5"/>
      <c r="S155" s="5" t="s">
        <v>77</v>
      </c>
      <c r="T155" s="5">
        <v>120</v>
      </c>
      <c r="U155" s="7"/>
      <c r="V155" s="5" t="s">
        <v>411</v>
      </c>
      <c r="W155" s="5" t="s">
        <v>45</v>
      </c>
      <c r="X155" s="5" t="s">
        <v>45</v>
      </c>
      <c r="Y155" s="5"/>
      <c r="Z155" s="5"/>
      <c r="AA155" s="5"/>
      <c r="AB155" s="5"/>
      <c r="AC155" s="5"/>
      <c r="AD155" s="5"/>
      <c r="AE155" s="5"/>
      <c r="AF155" s="5"/>
      <c r="AG155" s="5"/>
      <c r="AH155" s="5"/>
      <c r="AI155" s="5"/>
      <c r="AJ155" s="5"/>
      <c r="AK155" s="5"/>
      <c r="AL155" s="5"/>
      <c r="AM155" s="5"/>
      <c r="AN155" s="5"/>
      <c r="AO155" s="5"/>
      <c r="AP155" s="5" t="s">
        <v>678</v>
      </c>
      <c r="AQ155" s="5"/>
      <c r="AR155" s="5"/>
      <c r="AS155" s="5"/>
      <c r="AT155" s="5" t="s">
        <v>679</v>
      </c>
      <c r="AU155" s="5" t="s">
        <v>680</v>
      </c>
      <c r="AV155" s="5"/>
      <c r="AW155" s="7"/>
      <c r="AX155" s="5"/>
      <c r="AY155" s="5" t="s">
        <v>104</v>
      </c>
      <c r="AZ155" s="5" t="s">
        <v>45</v>
      </c>
      <c r="BA155" s="5" t="s">
        <v>45</v>
      </c>
      <c r="BB155" s="5" t="s">
        <v>45</v>
      </c>
      <c r="BM155" s="5" t="s">
        <v>1737</v>
      </c>
      <c r="BN155" s="5"/>
      <c r="BO155" s="5"/>
    </row>
    <row r="156" spans="1:67">
      <c r="A156" s="4" t="s">
        <v>681</v>
      </c>
      <c r="B156" s="5"/>
      <c r="C156" s="5" t="s">
        <v>42</v>
      </c>
      <c r="D156" s="5" t="s">
        <v>92</v>
      </c>
      <c r="E156" s="5" t="s">
        <v>423</v>
      </c>
      <c r="F156" s="5"/>
      <c r="G156" s="5">
        <v>30</v>
      </c>
      <c r="H156" s="5"/>
      <c r="I156" s="5"/>
      <c r="J156" s="5"/>
      <c r="K156" s="5"/>
      <c r="L156" s="5"/>
      <c r="M156" s="5"/>
      <c r="N156" s="5"/>
      <c r="O156" s="5"/>
      <c r="P156" s="6" t="s">
        <v>45</v>
      </c>
      <c r="Q156" s="5"/>
      <c r="R156" s="5"/>
      <c r="S156" s="5" t="s">
        <v>77</v>
      </c>
      <c r="T156" s="5">
        <v>120</v>
      </c>
      <c r="U156" s="7"/>
      <c r="V156" s="5" t="s">
        <v>411</v>
      </c>
      <c r="W156" s="5" t="s">
        <v>45</v>
      </c>
      <c r="X156" s="5" t="s">
        <v>45</v>
      </c>
      <c r="Y156" s="5"/>
      <c r="Z156" s="5"/>
      <c r="AA156" s="5"/>
      <c r="AB156" s="5"/>
      <c r="AC156" s="5"/>
      <c r="AD156" s="5"/>
      <c r="AE156" s="5"/>
      <c r="AF156" s="5"/>
      <c r="AG156" s="5"/>
      <c r="AH156" s="5"/>
      <c r="AI156" s="5"/>
      <c r="AJ156" s="5"/>
      <c r="AK156" s="5"/>
      <c r="AL156" s="5"/>
      <c r="AM156" s="5"/>
      <c r="AN156" s="5"/>
      <c r="AO156" s="5"/>
      <c r="AP156" s="5" t="s">
        <v>672</v>
      </c>
      <c r="AQ156" s="5"/>
      <c r="AR156" s="5"/>
      <c r="AS156" s="5"/>
      <c r="AT156" s="5" t="s">
        <v>679</v>
      </c>
      <c r="AU156" s="5" t="s">
        <v>680</v>
      </c>
      <c r="AV156" s="5"/>
      <c r="AW156" s="7"/>
      <c r="AX156" s="5"/>
      <c r="AY156" s="5" t="s">
        <v>104</v>
      </c>
      <c r="AZ156" s="5" t="s">
        <v>139</v>
      </c>
      <c r="BA156" s="5" t="s">
        <v>673</v>
      </c>
      <c r="BB156" s="5" t="s">
        <v>416</v>
      </c>
      <c r="BM156" s="5" t="s">
        <v>1626</v>
      </c>
      <c r="BN156" s="5"/>
      <c r="BO156" s="5"/>
    </row>
    <row r="157" spans="1:67">
      <c r="A157" s="4" t="s">
        <v>682</v>
      </c>
      <c r="B157" s="5"/>
      <c r="C157" s="5" t="s">
        <v>42</v>
      </c>
      <c r="D157" s="5" t="s">
        <v>92</v>
      </c>
      <c r="E157" s="5" t="s">
        <v>418</v>
      </c>
      <c r="F157" s="5"/>
      <c r="G157" s="5">
        <v>30</v>
      </c>
      <c r="H157" s="5"/>
      <c r="I157" s="5"/>
      <c r="J157" s="5"/>
      <c r="K157" s="5"/>
      <c r="L157" s="5"/>
      <c r="M157" s="5"/>
      <c r="N157" s="5"/>
      <c r="O157" s="5"/>
      <c r="P157" s="6" t="s">
        <v>45</v>
      </c>
      <c r="Q157" s="5"/>
      <c r="R157" s="5"/>
      <c r="S157" s="5" t="s">
        <v>77</v>
      </c>
      <c r="T157" s="5"/>
      <c r="U157" s="7"/>
      <c r="V157" s="5" t="s">
        <v>411</v>
      </c>
      <c r="W157" s="5" t="s">
        <v>45</v>
      </c>
      <c r="X157" s="5" t="s">
        <v>45</v>
      </c>
      <c r="Y157" s="5"/>
      <c r="Z157" s="5"/>
      <c r="AA157" s="5"/>
      <c r="AB157" s="5"/>
      <c r="AC157" s="5"/>
      <c r="AD157" s="5"/>
      <c r="AE157" s="5"/>
      <c r="AF157" s="5"/>
      <c r="AG157" s="5"/>
      <c r="AH157" s="5"/>
      <c r="AI157" s="5"/>
      <c r="AJ157" s="5"/>
      <c r="AK157" s="5"/>
      <c r="AL157" s="5"/>
      <c r="AM157" s="5"/>
      <c r="AN157" s="5"/>
      <c r="AO157" s="5"/>
      <c r="AP157" s="5" t="s">
        <v>405</v>
      </c>
      <c r="AQ157" s="5"/>
      <c r="AR157" s="5"/>
      <c r="AS157" s="5"/>
      <c r="AT157" s="5" t="s">
        <v>413</v>
      </c>
      <c r="AU157" s="5" t="s">
        <v>104</v>
      </c>
      <c r="AV157" s="5"/>
      <c r="AW157" s="7"/>
      <c r="AX157" s="5"/>
      <c r="AY157" s="5" t="s">
        <v>104</v>
      </c>
      <c r="AZ157" s="5" t="s">
        <v>45</v>
      </c>
      <c r="BA157" s="5" t="s">
        <v>45</v>
      </c>
      <c r="BB157" s="5" t="s">
        <v>45</v>
      </c>
      <c r="BM157" s="5" t="s">
        <v>1737</v>
      </c>
      <c r="BN157" s="5"/>
      <c r="BO157" s="5"/>
    </row>
    <row r="158" spans="1:67">
      <c r="A158" s="4" t="s">
        <v>683</v>
      </c>
      <c r="B158" s="5"/>
      <c r="C158" s="5" t="s">
        <v>42</v>
      </c>
      <c r="D158" s="5" t="s">
        <v>173</v>
      </c>
      <c r="E158" s="5"/>
      <c r="F158" s="5"/>
      <c r="G158" s="5">
        <v>30</v>
      </c>
      <c r="H158" s="5"/>
      <c r="I158" s="5"/>
      <c r="J158" s="5"/>
      <c r="K158" s="5"/>
      <c r="L158" s="5"/>
      <c r="M158" s="5"/>
      <c r="N158" s="5"/>
      <c r="O158" s="5"/>
      <c r="P158" s="6" t="s">
        <v>45</v>
      </c>
      <c r="Q158" s="5"/>
      <c r="R158" s="5"/>
      <c r="S158" s="5" t="s">
        <v>77</v>
      </c>
      <c r="T158" s="5"/>
      <c r="U158" s="7"/>
      <c r="V158" s="5"/>
      <c r="W158" s="5" t="s">
        <v>45</v>
      </c>
      <c r="X158" s="5" t="s">
        <v>45</v>
      </c>
      <c r="Y158" s="5"/>
      <c r="Z158" s="5"/>
      <c r="AA158" s="5"/>
      <c r="AB158" s="5"/>
      <c r="AC158" s="5"/>
      <c r="AD158" s="5">
        <v>2</v>
      </c>
      <c r="AE158" s="5">
        <v>-2</v>
      </c>
      <c r="AF158" s="5">
        <v>2</v>
      </c>
      <c r="AG158" s="5"/>
      <c r="AH158" s="5"/>
      <c r="AI158" s="5"/>
      <c r="AJ158" s="5"/>
      <c r="AK158" s="5"/>
      <c r="AL158" s="5"/>
      <c r="AM158" s="5"/>
      <c r="AN158" s="5"/>
      <c r="AO158" s="5"/>
      <c r="AP158" s="5"/>
      <c r="AQ158" s="5"/>
      <c r="AR158" s="5"/>
      <c r="AS158" s="5"/>
      <c r="AT158" s="5" t="s">
        <v>102</v>
      </c>
      <c r="AU158" s="5" t="s">
        <v>684</v>
      </c>
      <c r="AV158" s="5"/>
      <c r="AW158" s="7"/>
      <c r="AX158" s="5">
        <v>1</v>
      </c>
      <c r="AY158" s="5" t="s">
        <v>685</v>
      </c>
      <c r="AZ158" s="5" t="s">
        <v>686</v>
      </c>
      <c r="BA158" s="5" t="s">
        <v>687</v>
      </c>
      <c r="BB158" s="5" t="s">
        <v>688</v>
      </c>
      <c r="BM158" s="5" t="s">
        <v>1724</v>
      </c>
      <c r="BN158" s="5">
        <v>200</v>
      </c>
      <c r="BO158" s="5" t="s">
        <v>1717</v>
      </c>
    </row>
    <row r="159" spans="1:67">
      <c r="A159" s="4" t="s">
        <v>689</v>
      </c>
      <c r="B159" s="5"/>
      <c r="C159" s="5" t="s">
        <v>42</v>
      </c>
      <c r="D159" s="5" t="s">
        <v>92</v>
      </c>
      <c r="E159" s="5" t="s">
        <v>690</v>
      </c>
      <c r="F159" s="5"/>
      <c r="G159" s="5">
        <v>30</v>
      </c>
      <c r="H159" s="5"/>
      <c r="I159" s="5"/>
      <c r="J159" s="5"/>
      <c r="K159" s="5"/>
      <c r="L159" s="5"/>
      <c r="M159" s="5"/>
      <c r="N159" s="5"/>
      <c r="O159" s="5"/>
      <c r="P159" s="6" t="s">
        <v>45</v>
      </c>
      <c r="Q159" s="5"/>
      <c r="R159" s="5"/>
      <c r="S159" s="5"/>
      <c r="T159" s="5"/>
      <c r="U159" s="7"/>
      <c r="V159" s="5"/>
      <c r="W159" s="5" t="s">
        <v>45</v>
      </c>
      <c r="X159" s="5" t="s">
        <v>45</v>
      </c>
      <c r="Y159" s="5"/>
      <c r="Z159" s="5"/>
      <c r="AA159" s="5"/>
      <c r="AB159" s="5"/>
      <c r="AC159" s="5"/>
      <c r="AD159" s="5"/>
      <c r="AE159" s="5"/>
      <c r="AF159" s="5"/>
      <c r="AG159" s="5"/>
      <c r="AH159" s="5"/>
      <c r="AI159" s="5"/>
      <c r="AJ159" s="5"/>
      <c r="AK159" s="5"/>
      <c r="AL159" s="5"/>
      <c r="AM159" s="5"/>
      <c r="AN159" s="5"/>
      <c r="AO159" s="5"/>
      <c r="AP159" s="5" t="s">
        <v>691</v>
      </c>
      <c r="AQ159" s="5"/>
      <c r="AR159" s="5"/>
      <c r="AS159" s="5"/>
      <c r="AT159" s="5" t="s">
        <v>692</v>
      </c>
      <c r="AU159" s="5" t="s">
        <v>104</v>
      </c>
      <c r="AV159" s="5"/>
      <c r="AW159" s="7"/>
      <c r="AX159" s="5"/>
      <c r="AY159" s="5" t="s">
        <v>104</v>
      </c>
      <c r="AZ159" s="5" t="s">
        <v>45</v>
      </c>
      <c r="BA159" s="5" t="s">
        <v>45</v>
      </c>
      <c r="BB159" s="5" t="s">
        <v>45</v>
      </c>
      <c r="BM159" s="5" t="s">
        <v>1738</v>
      </c>
      <c r="BN159" s="5"/>
      <c r="BO159" s="5"/>
    </row>
    <row r="160" spans="1:67">
      <c r="A160" s="4" t="s">
        <v>693</v>
      </c>
      <c r="B160" s="5"/>
      <c r="C160" s="5" t="s">
        <v>85</v>
      </c>
      <c r="D160" s="5" t="s">
        <v>92</v>
      </c>
      <c r="E160" s="5" t="s">
        <v>469</v>
      </c>
      <c r="F160" s="5"/>
      <c r="G160" s="5">
        <v>20</v>
      </c>
      <c r="H160" s="5"/>
      <c r="I160" s="5"/>
      <c r="J160" s="5"/>
      <c r="K160" s="5"/>
      <c r="L160" s="5"/>
      <c r="M160" s="5"/>
      <c r="N160" s="5"/>
      <c r="O160" s="5"/>
      <c r="P160" s="6" t="s">
        <v>45</v>
      </c>
      <c r="Q160" s="5"/>
      <c r="R160" s="5"/>
      <c r="S160" s="5"/>
      <c r="T160" s="5">
        <v>60</v>
      </c>
      <c r="U160" s="7"/>
      <c r="V160" s="5"/>
      <c r="W160" s="5" t="s">
        <v>45</v>
      </c>
      <c r="X160" s="5" t="s">
        <v>45</v>
      </c>
      <c r="Y160" s="5"/>
      <c r="Z160" s="5"/>
      <c r="AA160" s="5"/>
      <c r="AB160" s="5"/>
      <c r="AC160" s="5"/>
      <c r="AD160" s="5">
        <v>-2</v>
      </c>
      <c r="AE160" s="5">
        <v>2</v>
      </c>
      <c r="AF160" s="5"/>
      <c r="AG160" s="5"/>
      <c r="AH160" s="5"/>
      <c r="AI160" s="5"/>
      <c r="AJ160" s="5"/>
      <c r="AK160" s="5"/>
      <c r="AL160" s="5"/>
      <c r="AM160" s="5"/>
      <c r="AN160" s="5"/>
      <c r="AO160" s="5"/>
      <c r="AP160" s="5" t="s">
        <v>184</v>
      </c>
      <c r="AQ160" s="5"/>
      <c r="AR160" s="5"/>
      <c r="AS160" s="5"/>
      <c r="AT160" s="5" t="s">
        <v>694</v>
      </c>
      <c r="AU160" s="5" t="s">
        <v>695</v>
      </c>
      <c r="AV160" s="5"/>
      <c r="AW160" s="7"/>
      <c r="AX160" s="5"/>
      <c r="AY160" s="5" t="s">
        <v>95</v>
      </c>
      <c r="AZ160" s="5" t="s">
        <v>45</v>
      </c>
      <c r="BA160" s="5" t="s">
        <v>45</v>
      </c>
      <c r="BB160" s="5" t="s">
        <v>45</v>
      </c>
      <c r="BM160" s="5" t="s">
        <v>1609</v>
      </c>
      <c r="BN160" s="5">
        <v>150</v>
      </c>
      <c r="BO160" s="5"/>
    </row>
    <row r="161" spans="1:67">
      <c r="A161" s="4" t="s">
        <v>696</v>
      </c>
      <c r="B161" s="5"/>
      <c r="C161" s="5" t="s">
        <v>85</v>
      </c>
      <c r="D161" s="5" t="s">
        <v>92</v>
      </c>
      <c r="E161" s="5" t="s">
        <v>469</v>
      </c>
      <c r="F161" s="5"/>
      <c r="G161" s="5">
        <v>20</v>
      </c>
      <c r="H161" s="5"/>
      <c r="I161" s="5"/>
      <c r="J161" s="5"/>
      <c r="K161" s="5"/>
      <c r="L161" s="5"/>
      <c r="M161" s="5"/>
      <c r="N161" s="5"/>
      <c r="O161" s="5"/>
      <c r="P161" s="6" t="s">
        <v>45</v>
      </c>
      <c r="Q161" s="5"/>
      <c r="R161" s="5"/>
      <c r="S161" s="5"/>
      <c r="T161" s="5"/>
      <c r="U161" s="7"/>
      <c r="V161" s="5"/>
      <c r="W161" s="5" t="s">
        <v>45</v>
      </c>
      <c r="X161" s="5" t="s">
        <v>45</v>
      </c>
      <c r="Y161" s="5"/>
      <c r="Z161" s="5"/>
      <c r="AA161" s="5"/>
      <c r="AB161" s="5"/>
      <c r="AC161" s="5"/>
      <c r="AD161" s="5">
        <v>-2</v>
      </c>
      <c r="AE161" s="5">
        <v>2</v>
      </c>
      <c r="AF161" s="5"/>
      <c r="AG161" s="5"/>
      <c r="AH161" s="5"/>
      <c r="AI161" s="5"/>
      <c r="AJ161" s="5"/>
      <c r="AK161" s="5"/>
      <c r="AL161" s="5"/>
      <c r="AM161" s="5"/>
      <c r="AN161" s="5"/>
      <c r="AO161" s="5"/>
      <c r="AP161" s="5" t="s">
        <v>620</v>
      </c>
      <c r="AQ161" s="5"/>
      <c r="AR161" s="5"/>
      <c r="AS161" s="5"/>
      <c r="AT161" s="5" t="s">
        <v>697</v>
      </c>
      <c r="AU161" s="5" t="s">
        <v>698</v>
      </c>
      <c r="AV161" s="5"/>
      <c r="AW161" s="7"/>
      <c r="AX161" s="5"/>
      <c r="AY161" s="5" t="s">
        <v>125</v>
      </c>
      <c r="AZ161" s="5" t="s">
        <v>699</v>
      </c>
      <c r="BA161" s="5" t="s">
        <v>404</v>
      </c>
      <c r="BB161" s="5" t="s">
        <v>581</v>
      </c>
      <c r="BM161" s="5" t="s">
        <v>1625</v>
      </c>
      <c r="BN161" s="5"/>
      <c r="BO161" s="5"/>
    </row>
    <row r="162" spans="1:67">
      <c r="A162" s="4" t="s">
        <v>700</v>
      </c>
      <c r="B162" s="5"/>
      <c r="C162" s="5" t="s">
        <v>85</v>
      </c>
      <c r="D162" s="5" t="s">
        <v>92</v>
      </c>
      <c r="E162" s="5" t="s">
        <v>701</v>
      </c>
      <c r="F162" s="5"/>
      <c r="G162" s="5">
        <v>20</v>
      </c>
      <c r="H162" s="5"/>
      <c r="I162" s="5"/>
      <c r="J162" s="5"/>
      <c r="K162" s="5"/>
      <c r="L162" s="5"/>
      <c r="M162" s="5"/>
      <c r="N162" s="5"/>
      <c r="O162" s="5"/>
      <c r="P162" s="6" t="s">
        <v>45</v>
      </c>
      <c r="Q162" s="5"/>
      <c r="R162" s="5"/>
      <c r="S162" s="5"/>
      <c r="T162" s="5"/>
      <c r="U162" s="7"/>
      <c r="V162" s="5"/>
      <c r="W162" s="5" t="s">
        <v>45</v>
      </c>
      <c r="X162" s="5" t="s">
        <v>45</v>
      </c>
      <c r="Y162" s="5"/>
      <c r="Z162" s="5"/>
      <c r="AA162" s="5"/>
      <c r="AB162" s="5"/>
      <c r="AC162" s="5"/>
      <c r="AD162" s="5">
        <v>-2</v>
      </c>
      <c r="AE162" s="5">
        <v>2</v>
      </c>
      <c r="AF162" s="5"/>
      <c r="AG162" s="5"/>
      <c r="AH162" s="5"/>
      <c r="AI162" s="5"/>
      <c r="AJ162" s="5"/>
      <c r="AK162" s="5"/>
      <c r="AL162" s="5"/>
      <c r="AM162" s="5"/>
      <c r="AN162" s="5"/>
      <c r="AO162" s="5"/>
      <c r="AP162" s="5" t="s">
        <v>702</v>
      </c>
      <c r="AQ162" s="5"/>
      <c r="AR162" s="5"/>
      <c r="AS162" s="5"/>
      <c r="AT162" s="5" t="s">
        <v>697</v>
      </c>
      <c r="AU162" s="5" t="s">
        <v>695</v>
      </c>
      <c r="AV162" s="5"/>
      <c r="AW162" s="7"/>
      <c r="AX162" s="5"/>
      <c r="AY162" s="5" t="s">
        <v>95</v>
      </c>
      <c r="AZ162" s="5" t="s">
        <v>45</v>
      </c>
      <c r="BA162" s="5" t="s">
        <v>45</v>
      </c>
      <c r="BB162" s="5" t="s">
        <v>45</v>
      </c>
      <c r="BM162" s="5" t="s">
        <v>1737</v>
      </c>
      <c r="BN162" s="5"/>
      <c r="BO162" s="5"/>
    </row>
    <row r="163" spans="1:67">
      <c r="A163" s="4" t="s">
        <v>703</v>
      </c>
      <c r="B163" s="5"/>
      <c r="C163" s="5" t="s">
        <v>85</v>
      </c>
      <c r="D163" s="5" t="s">
        <v>92</v>
      </c>
      <c r="E163" s="5" t="s">
        <v>469</v>
      </c>
      <c r="F163" s="5"/>
      <c r="G163" s="5">
        <v>20</v>
      </c>
      <c r="H163" s="5"/>
      <c r="I163" s="5"/>
      <c r="J163" s="5"/>
      <c r="K163" s="5"/>
      <c r="L163" s="5"/>
      <c r="M163" s="5"/>
      <c r="N163" s="5"/>
      <c r="O163" s="5"/>
      <c r="P163" s="6" t="s">
        <v>45</v>
      </c>
      <c r="Q163" s="5"/>
      <c r="R163" s="5"/>
      <c r="S163" s="5"/>
      <c r="T163" s="5"/>
      <c r="U163" s="7"/>
      <c r="V163" s="5"/>
      <c r="W163" s="5" t="s">
        <v>45</v>
      </c>
      <c r="X163" s="5" t="s">
        <v>45</v>
      </c>
      <c r="Y163" s="5"/>
      <c r="Z163" s="5"/>
      <c r="AA163" s="5"/>
      <c r="AB163" s="5"/>
      <c r="AC163" s="5"/>
      <c r="AD163" s="5">
        <v>-2</v>
      </c>
      <c r="AE163" s="5">
        <v>2</v>
      </c>
      <c r="AF163" s="5"/>
      <c r="AG163" s="5"/>
      <c r="AH163" s="5"/>
      <c r="AI163" s="5"/>
      <c r="AJ163" s="5"/>
      <c r="AK163" s="5"/>
      <c r="AL163" s="5"/>
      <c r="AM163" s="5"/>
      <c r="AN163" s="5"/>
      <c r="AO163" s="5"/>
      <c r="AP163" s="5" t="s">
        <v>620</v>
      </c>
      <c r="AQ163" s="5"/>
      <c r="AR163" s="5"/>
      <c r="AS163" s="5"/>
      <c r="AT163" s="5" t="s">
        <v>697</v>
      </c>
      <c r="AU163" s="5" t="s">
        <v>695</v>
      </c>
      <c r="AV163" s="5"/>
      <c r="AW163" s="7"/>
      <c r="AX163" s="5"/>
      <c r="AY163" s="5" t="s">
        <v>95</v>
      </c>
      <c r="AZ163" s="5" t="s">
        <v>699</v>
      </c>
      <c r="BA163" s="5" t="s">
        <v>404</v>
      </c>
      <c r="BB163" s="5" t="s">
        <v>581</v>
      </c>
      <c r="BM163" s="5" t="s">
        <v>1749</v>
      </c>
      <c r="BN163" s="5"/>
      <c r="BO163" s="5"/>
    </row>
    <row r="164" spans="1:67">
      <c r="A164" s="4" t="s">
        <v>704</v>
      </c>
      <c r="B164" s="5"/>
      <c r="C164" s="5" t="s">
        <v>85</v>
      </c>
      <c r="D164" s="5" t="s">
        <v>92</v>
      </c>
      <c r="E164" s="5" t="s">
        <v>705</v>
      </c>
      <c r="F164" s="5"/>
      <c r="G164" s="5">
        <v>20</v>
      </c>
      <c r="H164" s="5"/>
      <c r="I164" s="5"/>
      <c r="J164" s="5"/>
      <c r="K164" s="5"/>
      <c r="L164" s="5">
        <v>20</v>
      </c>
      <c r="M164" s="5"/>
      <c r="N164" s="5"/>
      <c r="O164" s="5"/>
      <c r="P164" s="6" t="s">
        <v>45</v>
      </c>
      <c r="Q164" s="5"/>
      <c r="R164" s="5"/>
      <c r="S164" s="5"/>
      <c r="T164" s="5"/>
      <c r="U164" s="7"/>
      <c r="V164" s="5"/>
      <c r="W164" s="5" t="s">
        <v>45</v>
      </c>
      <c r="X164" s="5" t="s">
        <v>45</v>
      </c>
      <c r="Y164" s="5"/>
      <c r="Z164" s="5"/>
      <c r="AA164" s="5"/>
      <c r="AB164" s="5"/>
      <c r="AC164" s="5"/>
      <c r="AD164" s="5">
        <v>-2</v>
      </c>
      <c r="AE164" s="5">
        <v>2</v>
      </c>
      <c r="AF164" s="5"/>
      <c r="AG164" s="5"/>
      <c r="AH164" s="5"/>
      <c r="AI164" s="5"/>
      <c r="AJ164" s="5"/>
      <c r="AK164" s="5"/>
      <c r="AL164" s="5"/>
      <c r="AM164" s="5"/>
      <c r="AN164" s="5"/>
      <c r="AO164" s="5"/>
      <c r="AP164" s="5" t="s">
        <v>706</v>
      </c>
      <c r="AQ164" s="5"/>
      <c r="AR164" s="5"/>
      <c r="AS164" s="5"/>
      <c r="AT164" s="5" t="s">
        <v>697</v>
      </c>
      <c r="AU164" s="5" t="s">
        <v>695</v>
      </c>
      <c r="AV164" s="5"/>
      <c r="AW164" s="7"/>
      <c r="AX164" s="5"/>
      <c r="AY164" s="5" t="s">
        <v>95</v>
      </c>
      <c r="AZ164" s="5" t="s">
        <v>45</v>
      </c>
      <c r="BA164" s="5" t="s">
        <v>45</v>
      </c>
      <c r="BB164" s="5" t="s">
        <v>45</v>
      </c>
      <c r="BM164" s="5" t="s">
        <v>1720</v>
      </c>
      <c r="BN164" s="5"/>
      <c r="BO164" s="5"/>
    </row>
    <row r="165" spans="1:67">
      <c r="A165" s="4" t="s">
        <v>707</v>
      </c>
      <c r="B165" s="5"/>
      <c r="C165" s="5" t="s">
        <v>85</v>
      </c>
      <c r="D165" s="5" t="s">
        <v>92</v>
      </c>
      <c r="E165" s="5" t="s">
        <v>469</v>
      </c>
      <c r="F165" s="5"/>
      <c r="G165" s="5">
        <v>20</v>
      </c>
      <c r="H165" s="5"/>
      <c r="I165" s="5"/>
      <c r="J165" s="5"/>
      <c r="K165" s="5"/>
      <c r="L165" s="5"/>
      <c r="M165" s="5"/>
      <c r="N165" s="5"/>
      <c r="O165" s="5"/>
      <c r="P165" s="6" t="s">
        <v>45</v>
      </c>
      <c r="Q165" s="5"/>
      <c r="R165" s="5"/>
      <c r="S165" s="5"/>
      <c r="T165" s="5"/>
      <c r="U165" s="7"/>
      <c r="V165" s="5"/>
      <c r="W165" s="5" t="s">
        <v>45</v>
      </c>
      <c r="X165" s="5" t="s">
        <v>45</v>
      </c>
      <c r="Y165" s="5"/>
      <c r="Z165" s="5"/>
      <c r="AA165" s="5"/>
      <c r="AB165" s="5"/>
      <c r="AC165" s="5"/>
      <c r="AD165" s="5">
        <v>-2</v>
      </c>
      <c r="AE165" s="5">
        <v>2</v>
      </c>
      <c r="AF165" s="5"/>
      <c r="AG165" s="5"/>
      <c r="AH165" s="5"/>
      <c r="AI165" s="5"/>
      <c r="AJ165" s="5"/>
      <c r="AK165" s="5"/>
      <c r="AL165" s="5"/>
      <c r="AM165" s="5"/>
      <c r="AN165" s="5"/>
      <c r="AO165" s="5"/>
      <c r="AP165" s="5" t="s">
        <v>620</v>
      </c>
      <c r="AQ165" s="5"/>
      <c r="AR165" s="5"/>
      <c r="AS165" s="5"/>
      <c r="AT165" s="5" t="s">
        <v>697</v>
      </c>
      <c r="AU165" s="5" t="s">
        <v>708</v>
      </c>
      <c r="AV165" s="5"/>
      <c r="AW165" s="7"/>
      <c r="AX165" s="5"/>
      <c r="AY165" s="5" t="s">
        <v>95</v>
      </c>
      <c r="AZ165" s="5" t="s">
        <v>699</v>
      </c>
      <c r="BA165" s="5" t="s">
        <v>404</v>
      </c>
      <c r="BB165" s="5" t="s">
        <v>581</v>
      </c>
      <c r="BM165" s="5" t="s">
        <v>1625</v>
      </c>
      <c r="BN165" s="5"/>
      <c r="BO165" s="5"/>
    </row>
    <row r="166" spans="1:67">
      <c r="A166" s="4" t="s">
        <v>709</v>
      </c>
      <c r="B166" s="5"/>
      <c r="C166" s="5" t="s">
        <v>85</v>
      </c>
      <c r="D166" s="5" t="s">
        <v>92</v>
      </c>
      <c r="E166" s="5" t="s">
        <v>469</v>
      </c>
      <c r="F166" s="5"/>
      <c r="G166" s="5">
        <v>20</v>
      </c>
      <c r="H166" s="5"/>
      <c r="I166" s="5"/>
      <c r="J166" s="5"/>
      <c r="K166" s="5"/>
      <c r="L166" s="5"/>
      <c r="M166" s="5"/>
      <c r="N166" s="5"/>
      <c r="O166" s="5"/>
      <c r="P166" s="6" t="s">
        <v>45</v>
      </c>
      <c r="Q166" s="5"/>
      <c r="R166" s="5"/>
      <c r="S166" s="5"/>
      <c r="T166" s="5"/>
      <c r="U166" s="7"/>
      <c r="V166" s="5"/>
      <c r="W166" s="5" t="s">
        <v>45</v>
      </c>
      <c r="X166" s="5" t="s">
        <v>45</v>
      </c>
      <c r="Y166" s="5"/>
      <c r="Z166" s="5"/>
      <c r="AA166" s="5"/>
      <c r="AB166" s="5"/>
      <c r="AC166" s="5"/>
      <c r="AD166" s="5">
        <v>-2</v>
      </c>
      <c r="AE166" s="5">
        <v>2</v>
      </c>
      <c r="AF166" s="5"/>
      <c r="AG166" s="5"/>
      <c r="AH166" s="5"/>
      <c r="AI166" s="5"/>
      <c r="AJ166" s="5"/>
      <c r="AK166" s="5"/>
      <c r="AL166" s="5"/>
      <c r="AM166" s="5"/>
      <c r="AN166" s="5"/>
      <c r="AO166" s="5"/>
      <c r="AP166" s="5" t="s">
        <v>425</v>
      </c>
      <c r="AQ166" s="5"/>
      <c r="AR166" s="5"/>
      <c r="AS166" s="5"/>
      <c r="AT166" s="5" t="s">
        <v>697</v>
      </c>
      <c r="AU166" s="5" t="s">
        <v>695</v>
      </c>
      <c r="AV166" s="5"/>
      <c r="AW166" s="7"/>
      <c r="AX166" s="5"/>
      <c r="AY166" s="5" t="s">
        <v>95</v>
      </c>
      <c r="AZ166" s="5" t="s">
        <v>45</v>
      </c>
      <c r="BA166" s="5" t="s">
        <v>45</v>
      </c>
      <c r="BB166" s="5" t="s">
        <v>45</v>
      </c>
      <c r="BM166" s="5" t="s">
        <v>1609</v>
      </c>
      <c r="BN166" s="5">
        <v>149</v>
      </c>
      <c r="BO166" s="5"/>
    </row>
    <row r="167" spans="1:67">
      <c r="A167" s="4" t="s">
        <v>710</v>
      </c>
      <c r="B167" s="5"/>
      <c r="C167" s="5" t="s">
        <v>85</v>
      </c>
      <c r="D167" s="5" t="s">
        <v>92</v>
      </c>
      <c r="E167" s="5" t="s">
        <v>469</v>
      </c>
      <c r="F167" s="5"/>
      <c r="G167" s="5">
        <v>20</v>
      </c>
      <c r="H167" s="5"/>
      <c r="I167" s="5"/>
      <c r="J167" s="5"/>
      <c r="K167" s="5"/>
      <c r="L167" s="5"/>
      <c r="M167" s="5"/>
      <c r="N167" s="5"/>
      <c r="O167" s="5"/>
      <c r="P167" s="6" t="s">
        <v>45</v>
      </c>
      <c r="Q167" s="5"/>
      <c r="R167" s="5"/>
      <c r="S167" s="5"/>
      <c r="T167" s="5"/>
      <c r="U167" s="7"/>
      <c r="V167" s="5"/>
      <c r="W167" s="5" t="s">
        <v>45</v>
      </c>
      <c r="X167" s="5" t="s">
        <v>45</v>
      </c>
      <c r="Y167" s="5"/>
      <c r="Z167" s="5"/>
      <c r="AA167" s="5"/>
      <c r="AB167" s="5"/>
      <c r="AC167" s="5"/>
      <c r="AD167" s="5">
        <v>-2</v>
      </c>
      <c r="AE167" s="5">
        <v>2</v>
      </c>
      <c r="AF167" s="5"/>
      <c r="AG167" s="5"/>
      <c r="AH167" s="5"/>
      <c r="AI167" s="5"/>
      <c r="AJ167" s="5"/>
      <c r="AK167" s="5"/>
      <c r="AL167" s="5"/>
      <c r="AM167" s="5"/>
      <c r="AN167" s="5"/>
      <c r="AO167" s="5"/>
      <c r="AP167" s="5" t="s">
        <v>711</v>
      </c>
      <c r="AQ167" s="5"/>
      <c r="AR167" s="5"/>
      <c r="AS167" s="5"/>
      <c r="AT167" s="5" t="s">
        <v>697</v>
      </c>
      <c r="AU167" s="5" t="s">
        <v>695</v>
      </c>
      <c r="AV167" s="5"/>
      <c r="AW167" s="7"/>
      <c r="AX167" s="5"/>
      <c r="AY167" s="5" t="s">
        <v>49</v>
      </c>
      <c r="AZ167" s="5" t="s">
        <v>699</v>
      </c>
      <c r="BA167" s="5" t="s">
        <v>404</v>
      </c>
      <c r="BB167" s="5" t="s">
        <v>581</v>
      </c>
      <c r="BM167" s="5" t="s">
        <v>1731</v>
      </c>
      <c r="BN167" s="5"/>
      <c r="BO167" s="5"/>
    </row>
    <row r="168" spans="1:67">
      <c r="A168" s="4" t="s">
        <v>712</v>
      </c>
      <c r="B168" s="5"/>
      <c r="C168" s="5" t="str">
        <f>IF(HRDLCS,"Medium","Large")</f>
        <v>Large</v>
      </c>
      <c r="D168" s="5" t="s">
        <v>173</v>
      </c>
      <c r="E168" s="5"/>
      <c r="F168" s="5"/>
      <c r="G168" s="5">
        <v>30</v>
      </c>
      <c r="H168" s="5"/>
      <c r="I168" s="5"/>
      <c r="J168" s="5"/>
      <c r="K168" s="5"/>
      <c r="L168" s="5"/>
      <c r="M168" s="5">
        <f>IF(HRDLCS,1,4)</f>
        <v>4</v>
      </c>
      <c r="N168" s="5"/>
      <c r="O168" s="5"/>
      <c r="P168" s="6" t="s">
        <v>45</v>
      </c>
      <c r="Q168" s="5"/>
      <c r="R168" s="5"/>
      <c r="S168" s="5" t="str">
        <f>IF(HRDLCS,"normal","")</f>
        <v/>
      </c>
      <c r="T168" s="5">
        <v>60</v>
      </c>
      <c r="U168" s="7"/>
      <c r="V168" s="5"/>
      <c r="W168" s="5" t="s">
        <v>45</v>
      </c>
      <c r="X168" s="5" t="s">
        <v>45</v>
      </c>
      <c r="Y168" s="5"/>
      <c r="Z168" s="5"/>
      <c r="AA168" s="5"/>
      <c r="AB168" s="5"/>
      <c r="AC168" s="5"/>
      <c r="AD168" s="5">
        <f>IF(HRDLCS,4,6)</f>
        <v>6</v>
      </c>
      <c r="AE168" s="5">
        <f>IF(HRDLCS,0,-2)</f>
        <v>-2</v>
      </c>
      <c r="AF168" s="5">
        <v>2</v>
      </c>
      <c r="AG168" s="5">
        <v>-2</v>
      </c>
      <c r="AH168" s="5"/>
      <c r="AI168" s="5">
        <v>-2</v>
      </c>
      <c r="AJ168" s="5"/>
      <c r="AK168" s="5"/>
      <c r="AL168" s="5"/>
      <c r="AM168" s="5"/>
      <c r="AN168" s="5"/>
      <c r="AO168" s="5"/>
      <c r="AP168" s="5"/>
      <c r="AQ168" s="5"/>
      <c r="AR168" s="5"/>
      <c r="AS168" s="5"/>
      <c r="AT168" s="5" t="str">
        <f>IF(HRDLCS,"Common, Ogre","Common, Giant")</f>
        <v>Common, Giant</v>
      </c>
      <c r="AU168" s="5" t="str">
        <f>IF(HRDLCS,"Goblin, Kothian, High Ogre","Draconic, Gnoll, Goblin, Orc, Abyssal")</f>
        <v>Draconic, Gnoll, Goblin, Orc, Abyssal</v>
      </c>
      <c r="AV168" s="5"/>
      <c r="AW168" s="7"/>
      <c r="AX168" s="5">
        <f>IF(HRDLCS,1,2)</f>
        <v>2</v>
      </c>
      <c r="AY168" s="5" t="str">
        <f>IF(HRDLCS,"Fighter","Barbarian")</f>
        <v>Barbarian</v>
      </c>
      <c r="AZ168" s="5" t="s">
        <v>209</v>
      </c>
      <c r="BA168" s="5" t="s">
        <v>713</v>
      </c>
      <c r="BB168" s="5" t="s">
        <v>714</v>
      </c>
      <c r="BM168" s="5" t="s">
        <v>1716</v>
      </c>
      <c r="BN168" s="5">
        <v>96</v>
      </c>
      <c r="BO168" s="5" t="s">
        <v>1760</v>
      </c>
    </row>
    <row r="169" spans="1:67">
      <c r="A169" s="4" t="s">
        <v>715</v>
      </c>
      <c r="B169" s="5"/>
      <c r="C169" s="5" t="s">
        <v>42</v>
      </c>
      <c r="D169" s="5" t="s">
        <v>92</v>
      </c>
      <c r="E169" s="5" t="s">
        <v>470</v>
      </c>
      <c r="F169" s="5"/>
      <c r="G169" s="5">
        <v>30</v>
      </c>
      <c r="H169" s="5"/>
      <c r="I169" s="5"/>
      <c r="J169" s="5"/>
      <c r="K169" s="5"/>
      <c r="L169" s="5"/>
      <c r="M169" s="5"/>
      <c r="N169" s="5"/>
      <c r="O169" s="5"/>
      <c r="P169" s="6" t="s">
        <v>45</v>
      </c>
      <c r="Q169" s="5"/>
      <c r="R169" s="5"/>
      <c r="S169" s="5"/>
      <c r="T169" s="5">
        <v>60</v>
      </c>
      <c r="U169" s="7"/>
      <c r="V169" s="5"/>
      <c r="W169" s="5" t="s">
        <v>45</v>
      </c>
      <c r="X169" s="5" t="s">
        <v>45</v>
      </c>
      <c r="Y169" s="5"/>
      <c r="Z169" s="5"/>
      <c r="AA169" s="5"/>
      <c r="AB169" s="5"/>
      <c r="AC169" s="5"/>
      <c r="AD169" s="5">
        <v>2</v>
      </c>
      <c r="AE169" s="5"/>
      <c r="AF169" s="5"/>
      <c r="AG169" s="5">
        <v>-2</v>
      </c>
      <c r="AH169" s="5"/>
      <c r="AI169" s="5">
        <v>-2</v>
      </c>
      <c r="AJ169" s="5"/>
      <c r="AK169" s="5"/>
      <c r="AL169" s="5"/>
      <c r="AM169" s="5"/>
      <c r="AN169" s="5"/>
      <c r="AO169" s="5"/>
      <c r="AP169" s="5"/>
      <c r="AQ169" s="5"/>
      <c r="AR169" s="5"/>
      <c r="AS169" s="5"/>
      <c r="AT169" s="5" t="s">
        <v>190</v>
      </c>
      <c r="AU169" s="5" t="s">
        <v>191</v>
      </c>
      <c r="AV169" s="5"/>
      <c r="AW169" s="7"/>
      <c r="AX169" s="5"/>
      <c r="AY169" s="5" t="s">
        <v>125</v>
      </c>
      <c r="AZ169" s="5" t="s">
        <v>209</v>
      </c>
      <c r="BA169" s="5" t="s">
        <v>535</v>
      </c>
      <c r="BB169" s="5" t="s">
        <v>716</v>
      </c>
      <c r="BM169" s="5" t="s">
        <v>1749</v>
      </c>
      <c r="BN169" s="5"/>
      <c r="BO169" s="5"/>
    </row>
    <row r="170" spans="1:67">
      <c r="A170" s="4" t="s">
        <v>717</v>
      </c>
      <c r="B170" s="5"/>
      <c r="C170" s="5" t="s">
        <v>42</v>
      </c>
      <c r="D170" s="5" t="s">
        <v>92</v>
      </c>
      <c r="E170" s="5" t="s">
        <v>718</v>
      </c>
      <c r="F170" s="5"/>
      <c r="G170" s="5">
        <v>30</v>
      </c>
      <c r="H170" s="5"/>
      <c r="I170" s="5"/>
      <c r="J170" s="5"/>
      <c r="K170" s="5"/>
      <c r="L170" s="5"/>
      <c r="M170" s="5"/>
      <c r="N170" s="5"/>
      <c r="O170" s="5"/>
      <c r="P170" s="6" t="s">
        <v>45</v>
      </c>
      <c r="Q170" s="5"/>
      <c r="R170" s="5"/>
      <c r="S170" s="5"/>
      <c r="T170" s="5"/>
      <c r="U170" s="7"/>
      <c r="V170" s="5"/>
      <c r="W170" s="5" t="s">
        <v>108</v>
      </c>
      <c r="X170" s="5" t="s">
        <v>719</v>
      </c>
      <c r="Y170" s="5"/>
      <c r="Z170" s="5"/>
      <c r="AA170" s="5"/>
      <c r="AB170" s="5"/>
      <c r="AC170" s="5"/>
      <c r="AD170" s="5">
        <v>2</v>
      </c>
      <c r="AE170" s="5"/>
      <c r="AF170" s="5"/>
      <c r="AG170" s="5">
        <v>-2</v>
      </c>
      <c r="AH170" s="5"/>
      <c r="AI170" s="5">
        <v>-2</v>
      </c>
      <c r="AJ170" s="5"/>
      <c r="AK170" s="5"/>
      <c r="AL170" s="5"/>
      <c r="AM170" s="5"/>
      <c r="AN170" s="5"/>
      <c r="AO170" s="5"/>
      <c r="AP170" s="5"/>
      <c r="AQ170" s="5"/>
      <c r="AR170" s="5"/>
      <c r="AS170" s="5" t="s">
        <v>720</v>
      </c>
      <c r="AT170" s="5" t="s">
        <v>190</v>
      </c>
      <c r="AU170" s="5" t="s">
        <v>191</v>
      </c>
      <c r="AV170" s="5"/>
      <c r="AW170" s="7"/>
      <c r="AX170" s="5"/>
      <c r="AY170" s="5" t="s">
        <v>125</v>
      </c>
      <c r="AZ170" s="5" t="s">
        <v>45</v>
      </c>
      <c r="BA170" s="5" t="s">
        <v>45</v>
      </c>
      <c r="BB170" s="5" t="s">
        <v>45</v>
      </c>
      <c r="BM170" s="5" t="s">
        <v>1737</v>
      </c>
      <c r="BN170" s="5"/>
      <c r="BO170" s="5"/>
    </row>
    <row r="171" spans="1:67">
      <c r="A171" s="4" t="s">
        <v>721</v>
      </c>
      <c r="B171" s="5"/>
      <c r="C171" s="5" t="s">
        <v>42</v>
      </c>
      <c r="D171" s="5" t="s">
        <v>92</v>
      </c>
      <c r="E171" s="5" t="s">
        <v>470</v>
      </c>
      <c r="F171" s="5"/>
      <c r="G171" s="5">
        <v>30</v>
      </c>
      <c r="H171" s="5"/>
      <c r="I171" s="5"/>
      <c r="J171" s="5"/>
      <c r="K171" s="5"/>
      <c r="L171" s="5"/>
      <c r="M171" s="5"/>
      <c r="N171" s="5"/>
      <c r="O171" s="5"/>
      <c r="P171" s="6" t="s">
        <v>45</v>
      </c>
      <c r="Q171" s="5"/>
      <c r="R171" s="5"/>
      <c r="S171" s="5" t="s">
        <v>77</v>
      </c>
      <c r="T171" s="5">
        <v>60</v>
      </c>
      <c r="U171" s="7"/>
      <c r="V171" s="5"/>
      <c r="W171" s="5" t="s">
        <v>45</v>
      </c>
      <c r="X171" s="5" t="s">
        <v>45</v>
      </c>
      <c r="Y171" s="5"/>
      <c r="Z171" s="5"/>
      <c r="AA171" s="5"/>
      <c r="AB171" s="5"/>
      <c r="AC171" s="5"/>
      <c r="AD171" s="5">
        <v>2</v>
      </c>
      <c r="AE171" s="5"/>
      <c r="AF171" s="5"/>
      <c r="AG171" s="5">
        <v>-2</v>
      </c>
      <c r="AH171" s="5"/>
      <c r="AI171" s="5">
        <v>-2</v>
      </c>
      <c r="AJ171" s="5"/>
      <c r="AK171" s="5"/>
      <c r="AL171" s="5"/>
      <c r="AM171" s="5"/>
      <c r="AN171" s="5"/>
      <c r="AO171" s="5"/>
      <c r="AP171" s="5"/>
      <c r="AQ171" s="5"/>
      <c r="AR171" s="5"/>
      <c r="AS171" s="5"/>
      <c r="AT171" s="5" t="s">
        <v>190</v>
      </c>
      <c r="AU171" s="5" t="s">
        <v>191</v>
      </c>
      <c r="AV171" s="5"/>
      <c r="AW171" s="7"/>
      <c r="AX171" s="5"/>
      <c r="AY171" s="5" t="s">
        <v>125</v>
      </c>
      <c r="AZ171" s="5" t="s">
        <v>45</v>
      </c>
      <c r="BA171" s="5" t="s">
        <v>45</v>
      </c>
      <c r="BB171" s="5" t="s">
        <v>45</v>
      </c>
      <c r="BM171" s="5" t="s">
        <v>1739</v>
      </c>
      <c r="BN171" s="5"/>
      <c r="BO171" s="5"/>
    </row>
    <row r="172" spans="1:67">
      <c r="A172" s="4" t="s">
        <v>722</v>
      </c>
      <c r="B172" s="5"/>
      <c r="C172" s="5" t="s">
        <v>42</v>
      </c>
      <c r="D172" s="5" t="s">
        <v>92</v>
      </c>
      <c r="E172" s="5"/>
      <c r="F172" s="5"/>
      <c r="G172" s="5">
        <v>30</v>
      </c>
      <c r="H172" s="5"/>
      <c r="I172" s="5"/>
      <c r="J172" s="5"/>
      <c r="K172" s="5"/>
      <c r="L172" s="5"/>
      <c r="M172" s="5"/>
      <c r="N172" s="5"/>
      <c r="O172" s="5"/>
      <c r="P172" s="6" t="s">
        <v>45</v>
      </c>
      <c r="Q172" s="5"/>
      <c r="R172" s="5"/>
      <c r="S172" s="5"/>
      <c r="T172" s="5"/>
      <c r="U172" s="7"/>
      <c r="V172" s="5"/>
      <c r="W172" s="5" t="s">
        <v>45</v>
      </c>
      <c r="X172" s="5" t="s">
        <v>45</v>
      </c>
      <c r="Y172" s="5"/>
      <c r="Z172" s="5"/>
      <c r="AA172" s="5"/>
      <c r="AB172" s="5"/>
      <c r="AC172" s="5"/>
      <c r="AD172" s="5"/>
      <c r="AE172" s="5"/>
      <c r="AF172" s="5"/>
      <c r="AG172" s="5"/>
      <c r="AH172" s="5">
        <v>2</v>
      </c>
      <c r="AI172" s="5">
        <v>-2</v>
      </c>
      <c r="AJ172" s="5"/>
      <c r="AK172" s="5"/>
      <c r="AL172" s="5"/>
      <c r="AM172" s="5"/>
      <c r="AN172" s="5"/>
      <c r="AO172" s="5"/>
      <c r="AP172" s="5" t="s">
        <v>723</v>
      </c>
      <c r="AQ172" s="5"/>
      <c r="AR172" s="5"/>
      <c r="AS172" s="5"/>
      <c r="AT172" s="5" t="s">
        <v>102</v>
      </c>
      <c r="AU172" s="5" t="s">
        <v>724</v>
      </c>
      <c r="AV172" s="5"/>
      <c r="AW172" s="7"/>
      <c r="AX172" s="5"/>
      <c r="AY172" s="5" t="s">
        <v>258</v>
      </c>
      <c r="AZ172" s="5" t="s">
        <v>45</v>
      </c>
      <c r="BA172" s="5" t="s">
        <v>45</v>
      </c>
      <c r="BB172" s="5" t="s">
        <v>45</v>
      </c>
      <c r="BM172" s="5" t="s">
        <v>1726</v>
      </c>
      <c r="BN172" s="5"/>
      <c r="BO172" s="5"/>
    </row>
    <row r="173" spans="1:67">
      <c r="A173" s="4" t="s">
        <v>725</v>
      </c>
      <c r="B173" s="5"/>
      <c r="C173" s="5" t="s">
        <v>42</v>
      </c>
      <c r="D173" s="5" t="s">
        <v>92</v>
      </c>
      <c r="E173" s="5"/>
      <c r="F173" s="5"/>
      <c r="G173" s="5">
        <v>30</v>
      </c>
      <c r="H173" s="5"/>
      <c r="I173" s="5"/>
      <c r="J173" s="5"/>
      <c r="K173" s="5"/>
      <c r="L173" s="5"/>
      <c r="M173" s="5"/>
      <c r="N173" s="5"/>
      <c r="O173" s="5"/>
      <c r="P173" s="6" t="s">
        <v>45</v>
      </c>
      <c r="Q173" s="5"/>
      <c r="R173" s="5"/>
      <c r="S173" s="5"/>
      <c r="T173" s="5"/>
      <c r="U173" s="7"/>
      <c r="V173" s="5"/>
      <c r="W173" s="5" t="s">
        <v>45</v>
      </c>
      <c r="X173" s="5" t="s">
        <v>45</v>
      </c>
      <c r="Y173" s="5"/>
      <c r="Z173" s="5"/>
      <c r="AA173" s="5"/>
      <c r="AB173" s="5"/>
      <c r="AC173" s="5"/>
      <c r="AD173" s="5"/>
      <c r="AE173" s="5"/>
      <c r="AF173" s="5"/>
      <c r="AG173" s="5"/>
      <c r="AH173" s="5">
        <v>2</v>
      </c>
      <c r="AI173" s="5">
        <v>-2</v>
      </c>
      <c r="AJ173" s="5"/>
      <c r="AK173" s="5"/>
      <c r="AL173" s="5"/>
      <c r="AM173" s="5"/>
      <c r="AN173" s="5"/>
      <c r="AO173" s="5"/>
      <c r="AP173" s="5" t="s">
        <v>726</v>
      </c>
      <c r="AQ173" s="5"/>
      <c r="AR173" s="5"/>
      <c r="AS173" s="5"/>
      <c r="AT173" s="5" t="s">
        <v>102</v>
      </c>
      <c r="AU173" s="5" t="s">
        <v>724</v>
      </c>
      <c r="AV173" s="5"/>
      <c r="AW173" s="7"/>
      <c r="AX173" s="5"/>
      <c r="AY173" s="5" t="s">
        <v>95</v>
      </c>
      <c r="AZ173" s="5" t="s">
        <v>45</v>
      </c>
      <c r="BA173" s="5" t="s">
        <v>45</v>
      </c>
      <c r="BB173" s="5" t="s">
        <v>45</v>
      </c>
      <c r="BM173" s="5" t="s">
        <v>1726</v>
      </c>
      <c r="BN173" s="5"/>
      <c r="BO173" s="5"/>
    </row>
    <row r="174" spans="1:67">
      <c r="A174" s="4" t="s">
        <v>727</v>
      </c>
      <c r="B174" s="5"/>
      <c r="C174" s="5" t="s">
        <v>42</v>
      </c>
      <c r="D174" s="5" t="s">
        <v>92</v>
      </c>
      <c r="E174" s="5"/>
      <c r="F174" s="5"/>
      <c r="G174" s="5">
        <v>30</v>
      </c>
      <c r="H174" s="5"/>
      <c r="I174" s="5"/>
      <c r="J174" s="5"/>
      <c r="K174" s="5"/>
      <c r="L174" s="5"/>
      <c r="M174" s="5"/>
      <c r="N174" s="5"/>
      <c r="O174" s="5"/>
      <c r="P174" s="6" t="s">
        <v>45</v>
      </c>
      <c r="Q174" s="5"/>
      <c r="R174" s="5"/>
      <c r="S174" s="5"/>
      <c r="T174" s="5"/>
      <c r="U174" s="7"/>
      <c r="V174" s="5"/>
      <c r="W174" s="5" t="s">
        <v>45</v>
      </c>
      <c r="X174" s="5" t="s">
        <v>45</v>
      </c>
      <c r="Y174" s="5"/>
      <c r="Z174" s="5"/>
      <c r="AA174" s="5"/>
      <c r="AB174" s="5"/>
      <c r="AC174" s="5"/>
      <c r="AD174" s="5"/>
      <c r="AE174" s="5"/>
      <c r="AF174" s="5"/>
      <c r="AG174" s="5"/>
      <c r="AH174" s="5">
        <v>2</v>
      </c>
      <c r="AI174" s="5">
        <v>-2</v>
      </c>
      <c r="AJ174" s="5"/>
      <c r="AK174" s="5"/>
      <c r="AL174" s="5"/>
      <c r="AM174" s="5"/>
      <c r="AN174" s="5"/>
      <c r="AO174" s="5"/>
      <c r="AP174" s="5" t="s">
        <v>728</v>
      </c>
      <c r="AQ174" s="5"/>
      <c r="AR174" s="5"/>
      <c r="AS174" s="5"/>
      <c r="AT174" s="5" t="s">
        <v>102</v>
      </c>
      <c r="AU174" s="5" t="s">
        <v>724</v>
      </c>
      <c r="AV174" s="5"/>
      <c r="AW174" s="7"/>
      <c r="AX174" s="5"/>
      <c r="AY174" s="5" t="s">
        <v>49</v>
      </c>
      <c r="AZ174" s="5" t="s">
        <v>45</v>
      </c>
      <c r="BA174" s="5" t="s">
        <v>45</v>
      </c>
      <c r="BB174" s="5" t="s">
        <v>45</v>
      </c>
      <c r="BM174" s="5" t="s">
        <v>1726</v>
      </c>
      <c r="BN174" s="5"/>
      <c r="BO174" s="5"/>
    </row>
    <row r="175" spans="1:67">
      <c r="A175" s="4" t="s">
        <v>729</v>
      </c>
      <c r="B175" s="5"/>
      <c r="C175" s="5" t="s">
        <v>42</v>
      </c>
      <c r="D175" s="5" t="s">
        <v>92</v>
      </c>
      <c r="E175" s="5"/>
      <c r="F175" s="5"/>
      <c r="G175" s="5">
        <v>30</v>
      </c>
      <c r="H175" s="5"/>
      <c r="I175" s="5"/>
      <c r="J175" s="5"/>
      <c r="K175" s="5"/>
      <c r="L175" s="5"/>
      <c r="M175" s="5"/>
      <c r="N175" s="5"/>
      <c r="O175" s="5"/>
      <c r="P175" s="6" t="s">
        <v>45</v>
      </c>
      <c r="Q175" s="5"/>
      <c r="R175" s="5"/>
      <c r="S175" s="5"/>
      <c r="T175" s="5"/>
      <c r="U175" s="7"/>
      <c r="V175" s="5"/>
      <c r="W175" s="5" t="s">
        <v>45</v>
      </c>
      <c r="X175" s="5" t="s">
        <v>45</v>
      </c>
      <c r="Y175" s="5"/>
      <c r="Z175" s="5"/>
      <c r="AA175" s="5"/>
      <c r="AB175" s="5"/>
      <c r="AC175" s="5"/>
      <c r="AD175" s="5"/>
      <c r="AE175" s="5"/>
      <c r="AF175" s="5"/>
      <c r="AG175" s="5"/>
      <c r="AH175" s="5">
        <v>2</v>
      </c>
      <c r="AI175" s="5">
        <v>-2</v>
      </c>
      <c r="AJ175" s="5"/>
      <c r="AK175" s="5"/>
      <c r="AL175" s="5"/>
      <c r="AM175" s="5"/>
      <c r="AN175" s="5"/>
      <c r="AO175" s="5"/>
      <c r="AP175" s="5" t="s">
        <v>730</v>
      </c>
      <c r="AQ175" s="5"/>
      <c r="AR175" s="5"/>
      <c r="AS175" s="5"/>
      <c r="AT175" s="5" t="s">
        <v>102</v>
      </c>
      <c r="AU175" s="5" t="s">
        <v>724</v>
      </c>
      <c r="AV175" s="5"/>
      <c r="AW175" s="7"/>
      <c r="AX175" s="5"/>
      <c r="AY175" s="5" t="s">
        <v>95</v>
      </c>
      <c r="AZ175" s="5" t="s">
        <v>45</v>
      </c>
      <c r="BA175" s="5" t="s">
        <v>45</v>
      </c>
      <c r="BB175" s="5" t="s">
        <v>45</v>
      </c>
      <c r="BM175" s="5" t="s">
        <v>1726</v>
      </c>
      <c r="BN175" s="5"/>
      <c r="BO175" s="5"/>
    </row>
    <row r="176" spans="1:67">
      <c r="A176" s="4" t="s">
        <v>731</v>
      </c>
      <c r="B176" s="5"/>
      <c r="C176" s="5" t="s">
        <v>42</v>
      </c>
      <c r="D176" s="5" t="s">
        <v>92</v>
      </c>
      <c r="E176" s="5"/>
      <c r="F176" s="5"/>
      <c r="G176" s="5">
        <v>30</v>
      </c>
      <c r="H176" s="5"/>
      <c r="I176" s="5"/>
      <c r="J176" s="5"/>
      <c r="K176" s="5"/>
      <c r="L176" s="5"/>
      <c r="M176" s="5"/>
      <c r="N176" s="5"/>
      <c r="O176" s="5"/>
      <c r="P176" s="6" t="s">
        <v>45</v>
      </c>
      <c r="Q176" s="5"/>
      <c r="R176" s="5"/>
      <c r="S176" s="5"/>
      <c r="T176" s="5"/>
      <c r="U176" s="7"/>
      <c r="V176" s="5"/>
      <c r="W176" s="5" t="s">
        <v>45</v>
      </c>
      <c r="X176" s="5" t="s">
        <v>45</v>
      </c>
      <c r="Y176" s="5"/>
      <c r="Z176" s="5"/>
      <c r="AA176" s="5"/>
      <c r="AB176" s="5"/>
      <c r="AC176" s="5"/>
      <c r="AD176" s="5"/>
      <c r="AE176" s="5"/>
      <c r="AF176" s="5"/>
      <c r="AG176" s="5"/>
      <c r="AH176" s="5">
        <v>2</v>
      </c>
      <c r="AI176" s="5">
        <v>-2</v>
      </c>
      <c r="AJ176" s="5"/>
      <c r="AK176" s="5"/>
      <c r="AL176" s="5"/>
      <c r="AM176" s="5"/>
      <c r="AN176" s="5"/>
      <c r="AO176" s="5"/>
      <c r="AP176" s="5" t="s">
        <v>732</v>
      </c>
      <c r="AQ176" s="5"/>
      <c r="AR176" s="5"/>
      <c r="AS176" s="5"/>
      <c r="AT176" s="5" t="s">
        <v>102</v>
      </c>
      <c r="AU176" s="5" t="s">
        <v>724</v>
      </c>
      <c r="AV176" s="5"/>
      <c r="AW176" s="7"/>
      <c r="AX176" s="5"/>
      <c r="AY176" s="5" t="s">
        <v>353</v>
      </c>
      <c r="AZ176" s="5" t="s">
        <v>45</v>
      </c>
      <c r="BA176" s="5" t="s">
        <v>45</v>
      </c>
      <c r="BB176" s="5" t="s">
        <v>45</v>
      </c>
      <c r="BM176" s="5" t="s">
        <v>1726</v>
      </c>
      <c r="BN176" s="5"/>
      <c r="BO176" s="5"/>
    </row>
    <row r="177" spans="1:67">
      <c r="A177" s="4" t="s">
        <v>733</v>
      </c>
      <c r="B177" s="5"/>
      <c r="C177" s="5" t="s">
        <v>42</v>
      </c>
      <c r="D177" s="5" t="s">
        <v>92</v>
      </c>
      <c r="E177" s="5"/>
      <c r="F177" s="5"/>
      <c r="G177" s="5">
        <v>30</v>
      </c>
      <c r="H177" s="5"/>
      <c r="I177" s="5"/>
      <c r="J177" s="5"/>
      <c r="K177" s="5"/>
      <c r="L177" s="5"/>
      <c r="M177" s="5"/>
      <c r="N177" s="5"/>
      <c r="O177" s="5"/>
      <c r="P177" s="6" t="s">
        <v>45</v>
      </c>
      <c r="Q177" s="5"/>
      <c r="R177" s="5"/>
      <c r="S177" s="5"/>
      <c r="T177" s="5"/>
      <c r="U177" s="7"/>
      <c r="V177" s="5"/>
      <c r="W177" s="5" t="s">
        <v>45</v>
      </c>
      <c r="X177" s="5" t="s">
        <v>45</v>
      </c>
      <c r="Y177" s="5"/>
      <c r="Z177" s="5"/>
      <c r="AA177" s="5"/>
      <c r="AB177" s="5"/>
      <c r="AC177" s="5"/>
      <c r="AD177" s="5"/>
      <c r="AE177" s="5"/>
      <c r="AF177" s="5"/>
      <c r="AG177" s="5"/>
      <c r="AH177" s="5">
        <v>2</v>
      </c>
      <c r="AI177" s="5">
        <v>-2</v>
      </c>
      <c r="AJ177" s="5"/>
      <c r="AK177" s="5"/>
      <c r="AL177" s="5"/>
      <c r="AM177" s="5"/>
      <c r="AN177" s="5"/>
      <c r="AO177" s="5"/>
      <c r="AP177" s="5" t="s">
        <v>734</v>
      </c>
      <c r="AQ177" s="5"/>
      <c r="AR177" s="5"/>
      <c r="AS177" s="5"/>
      <c r="AT177" s="5" t="s">
        <v>102</v>
      </c>
      <c r="AU177" s="5" t="s">
        <v>724</v>
      </c>
      <c r="AV177" s="5"/>
      <c r="AW177" s="7"/>
      <c r="AX177" s="5"/>
      <c r="AY177" s="5" t="s">
        <v>325</v>
      </c>
      <c r="AZ177" s="5" t="s">
        <v>45</v>
      </c>
      <c r="BA177" s="5" t="s">
        <v>45</v>
      </c>
      <c r="BB177" s="5" t="s">
        <v>45</v>
      </c>
      <c r="BM177" s="5" t="s">
        <v>1726</v>
      </c>
      <c r="BN177" s="5"/>
      <c r="BO177" s="5"/>
    </row>
    <row r="178" spans="1:67">
      <c r="A178" s="4" t="s">
        <v>735</v>
      </c>
      <c r="B178" s="5"/>
      <c r="C178" s="5" t="s">
        <v>42</v>
      </c>
      <c r="D178" s="5" t="s">
        <v>92</v>
      </c>
      <c r="E178" s="5"/>
      <c r="F178" s="5"/>
      <c r="G178" s="5">
        <v>30</v>
      </c>
      <c r="H178" s="5"/>
      <c r="I178" s="5"/>
      <c r="J178" s="5"/>
      <c r="K178" s="5"/>
      <c r="L178" s="5"/>
      <c r="M178" s="5"/>
      <c r="N178" s="5"/>
      <c r="O178" s="5"/>
      <c r="P178" s="6" t="s">
        <v>45</v>
      </c>
      <c r="Q178" s="5"/>
      <c r="R178" s="5"/>
      <c r="S178" s="5"/>
      <c r="T178" s="5"/>
      <c r="U178" s="7"/>
      <c r="V178" s="5"/>
      <c r="W178" s="5" t="s">
        <v>45</v>
      </c>
      <c r="X178" s="5" t="s">
        <v>45</v>
      </c>
      <c r="Y178" s="5"/>
      <c r="Z178" s="5"/>
      <c r="AA178" s="5"/>
      <c r="AB178" s="5"/>
      <c r="AC178" s="5"/>
      <c r="AD178" s="5"/>
      <c r="AE178" s="5"/>
      <c r="AF178" s="5"/>
      <c r="AG178" s="5"/>
      <c r="AH178" s="5">
        <v>2</v>
      </c>
      <c r="AI178" s="5">
        <v>-2</v>
      </c>
      <c r="AJ178" s="5"/>
      <c r="AK178" s="5"/>
      <c r="AL178" s="5"/>
      <c r="AM178" s="5"/>
      <c r="AN178" s="5"/>
      <c r="AO178" s="5"/>
      <c r="AP178" s="5" t="s">
        <v>730</v>
      </c>
      <c r="AQ178" s="5"/>
      <c r="AR178" s="5"/>
      <c r="AS178" s="5"/>
      <c r="AT178" s="5" t="s">
        <v>102</v>
      </c>
      <c r="AU178" s="5" t="s">
        <v>724</v>
      </c>
      <c r="AV178" s="5"/>
      <c r="AW178" s="7"/>
      <c r="AX178" s="5"/>
      <c r="AY178" s="5" t="s">
        <v>319</v>
      </c>
      <c r="AZ178" s="5" t="s">
        <v>45</v>
      </c>
      <c r="BA178" s="5" t="s">
        <v>45</v>
      </c>
      <c r="BB178" s="5" t="s">
        <v>45</v>
      </c>
      <c r="BM178" s="5" t="s">
        <v>1726</v>
      </c>
      <c r="BN178" s="5"/>
      <c r="BO178" s="5"/>
    </row>
    <row r="179" spans="1:67">
      <c r="A179" s="4" t="s">
        <v>736</v>
      </c>
      <c r="B179" s="5"/>
      <c r="C179" s="5" t="s">
        <v>42</v>
      </c>
      <c r="D179" s="5" t="s">
        <v>43</v>
      </c>
      <c r="E179" s="5" t="s">
        <v>273</v>
      </c>
      <c r="F179" s="5">
        <v>6</v>
      </c>
      <c r="G179" s="5">
        <v>30</v>
      </c>
      <c r="H179" s="5">
        <v>10</v>
      </c>
      <c r="I179" s="5"/>
      <c r="J179" s="5"/>
      <c r="K179" s="5"/>
      <c r="L179" s="5"/>
      <c r="M179" s="5">
        <v>3</v>
      </c>
      <c r="N179" s="5"/>
      <c r="O179" s="5"/>
      <c r="P179" s="6" t="s">
        <v>45</v>
      </c>
      <c r="Q179" s="5"/>
      <c r="R179" s="5"/>
      <c r="S179" s="5"/>
      <c r="T179" s="5"/>
      <c r="U179" s="7"/>
      <c r="V179" s="5" t="s">
        <v>737</v>
      </c>
      <c r="W179" s="5" t="s">
        <v>109</v>
      </c>
      <c r="X179" s="5" t="s">
        <v>45</v>
      </c>
      <c r="Y179" s="5">
        <f>17+ClassLvl</f>
        <v>25</v>
      </c>
      <c r="Z179" s="5" t="s">
        <v>738</v>
      </c>
      <c r="AA179" s="5"/>
      <c r="AB179" s="5"/>
      <c r="AC179" s="5"/>
      <c r="AD179" s="5">
        <v>4</v>
      </c>
      <c r="AE179" s="5">
        <v>6</v>
      </c>
      <c r="AF179" s="5">
        <v>6</v>
      </c>
      <c r="AG179" s="5"/>
      <c r="AH179" s="5"/>
      <c r="AI179" s="5">
        <v>2</v>
      </c>
      <c r="AJ179" s="5"/>
      <c r="AK179" s="5"/>
      <c r="AL179" s="5"/>
      <c r="AM179" s="5"/>
      <c r="AN179" s="5"/>
      <c r="AO179" s="5"/>
      <c r="AP179" s="5" t="s">
        <v>739</v>
      </c>
      <c r="AQ179" s="5"/>
      <c r="AR179" s="5"/>
      <c r="AS179" s="5" t="s">
        <v>740</v>
      </c>
      <c r="AT179" s="5" t="s">
        <v>111</v>
      </c>
      <c r="AU179" s="5" t="s">
        <v>741</v>
      </c>
      <c r="AV179" s="5">
        <v>5</v>
      </c>
      <c r="AW179" s="7"/>
      <c r="AX179" s="5">
        <v>4</v>
      </c>
      <c r="AY179" s="5" t="s">
        <v>90</v>
      </c>
      <c r="AZ179" s="5" t="s">
        <v>45</v>
      </c>
      <c r="BA179" s="5" t="s">
        <v>45</v>
      </c>
      <c r="BB179" s="5" t="s">
        <v>45</v>
      </c>
      <c r="BM179" s="5" t="s">
        <v>1718</v>
      </c>
      <c r="BN179" s="5">
        <v>82</v>
      </c>
      <c r="BO179" s="5"/>
    </row>
    <row r="180" spans="1:67">
      <c r="A180" s="4" t="s">
        <v>742</v>
      </c>
      <c r="B180" s="5"/>
      <c r="C180" s="5" t="s">
        <v>42</v>
      </c>
      <c r="D180" s="5" t="s">
        <v>92</v>
      </c>
      <c r="E180" s="5" t="s">
        <v>742</v>
      </c>
      <c r="F180" s="5"/>
      <c r="G180" s="5">
        <v>30</v>
      </c>
      <c r="H180" s="5"/>
      <c r="I180" s="5"/>
      <c r="J180" s="5"/>
      <c r="K180" s="5"/>
      <c r="L180" s="5"/>
      <c r="M180" s="5"/>
      <c r="N180" s="5"/>
      <c r="O180" s="5"/>
      <c r="P180" s="6"/>
      <c r="Q180" s="5"/>
      <c r="R180" s="5"/>
      <c r="S180" s="5"/>
      <c r="T180" s="5">
        <f>IF(HellbredAspect="Spirit (Su)",30+30*(HitDice&gt;=6)+60*(HitDice&gt;=9),0)</f>
        <v>0</v>
      </c>
      <c r="U180" s="7"/>
      <c r="V180" s="5"/>
      <c r="W180" s="5"/>
      <c r="X180" s="5"/>
      <c r="Y180" s="5"/>
      <c r="Z180" s="5"/>
      <c r="AA180" s="5"/>
      <c r="AB180" s="5"/>
      <c r="AC180" s="5"/>
      <c r="AD180" s="5"/>
      <c r="AE180" s="5"/>
      <c r="AF180" s="5">
        <f>IF(HellbredAspect="Body (Ex)",2,IF(HellbredAspect="Spirit (Su)",-2,0))</f>
        <v>0</v>
      </c>
      <c r="AG180" s="5">
        <f>IF(HellbredAspect="Body (Ex)",-2,0)</f>
        <v>0</v>
      </c>
      <c r="AH180" s="5"/>
      <c r="AI180" s="5">
        <f>IF(HellbredAspect="Spirit (Su)",2,0)</f>
        <v>0</v>
      </c>
      <c r="AJ180" s="5"/>
      <c r="AK180" s="5"/>
      <c r="AL180" s="5"/>
      <c r="AM180" s="5"/>
      <c r="AN180" s="5"/>
      <c r="AO180" s="5"/>
      <c r="AP180" s="5" t="str">
        <f>"Intimidate+2"&amp;IF(HellbredAspect="Spirit (Su)",",Sense Motive+2","")</f>
        <v>Intimidate+2</v>
      </c>
      <c r="AQ180" s="5"/>
      <c r="AR180" s="5"/>
      <c r="AS180" s="5" t="s">
        <v>743</v>
      </c>
      <c r="AT180" s="5" t="s">
        <v>744</v>
      </c>
      <c r="AU180" s="5" t="s">
        <v>104</v>
      </c>
      <c r="AV180" s="5"/>
      <c r="AW180" s="7"/>
      <c r="AX180" s="5"/>
      <c r="AY180" s="5" t="s">
        <v>57</v>
      </c>
      <c r="AZ180" s="5"/>
      <c r="BA180" s="5"/>
      <c r="BB180" s="5"/>
      <c r="BM180" s="5" t="s">
        <v>1725</v>
      </c>
      <c r="BN180" s="5">
        <v>77</v>
      </c>
      <c r="BO180" s="5"/>
    </row>
    <row r="181" spans="1:67">
      <c r="A181" s="4" t="str">
        <f>"Hengeyokai"&amp;IF(HengeyokaiAnimal="","",", "&amp;HengeyokaiAnimal)</f>
        <v>Hengeyokai</v>
      </c>
      <c r="B181" s="5"/>
      <c r="C181" s="5" t="str">
        <f>IF(AND(HengeyokaiAnimal&lt;&gt;"",HengeyokaiForm="Animal"),VLOOKUP(Subrace,TblCreatureInfo,CreatureSizeCol),"Medium")</f>
        <v>Medium</v>
      </c>
      <c r="D181" s="5" t="s">
        <v>92</v>
      </c>
      <c r="E181" s="5" t="s">
        <v>222</v>
      </c>
      <c r="F181" s="5"/>
      <c r="G181" s="5">
        <f>IF(HengeyokaiForm="Hybrid",VLOOKUP(HengeyokaiAnimal,TblHengeyokaiForms,3),30)</f>
        <v>30</v>
      </c>
      <c r="H181" s="5">
        <f>IF(AND(HengeyokaiAnimal="Badger",HengeyokaiForm="Hybrid"),10,IF(AND(HengeyokaiAnimal&lt;&gt;"",HengeyokaiForm="Animal"),VLOOKUP(Subrace,TblCreatureInfo,CreatureBurrowSpeedCol),0))</f>
        <v>0</v>
      </c>
      <c r="I181" s="5">
        <f>IF(AND(HengeyokaiAnimal&lt;&gt;"",HengeyokaiForm="Animal"),VLOOKUP(Subrace,TblCreatureInfo,CreatureClimbSpeedCol),0)</f>
        <v>0</v>
      </c>
      <c r="J181" s="5">
        <f>IF(AND(HengeyokaiForm="Hybrid",OR(HengeyokaiAnimal="Crane",HengeyokaiAnimal="Sparrow")),20,IF(AND(HengeyokaiAnimal&lt;&gt;"",HengeyokaiForm="Animal"),VLOOKUP(Subrace,TblCreatureInfo,CreatureFlySpeedCol),0))</f>
        <v>0</v>
      </c>
      <c r="K181" s="5">
        <f>IF(AND(HengeyokaiForm="Hyrbrid",OR(HengeyokaiAnimal="Crane",HengeyokaiAnimal="Sparrow")),"average",IF(AND(HengeyokaiAnimal&lt;&gt;"",HengeyokaiForm="Animal"),VLOOKUP(Subrace,TblCreatureInfo,CreatureFlyManCol),0))</f>
        <v>0</v>
      </c>
      <c r="L181" s="5">
        <f>IF(AND(HengeyokaiAnimal="Carp",HengeyokaiForm="Hybrid"),30,IF(AND(HengeyokaiAnimal&lt;&gt;"",HengeyokaiForm="Animal"),VLOOKUP(Subrace,TblCreatureInfo,CreatureSwimSpeedCol),0))</f>
        <v>0</v>
      </c>
      <c r="M181" s="5">
        <f>IF(AND(HengeyokaiAnimal="Crab",HengeyokaiForm="Hybrid"),1,0)</f>
        <v>0</v>
      </c>
      <c r="N181" s="5" t="str">
        <f>IF(AND(HengeyokaiAnimal&lt;&gt;"",HengeyokaiForm="Animal"),VLOOKUP(Subrace,TblCreatureInfo,CreatureNaturalAttacksCol),"")</f>
        <v/>
      </c>
      <c r="O181" s="5"/>
      <c r="P181" s="6"/>
      <c r="Q181" s="5"/>
      <c r="R181" s="5"/>
      <c r="S181" s="5" t="str">
        <f>IF(OR(HengeyokaiForm="Animal",HengeyokaiForm="Hybrid"),"normal","")</f>
        <v/>
      </c>
      <c r="T181" s="5"/>
      <c r="U181" s="7"/>
      <c r="V181" s="5"/>
      <c r="W181" s="5"/>
      <c r="X181" s="5"/>
      <c r="Y181" s="5"/>
      <c r="Z181" s="5"/>
      <c r="AA181" s="5"/>
      <c r="AB181" s="5"/>
      <c r="AC181" s="5"/>
      <c r="AD181" s="5">
        <f>IF(AND(HengeyokaiForm="Hybrid",NOT(ISERROR(VLOOKUP(HengeyokaiAnimal,TblHengeyokaiForms,2)))),2*(VLOOKUP(HengeyokaiAnimal,TblHengeyokaiForms,2)=AD$3),0)</f>
        <v>0</v>
      </c>
      <c r="AE181" s="5">
        <f>IF(AND(HengeyokaiForm="Hybrid",NOT(ISERROR(VLOOKUP(HengeyokaiAnimal,TblHengeyokaiForms,2)))),2*(VLOOKUP(HengeyokaiAnimal,TblHengeyokaiForms,2)=AE$3),0)</f>
        <v>0</v>
      </c>
      <c r="AF181" s="5">
        <f>IF(AND(HengeyokaiForm="Hybrid",NOT(ISERROR(VLOOKUP(HengeyokaiAnimal,TblHengeyokaiForms,2)))),2*(VLOOKUP(HengeyokaiAnimal,TblHengeyokaiForms,2)=AF$3),0)</f>
        <v>0</v>
      </c>
      <c r="AG181" s="5"/>
      <c r="AH181" s="5"/>
      <c r="AI181" s="5"/>
      <c r="AJ181" s="5"/>
      <c r="AK181" s="5"/>
      <c r="AL181" s="5"/>
      <c r="AM181" s="5"/>
      <c r="AN181" s="5"/>
      <c r="AO181" s="5"/>
      <c r="AP181" s="5" t="str">
        <f>IF(AND(HengeyokaiForm="Hybrid",NOT(ISERROR(VLOOKUP(HengeyokaiAnimal,TblHengeyokaiForms,4)))),VLOOKUP(HengeyokaiAnimal,TblHengeyokaiForms,4),"")</f>
        <v/>
      </c>
      <c r="AQ181" s="5"/>
      <c r="AR181" s="5"/>
      <c r="AS181" s="5"/>
      <c r="AT181" s="5" t="s">
        <v>745</v>
      </c>
      <c r="AU181" s="5" t="s">
        <v>746</v>
      </c>
      <c r="AV181" s="5"/>
      <c r="AW181" s="7"/>
      <c r="AX181" s="5"/>
      <c r="AY181" s="5" t="s">
        <v>747</v>
      </c>
      <c r="AZ181" s="5" t="s">
        <v>464</v>
      </c>
      <c r="BA181" s="5" t="s">
        <v>537</v>
      </c>
      <c r="BB181" s="5" t="s">
        <v>60</v>
      </c>
      <c r="BM181" s="5" t="s">
        <v>1621</v>
      </c>
      <c r="BN181" s="5">
        <v>10</v>
      </c>
      <c r="BO181" s="5"/>
    </row>
    <row r="182" spans="1:67">
      <c r="A182" s="4" t="s">
        <v>748</v>
      </c>
      <c r="B182" s="5"/>
      <c r="C182" s="5" t="s">
        <v>42</v>
      </c>
      <c r="D182" s="5" t="s">
        <v>92</v>
      </c>
      <c r="E182" s="5" t="s">
        <v>143</v>
      </c>
      <c r="F182" s="5"/>
      <c r="G182" s="5">
        <v>30</v>
      </c>
      <c r="H182" s="5"/>
      <c r="I182" s="5"/>
      <c r="J182" s="5"/>
      <c r="K182" s="5"/>
      <c r="L182" s="5"/>
      <c r="M182" s="5"/>
      <c r="N182" s="5"/>
      <c r="O182" s="5"/>
      <c r="P182" s="6" t="s">
        <v>45</v>
      </c>
      <c r="Q182" s="5"/>
      <c r="R182" s="5"/>
      <c r="S182" s="5"/>
      <c r="T182" s="5">
        <v>60</v>
      </c>
      <c r="U182" s="7"/>
      <c r="V182" s="5"/>
      <c r="W182" s="5" t="s">
        <v>45</v>
      </c>
      <c r="X182" s="5" t="s">
        <v>45</v>
      </c>
      <c r="Y182" s="5"/>
      <c r="Z182" s="5"/>
      <c r="AA182" s="5"/>
      <c r="AB182" s="5"/>
      <c r="AC182" s="5"/>
      <c r="AD182" s="5"/>
      <c r="AE182" s="5">
        <v>2</v>
      </c>
      <c r="AF182" s="5">
        <v>2</v>
      </c>
      <c r="AG182" s="5"/>
      <c r="AH182" s="5"/>
      <c r="AI182" s="5"/>
      <c r="AJ182" s="5"/>
      <c r="AK182" s="5"/>
      <c r="AL182" s="5"/>
      <c r="AM182" s="5"/>
      <c r="AN182" s="5"/>
      <c r="AO182" s="5"/>
      <c r="AP182" s="5" t="s">
        <v>567</v>
      </c>
      <c r="AQ182" s="5"/>
      <c r="AR182" s="5"/>
      <c r="AS182" s="5"/>
      <c r="AT182" s="5" t="s">
        <v>159</v>
      </c>
      <c r="AU182" s="5" t="s">
        <v>749</v>
      </c>
      <c r="AV182" s="5"/>
      <c r="AW182" s="7"/>
      <c r="AX182" s="5">
        <v>1</v>
      </c>
      <c r="AY182" s="5" t="s">
        <v>113</v>
      </c>
      <c r="AZ182" s="5" t="s">
        <v>45</v>
      </c>
      <c r="BA182" s="5" t="s">
        <v>45</v>
      </c>
      <c r="BB182" s="5" t="s">
        <v>45</v>
      </c>
      <c r="BM182" s="5" t="s">
        <v>1609</v>
      </c>
      <c r="BN182" s="5">
        <v>153</v>
      </c>
      <c r="BO182" s="5" t="s">
        <v>1625</v>
      </c>
    </row>
    <row r="183" spans="1:67">
      <c r="A183" s="4" t="s">
        <v>750</v>
      </c>
      <c r="B183" s="5"/>
      <c r="C183" s="5" t="s">
        <v>42</v>
      </c>
      <c r="D183" s="5" t="s">
        <v>92</v>
      </c>
      <c r="E183" s="5" t="s">
        <v>751</v>
      </c>
      <c r="F183" s="5"/>
      <c r="G183" s="5">
        <v>30</v>
      </c>
      <c r="H183" s="5"/>
      <c r="I183" s="5"/>
      <c r="J183" s="5"/>
      <c r="K183" s="5"/>
      <c r="L183" s="5"/>
      <c r="M183" s="5"/>
      <c r="N183" s="5"/>
      <c r="O183" s="5"/>
      <c r="P183" s="6" t="s">
        <v>45</v>
      </c>
      <c r="Q183" s="5"/>
      <c r="R183" s="5"/>
      <c r="S183" s="5"/>
      <c r="T183" s="5">
        <v>60</v>
      </c>
      <c r="U183" s="7"/>
      <c r="V183" s="5"/>
      <c r="W183" s="5" t="s">
        <v>45</v>
      </c>
      <c r="X183" s="5" t="s">
        <v>45</v>
      </c>
      <c r="Y183" s="5"/>
      <c r="Z183" s="5"/>
      <c r="AA183" s="5"/>
      <c r="AB183" s="5"/>
      <c r="AC183" s="5"/>
      <c r="AD183" s="5"/>
      <c r="AE183" s="5"/>
      <c r="AF183" s="5">
        <v>2</v>
      </c>
      <c r="AG183" s="5"/>
      <c r="AH183" s="5">
        <v>2</v>
      </c>
      <c r="AI183" s="5"/>
      <c r="AJ183" s="5"/>
      <c r="AK183" s="5"/>
      <c r="AL183" s="5"/>
      <c r="AM183" s="5"/>
      <c r="AN183" s="5"/>
      <c r="AO183" s="5"/>
      <c r="AP183" s="5" t="s">
        <v>752</v>
      </c>
      <c r="AQ183" s="5"/>
      <c r="AR183" s="5"/>
      <c r="AS183" s="5"/>
      <c r="AT183" s="5" t="s">
        <v>159</v>
      </c>
      <c r="AU183" s="5" t="s">
        <v>749</v>
      </c>
      <c r="AV183" s="5"/>
      <c r="AW183" s="7"/>
      <c r="AX183" s="5">
        <v>1</v>
      </c>
      <c r="AY183" s="5" t="s">
        <v>113</v>
      </c>
      <c r="AZ183" s="5" t="s">
        <v>45</v>
      </c>
      <c r="BA183" s="5" t="s">
        <v>45</v>
      </c>
      <c r="BB183" s="5" t="s">
        <v>45</v>
      </c>
      <c r="BM183" s="5" t="s">
        <v>1737</v>
      </c>
      <c r="BN183" s="5"/>
      <c r="BO183" s="5"/>
    </row>
    <row r="184" spans="1:67">
      <c r="A184" s="4" t="s">
        <v>753</v>
      </c>
      <c r="B184" s="5"/>
      <c r="C184" s="5" t="s">
        <v>42</v>
      </c>
      <c r="D184" s="5" t="s">
        <v>92</v>
      </c>
      <c r="E184" s="5" t="s">
        <v>753</v>
      </c>
      <c r="F184" s="5"/>
      <c r="G184" s="5">
        <v>30</v>
      </c>
      <c r="H184" s="5"/>
      <c r="I184" s="5"/>
      <c r="J184" s="5"/>
      <c r="K184" s="5"/>
      <c r="L184" s="5"/>
      <c r="M184" s="5"/>
      <c r="N184" s="5"/>
      <c r="O184" s="5"/>
      <c r="P184" s="6" t="s">
        <v>45</v>
      </c>
      <c r="Q184" s="5"/>
      <c r="R184" s="5"/>
      <c r="S184" s="5"/>
      <c r="T184" s="5"/>
      <c r="U184" s="7"/>
      <c r="V184" s="5"/>
      <c r="W184" s="5" t="s">
        <v>45</v>
      </c>
      <c r="X184" s="5" t="s">
        <v>45</v>
      </c>
      <c r="Y184" s="5"/>
      <c r="Z184" s="5"/>
      <c r="AA184" s="5"/>
      <c r="AB184" s="5"/>
      <c r="AC184" s="5"/>
      <c r="AD184" s="5"/>
      <c r="AE184" s="5"/>
      <c r="AF184" s="5"/>
      <c r="AG184" s="5"/>
      <c r="AH184" s="5"/>
      <c r="AI184" s="5"/>
      <c r="AJ184" s="5">
        <v>0</v>
      </c>
      <c r="AK184" s="5">
        <v>0</v>
      </c>
      <c r="AL184" s="5">
        <v>0</v>
      </c>
      <c r="AM184" s="5">
        <v>0</v>
      </c>
      <c r="AN184" s="5">
        <v>0</v>
      </c>
      <c r="AO184" s="5">
        <v>0</v>
      </c>
      <c r="AP184" s="5"/>
      <c r="AQ184" s="5"/>
      <c r="AR184" s="5"/>
      <c r="AS184" s="5" t="s">
        <v>116</v>
      </c>
      <c r="AT184" s="5" t="s">
        <v>102</v>
      </c>
      <c r="AU184" s="5" t="s">
        <v>104</v>
      </c>
      <c r="AV184" s="5"/>
      <c r="AW184" s="7"/>
      <c r="AX184" s="5"/>
      <c r="AY184" s="5" t="str">
        <f>IF(OR(RegionTxt="Crane",RegionTxt="Lion"),"Samurai (OA)",IF(RegionTxt="Dragon","Monk",IF(RegionTxt="Phoenix","Shugenja",IF(RegionTxt="Scorpion","Rogue",IF(RegionTxt="Unicorn","Barbarian","Any")))))</f>
        <v>Any</v>
      </c>
      <c r="AZ184" s="5" t="s">
        <v>105</v>
      </c>
      <c r="BA184" s="5" t="s">
        <v>59</v>
      </c>
      <c r="BB184" s="5" t="s">
        <v>60</v>
      </c>
      <c r="BM184" s="5" t="s">
        <v>1749</v>
      </c>
      <c r="BN184" s="5"/>
      <c r="BO184" s="5"/>
    </row>
    <row r="185" spans="1:67">
      <c r="A185" s="4" t="s">
        <v>754</v>
      </c>
      <c r="B185" s="5"/>
      <c r="C185" s="5" t="s">
        <v>42</v>
      </c>
      <c r="D185" s="5" t="s">
        <v>92</v>
      </c>
      <c r="E185" s="5" t="s">
        <v>755</v>
      </c>
      <c r="F185" s="5"/>
      <c r="G185" s="5">
        <v>30</v>
      </c>
      <c r="H185" s="5"/>
      <c r="I185" s="5"/>
      <c r="J185" s="5"/>
      <c r="K185" s="5"/>
      <c r="L185" s="5"/>
      <c r="M185" s="5"/>
      <c r="N185" s="5"/>
      <c r="O185" s="5"/>
      <c r="P185" s="6" t="s">
        <v>756</v>
      </c>
      <c r="Q185" s="5"/>
      <c r="R185" s="5"/>
      <c r="S185" s="5"/>
      <c r="T185" s="5"/>
      <c r="U185" s="7"/>
      <c r="V185" s="5"/>
      <c r="W185" s="5" t="s">
        <v>45</v>
      </c>
      <c r="X185" s="5" t="s">
        <v>45</v>
      </c>
      <c r="Y185" s="5"/>
      <c r="Z185" s="5"/>
      <c r="AA185" s="5"/>
      <c r="AB185" s="5"/>
      <c r="AC185" s="5"/>
      <c r="AD185" s="5"/>
      <c r="AE185" s="5"/>
      <c r="AF185" s="5"/>
      <c r="AG185" s="5"/>
      <c r="AH185" s="5"/>
      <c r="AI185" s="5"/>
      <c r="AJ185" s="5"/>
      <c r="AK185" s="5"/>
      <c r="AL185" s="5"/>
      <c r="AM185" s="5"/>
      <c r="AN185" s="5"/>
      <c r="AO185" s="5"/>
      <c r="AP185" s="5" t="s">
        <v>757</v>
      </c>
      <c r="AQ185" s="5"/>
      <c r="AR185" s="5"/>
      <c r="AS185" s="5" t="s">
        <v>116</v>
      </c>
      <c r="AT185" s="5" t="s">
        <v>102</v>
      </c>
      <c r="AU185" s="5" t="s">
        <v>104</v>
      </c>
      <c r="AV185" s="5"/>
      <c r="AW185" s="7"/>
      <c r="AX185" s="5"/>
      <c r="AY185" s="5" t="s">
        <v>104</v>
      </c>
      <c r="AZ185" s="5" t="s">
        <v>45</v>
      </c>
      <c r="BA185" s="5" t="s">
        <v>45</v>
      </c>
      <c r="BB185" s="5" t="s">
        <v>45</v>
      </c>
      <c r="BM185" s="5" t="s">
        <v>1737</v>
      </c>
      <c r="BN185" s="5"/>
      <c r="BO185" s="5"/>
    </row>
    <row r="186" spans="1:67">
      <c r="A186" s="4" t="s">
        <v>758</v>
      </c>
      <c r="B186" s="5"/>
      <c r="C186" s="5" t="s">
        <v>42</v>
      </c>
      <c r="D186" s="5" t="s">
        <v>92</v>
      </c>
      <c r="E186" s="5" t="s">
        <v>753</v>
      </c>
      <c r="F186" s="5"/>
      <c r="G186" s="5">
        <v>30</v>
      </c>
      <c r="H186" s="5"/>
      <c r="I186" s="5"/>
      <c r="J186" s="5"/>
      <c r="K186" s="5"/>
      <c r="L186" s="5"/>
      <c r="M186" s="5"/>
      <c r="N186" s="5"/>
      <c r="O186" s="5"/>
      <c r="P186" s="6" t="s">
        <v>45</v>
      </c>
      <c r="Q186" s="5"/>
      <c r="R186" s="5"/>
      <c r="S186" s="5"/>
      <c r="T186" s="5"/>
      <c r="U186" s="7"/>
      <c r="V186" s="5"/>
      <c r="W186" s="5" t="s">
        <v>45</v>
      </c>
      <c r="X186" s="5" t="s">
        <v>45</v>
      </c>
      <c r="Y186" s="5"/>
      <c r="Z186" s="5"/>
      <c r="AA186" s="5"/>
      <c r="AB186" s="5"/>
      <c r="AC186" s="5"/>
      <c r="AD186" s="5"/>
      <c r="AE186" s="5"/>
      <c r="AF186" s="5"/>
      <c r="AG186" s="5"/>
      <c r="AH186" s="5"/>
      <c r="AI186" s="5"/>
      <c r="AJ186" s="5"/>
      <c r="AK186" s="5"/>
      <c r="AL186" s="5"/>
      <c r="AM186" s="5"/>
      <c r="AN186" s="5"/>
      <c r="AO186" s="5"/>
      <c r="AP186" s="5"/>
      <c r="AQ186" s="5"/>
      <c r="AR186" s="5"/>
      <c r="AS186" s="5"/>
      <c r="AT186" s="5" t="s">
        <v>759</v>
      </c>
      <c r="AU186" s="5" t="s">
        <v>104</v>
      </c>
      <c r="AV186" s="5"/>
      <c r="AW186" s="7"/>
      <c r="AX186" s="5"/>
      <c r="AY186" s="5" t="s">
        <v>104</v>
      </c>
      <c r="AZ186" s="5" t="s">
        <v>699</v>
      </c>
      <c r="BA186" s="5" t="s">
        <v>760</v>
      </c>
      <c r="BB186" s="5" t="s">
        <v>376</v>
      </c>
      <c r="BM186" s="5" t="s">
        <v>1716</v>
      </c>
      <c r="BN186" s="5">
        <v>51</v>
      </c>
      <c r="BO186" s="5"/>
    </row>
    <row r="187" spans="1:67">
      <c r="A187" s="4" t="s">
        <v>761</v>
      </c>
      <c r="B187" s="5"/>
      <c r="C187" s="5" t="s">
        <v>42</v>
      </c>
      <c r="D187" s="5" t="s">
        <v>43</v>
      </c>
      <c r="E187" s="5"/>
      <c r="F187" s="5">
        <v>8</v>
      </c>
      <c r="G187" s="5">
        <v>30</v>
      </c>
      <c r="H187" s="5"/>
      <c r="I187" s="5"/>
      <c r="J187" s="5"/>
      <c r="K187" s="5"/>
      <c r="L187" s="5"/>
      <c r="M187" s="5">
        <v>4</v>
      </c>
      <c r="N187" s="5" t="s">
        <v>762</v>
      </c>
      <c r="O187" s="5"/>
      <c r="P187" s="6" t="s">
        <v>763</v>
      </c>
      <c r="Q187" s="5"/>
      <c r="R187" s="5"/>
      <c r="S187" s="5"/>
      <c r="T187" s="5">
        <v>60</v>
      </c>
      <c r="U187" s="7"/>
      <c r="V187" s="5"/>
      <c r="W187" s="5" t="s">
        <v>45</v>
      </c>
      <c r="X187" s="5" t="s">
        <v>45</v>
      </c>
      <c r="Y187" s="5"/>
      <c r="Z187" s="5" t="s">
        <v>170</v>
      </c>
      <c r="AA187" s="5"/>
      <c r="AB187" s="5"/>
      <c r="AC187" s="5"/>
      <c r="AD187" s="5">
        <v>2</v>
      </c>
      <c r="AE187" s="5">
        <v>4</v>
      </c>
      <c r="AF187" s="5">
        <v>4</v>
      </c>
      <c r="AG187" s="5">
        <v>2</v>
      </c>
      <c r="AH187" s="5">
        <v>8</v>
      </c>
      <c r="AI187" s="5">
        <v>6</v>
      </c>
      <c r="AJ187" s="5"/>
      <c r="AK187" s="5"/>
      <c r="AL187" s="5"/>
      <c r="AM187" s="5"/>
      <c r="AN187" s="5"/>
      <c r="AO187" s="5"/>
      <c r="AP187" s="5" t="s">
        <v>764</v>
      </c>
      <c r="AQ187" s="5"/>
      <c r="AR187" s="5"/>
      <c r="AS187" s="5"/>
      <c r="AT187" s="5" t="s">
        <v>102</v>
      </c>
      <c r="AU187" s="5" t="s">
        <v>156</v>
      </c>
      <c r="AV187" s="5">
        <v>8</v>
      </c>
      <c r="AW187" s="7"/>
      <c r="AX187" s="5">
        <v>4</v>
      </c>
      <c r="AY187" s="5" t="s">
        <v>325</v>
      </c>
      <c r="AZ187" s="5" t="s">
        <v>45</v>
      </c>
      <c r="BA187" s="5" t="s">
        <v>45</v>
      </c>
      <c r="BB187" s="5" t="s">
        <v>45</v>
      </c>
      <c r="BM187" s="5" t="s">
        <v>1688</v>
      </c>
      <c r="BN187" s="5">
        <v>105</v>
      </c>
      <c r="BO187" s="5"/>
    </row>
    <row r="188" spans="1:67">
      <c r="A188" s="4" t="s">
        <v>765</v>
      </c>
      <c r="B188" s="5"/>
      <c r="C188" s="5" t="s">
        <v>42</v>
      </c>
      <c r="D188" s="5" t="s">
        <v>51</v>
      </c>
      <c r="E188" s="5" t="s">
        <v>52</v>
      </c>
      <c r="F188" s="5">
        <f>IF(HRSVMC,1*((MCCell&gt;=1)+(MCCell&gt;=2)+(MCCell&gt;=3)+(MCCell&gt;=5)+(MCCell&gt;=7)+(MCCell&gt;=9)),6)</f>
        <v>6</v>
      </c>
      <c r="G188" s="5">
        <v>30</v>
      </c>
      <c r="H188" s="5"/>
      <c r="I188" s="5"/>
      <c r="J188" s="5">
        <f>IF(HRSVMC,20*(MCCell&gt;=4),20)</f>
        <v>20</v>
      </c>
      <c r="K188" s="5" t="s">
        <v>766</v>
      </c>
      <c r="L188" s="5"/>
      <c r="M188" s="5">
        <v>1</v>
      </c>
      <c r="N188" s="5"/>
      <c r="O188" s="5"/>
      <c r="P188" s="6" t="s">
        <v>767</v>
      </c>
      <c r="Q188" s="5"/>
      <c r="R188" s="5"/>
      <c r="S188" s="5"/>
      <c r="T188" s="5"/>
      <c r="U188" s="7"/>
      <c r="V188" s="5"/>
      <c r="W188" s="5" t="s">
        <v>45</v>
      </c>
      <c r="X188" s="5" t="str">
        <f>IF(NOT(HRSVMC),"fire 10",IF(MCCell&gt;=5,"fire 10",IF(MCCell&gt;=2,"fire 5","")))</f>
        <v>fire 10</v>
      </c>
      <c r="Y188" s="5"/>
      <c r="Z188" s="5"/>
      <c r="AA188" s="5"/>
      <c r="AB188" s="5"/>
      <c r="AC188" s="5"/>
      <c r="AD188" s="5">
        <f>IF(HRSVMC,2*((MCCell&gt;=3)+(MCCell&gt;=6)+(MCCell&gt;=11)),6)</f>
        <v>6</v>
      </c>
      <c r="AE188" s="5">
        <f>IF(HRSVMC,2*((MCCell&gt;=1)+(MCCell&gt;=9)),4)</f>
        <v>4</v>
      </c>
      <c r="AF188" s="5">
        <v>2</v>
      </c>
      <c r="AG188" s="5">
        <f>IF(HRSVMC,2*((MCCell&gt;=4)+(MCCell&gt;=8)),4)</f>
        <v>4</v>
      </c>
      <c r="AH188" s="5">
        <f>IF(HRSVMC,2*((MCCell&gt;=2)+(MCCell&gt;=10)),4)</f>
        <v>4</v>
      </c>
      <c r="AI188" s="5">
        <f>IF(HRSVMC,2*(MCCell&gt;=8),2)</f>
        <v>2</v>
      </c>
      <c r="AJ188" s="5"/>
      <c r="AK188" s="5"/>
      <c r="AL188" s="5"/>
      <c r="AM188" s="5"/>
      <c r="AN188" s="5"/>
      <c r="AO188" s="5"/>
      <c r="AP188" s="5" t="s">
        <v>768</v>
      </c>
      <c r="AQ188" s="5"/>
      <c r="AR188" s="5"/>
      <c r="AS188" s="5" t="s">
        <v>769</v>
      </c>
      <c r="AT188" s="5" t="s">
        <v>102</v>
      </c>
      <c r="AU188" s="5" t="s">
        <v>770</v>
      </c>
      <c r="AV188" s="5">
        <f>IF(HRSVMC,1*((MCCell&gt;=1)+(MCCell&gt;=3)+(MCCell&gt;=7)+(MCCell&gt;=9)),4)</f>
        <v>4</v>
      </c>
      <c r="AW188" s="7"/>
      <c r="AX188" s="5">
        <f>IF(HRSVMC,1*((MCCell&gt;=2)+(MCCell&gt;=4)+(MCCell&gt;=6)+(MCCell&gt;=8)+(MCCell&gt;=10)),5)</f>
        <v>5</v>
      </c>
      <c r="AY188" s="5" t="s">
        <v>95</v>
      </c>
      <c r="AZ188" s="5" t="s">
        <v>45</v>
      </c>
      <c r="BA188" s="5" t="s">
        <v>45</v>
      </c>
      <c r="BB188" s="5" t="s">
        <v>45</v>
      </c>
      <c r="BM188" s="5" t="s">
        <v>1609</v>
      </c>
      <c r="BN188" s="5">
        <v>116</v>
      </c>
      <c r="BO188" s="5"/>
    </row>
    <row r="189" spans="1:67">
      <c r="A189" s="4" t="s">
        <v>771</v>
      </c>
      <c r="B189" s="5"/>
      <c r="C189" s="5" t="s">
        <v>42</v>
      </c>
      <c r="D189" s="5" t="s">
        <v>92</v>
      </c>
      <c r="E189" s="5"/>
      <c r="F189" s="5"/>
      <c r="G189" s="5">
        <v>30</v>
      </c>
      <c r="H189" s="5"/>
      <c r="I189" s="5"/>
      <c r="J189" s="5"/>
      <c r="K189" s="5"/>
      <c r="L189" s="5"/>
      <c r="M189" s="5"/>
      <c r="N189" s="5"/>
      <c r="O189" s="5"/>
      <c r="P189" s="6" t="s">
        <v>45</v>
      </c>
      <c r="Q189" s="5"/>
      <c r="R189" s="5"/>
      <c r="S189" s="5"/>
      <c r="T189" s="5"/>
      <c r="U189" s="7"/>
      <c r="V189" s="5"/>
      <c r="W189" s="5" t="s">
        <v>45</v>
      </c>
      <c r="X189" s="5" t="s">
        <v>45</v>
      </c>
      <c r="Y189" s="5"/>
      <c r="Z189" s="5"/>
      <c r="AA189" s="5"/>
      <c r="AB189" s="5"/>
      <c r="AC189" s="5"/>
      <c r="AD189" s="5"/>
      <c r="AE189" s="5"/>
      <c r="AF189" s="5"/>
      <c r="AG189" s="5"/>
      <c r="AH189" s="5"/>
      <c r="AI189" s="5"/>
      <c r="AJ189" s="5"/>
      <c r="AK189" s="5"/>
      <c r="AL189" s="5"/>
      <c r="AM189" s="5"/>
      <c r="AN189" s="5"/>
      <c r="AO189" s="5"/>
      <c r="AP189" s="5" t="s">
        <v>772</v>
      </c>
      <c r="AQ189" s="5"/>
      <c r="AR189" s="5"/>
      <c r="AS189" s="5"/>
      <c r="AT189" s="5" t="s">
        <v>773</v>
      </c>
      <c r="AU189" s="5" t="s">
        <v>774</v>
      </c>
      <c r="AV189" s="5"/>
      <c r="AW189" s="7"/>
      <c r="AX189" s="5"/>
      <c r="AY189" s="5" t="s">
        <v>161</v>
      </c>
      <c r="AZ189" s="5" t="s">
        <v>775</v>
      </c>
      <c r="BA189" s="5" t="s">
        <v>776</v>
      </c>
      <c r="BB189" s="5" t="s">
        <v>777</v>
      </c>
      <c r="BM189" s="5" t="s">
        <v>1728</v>
      </c>
      <c r="BN189" s="5"/>
      <c r="BO189" s="5"/>
    </row>
    <row r="190" spans="1:67">
      <c r="A190" s="4" t="s">
        <v>778</v>
      </c>
      <c r="B190" s="5"/>
      <c r="C190" s="5" t="s">
        <v>42</v>
      </c>
      <c r="D190" s="5" t="s">
        <v>51</v>
      </c>
      <c r="E190" s="5" t="s">
        <v>779</v>
      </c>
      <c r="F190" s="5">
        <v>2</v>
      </c>
      <c r="G190" s="5">
        <v>30</v>
      </c>
      <c r="H190" s="5"/>
      <c r="I190" s="5"/>
      <c r="J190" s="5"/>
      <c r="K190" s="5"/>
      <c r="L190" s="5"/>
      <c r="M190" s="5">
        <v>2</v>
      </c>
      <c r="N190" s="5" t="s">
        <v>780</v>
      </c>
      <c r="O190" s="5"/>
      <c r="P190" s="6" t="s">
        <v>781</v>
      </c>
      <c r="Q190" s="5"/>
      <c r="R190" s="5"/>
      <c r="S190" s="5"/>
      <c r="T190" s="5"/>
      <c r="U190" s="7"/>
      <c r="V190" s="5" t="s">
        <v>782</v>
      </c>
      <c r="W190" s="5" t="s">
        <v>45</v>
      </c>
      <c r="X190" s="5" t="s">
        <v>45</v>
      </c>
      <c r="Y190" s="5"/>
      <c r="Z190" s="5"/>
      <c r="AA190" s="5"/>
      <c r="AB190" s="5"/>
      <c r="AC190" s="5"/>
      <c r="AD190" s="5">
        <v>-4</v>
      </c>
      <c r="AE190" s="5">
        <v>4</v>
      </c>
      <c r="AF190" s="5"/>
      <c r="AG190" s="5">
        <v>4</v>
      </c>
      <c r="AH190" s="5"/>
      <c r="AI190" s="5">
        <v>6</v>
      </c>
      <c r="AJ190" s="5"/>
      <c r="AK190" s="5"/>
      <c r="AL190" s="5"/>
      <c r="AM190" s="5"/>
      <c r="AN190" s="5"/>
      <c r="AO190" s="5"/>
      <c r="AP190" s="5" t="s">
        <v>783</v>
      </c>
      <c r="AQ190" s="5"/>
      <c r="AR190" s="5" t="s">
        <v>1787</v>
      </c>
      <c r="AS190" s="5"/>
      <c r="AT190" s="5" t="s">
        <v>778</v>
      </c>
      <c r="AU190" s="5" t="s">
        <v>345</v>
      </c>
      <c r="AV190" s="5">
        <v>1</v>
      </c>
      <c r="AW190" s="7"/>
      <c r="AX190" s="5">
        <v>2</v>
      </c>
      <c r="AY190" s="5" t="s">
        <v>319</v>
      </c>
      <c r="AZ190" s="5" t="s">
        <v>45</v>
      </c>
      <c r="BA190" s="5" t="s">
        <v>45</v>
      </c>
      <c r="BB190" s="5" t="s">
        <v>45</v>
      </c>
      <c r="BM190" s="5" t="s">
        <v>1688</v>
      </c>
      <c r="BN190" s="5"/>
      <c r="BO190" s="5"/>
    </row>
    <row r="191" spans="1:67">
      <c r="A191" s="4" t="s">
        <v>784</v>
      </c>
      <c r="B191" s="5"/>
      <c r="C191" s="5" t="s">
        <v>42</v>
      </c>
      <c r="D191" s="5" t="s">
        <v>92</v>
      </c>
      <c r="E191" s="5" t="s">
        <v>753</v>
      </c>
      <c r="F191" s="5"/>
      <c r="G191" s="5">
        <v>30</v>
      </c>
      <c r="H191" s="5"/>
      <c r="I191" s="5"/>
      <c r="J191" s="5"/>
      <c r="K191" s="5"/>
      <c r="L191" s="5"/>
      <c r="M191" s="5"/>
      <c r="N191" s="5"/>
      <c r="O191" s="5"/>
      <c r="P191" s="6" t="s">
        <v>45</v>
      </c>
      <c r="Q191" s="5"/>
      <c r="R191" s="5"/>
      <c r="S191" s="5"/>
      <c r="T191" s="5"/>
      <c r="U191" s="7"/>
      <c r="V191" s="5"/>
      <c r="W191" s="5" t="s">
        <v>45</v>
      </c>
      <c r="X191" s="5" t="s">
        <v>45</v>
      </c>
      <c r="Y191" s="5">
        <f>10+ClassLvl</f>
        <v>18</v>
      </c>
      <c r="Z191" s="5" t="s">
        <v>65</v>
      </c>
      <c r="AA191" s="5"/>
      <c r="AB191" s="5"/>
      <c r="AC191" s="5"/>
      <c r="AD191" s="5"/>
      <c r="AE191" s="5"/>
      <c r="AF191" s="5">
        <v>2</v>
      </c>
      <c r="AG191" s="5"/>
      <c r="AH191" s="5"/>
      <c r="AI191" s="5">
        <v>2</v>
      </c>
      <c r="AJ191" s="5"/>
      <c r="AK191" s="5"/>
      <c r="AL191" s="5"/>
      <c r="AM191" s="5"/>
      <c r="AN191" s="5"/>
      <c r="AO191" s="5"/>
      <c r="AP191" s="5"/>
      <c r="AQ191" s="5"/>
      <c r="AR191" s="5"/>
      <c r="AS191" s="5" t="s">
        <v>116</v>
      </c>
      <c r="AT191" s="5" t="s">
        <v>102</v>
      </c>
      <c r="AU191" s="5" t="s">
        <v>104</v>
      </c>
      <c r="AV191" s="5">
        <v>1</v>
      </c>
      <c r="AW191" s="7"/>
      <c r="AX191" s="5">
        <v>2</v>
      </c>
      <c r="AY191" s="5" t="s">
        <v>785</v>
      </c>
      <c r="AZ191" s="5" t="s">
        <v>105</v>
      </c>
      <c r="BA191" s="5" t="s">
        <v>59</v>
      </c>
      <c r="BB191" s="5" t="s">
        <v>60</v>
      </c>
      <c r="BM191" s="5" t="s">
        <v>1740</v>
      </c>
      <c r="BN191" s="5">
        <v>84</v>
      </c>
      <c r="BO191" s="5"/>
    </row>
    <row r="192" spans="1:67">
      <c r="A192" s="4" t="s">
        <v>786</v>
      </c>
      <c r="B192" s="5"/>
      <c r="C192" s="5" t="s">
        <v>42</v>
      </c>
      <c r="D192" s="5" t="s">
        <v>51</v>
      </c>
      <c r="E192" s="5" t="s">
        <v>136</v>
      </c>
      <c r="F192" s="5">
        <v>4</v>
      </c>
      <c r="G192" s="5">
        <v>40</v>
      </c>
      <c r="H192" s="5"/>
      <c r="I192" s="5">
        <v>20</v>
      </c>
      <c r="J192" s="5"/>
      <c r="K192" s="5"/>
      <c r="L192" s="5"/>
      <c r="M192" s="5">
        <v>4</v>
      </c>
      <c r="N192" s="5"/>
      <c r="O192" s="5"/>
      <c r="P192" s="6" t="s">
        <v>45</v>
      </c>
      <c r="Q192" s="5"/>
      <c r="R192" s="5"/>
      <c r="S192" s="5"/>
      <c r="T192" s="5"/>
      <c r="U192" s="7"/>
      <c r="V192" s="5" t="s">
        <v>787</v>
      </c>
      <c r="W192" s="5" t="s">
        <v>45</v>
      </c>
      <c r="X192" s="5" t="s">
        <v>788</v>
      </c>
      <c r="Y192" s="5">
        <v>13</v>
      </c>
      <c r="Z192" s="5" t="s">
        <v>170</v>
      </c>
      <c r="AA192" s="5"/>
      <c r="AB192" s="5"/>
      <c r="AC192" s="5"/>
      <c r="AD192" s="5">
        <v>8</v>
      </c>
      <c r="AE192" s="5">
        <v>6</v>
      </c>
      <c r="AF192" s="5">
        <v>4</v>
      </c>
      <c r="AG192" s="5">
        <v>4</v>
      </c>
      <c r="AH192" s="5">
        <v>-2</v>
      </c>
      <c r="AI192" s="5">
        <v>-4</v>
      </c>
      <c r="AJ192" s="5"/>
      <c r="AK192" s="5"/>
      <c r="AL192" s="5"/>
      <c r="AM192" s="5"/>
      <c r="AN192" s="5"/>
      <c r="AO192" s="5"/>
      <c r="AP192" s="5" t="s">
        <v>789</v>
      </c>
      <c r="AQ192" s="5"/>
      <c r="AR192" s="5"/>
      <c r="AS192" s="5" t="s">
        <v>790</v>
      </c>
      <c r="AT192" s="5" t="s">
        <v>492</v>
      </c>
      <c r="AU192" s="5"/>
      <c r="AV192" s="5">
        <v>7</v>
      </c>
      <c r="AW192" s="7"/>
      <c r="AX192" s="5">
        <v>3</v>
      </c>
      <c r="AY192" s="5" t="s">
        <v>95</v>
      </c>
      <c r="AZ192" s="5" t="s">
        <v>45</v>
      </c>
      <c r="BA192" s="5" t="s">
        <v>45</v>
      </c>
      <c r="BB192" s="5" t="s">
        <v>45</v>
      </c>
      <c r="BM192" s="5" t="s">
        <v>1688</v>
      </c>
      <c r="BN192" s="5">
        <v>111</v>
      </c>
      <c r="BO192" s="5"/>
    </row>
    <row r="193" spans="1:67">
      <c r="A193" s="4" t="s">
        <v>690</v>
      </c>
      <c r="B193" s="5"/>
      <c r="C193" s="5" t="s">
        <v>85</v>
      </c>
      <c r="D193" s="5" t="s">
        <v>92</v>
      </c>
      <c r="E193" s="5" t="s">
        <v>690</v>
      </c>
      <c r="F193" s="5"/>
      <c r="G193" s="5">
        <v>20</v>
      </c>
      <c r="H193" s="5"/>
      <c r="I193" s="5"/>
      <c r="J193" s="5"/>
      <c r="K193" s="5"/>
      <c r="L193" s="5"/>
      <c r="M193" s="5"/>
      <c r="N193" s="5"/>
      <c r="O193" s="5"/>
      <c r="P193" s="6" t="s">
        <v>45</v>
      </c>
      <c r="Q193" s="5"/>
      <c r="R193" s="5"/>
      <c r="S193" s="5"/>
      <c r="T193" s="5"/>
      <c r="U193" s="7"/>
      <c r="V193" s="5" t="s">
        <v>791</v>
      </c>
      <c r="W193" s="5" t="s">
        <v>45</v>
      </c>
      <c r="X193" s="5" t="s">
        <v>45</v>
      </c>
      <c r="Y193" s="5"/>
      <c r="Z193" s="5"/>
      <c r="AA193" s="5"/>
      <c r="AB193" s="5"/>
      <c r="AC193" s="5"/>
      <c r="AD193" s="5">
        <v>-2</v>
      </c>
      <c r="AE193" s="5">
        <v>2</v>
      </c>
      <c r="AF193" s="5"/>
      <c r="AG193" s="5"/>
      <c r="AH193" s="5">
        <v>-2</v>
      </c>
      <c r="AI193" s="5"/>
      <c r="AJ193" s="5"/>
      <c r="AK193" s="5"/>
      <c r="AL193" s="5"/>
      <c r="AM193" s="5"/>
      <c r="AN193" s="5"/>
      <c r="AO193" s="5"/>
      <c r="AP193" s="5" t="s">
        <v>792</v>
      </c>
      <c r="AQ193" s="5"/>
      <c r="AR193" s="5"/>
      <c r="AS193" s="5"/>
      <c r="AT193" s="5" t="s">
        <v>692</v>
      </c>
      <c r="AU193" s="5" t="s">
        <v>793</v>
      </c>
      <c r="AV193" s="5"/>
      <c r="AW193" s="7"/>
      <c r="AX193" s="5"/>
      <c r="AY193" s="5" t="s">
        <v>95</v>
      </c>
      <c r="AZ193" s="5" t="s">
        <v>45</v>
      </c>
      <c r="BA193" s="5" t="s">
        <v>45</v>
      </c>
      <c r="BB193" s="5" t="s">
        <v>45</v>
      </c>
      <c r="BM193" s="5" t="s">
        <v>1732</v>
      </c>
      <c r="BN193" s="5"/>
      <c r="BO193" s="5"/>
    </row>
    <row r="194" spans="1:67">
      <c r="A194" s="4" t="s">
        <v>794</v>
      </c>
      <c r="B194" s="5"/>
      <c r="C194" s="5" t="s">
        <v>85</v>
      </c>
      <c r="D194" s="5" t="s">
        <v>92</v>
      </c>
      <c r="E194" s="5" t="s">
        <v>690</v>
      </c>
      <c r="F194" s="5"/>
      <c r="G194" s="5">
        <v>20</v>
      </c>
      <c r="H194" s="5"/>
      <c r="I194" s="5"/>
      <c r="J194" s="5"/>
      <c r="K194" s="5"/>
      <c r="L194" s="5"/>
      <c r="M194" s="5"/>
      <c r="N194" s="5"/>
      <c r="O194" s="5"/>
      <c r="P194" s="6" t="s">
        <v>45</v>
      </c>
      <c r="Q194" s="5"/>
      <c r="R194" s="5"/>
      <c r="S194" s="5"/>
      <c r="T194" s="5"/>
      <c r="U194" s="7"/>
      <c r="V194" s="5"/>
      <c r="W194" s="5" t="s">
        <v>45</v>
      </c>
      <c r="X194" s="5" t="s">
        <v>45</v>
      </c>
      <c r="Y194" s="5"/>
      <c r="Z194" s="5"/>
      <c r="AA194" s="5"/>
      <c r="AB194" s="5"/>
      <c r="AC194" s="5"/>
      <c r="AD194" s="5">
        <v>-2</v>
      </c>
      <c r="AE194" s="5">
        <v>2</v>
      </c>
      <c r="AF194" s="5"/>
      <c r="AG194" s="5"/>
      <c r="AH194" s="5">
        <v>-2</v>
      </c>
      <c r="AI194" s="5"/>
      <c r="AJ194" s="5"/>
      <c r="AK194" s="5"/>
      <c r="AL194" s="5"/>
      <c r="AM194" s="5"/>
      <c r="AN194" s="5"/>
      <c r="AO194" s="5"/>
      <c r="AP194" s="5" t="s">
        <v>795</v>
      </c>
      <c r="AQ194" s="5"/>
      <c r="AR194" s="5"/>
      <c r="AS194" s="5"/>
      <c r="AT194" s="5" t="s">
        <v>692</v>
      </c>
      <c r="AU194" s="5" t="s">
        <v>793</v>
      </c>
      <c r="AV194" s="5"/>
      <c r="AW194" s="7"/>
      <c r="AX194" s="5"/>
      <c r="AY194" s="5" t="s">
        <v>95</v>
      </c>
      <c r="AZ194" s="5" t="s">
        <v>45</v>
      </c>
      <c r="BA194" s="5" t="s">
        <v>45</v>
      </c>
      <c r="BB194" s="5" t="s">
        <v>45</v>
      </c>
      <c r="BM194" s="5" t="s">
        <v>1732</v>
      </c>
      <c r="BN194" s="5"/>
      <c r="BO194" s="5"/>
    </row>
    <row r="195" spans="1:67">
      <c r="A195" s="4" t="s">
        <v>796</v>
      </c>
      <c r="B195" s="5"/>
      <c r="C195" s="5" t="s">
        <v>42</v>
      </c>
      <c r="D195" s="5" t="s">
        <v>92</v>
      </c>
      <c r="E195" s="5"/>
      <c r="F195" s="5"/>
      <c r="G195" s="5">
        <v>30</v>
      </c>
      <c r="H195" s="5"/>
      <c r="I195" s="5"/>
      <c r="J195" s="5"/>
      <c r="K195" s="5"/>
      <c r="L195" s="5"/>
      <c r="M195" s="5"/>
      <c r="N195" s="5" t="s">
        <v>797</v>
      </c>
      <c r="O195" s="5"/>
      <c r="P195" s="6" t="s">
        <v>45</v>
      </c>
      <c r="Q195" s="5"/>
      <c r="R195" s="5"/>
      <c r="S195" s="5" t="s">
        <v>77</v>
      </c>
      <c r="T195" s="5"/>
      <c r="U195" s="7"/>
      <c r="V195" s="5"/>
      <c r="W195" s="5" t="s">
        <v>45</v>
      </c>
      <c r="X195" s="5" t="s">
        <v>45</v>
      </c>
      <c r="Y195" s="5"/>
      <c r="Z195" s="5"/>
      <c r="AA195" s="5"/>
      <c r="AB195" s="5"/>
      <c r="AC195" s="5"/>
      <c r="AD195" s="5">
        <v>-2</v>
      </c>
      <c r="AE195" s="5">
        <v>2</v>
      </c>
      <c r="AF195" s="5"/>
      <c r="AG195" s="5"/>
      <c r="AH195" s="5"/>
      <c r="AI195" s="5"/>
      <c r="AJ195" s="5"/>
      <c r="AK195" s="5"/>
      <c r="AL195" s="5"/>
      <c r="AM195" s="5"/>
      <c r="AN195" s="5"/>
      <c r="AO195" s="5"/>
      <c r="AP195" s="5" t="s">
        <v>93</v>
      </c>
      <c r="AQ195" s="5"/>
      <c r="AR195" s="5"/>
      <c r="AS195" s="5"/>
      <c r="AT195" s="5" t="s">
        <v>798</v>
      </c>
      <c r="AU195" s="5" t="s">
        <v>799</v>
      </c>
      <c r="AV195" s="5"/>
      <c r="AW195" s="7"/>
      <c r="AX195" s="5"/>
      <c r="AY195" s="5" t="s">
        <v>95</v>
      </c>
      <c r="AZ195" s="5" t="s">
        <v>45</v>
      </c>
      <c r="BA195" s="5" t="s">
        <v>45</v>
      </c>
      <c r="BB195" s="5" t="s">
        <v>45</v>
      </c>
      <c r="BM195" s="5" t="s">
        <v>1718</v>
      </c>
      <c r="BN195" s="5">
        <v>86</v>
      </c>
      <c r="BO195" s="5"/>
    </row>
    <row r="196" spans="1:67">
      <c r="A196" s="4" t="s">
        <v>800</v>
      </c>
      <c r="B196" s="5"/>
      <c r="C196" s="5" t="s">
        <v>42</v>
      </c>
      <c r="D196" s="5" t="s">
        <v>43</v>
      </c>
      <c r="E196" s="5" t="s">
        <v>801</v>
      </c>
      <c r="F196" s="5">
        <v>3</v>
      </c>
      <c r="G196" s="5">
        <v>30</v>
      </c>
      <c r="H196" s="5"/>
      <c r="I196" s="5"/>
      <c r="J196" s="5"/>
      <c r="K196" s="5"/>
      <c r="L196" s="5"/>
      <c r="M196" s="5">
        <v>6</v>
      </c>
      <c r="N196" s="5" t="s">
        <v>244</v>
      </c>
      <c r="O196" s="5"/>
      <c r="P196" s="6" t="s">
        <v>45</v>
      </c>
      <c r="Q196" s="5"/>
      <c r="R196" s="5"/>
      <c r="S196" s="5"/>
      <c r="T196" s="5">
        <v>60</v>
      </c>
      <c r="U196" s="7"/>
      <c r="V196" s="5"/>
      <c r="W196" s="5" t="s">
        <v>45</v>
      </c>
      <c r="X196" s="5" t="s">
        <v>45</v>
      </c>
      <c r="Y196" s="5"/>
      <c r="Z196" s="5"/>
      <c r="AA196" s="5"/>
      <c r="AB196" s="5"/>
      <c r="AC196" s="5"/>
      <c r="AD196" s="5">
        <v>8</v>
      </c>
      <c r="AE196" s="5">
        <v>2</v>
      </c>
      <c r="AF196" s="5">
        <v>4</v>
      </c>
      <c r="AG196" s="5">
        <v>2</v>
      </c>
      <c r="AH196" s="5"/>
      <c r="AI196" s="5"/>
      <c r="AJ196" s="5"/>
      <c r="AK196" s="5"/>
      <c r="AL196" s="5"/>
      <c r="AM196" s="5"/>
      <c r="AN196" s="5"/>
      <c r="AO196" s="5"/>
      <c r="AP196" s="5" t="s">
        <v>802</v>
      </c>
      <c r="AQ196" s="5"/>
      <c r="AR196" s="5"/>
      <c r="AS196" s="5"/>
      <c r="AT196" s="5" t="s">
        <v>237</v>
      </c>
      <c r="AU196" s="5"/>
      <c r="AV196" s="5">
        <v>3</v>
      </c>
      <c r="AW196" s="7"/>
      <c r="AX196" s="5">
        <v>3</v>
      </c>
      <c r="AY196" s="5" t="s">
        <v>113</v>
      </c>
      <c r="AZ196" s="5" t="s">
        <v>45</v>
      </c>
      <c r="BA196" s="5" t="s">
        <v>45</v>
      </c>
      <c r="BB196" s="5" t="s">
        <v>45</v>
      </c>
      <c r="BM196" s="5" t="s">
        <v>1688</v>
      </c>
      <c r="BN196" s="5">
        <v>115</v>
      </c>
      <c r="BO196" s="5"/>
    </row>
    <row r="197" spans="1:67">
      <c r="A197" s="4" t="s">
        <v>803</v>
      </c>
      <c r="B197" s="5"/>
      <c r="C197" s="5" t="s">
        <v>42</v>
      </c>
      <c r="D197" s="5" t="s">
        <v>272</v>
      </c>
      <c r="E197" s="5"/>
      <c r="F197" s="5"/>
      <c r="G197" s="5">
        <v>30</v>
      </c>
      <c r="H197" s="5"/>
      <c r="I197" s="5"/>
      <c r="J197" s="5"/>
      <c r="K197" s="5"/>
      <c r="L197" s="5"/>
      <c r="M197" s="5"/>
      <c r="N197" s="5"/>
      <c r="O197" s="5"/>
      <c r="P197" s="6" t="s">
        <v>45</v>
      </c>
      <c r="Q197" s="5"/>
      <c r="R197" s="5"/>
      <c r="S197" s="5"/>
      <c r="T197" s="5"/>
      <c r="U197" s="7"/>
      <c r="V197" s="5" t="s">
        <v>804</v>
      </c>
      <c r="W197" s="5" t="s">
        <v>45</v>
      </c>
      <c r="X197" s="5" t="s">
        <v>45</v>
      </c>
      <c r="Y197" s="5"/>
      <c r="Z197" s="5"/>
      <c r="AA197" s="5"/>
      <c r="AB197" s="5"/>
      <c r="AC197" s="5"/>
      <c r="AD197" s="5"/>
      <c r="AE197" s="5"/>
      <c r="AF197" s="5"/>
      <c r="AG197" s="5"/>
      <c r="AH197" s="5"/>
      <c r="AI197" s="5"/>
      <c r="AJ197" s="5"/>
      <c r="AK197" s="5"/>
      <c r="AL197" s="5"/>
      <c r="AM197" s="5"/>
      <c r="AN197" s="5"/>
      <c r="AO197" s="5"/>
      <c r="AP197" s="5" t="s">
        <v>805</v>
      </c>
      <c r="AQ197" s="5"/>
      <c r="AR197" s="5"/>
      <c r="AS197" s="5"/>
      <c r="AT197" s="5" t="s">
        <v>345</v>
      </c>
      <c r="AU197" s="5" t="s">
        <v>806</v>
      </c>
      <c r="AV197" s="5"/>
      <c r="AW197" s="7"/>
      <c r="AX197" s="5"/>
      <c r="AY197" s="5" t="s">
        <v>72</v>
      </c>
      <c r="AZ197" s="5" t="s">
        <v>807</v>
      </c>
      <c r="BA197" s="5" t="s">
        <v>808</v>
      </c>
      <c r="BB197" s="5" t="s">
        <v>350</v>
      </c>
      <c r="BM197" s="5" t="s">
        <v>1683</v>
      </c>
      <c r="BN197" s="5"/>
      <c r="BO197" s="5"/>
    </row>
    <row r="198" spans="1:67">
      <c r="A198" s="4" t="s">
        <v>809</v>
      </c>
      <c r="B198" s="5"/>
      <c r="C198" s="5" t="s">
        <v>42</v>
      </c>
      <c r="D198" s="5" t="s">
        <v>43</v>
      </c>
      <c r="E198" s="5"/>
      <c r="F198" s="5">
        <v>4</v>
      </c>
      <c r="G198" s="5">
        <v>30</v>
      </c>
      <c r="H198" s="5"/>
      <c r="I198" s="5"/>
      <c r="J198" s="5">
        <v>90</v>
      </c>
      <c r="K198" s="5" t="s">
        <v>472</v>
      </c>
      <c r="L198" s="5"/>
      <c r="M198" s="5">
        <v>3</v>
      </c>
      <c r="N198" s="5" t="s">
        <v>810</v>
      </c>
      <c r="O198" s="5"/>
      <c r="P198" s="6" t="s">
        <v>811</v>
      </c>
      <c r="Q198" s="5"/>
      <c r="R198" s="5"/>
      <c r="S198" s="5"/>
      <c r="T198" s="5">
        <v>60</v>
      </c>
      <c r="U198" s="7"/>
      <c r="V198" s="5"/>
      <c r="W198" s="5" t="s">
        <v>45</v>
      </c>
      <c r="X198" s="5" t="s">
        <v>45</v>
      </c>
      <c r="Y198" s="5"/>
      <c r="Z198" s="5"/>
      <c r="AA198" s="5"/>
      <c r="AB198" s="5"/>
      <c r="AC198" s="5"/>
      <c r="AD198" s="5">
        <v>4</v>
      </c>
      <c r="AE198" s="5">
        <v>2</v>
      </c>
      <c r="AF198" s="5"/>
      <c r="AG198" s="5"/>
      <c r="AH198" s="5">
        <v>-2</v>
      </c>
      <c r="AI198" s="5"/>
      <c r="AJ198" s="5"/>
      <c r="AK198" s="5"/>
      <c r="AL198" s="5"/>
      <c r="AM198" s="5"/>
      <c r="AN198" s="5"/>
      <c r="AO198" s="5"/>
      <c r="AP198" s="5" t="s">
        <v>812</v>
      </c>
      <c r="AQ198" s="5"/>
      <c r="AR198" s="5"/>
      <c r="AS198" s="5"/>
      <c r="AT198" s="5" t="s">
        <v>813</v>
      </c>
      <c r="AU198" s="5" t="s">
        <v>235</v>
      </c>
      <c r="AV198" s="5"/>
      <c r="AW198" s="7"/>
      <c r="AX198" s="5">
        <v>4</v>
      </c>
      <c r="AY198" s="5" t="s">
        <v>113</v>
      </c>
      <c r="AZ198" s="5" t="s">
        <v>45</v>
      </c>
      <c r="BA198" s="5" t="s">
        <v>45</v>
      </c>
      <c r="BB198" s="5" t="s">
        <v>45</v>
      </c>
      <c r="BM198" s="5" t="s">
        <v>1625</v>
      </c>
      <c r="BN198" s="5"/>
      <c r="BO198" s="5"/>
    </row>
    <row r="199" spans="1:67">
      <c r="A199" s="4" t="s">
        <v>814</v>
      </c>
      <c r="B199" s="5"/>
      <c r="C199" s="5" t="s">
        <v>85</v>
      </c>
      <c r="D199" s="5" t="str">
        <f>IF(FtDragonwrought,"Dragon","Humanoid")</f>
        <v>Humanoid</v>
      </c>
      <c r="E199" s="5" t="str">
        <f>IF(FtDragonwrought,"Reptilian","Dragonblood, Reptilian")</f>
        <v>Dragonblood, Reptilian</v>
      </c>
      <c r="F199" s="5"/>
      <c r="G199" s="5">
        <v>30</v>
      </c>
      <c r="H199" s="5"/>
      <c r="I199" s="5"/>
      <c r="J199" s="5"/>
      <c r="K199" s="5"/>
      <c r="L199" s="5"/>
      <c r="M199" s="5">
        <v>1</v>
      </c>
      <c r="N199" s="5"/>
      <c r="O199" s="5"/>
      <c r="P199" s="6" t="s">
        <v>45</v>
      </c>
      <c r="Q199" s="5"/>
      <c r="R199" s="5"/>
      <c r="S199" s="5"/>
      <c r="T199" s="5">
        <v>60</v>
      </c>
      <c r="U199" s="7"/>
      <c r="V199" s="5"/>
      <c r="W199" s="5" t="s">
        <v>45</v>
      </c>
      <c r="X199" s="5" t="s">
        <v>45</v>
      </c>
      <c r="Y199" s="5"/>
      <c r="Z199" s="5"/>
      <c r="AA199" s="5"/>
      <c r="AB199" s="5"/>
      <c r="AC199" s="5"/>
      <c r="AD199" s="5">
        <v>-4</v>
      </c>
      <c r="AE199" s="5">
        <v>2</v>
      </c>
      <c r="AF199" s="5">
        <v>-2</v>
      </c>
      <c r="AG199" s="5"/>
      <c r="AH199" s="5"/>
      <c r="AI199" s="5"/>
      <c r="AJ199" s="5"/>
      <c r="AK199" s="5"/>
      <c r="AL199" s="5"/>
      <c r="AM199" s="5"/>
      <c r="AN199" s="5"/>
      <c r="AO199" s="5"/>
      <c r="AP199" s="5" t="str">
        <f>IF(FtDragonwrought,DragonwroughtSkill &amp; "+2,","")&amp;"Craft (trapmaking)+2,Profession (miner)+2,Search+2"</f>
        <v>Craft (trapmaking)+2,Profession (miner)+2,Search+2</v>
      </c>
      <c r="AQ199" s="5"/>
      <c r="AR199" s="5"/>
      <c r="AS199" s="5"/>
      <c r="AT199" s="5" t="s">
        <v>318</v>
      </c>
      <c r="AU199" s="5" t="s">
        <v>815</v>
      </c>
      <c r="AV199" s="5"/>
      <c r="AW199" s="7"/>
      <c r="AX199" s="5"/>
      <c r="AY199" s="5" t="s">
        <v>319</v>
      </c>
      <c r="AZ199" s="5" t="s">
        <v>816</v>
      </c>
      <c r="BA199" s="5" t="s">
        <v>817</v>
      </c>
      <c r="BB199" s="5" t="s">
        <v>818</v>
      </c>
      <c r="BM199" s="5" t="s">
        <v>1609</v>
      </c>
      <c r="BN199" s="5">
        <v>161</v>
      </c>
      <c r="BO199" s="5" t="s">
        <v>1734</v>
      </c>
    </row>
    <row r="200" spans="1:67">
      <c r="A200" s="4" t="s">
        <v>819</v>
      </c>
      <c r="B200" s="5"/>
      <c r="C200" s="5" t="s">
        <v>85</v>
      </c>
      <c r="D200" s="5" t="s">
        <v>92</v>
      </c>
      <c r="E200" s="5"/>
      <c r="F200" s="5"/>
      <c r="G200" s="5">
        <v>20</v>
      </c>
      <c r="H200" s="5"/>
      <c r="I200" s="5"/>
      <c r="J200" s="5"/>
      <c r="K200" s="5"/>
      <c r="L200" s="5"/>
      <c r="M200" s="5"/>
      <c r="N200" s="5"/>
      <c r="O200" s="5"/>
      <c r="P200" s="6"/>
      <c r="Q200" s="5"/>
      <c r="R200" s="5"/>
      <c r="S200" s="5"/>
      <c r="T200" s="5">
        <v>60</v>
      </c>
      <c r="U200" s="7"/>
      <c r="V200" s="5"/>
      <c r="W200" s="5"/>
      <c r="X200" s="5"/>
      <c r="Y200" s="5"/>
      <c r="Z200" s="5"/>
      <c r="AA200" s="5"/>
      <c r="AB200" s="5"/>
      <c r="AC200" s="5"/>
      <c r="AD200" s="5"/>
      <c r="AE200" s="5"/>
      <c r="AF200" s="5">
        <v>2</v>
      </c>
      <c r="AG200" s="5">
        <v>-2</v>
      </c>
      <c r="AH200" s="5"/>
      <c r="AI200" s="5"/>
      <c r="AJ200" s="5"/>
      <c r="AK200" s="5"/>
      <c r="AL200" s="5"/>
      <c r="AM200" s="5"/>
      <c r="AN200" s="5"/>
      <c r="AO200" s="5"/>
      <c r="AP200" s="5" t="s">
        <v>730</v>
      </c>
      <c r="AQ200" s="5"/>
      <c r="AR200" s="5"/>
      <c r="AS200" s="5"/>
      <c r="AT200" s="5" t="s">
        <v>356</v>
      </c>
      <c r="AU200" s="5" t="s">
        <v>820</v>
      </c>
      <c r="AV200" s="5"/>
      <c r="AW200" s="7"/>
      <c r="AX200" s="5"/>
      <c r="AY200" s="5" t="s">
        <v>125</v>
      </c>
      <c r="AZ200" s="5" t="s">
        <v>357</v>
      </c>
      <c r="BA200" s="5" t="s">
        <v>375</v>
      </c>
      <c r="BB200" s="5" t="s">
        <v>821</v>
      </c>
      <c r="BM200" s="5" t="s">
        <v>1621</v>
      </c>
      <c r="BN200" s="5">
        <v>11</v>
      </c>
      <c r="BO200" s="5"/>
    </row>
    <row r="201" spans="1:67">
      <c r="A201" s="4" t="s">
        <v>822</v>
      </c>
      <c r="B201" s="5"/>
      <c r="C201" s="5" t="s">
        <v>42</v>
      </c>
      <c r="D201" s="5" t="s">
        <v>92</v>
      </c>
      <c r="E201" s="5" t="s">
        <v>45</v>
      </c>
      <c r="F201" s="5"/>
      <c r="G201" s="5">
        <v>30</v>
      </c>
      <c r="H201" s="5"/>
      <c r="I201" s="5"/>
      <c r="J201" s="5"/>
      <c r="K201" s="5"/>
      <c r="L201" s="5"/>
      <c r="M201" s="5"/>
      <c r="N201" s="5"/>
      <c r="O201" s="5"/>
      <c r="P201" s="6" t="s">
        <v>45</v>
      </c>
      <c r="Q201" s="5"/>
      <c r="R201" s="5"/>
      <c r="S201" s="5"/>
      <c r="T201" s="5"/>
      <c r="U201" s="7"/>
      <c r="V201" s="5"/>
      <c r="W201" s="5" t="s">
        <v>45</v>
      </c>
      <c r="X201" s="5" t="s">
        <v>45</v>
      </c>
      <c r="Y201" s="5"/>
      <c r="Z201" s="5"/>
      <c r="AA201" s="5"/>
      <c r="AB201" s="5"/>
      <c r="AC201" s="5"/>
      <c r="AD201" s="5"/>
      <c r="AE201" s="5"/>
      <c r="AF201" s="5">
        <v>2</v>
      </c>
      <c r="AG201" s="5"/>
      <c r="AH201" s="5"/>
      <c r="AI201" s="5">
        <v>-2</v>
      </c>
      <c r="AJ201" s="5"/>
      <c r="AK201" s="5"/>
      <c r="AL201" s="5"/>
      <c r="AM201" s="5"/>
      <c r="AN201" s="5"/>
      <c r="AO201" s="5"/>
      <c r="AP201" s="5"/>
      <c r="AQ201" s="5"/>
      <c r="AR201" s="5"/>
      <c r="AS201" s="5"/>
      <c r="AT201" s="5" t="s">
        <v>823</v>
      </c>
      <c r="AU201" s="5" t="s">
        <v>824</v>
      </c>
      <c r="AV201" s="5"/>
      <c r="AW201" s="7"/>
      <c r="AX201" s="5"/>
      <c r="AY201" s="5" t="s">
        <v>113</v>
      </c>
      <c r="AZ201" s="5" t="s">
        <v>45</v>
      </c>
      <c r="BA201" s="5" t="s">
        <v>45</v>
      </c>
      <c r="BB201" s="5" t="s">
        <v>45</v>
      </c>
      <c r="BM201" s="5" t="s">
        <v>1733</v>
      </c>
      <c r="BN201" s="5"/>
      <c r="BO201" s="5"/>
    </row>
    <row r="202" spans="1:67">
      <c r="A202" s="4" t="s">
        <v>825</v>
      </c>
      <c r="B202" s="5"/>
      <c r="C202" s="5" t="s">
        <v>42</v>
      </c>
      <c r="D202" s="5" t="s">
        <v>43</v>
      </c>
      <c r="E202" s="5" t="s">
        <v>100</v>
      </c>
      <c r="F202" s="5">
        <v>2</v>
      </c>
      <c r="G202" s="5">
        <v>20</v>
      </c>
      <c r="H202" s="5"/>
      <c r="I202" s="5"/>
      <c r="J202" s="5"/>
      <c r="K202" s="5"/>
      <c r="L202" s="5">
        <v>50</v>
      </c>
      <c r="M202" s="5">
        <v>6</v>
      </c>
      <c r="N202" s="5" t="s">
        <v>244</v>
      </c>
      <c r="O202" s="5"/>
      <c r="P202" s="6" t="s">
        <v>45</v>
      </c>
      <c r="Q202" s="5"/>
      <c r="R202" s="5"/>
      <c r="S202" s="5"/>
      <c r="T202" s="5"/>
      <c r="U202" s="7"/>
      <c r="V202" s="5" t="s">
        <v>826</v>
      </c>
      <c r="W202" s="5" t="s">
        <v>45</v>
      </c>
      <c r="X202" s="5" t="s">
        <v>827</v>
      </c>
      <c r="Y202" s="5"/>
      <c r="Z202" s="5"/>
      <c r="AA202" s="5"/>
      <c r="AB202" s="5"/>
      <c r="AC202" s="5"/>
      <c r="AD202" s="5">
        <v>2</v>
      </c>
      <c r="AE202" s="5"/>
      <c r="AF202" s="5">
        <v>2</v>
      </c>
      <c r="AG202" s="5">
        <v>2</v>
      </c>
      <c r="AH202" s="5">
        <v>2</v>
      </c>
      <c r="AI202" s="5">
        <v>-2</v>
      </c>
      <c r="AJ202" s="5"/>
      <c r="AK202" s="5"/>
      <c r="AL202" s="5"/>
      <c r="AM202" s="5"/>
      <c r="AN202" s="5"/>
      <c r="AO202" s="5"/>
      <c r="AP202" s="5" t="s">
        <v>828</v>
      </c>
      <c r="AQ202" s="5"/>
      <c r="AR202" s="5" t="s">
        <v>1803</v>
      </c>
      <c r="AS202" s="5" t="s">
        <v>341</v>
      </c>
      <c r="AT202" s="5" t="s">
        <v>829</v>
      </c>
      <c r="AU202" s="5" t="s">
        <v>830</v>
      </c>
      <c r="AV202" s="5">
        <v>2</v>
      </c>
      <c r="AW202" s="7"/>
      <c r="AX202" s="5">
        <v>3</v>
      </c>
      <c r="AY202" s="5" t="s">
        <v>95</v>
      </c>
      <c r="AZ202" s="5" t="s">
        <v>45</v>
      </c>
      <c r="BA202" s="5" t="s">
        <v>45</v>
      </c>
      <c r="BB202" s="5" t="s">
        <v>45</v>
      </c>
      <c r="BM202" s="5" t="s">
        <v>1609</v>
      </c>
      <c r="BN202" s="5">
        <v>163</v>
      </c>
      <c r="BO202" s="5"/>
    </row>
    <row r="203" spans="1:67">
      <c r="A203" s="4" t="s">
        <v>831</v>
      </c>
      <c r="B203" s="5"/>
      <c r="C203" s="5" t="s">
        <v>42</v>
      </c>
      <c r="D203" s="5" t="s">
        <v>43</v>
      </c>
      <c r="E203" s="5"/>
      <c r="F203" s="5">
        <v>4</v>
      </c>
      <c r="G203" s="5">
        <v>20</v>
      </c>
      <c r="H203" s="5"/>
      <c r="I203" s="5"/>
      <c r="J203" s="5">
        <v>50</v>
      </c>
      <c r="K203" s="5" t="s">
        <v>472</v>
      </c>
      <c r="L203" s="5"/>
      <c r="M203" s="5">
        <v>2</v>
      </c>
      <c r="N203" s="5" t="s">
        <v>810</v>
      </c>
      <c r="O203" s="5"/>
      <c r="P203" s="6" t="s">
        <v>45</v>
      </c>
      <c r="Q203" s="5"/>
      <c r="R203" s="5"/>
      <c r="S203" s="5"/>
      <c r="T203" s="5">
        <v>60</v>
      </c>
      <c r="U203" s="7"/>
      <c r="V203" s="5"/>
      <c r="W203" s="5" t="s">
        <v>45</v>
      </c>
      <c r="X203" s="5" t="s">
        <v>45</v>
      </c>
      <c r="Y203" s="5"/>
      <c r="Z203" s="5"/>
      <c r="AA203" s="5"/>
      <c r="AB203" s="5"/>
      <c r="AC203" s="5"/>
      <c r="AD203" s="5">
        <v>-2</v>
      </c>
      <c r="AE203" s="5">
        <v>6</v>
      </c>
      <c r="AF203" s="5"/>
      <c r="AG203" s="5"/>
      <c r="AH203" s="5">
        <v>2</v>
      </c>
      <c r="AI203" s="5"/>
      <c r="AJ203" s="5"/>
      <c r="AK203" s="5"/>
      <c r="AL203" s="5"/>
      <c r="AM203" s="5"/>
      <c r="AN203" s="5"/>
      <c r="AO203" s="5"/>
      <c r="AP203" s="5" t="s">
        <v>832</v>
      </c>
      <c r="AQ203" s="5"/>
      <c r="AR203" s="5"/>
      <c r="AS203" s="5"/>
      <c r="AT203" s="5" t="s">
        <v>833</v>
      </c>
      <c r="AU203" s="5" t="s">
        <v>834</v>
      </c>
      <c r="AV203" s="5">
        <v>2</v>
      </c>
      <c r="AW203" s="7"/>
      <c r="AX203" s="5">
        <v>3</v>
      </c>
      <c r="AY203" s="5" t="s">
        <v>312</v>
      </c>
      <c r="AZ203" s="5" t="s">
        <v>45</v>
      </c>
      <c r="BA203" s="5" t="s">
        <v>45</v>
      </c>
      <c r="BB203" s="5" t="s">
        <v>45</v>
      </c>
      <c r="BM203" s="5" t="s">
        <v>1669</v>
      </c>
      <c r="BN203" s="5"/>
      <c r="BO203" s="5"/>
    </row>
    <row r="204" spans="1:67">
      <c r="A204" s="4" t="s">
        <v>835</v>
      </c>
      <c r="B204" s="5"/>
      <c r="C204" s="5" t="s">
        <v>42</v>
      </c>
      <c r="D204" s="5" t="s">
        <v>51</v>
      </c>
      <c r="E204" s="5" t="s">
        <v>127</v>
      </c>
      <c r="F204" s="5">
        <v>8</v>
      </c>
      <c r="G204" s="5">
        <v>30</v>
      </c>
      <c r="H204" s="5"/>
      <c r="I204" s="5"/>
      <c r="J204" s="5"/>
      <c r="K204" s="5"/>
      <c r="L204" s="5"/>
      <c r="M204" s="5">
        <v>8</v>
      </c>
      <c r="N204" s="5" t="s">
        <v>836</v>
      </c>
      <c r="O204" s="5"/>
      <c r="P204" s="6"/>
      <c r="Q204" s="5"/>
      <c r="R204" s="5"/>
      <c r="S204" s="5"/>
      <c r="T204" s="5">
        <v>60</v>
      </c>
      <c r="U204" s="7"/>
      <c r="V204" s="5" t="s">
        <v>109</v>
      </c>
      <c r="W204" s="5"/>
      <c r="X204" s="5"/>
      <c r="Y204" s="5">
        <v>18</v>
      </c>
      <c r="Z204" s="5" t="s">
        <v>837</v>
      </c>
      <c r="AA204" s="5"/>
      <c r="AB204" s="5"/>
      <c r="AC204" s="5"/>
      <c r="AD204" s="5">
        <v>4</v>
      </c>
      <c r="AE204" s="5">
        <v>4</v>
      </c>
      <c r="AF204" s="5">
        <v>4</v>
      </c>
      <c r="AG204" s="5">
        <v>-4</v>
      </c>
      <c r="AH204" s="5"/>
      <c r="AI204" s="5">
        <v>2</v>
      </c>
      <c r="AJ204" s="5"/>
      <c r="AK204" s="5"/>
      <c r="AL204" s="5"/>
      <c r="AM204" s="5"/>
      <c r="AN204" s="5"/>
      <c r="AO204" s="5"/>
      <c r="AP204" s="5" t="s">
        <v>838</v>
      </c>
      <c r="AQ204" s="5"/>
      <c r="AR204" s="5"/>
      <c r="AS204" s="5"/>
      <c r="AT204" s="5" t="s">
        <v>744</v>
      </c>
      <c r="AU204" s="5"/>
      <c r="AV204" s="5">
        <v>6</v>
      </c>
      <c r="AW204" s="7"/>
      <c r="AX204" s="5">
        <v>6</v>
      </c>
      <c r="AY204" s="5"/>
      <c r="AZ204" s="5"/>
      <c r="BA204" s="5"/>
      <c r="BB204" s="5"/>
      <c r="BM204" s="5" t="s">
        <v>1609</v>
      </c>
      <c r="BN204" s="5"/>
      <c r="BO204" s="5"/>
    </row>
    <row r="205" spans="1:67">
      <c r="A205" s="4" t="s">
        <v>839</v>
      </c>
      <c r="B205" s="5"/>
      <c r="C205" s="5" t="s">
        <v>42</v>
      </c>
      <c r="D205" s="5" t="s">
        <v>92</v>
      </c>
      <c r="E205" s="5" t="s">
        <v>840</v>
      </c>
      <c r="F205" s="5">
        <v>2</v>
      </c>
      <c r="G205" s="5">
        <v>30</v>
      </c>
      <c r="H205" s="5"/>
      <c r="I205" s="5"/>
      <c r="J205" s="5"/>
      <c r="K205" s="5"/>
      <c r="L205" s="5"/>
      <c r="M205" s="5">
        <v>5</v>
      </c>
      <c r="N205" s="5" t="s">
        <v>287</v>
      </c>
      <c r="O205" s="5"/>
      <c r="P205" s="6" t="s">
        <v>45</v>
      </c>
      <c r="Q205" s="5"/>
      <c r="R205" s="5"/>
      <c r="S205" s="5"/>
      <c r="T205" s="5"/>
      <c r="U205" s="7"/>
      <c r="V205" s="5"/>
      <c r="W205" s="5" t="s">
        <v>45</v>
      </c>
      <c r="X205" s="5" t="s">
        <v>45</v>
      </c>
      <c r="Y205" s="5"/>
      <c r="Z205" s="5"/>
      <c r="AA205" s="5"/>
      <c r="AB205" s="5"/>
      <c r="AC205" s="5"/>
      <c r="AD205" s="5">
        <v>2</v>
      </c>
      <c r="AE205" s="5"/>
      <c r="AF205" s="5">
        <v>2</v>
      </c>
      <c r="AG205" s="5">
        <v>-2</v>
      </c>
      <c r="AH205" s="5"/>
      <c r="AI205" s="5"/>
      <c r="AJ205" s="5"/>
      <c r="AK205" s="5"/>
      <c r="AL205" s="5"/>
      <c r="AM205" s="5"/>
      <c r="AN205" s="5"/>
      <c r="AO205" s="5"/>
      <c r="AP205" s="5" t="s">
        <v>841</v>
      </c>
      <c r="AQ205" s="5"/>
      <c r="AR205" s="5"/>
      <c r="AS205" s="5"/>
      <c r="AT205" s="5" t="s">
        <v>237</v>
      </c>
      <c r="AU205" s="5" t="s">
        <v>842</v>
      </c>
      <c r="AV205" s="5">
        <v>1</v>
      </c>
      <c r="AW205" s="7"/>
      <c r="AX205" s="5">
        <v>1</v>
      </c>
      <c r="AY205" s="5" t="s">
        <v>72</v>
      </c>
      <c r="AZ205" s="5" t="s">
        <v>45</v>
      </c>
      <c r="BA205" s="5" t="s">
        <v>45</v>
      </c>
      <c r="BB205" s="5" t="s">
        <v>45</v>
      </c>
      <c r="BM205" s="5" t="s">
        <v>1609</v>
      </c>
      <c r="BN205" s="5">
        <v>169</v>
      </c>
      <c r="BO205" s="5" t="s">
        <v>1625</v>
      </c>
    </row>
    <row r="206" spans="1:67">
      <c r="A206" s="4" t="s">
        <v>843</v>
      </c>
      <c r="B206" s="5"/>
      <c r="C206" s="5" t="s">
        <v>62</v>
      </c>
      <c r="D206" s="5" t="s">
        <v>43</v>
      </c>
      <c r="E206" s="5" t="s">
        <v>840</v>
      </c>
      <c r="F206" s="5">
        <v>3</v>
      </c>
      <c r="G206" s="5">
        <v>40</v>
      </c>
      <c r="H206" s="5"/>
      <c r="I206" s="5"/>
      <c r="J206" s="5"/>
      <c r="K206" s="5"/>
      <c r="L206" s="5"/>
      <c r="M206" s="5">
        <v>7</v>
      </c>
      <c r="N206" s="5" t="s">
        <v>287</v>
      </c>
      <c r="O206" s="5"/>
      <c r="P206" s="6" t="s">
        <v>45</v>
      </c>
      <c r="Q206" s="5"/>
      <c r="R206" s="5"/>
      <c r="S206" s="5"/>
      <c r="T206" s="5">
        <v>60</v>
      </c>
      <c r="U206" s="7"/>
      <c r="V206" s="5"/>
      <c r="W206" s="5" t="s">
        <v>45</v>
      </c>
      <c r="X206" s="5" t="s">
        <v>844</v>
      </c>
      <c r="Y206" s="5"/>
      <c r="Z206" s="5"/>
      <c r="AA206" s="5"/>
      <c r="AB206" s="5"/>
      <c r="AC206" s="5"/>
      <c r="AD206" s="5">
        <v>8</v>
      </c>
      <c r="AE206" s="5"/>
      <c r="AF206" s="5">
        <v>4</v>
      </c>
      <c r="AG206" s="5">
        <v>-2</v>
      </c>
      <c r="AH206" s="5"/>
      <c r="AI206" s="5">
        <v>-4</v>
      </c>
      <c r="AJ206" s="5"/>
      <c r="AK206" s="5"/>
      <c r="AL206" s="5"/>
      <c r="AM206" s="5"/>
      <c r="AN206" s="5"/>
      <c r="AO206" s="5"/>
      <c r="AP206" s="5" t="s">
        <v>845</v>
      </c>
      <c r="AQ206" s="5"/>
      <c r="AR206" s="5"/>
      <c r="AS206" s="5"/>
      <c r="AT206" s="5" t="s">
        <v>318</v>
      </c>
      <c r="AU206" s="5"/>
      <c r="AV206" s="5">
        <v>3</v>
      </c>
      <c r="AW206" s="7"/>
      <c r="AX206" s="5">
        <v>3</v>
      </c>
      <c r="AY206" s="5" t="s">
        <v>125</v>
      </c>
      <c r="AZ206" s="5" t="s">
        <v>45</v>
      </c>
      <c r="BA206" s="5" t="s">
        <v>45</v>
      </c>
      <c r="BB206" s="5" t="s">
        <v>45</v>
      </c>
      <c r="BM206" s="5" t="s">
        <v>1718</v>
      </c>
      <c r="BN206" s="5">
        <v>95</v>
      </c>
      <c r="BO206" s="5"/>
    </row>
    <row r="207" spans="1:67">
      <c r="A207" s="4" t="s">
        <v>846</v>
      </c>
      <c r="B207" s="5"/>
      <c r="C207" s="5" t="s">
        <v>85</v>
      </c>
      <c r="D207" s="5" t="s">
        <v>92</v>
      </c>
      <c r="E207" s="5" t="s">
        <v>840</v>
      </c>
      <c r="F207" s="5"/>
      <c r="G207" s="5">
        <v>30</v>
      </c>
      <c r="H207" s="5"/>
      <c r="I207" s="5"/>
      <c r="J207" s="5"/>
      <c r="K207" s="5"/>
      <c r="L207" s="5"/>
      <c r="M207" s="5">
        <v>3</v>
      </c>
      <c r="N207" s="5" t="s">
        <v>287</v>
      </c>
      <c r="O207" s="5"/>
      <c r="P207" s="6" t="s">
        <v>45</v>
      </c>
      <c r="Q207" s="5"/>
      <c r="R207" s="5"/>
      <c r="S207" s="5" t="s">
        <v>77</v>
      </c>
      <c r="T207" s="5"/>
      <c r="U207" s="7"/>
      <c r="V207" s="5"/>
      <c r="W207" s="5" t="s">
        <v>45</v>
      </c>
      <c r="X207" s="5" t="s">
        <v>45</v>
      </c>
      <c r="Y207" s="5"/>
      <c r="Z207" s="5"/>
      <c r="AA207" s="5"/>
      <c r="AB207" s="5"/>
      <c r="AC207" s="5"/>
      <c r="AD207" s="5"/>
      <c r="AE207" s="5">
        <v>2</v>
      </c>
      <c r="AF207" s="5">
        <v>2</v>
      </c>
      <c r="AG207" s="5"/>
      <c r="AH207" s="5"/>
      <c r="AI207" s="5">
        <v>-2</v>
      </c>
      <c r="AJ207" s="5"/>
      <c r="AK207" s="5"/>
      <c r="AL207" s="5"/>
      <c r="AM207" s="5"/>
      <c r="AN207" s="5"/>
      <c r="AO207" s="5"/>
      <c r="AP207" s="5" t="s">
        <v>847</v>
      </c>
      <c r="AQ207" s="5"/>
      <c r="AR207" s="5"/>
      <c r="AS207" s="5" t="s">
        <v>848</v>
      </c>
      <c r="AT207" s="5" t="s">
        <v>237</v>
      </c>
      <c r="AU207" s="5" t="s">
        <v>849</v>
      </c>
      <c r="AV207" s="5">
        <v>1</v>
      </c>
      <c r="AW207" s="7"/>
      <c r="AX207" s="5">
        <v>1</v>
      </c>
      <c r="AY207" s="5" t="s">
        <v>49</v>
      </c>
      <c r="AZ207" s="5" t="s">
        <v>45</v>
      </c>
      <c r="BA207" s="5" t="s">
        <v>45</v>
      </c>
      <c r="BB207" s="5" t="s">
        <v>45</v>
      </c>
      <c r="BM207" s="5" t="s">
        <v>1718</v>
      </c>
      <c r="BN207" s="5">
        <v>96</v>
      </c>
      <c r="BO207" s="5"/>
    </row>
    <row r="208" spans="1:67">
      <c r="A208" s="4" t="s">
        <v>850</v>
      </c>
      <c r="B208" s="5"/>
      <c r="C208" s="5" t="s">
        <v>42</v>
      </c>
      <c r="D208" s="5" t="s">
        <v>92</v>
      </c>
      <c r="E208" s="5" t="s">
        <v>851</v>
      </c>
      <c r="F208" s="5">
        <v>2</v>
      </c>
      <c r="G208" s="5">
        <v>30</v>
      </c>
      <c r="H208" s="5"/>
      <c r="I208" s="5"/>
      <c r="J208" s="5"/>
      <c r="K208" s="5"/>
      <c r="L208" s="5"/>
      <c r="M208" s="5">
        <v>5</v>
      </c>
      <c r="N208" s="5" t="s">
        <v>287</v>
      </c>
      <c r="O208" s="5"/>
      <c r="P208" s="6" t="s">
        <v>45</v>
      </c>
      <c r="Q208" s="5"/>
      <c r="R208" s="5"/>
      <c r="S208" s="5"/>
      <c r="T208" s="5"/>
      <c r="U208" s="7"/>
      <c r="V208" s="5"/>
      <c r="W208" s="5" t="s">
        <v>45</v>
      </c>
      <c r="X208" s="5" t="s">
        <v>45</v>
      </c>
      <c r="Y208" s="5"/>
      <c r="Z208" s="5"/>
      <c r="AA208" s="5"/>
      <c r="AB208" s="5"/>
      <c r="AC208" s="5"/>
      <c r="AD208" s="5"/>
      <c r="AE208" s="5"/>
      <c r="AF208" s="5">
        <v>2</v>
      </c>
      <c r="AG208" s="5"/>
      <c r="AH208" s="5"/>
      <c r="AI208" s="5"/>
      <c r="AJ208" s="5"/>
      <c r="AK208" s="5"/>
      <c r="AL208" s="5"/>
      <c r="AM208" s="5"/>
      <c r="AN208" s="5"/>
      <c r="AO208" s="5"/>
      <c r="AP208" s="5" t="s">
        <v>841</v>
      </c>
      <c r="AQ208" s="5"/>
      <c r="AR208" s="5"/>
      <c r="AS208" s="5"/>
      <c r="AT208" s="5" t="s">
        <v>237</v>
      </c>
      <c r="AU208" s="5" t="s">
        <v>842</v>
      </c>
      <c r="AV208" s="5">
        <v>1</v>
      </c>
      <c r="AW208" s="7"/>
      <c r="AX208" s="5">
        <v>1</v>
      </c>
      <c r="AY208" s="5" t="s">
        <v>72</v>
      </c>
      <c r="AZ208" s="5" t="s">
        <v>45</v>
      </c>
      <c r="BA208" s="5" t="s">
        <v>45</v>
      </c>
      <c r="BB208" s="5" t="s">
        <v>45</v>
      </c>
      <c r="BM208" s="5" t="s">
        <v>1737</v>
      </c>
      <c r="BN208" s="5"/>
      <c r="BO208" s="5"/>
    </row>
    <row r="209" spans="1:67">
      <c r="A209" s="4" t="s">
        <v>852</v>
      </c>
      <c r="B209" s="5"/>
      <c r="C209" s="5" t="s">
        <v>42</v>
      </c>
      <c r="D209" s="5" t="s">
        <v>92</v>
      </c>
      <c r="E209" s="5" t="s">
        <v>100</v>
      </c>
      <c r="F209" s="5">
        <v>2</v>
      </c>
      <c r="G209" s="5">
        <v>10</v>
      </c>
      <c r="H209" s="5"/>
      <c r="I209" s="5"/>
      <c r="J209" s="5"/>
      <c r="K209" s="5"/>
      <c r="L209" s="5">
        <v>60</v>
      </c>
      <c r="M209" s="5">
        <v>3</v>
      </c>
      <c r="N209" s="5"/>
      <c r="O209" s="5"/>
      <c r="P209" s="6" t="s">
        <v>45</v>
      </c>
      <c r="Q209" s="5"/>
      <c r="R209" s="5"/>
      <c r="S209" s="5"/>
      <c r="T209" s="5"/>
      <c r="U209" s="7"/>
      <c r="V209" s="5"/>
      <c r="W209" s="5" t="s">
        <v>45</v>
      </c>
      <c r="X209" s="5" t="s">
        <v>45</v>
      </c>
      <c r="Y209" s="5"/>
      <c r="Z209" s="5"/>
      <c r="AA209" s="5"/>
      <c r="AB209" s="5"/>
      <c r="AC209" s="5"/>
      <c r="AD209" s="5"/>
      <c r="AE209" s="5">
        <v>2</v>
      </c>
      <c r="AF209" s="5"/>
      <c r="AG209" s="5">
        <v>2</v>
      </c>
      <c r="AH209" s="5">
        <v>2</v>
      </c>
      <c r="AI209" s="5"/>
      <c r="AJ209" s="5"/>
      <c r="AK209" s="5"/>
      <c r="AL209" s="5"/>
      <c r="AM209" s="5"/>
      <c r="AN209" s="5"/>
      <c r="AO209" s="5"/>
      <c r="AP209" s="5" t="s">
        <v>853</v>
      </c>
      <c r="AQ209" s="5"/>
      <c r="AR209" s="5"/>
      <c r="AS209" s="5"/>
      <c r="AT209" s="5" t="s">
        <v>854</v>
      </c>
      <c r="AU209" s="5"/>
      <c r="AV209" s="5"/>
      <c r="AW209" s="7"/>
      <c r="AX209" s="5">
        <v>1</v>
      </c>
      <c r="AY209" s="5" t="s">
        <v>125</v>
      </c>
      <c r="AZ209" s="5" t="s">
        <v>45</v>
      </c>
      <c r="BA209" s="5" t="s">
        <v>45</v>
      </c>
      <c r="BB209" s="5" t="s">
        <v>45</v>
      </c>
      <c r="BM209" s="5" t="s">
        <v>1609</v>
      </c>
      <c r="BN209" s="5">
        <v>169</v>
      </c>
      <c r="BO209" s="5"/>
    </row>
    <row r="210" spans="1:67">
      <c r="A210" s="4" t="s">
        <v>855</v>
      </c>
      <c r="B210" s="5"/>
      <c r="C210" s="5" t="s">
        <v>62</v>
      </c>
      <c r="D210" s="5" t="s">
        <v>43</v>
      </c>
      <c r="E210" s="5"/>
      <c r="F210" s="5">
        <v>5</v>
      </c>
      <c r="G210" s="5">
        <v>30</v>
      </c>
      <c r="H210" s="5"/>
      <c r="I210" s="5"/>
      <c r="J210" s="5"/>
      <c r="K210" s="5"/>
      <c r="L210" s="5"/>
      <c r="M210" s="5">
        <v>4</v>
      </c>
      <c r="N210" s="5" t="s">
        <v>856</v>
      </c>
      <c r="O210" s="5"/>
      <c r="P210" s="6" t="s">
        <v>45</v>
      </c>
      <c r="Q210" s="5"/>
      <c r="R210" s="5"/>
      <c r="S210" s="5"/>
      <c r="T210" s="5">
        <v>60</v>
      </c>
      <c r="U210" s="7"/>
      <c r="V210" s="5"/>
      <c r="W210" s="5" t="s">
        <v>45</v>
      </c>
      <c r="X210" s="5" t="s">
        <v>45</v>
      </c>
      <c r="Y210" s="5"/>
      <c r="Z210" s="5"/>
      <c r="AA210" s="5"/>
      <c r="AB210" s="5"/>
      <c r="AC210" s="5"/>
      <c r="AD210" s="5">
        <v>8</v>
      </c>
      <c r="AE210" s="5">
        <v>2</v>
      </c>
      <c r="AF210" s="5">
        <v>2</v>
      </c>
      <c r="AG210" s="5"/>
      <c r="AH210" s="5"/>
      <c r="AI210" s="5">
        <v>-2</v>
      </c>
      <c r="AJ210" s="5"/>
      <c r="AK210" s="5"/>
      <c r="AL210" s="5"/>
      <c r="AM210" s="5"/>
      <c r="AN210" s="5"/>
      <c r="AO210" s="5"/>
      <c r="AP210" s="5" t="s">
        <v>857</v>
      </c>
      <c r="AQ210" s="5"/>
      <c r="AR210" s="5"/>
      <c r="AS210" s="5"/>
      <c r="AT210" s="5" t="s">
        <v>855</v>
      </c>
      <c r="AU210" s="5" t="s">
        <v>102</v>
      </c>
      <c r="AV210" s="5">
        <v>2</v>
      </c>
      <c r="AW210" s="7"/>
      <c r="AX210" s="5">
        <v>2</v>
      </c>
      <c r="AY210" s="5" t="s">
        <v>49</v>
      </c>
      <c r="AZ210" s="5" t="s">
        <v>45</v>
      </c>
      <c r="BA210" s="5" t="s">
        <v>45</v>
      </c>
      <c r="BB210" s="5" t="s">
        <v>45</v>
      </c>
      <c r="BM210" s="5" t="s">
        <v>1614</v>
      </c>
      <c r="BN210" s="5">
        <v>144</v>
      </c>
      <c r="BO210" s="5" t="s">
        <v>1761</v>
      </c>
    </row>
    <row r="211" spans="1:67">
      <c r="A211" s="4" t="s">
        <v>858</v>
      </c>
      <c r="B211" s="5"/>
      <c r="C211" s="5" t="s">
        <v>42</v>
      </c>
      <c r="D211" s="5" t="s">
        <v>51</v>
      </c>
      <c r="E211" s="5" t="s">
        <v>136</v>
      </c>
      <c r="F211" s="5">
        <v>2</v>
      </c>
      <c r="G211" s="5">
        <v>30</v>
      </c>
      <c r="H211" s="5"/>
      <c r="I211" s="5"/>
      <c r="J211" s="5"/>
      <c r="K211" s="5"/>
      <c r="L211" s="5"/>
      <c r="M211" s="5"/>
      <c r="N211" s="5" t="s">
        <v>45</v>
      </c>
      <c r="O211" s="5"/>
      <c r="P211" s="6" t="s">
        <v>859</v>
      </c>
      <c r="Q211" s="5"/>
      <c r="R211" s="5"/>
      <c r="S211" s="5"/>
      <c r="T211" s="5"/>
      <c r="U211" s="7"/>
      <c r="V211" s="5"/>
      <c r="W211" s="5" t="s">
        <v>45</v>
      </c>
      <c r="X211" s="5" t="s">
        <v>45</v>
      </c>
      <c r="Y211" s="5"/>
      <c r="Z211" s="5"/>
      <c r="AA211" s="5"/>
      <c r="AB211" s="5"/>
      <c r="AC211" s="5"/>
      <c r="AD211" s="5">
        <v>2</v>
      </c>
      <c r="AE211" s="5">
        <v>-2</v>
      </c>
      <c r="AF211" s="5">
        <v>4</v>
      </c>
      <c r="AG211" s="5"/>
      <c r="AH211" s="5">
        <v>4</v>
      </c>
      <c r="AI211" s="5"/>
      <c r="AJ211" s="5"/>
      <c r="AK211" s="5"/>
      <c r="AL211" s="5"/>
      <c r="AM211" s="5"/>
      <c r="AN211" s="5"/>
      <c r="AO211" s="5"/>
      <c r="AP211" s="5" t="s">
        <v>860</v>
      </c>
      <c r="AQ211" s="5"/>
      <c r="AR211" s="5"/>
      <c r="AS211" s="5" t="s">
        <v>769</v>
      </c>
      <c r="AT211" s="5" t="s">
        <v>861</v>
      </c>
      <c r="AU211" s="5" t="s">
        <v>862</v>
      </c>
      <c r="AV211" s="5">
        <v>2</v>
      </c>
      <c r="AW211" s="7"/>
      <c r="AX211" s="5">
        <v>2</v>
      </c>
      <c r="AY211" s="5" t="s">
        <v>325</v>
      </c>
      <c r="AZ211" s="5" t="s">
        <v>45</v>
      </c>
      <c r="BA211" s="5" t="s">
        <v>45</v>
      </c>
      <c r="BB211" s="5" t="s">
        <v>45</v>
      </c>
      <c r="BM211" s="5" t="s">
        <v>1718</v>
      </c>
      <c r="BN211" s="5">
        <v>98</v>
      </c>
      <c r="BO211" s="5"/>
    </row>
    <row r="212" spans="1:67">
      <c r="A212" s="4" t="s">
        <v>863</v>
      </c>
      <c r="B212" s="5"/>
      <c r="C212" s="5" t="s">
        <v>42</v>
      </c>
      <c r="D212" s="5" t="s">
        <v>51</v>
      </c>
      <c r="E212" s="5" t="s">
        <v>52</v>
      </c>
      <c r="F212" s="5"/>
      <c r="G212" s="5">
        <v>20</v>
      </c>
      <c r="H212" s="5"/>
      <c r="I212" s="5"/>
      <c r="J212" s="5"/>
      <c r="K212" s="5"/>
      <c r="L212" s="5"/>
      <c r="M212" s="5"/>
      <c r="N212" s="5"/>
      <c r="O212" s="5"/>
      <c r="P212" s="6" t="s">
        <v>45</v>
      </c>
      <c r="Q212" s="5"/>
      <c r="R212" s="5"/>
      <c r="S212" s="5"/>
      <c r="T212" s="5"/>
      <c r="U212" s="7"/>
      <c r="V212" s="5"/>
      <c r="W212" s="5" t="s">
        <v>45</v>
      </c>
      <c r="X212" s="5" t="s">
        <v>45</v>
      </c>
      <c r="Y212" s="5"/>
      <c r="Z212" s="5"/>
      <c r="AA212" s="5"/>
      <c r="AB212" s="5"/>
      <c r="AC212" s="5"/>
      <c r="AD212" s="5"/>
      <c r="AE212" s="5">
        <v>-2</v>
      </c>
      <c r="AF212" s="5">
        <v>4</v>
      </c>
      <c r="AG212" s="5"/>
      <c r="AH212" s="5"/>
      <c r="AI212" s="5"/>
      <c r="AJ212" s="5"/>
      <c r="AK212" s="5"/>
      <c r="AL212" s="5"/>
      <c r="AM212" s="5"/>
      <c r="AN212" s="5"/>
      <c r="AO212" s="5"/>
      <c r="AP212" s="5"/>
      <c r="AQ212" s="5"/>
      <c r="AR212" s="5"/>
      <c r="AS212" s="5"/>
      <c r="AT212" s="5" t="s">
        <v>373</v>
      </c>
      <c r="AU212" s="5"/>
      <c r="AV212" s="5"/>
      <c r="AW212" s="7"/>
      <c r="AX212" s="5">
        <v>1</v>
      </c>
      <c r="AY212" s="5" t="s">
        <v>325</v>
      </c>
      <c r="AZ212" s="5" t="s">
        <v>45</v>
      </c>
      <c r="BA212" s="5" t="s">
        <v>45</v>
      </c>
      <c r="BB212" s="5" t="s">
        <v>45</v>
      </c>
      <c r="BM212" s="5" t="s">
        <v>1688</v>
      </c>
      <c r="BN212" s="5"/>
      <c r="BO212" s="5"/>
    </row>
    <row r="213" spans="1:67">
      <c r="A213" s="4" t="s">
        <v>864</v>
      </c>
      <c r="B213" s="5"/>
      <c r="C213" s="5" t="s">
        <v>42</v>
      </c>
      <c r="D213" s="5" t="s">
        <v>92</v>
      </c>
      <c r="E213" s="5"/>
      <c r="F213" s="5"/>
      <c r="G213" s="5">
        <v>30</v>
      </c>
      <c r="H213" s="5"/>
      <c r="I213" s="5"/>
      <c r="J213" s="5"/>
      <c r="K213" s="5"/>
      <c r="L213" s="5"/>
      <c r="M213" s="5"/>
      <c r="N213" s="5"/>
      <c r="O213" s="5"/>
      <c r="P213" s="6" t="s">
        <v>45</v>
      </c>
      <c r="Q213" s="5"/>
      <c r="R213" s="5"/>
      <c r="S213" s="5"/>
      <c r="T213" s="5"/>
      <c r="U213" s="7"/>
      <c r="V213" s="5"/>
      <c r="W213" s="5" t="s">
        <v>45</v>
      </c>
      <c r="X213" s="5" t="s">
        <v>45</v>
      </c>
      <c r="Y213" s="5"/>
      <c r="Z213" s="5"/>
      <c r="AA213" s="5"/>
      <c r="AB213" s="5"/>
      <c r="AC213" s="5"/>
      <c r="AD213" s="5"/>
      <c r="AE213" s="5"/>
      <c r="AF213" s="5"/>
      <c r="AG213" s="5"/>
      <c r="AH213" s="5"/>
      <c r="AI213" s="5"/>
      <c r="AJ213" s="5"/>
      <c r="AK213" s="5"/>
      <c r="AL213" s="5"/>
      <c r="AM213" s="5"/>
      <c r="AN213" s="5"/>
      <c r="AO213" s="5"/>
      <c r="AP213" s="5"/>
      <c r="AQ213" s="5"/>
      <c r="AR213" s="5"/>
      <c r="AS213" s="5"/>
      <c r="AT213" s="5" t="s">
        <v>865</v>
      </c>
      <c r="AU213" s="5" t="s">
        <v>866</v>
      </c>
      <c r="AV213" s="5"/>
      <c r="AW213" s="7"/>
      <c r="AX213" s="5"/>
      <c r="AY213" s="5" t="s">
        <v>330</v>
      </c>
      <c r="AZ213" s="5" t="s">
        <v>867</v>
      </c>
      <c r="BA213" s="5" t="s">
        <v>868</v>
      </c>
      <c r="BB213" s="5" t="s">
        <v>670</v>
      </c>
      <c r="BM213" s="5" t="s">
        <v>1724</v>
      </c>
      <c r="BN213" s="5">
        <v>203</v>
      </c>
      <c r="BO213" s="5"/>
    </row>
    <row r="214" spans="1:67">
      <c r="A214" s="4" t="s">
        <v>869</v>
      </c>
      <c r="B214" s="5"/>
      <c r="C214" s="5" t="s">
        <v>42</v>
      </c>
      <c r="D214" s="5" t="s">
        <v>51</v>
      </c>
      <c r="E214" s="5" t="s">
        <v>335</v>
      </c>
      <c r="F214" s="5">
        <v>7</v>
      </c>
      <c r="G214" s="5">
        <v>30</v>
      </c>
      <c r="H214" s="5"/>
      <c r="I214" s="5"/>
      <c r="J214" s="5">
        <v>70</v>
      </c>
      <c r="K214" s="5" t="s">
        <v>472</v>
      </c>
      <c r="L214" s="5"/>
      <c r="M214" s="5">
        <v>6</v>
      </c>
      <c r="N214" s="5" t="s">
        <v>660</v>
      </c>
      <c r="O214" s="5"/>
      <c r="P214" s="6" t="s">
        <v>870</v>
      </c>
      <c r="Q214" s="5"/>
      <c r="R214" s="5"/>
      <c r="S214" s="5"/>
      <c r="T214" s="5"/>
      <c r="U214" s="7"/>
      <c r="V214" s="5"/>
      <c r="W214" s="5" t="s">
        <v>45</v>
      </c>
      <c r="X214" s="5" t="s">
        <v>45</v>
      </c>
      <c r="Y214" s="5"/>
      <c r="Z214" s="5"/>
      <c r="AA214" s="5"/>
      <c r="AB214" s="5"/>
      <c r="AC214" s="5"/>
      <c r="AD214" s="5">
        <v>2</v>
      </c>
      <c r="AE214" s="5">
        <v>6</v>
      </c>
      <c r="AF214" s="5">
        <v>2</v>
      </c>
      <c r="AG214" s="5">
        <v>-2</v>
      </c>
      <c r="AH214" s="5">
        <v>2</v>
      </c>
      <c r="AI214" s="5">
        <v>-2</v>
      </c>
      <c r="AJ214" s="5"/>
      <c r="AK214" s="5"/>
      <c r="AL214" s="5"/>
      <c r="AM214" s="5"/>
      <c r="AN214" s="5"/>
      <c r="AO214" s="5"/>
      <c r="AP214" s="5" t="s">
        <v>871</v>
      </c>
      <c r="AQ214" s="5"/>
      <c r="AR214" s="5"/>
      <c r="AS214" s="5"/>
      <c r="AT214" s="5" t="s">
        <v>156</v>
      </c>
      <c r="AU214" s="5" t="s">
        <v>102</v>
      </c>
      <c r="AV214" s="5">
        <v>5</v>
      </c>
      <c r="AW214" s="7"/>
      <c r="AX214" s="5">
        <v>6</v>
      </c>
      <c r="AY214" s="5" t="s">
        <v>113</v>
      </c>
      <c r="AZ214" s="5" t="s">
        <v>45</v>
      </c>
      <c r="BA214" s="5" t="s">
        <v>45</v>
      </c>
      <c r="BB214" s="5" t="s">
        <v>45</v>
      </c>
      <c r="BM214" s="5" t="s">
        <v>1614</v>
      </c>
      <c r="BN214" s="5">
        <v>145</v>
      </c>
      <c r="BO214" s="5"/>
    </row>
    <row r="215" spans="1:67">
      <c r="A215" s="4" t="s">
        <v>872</v>
      </c>
      <c r="B215" s="5"/>
      <c r="C215" s="5" t="s">
        <v>62</v>
      </c>
      <c r="D215" s="5" t="s">
        <v>873</v>
      </c>
      <c r="E215" s="5" t="s">
        <v>136</v>
      </c>
      <c r="F215" s="5">
        <v>2</v>
      </c>
      <c r="G215" s="5">
        <v>40</v>
      </c>
      <c r="H215" s="5"/>
      <c r="I215" s="5"/>
      <c r="J215" s="5"/>
      <c r="K215" s="5"/>
      <c r="L215" s="5"/>
      <c r="M215" s="5">
        <v>7</v>
      </c>
      <c r="N215" s="5" t="s">
        <v>279</v>
      </c>
      <c r="O215" s="5"/>
      <c r="P215" s="6" t="s">
        <v>45</v>
      </c>
      <c r="Q215" s="5"/>
      <c r="R215" s="5"/>
      <c r="S215" s="5"/>
      <c r="T215" s="5">
        <v>60</v>
      </c>
      <c r="U215" s="7"/>
      <c r="V215" s="5" t="s">
        <v>787</v>
      </c>
      <c r="W215" s="5" t="s">
        <v>45</v>
      </c>
      <c r="X215" s="5" t="s">
        <v>45</v>
      </c>
      <c r="Y215" s="5">
        <f>14+ClassLvl</f>
        <v>22</v>
      </c>
      <c r="Z215" s="5"/>
      <c r="AA215" s="5"/>
      <c r="AB215" s="5"/>
      <c r="AC215" s="5"/>
      <c r="AD215" s="5">
        <v>10</v>
      </c>
      <c r="AE215" s="5">
        <v>4</v>
      </c>
      <c r="AF215" s="5"/>
      <c r="AG215" s="5">
        <v>2</v>
      </c>
      <c r="AH215" s="5"/>
      <c r="AI215" s="5">
        <v>2</v>
      </c>
      <c r="AJ215" s="5"/>
      <c r="AK215" s="5"/>
      <c r="AL215" s="5"/>
      <c r="AM215" s="5"/>
      <c r="AN215" s="5"/>
      <c r="AO215" s="5"/>
      <c r="AP215" s="5" t="s">
        <v>874</v>
      </c>
      <c r="AQ215" s="5"/>
      <c r="AR215" s="5"/>
      <c r="AS215" s="5" t="s">
        <v>341</v>
      </c>
      <c r="AT215" s="5" t="s">
        <v>875</v>
      </c>
      <c r="AU215" s="5"/>
      <c r="AV215" s="5">
        <v>3</v>
      </c>
      <c r="AW215" s="7"/>
      <c r="AX215" s="5">
        <v>3</v>
      </c>
      <c r="AY215" s="5" t="s">
        <v>113</v>
      </c>
      <c r="AZ215" s="5" t="s">
        <v>45</v>
      </c>
      <c r="BA215" s="5" t="s">
        <v>45</v>
      </c>
      <c r="BB215" s="5" t="s">
        <v>45</v>
      </c>
      <c r="BM215" s="5" t="s">
        <v>1688</v>
      </c>
      <c r="BN215" s="5">
        <v>121</v>
      </c>
      <c r="BO215" s="5"/>
    </row>
    <row r="216" spans="1:67">
      <c r="A216" s="4" t="s">
        <v>876</v>
      </c>
      <c r="B216" s="5"/>
      <c r="C216" s="5" t="s">
        <v>42</v>
      </c>
      <c r="D216" s="5" t="s">
        <v>51</v>
      </c>
      <c r="E216" s="5" t="s">
        <v>52</v>
      </c>
      <c r="F216" s="5"/>
      <c r="G216" s="5">
        <v>20</v>
      </c>
      <c r="H216" s="5"/>
      <c r="I216" s="5"/>
      <c r="J216" s="5"/>
      <c r="K216" s="5"/>
      <c r="L216" s="5"/>
      <c r="M216" s="5">
        <v>1</v>
      </c>
      <c r="N216" s="5"/>
      <c r="O216" s="5"/>
      <c r="P216" s="6" t="s">
        <v>877</v>
      </c>
      <c r="Q216" s="5"/>
      <c r="R216" s="5"/>
      <c r="S216" s="5"/>
      <c r="T216" s="5"/>
      <c r="U216" s="7"/>
      <c r="V216" s="5"/>
      <c r="W216" s="5" t="s">
        <v>45</v>
      </c>
      <c r="X216" s="5" t="s">
        <v>153</v>
      </c>
      <c r="Y216" s="5"/>
      <c r="Z216" s="5"/>
      <c r="AA216" s="5"/>
      <c r="AB216" s="5"/>
      <c r="AC216" s="5"/>
      <c r="AD216" s="5"/>
      <c r="AE216" s="5">
        <v>-2</v>
      </c>
      <c r="AF216" s="5">
        <v>2</v>
      </c>
      <c r="AG216" s="5">
        <v>2</v>
      </c>
      <c r="AH216" s="5"/>
      <c r="AI216" s="5">
        <v>-2</v>
      </c>
      <c r="AJ216" s="5"/>
      <c r="AK216" s="5"/>
      <c r="AL216" s="5"/>
      <c r="AM216" s="5"/>
      <c r="AN216" s="5"/>
      <c r="AO216" s="5"/>
      <c r="AP216" s="5" t="s">
        <v>878</v>
      </c>
      <c r="AQ216" s="5"/>
      <c r="AR216" s="5"/>
      <c r="AS216" s="5"/>
      <c r="AT216" s="5" t="s">
        <v>102</v>
      </c>
      <c r="AU216" s="5"/>
      <c r="AV216" s="5"/>
      <c r="AW216" s="7"/>
      <c r="AX216" s="5">
        <v>1</v>
      </c>
      <c r="AY216" s="5" t="s">
        <v>113</v>
      </c>
      <c r="AZ216" s="5" t="s">
        <v>45</v>
      </c>
      <c r="BA216" s="5" t="s">
        <v>45</v>
      </c>
      <c r="BB216" s="5" t="s">
        <v>45</v>
      </c>
      <c r="BM216" s="5" t="s">
        <v>1688</v>
      </c>
      <c r="BN216" s="5"/>
      <c r="BO216" s="5"/>
    </row>
    <row r="217" spans="1:67">
      <c r="A217" s="4" t="s">
        <v>879</v>
      </c>
      <c r="B217" s="5"/>
      <c r="C217" s="5" t="s">
        <v>85</v>
      </c>
      <c r="D217" s="5" t="s">
        <v>92</v>
      </c>
      <c r="E217" s="5" t="s">
        <v>136</v>
      </c>
      <c r="F217" s="5"/>
      <c r="G217" s="5">
        <v>30</v>
      </c>
      <c r="H217" s="5"/>
      <c r="I217" s="5"/>
      <c r="J217" s="5">
        <v>10</v>
      </c>
      <c r="K217" s="5" t="s">
        <v>472</v>
      </c>
      <c r="L217" s="5"/>
      <c r="M217" s="5"/>
      <c r="N217" s="5"/>
      <c r="O217" s="5"/>
      <c r="P217" s="6" t="s">
        <v>45</v>
      </c>
      <c r="Q217" s="5"/>
      <c r="R217" s="5"/>
      <c r="S217" s="5"/>
      <c r="T217" s="5"/>
      <c r="U217" s="7"/>
      <c r="V217" s="5"/>
      <c r="W217" s="5" t="s">
        <v>45</v>
      </c>
      <c r="X217" s="5" t="s">
        <v>45</v>
      </c>
      <c r="Y217" s="5"/>
      <c r="Z217" s="5"/>
      <c r="AA217" s="5"/>
      <c r="AB217" s="5"/>
      <c r="AC217" s="5"/>
      <c r="AD217" s="5"/>
      <c r="AE217" s="5">
        <v>2</v>
      </c>
      <c r="AF217" s="5"/>
      <c r="AG217" s="5">
        <v>-2</v>
      </c>
      <c r="AH217" s="5"/>
      <c r="AI217" s="5">
        <v>2</v>
      </c>
      <c r="AJ217" s="5"/>
      <c r="AK217" s="5"/>
      <c r="AL217" s="5"/>
      <c r="AM217" s="5"/>
      <c r="AN217" s="5"/>
      <c r="AO217" s="5"/>
      <c r="AP217" s="5"/>
      <c r="AQ217" s="5"/>
      <c r="AR217" s="5"/>
      <c r="AS217" s="5"/>
      <c r="AT217" s="5" t="s">
        <v>880</v>
      </c>
      <c r="AU217" s="5" t="s">
        <v>881</v>
      </c>
      <c r="AV217" s="5"/>
      <c r="AW217" s="7"/>
      <c r="AX217" s="5">
        <v>1</v>
      </c>
      <c r="AY217" s="5" t="s">
        <v>353</v>
      </c>
      <c r="AZ217" s="5" t="s">
        <v>882</v>
      </c>
      <c r="BA217" s="5" t="s">
        <v>883</v>
      </c>
      <c r="BB217" s="5" t="s">
        <v>884</v>
      </c>
      <c r="BM217" s="5" t="s">
        <v>1613</v>
      </c>
      <c r="BN217" s="5"/>
      <c r="BO217" s="5"/>
    </row>
    <row r="218" spans="1:67">
      <c r="A218" s="4" t="s">
        <v>885</v>
      </c>
      <c r="B218" s="5"/>
      <c r="C218" s="5" t="s">
        <v>85</v>
      </c>
      <c r="D218" s="5" t="s">
        <v>92</v>
      </c>
      <c r="E218" s="5" t="s">
        <v>136</v>
      </c>
      <c r="F218" s="5"/>
      <c r="G218" s="5">
        <v>30</v>
      </c>
      <c r="H218" s="5">
        <v>10</v>
      </c>
      <c r="I218" s="5"/>
      <c r="J218" s="5"/>
      <c r="K218" s="5"/>
      <c r="L218" s="5"/>
      <c r="M218" s="5"/>
      <c r="N218" s="5"/>
      <c r="O218" s="5"/>
      <c r="P218" s="6" t="s">
        <v>45</v>
      </c>
      <c r="Q218" s="5"/>
      <c r="R218" s="5"/>
      <c r="S218" s="5"/>
      <c r="T218" s="5"/>
      <c r="U218" s="7"/>
      <c r="V218" s="5"/>
      <c r="W218" s="5" t="s">
        <v>45</v>
      </c>
      <c r="X218" s="5" t="s">
        <v>45</v>
      </c>
      <c r="Y218" s="5"/>
      <c r="Z218" s="5"/>
      <c r="AA218" s="5"/>
      <c r="AB218" s="5"/>
      <c r="AC218" s="5"/>
      <c r="AD218" s="5">
        <v>2</v>
      </c>
      <c r="AE218" s="5">
        <v>-2</v>
      </c>
      <c r="AF218" s="5"/>
      <c r="AG218" s="5">
        <v>-2</v>
      </c>
      <c r="AH218" s="5"/>
      <c r="AI218" s="5">
        <v>2</v>
      </c>
      <c r="AJ218" s="5"/>
      <c r="AK218" s="5"/>
      <c r="AL218" s="5"/>
      <c r="AM218" s="5"/>
      <c r="AN218" s="5"/>
      <c r="AO218" s="5"/>
      <c r="AP218" s="5"/>
      <c r="AQ218" s="5"/>
      <c r="AR218" s="5"/>
      <c r="AS218" s="5"/>
      <c r="AT218" s="5" t="s">
        <v>886</v>
      </c>
      <c r="AU218" s="5" t="s">
        <v>881</v>
      </c>
      <c r="AV218" s="5"/>
      <c r="AW218" s="7"/>
      <c r="AX218" s="5">
        <v>1</v>
      </c>
      <c r="AY218" s="5" t="s">
        <v>72</v>
      </c>
      <c r="AZ218" s="5" t="s">
        <v>887</v>
      </c>
      <c r="BA218" s="5" t="s">
        <v>883</v>
      </c>
      <c r="BB218" s="5" t="s">
        <v>884</v>
      </c>
      <c r="BM218" s="5" t="s">
        <v>1613</v>
      </c>
      <c r="BN218" s="5"/>
      <c r="BO218" s="5"/>
    </row>
    <row r="219" spans="1:67">
      <c r="A219" s="4" t="s">
        <v>888</v>
      </c>
      <c r="B219" s="5"/>
      <c r="C219" s="5" t="s">
        <v>85</v>
      </c>
      <c r="D219" s="5" t="s">
        <v>92</v>
      </c>
      <c r="E219" s="5" t="s">
        <v>136</v>
      </c>
      <c r="F219" s="5"/>
      <c r="G219" s="5">
        <v>30</v>
      </c>
      <c r="H219" s="5"/>
      <c r="I219" s="5"/>
      <c r="J219" s="5"/>
      <c r="K219" s="5"/>
      <c r="L219" s="5"/>
      <c r="M219" s="5"/>
      <c r="N219" s="5"/>
      <c r="O219" s="5"/>
      <c r="P219" s="6" t="s">
        <v>45</v>
      </c>
      <c r="Q219" s="5"/>
      <c r="R219" s="5"/>
      <c r="S219" s="5"/>
      <c r="T219" s="5"/>
      <c r="U219" s="7"/>
      <c r="V219" s="5"/>
      <c r="W219" s="5" t="s">
        <v>45</v>
      </c>
      <c r="X219" s="5" t="s">
        <v>45</v>
      </c>
      <c r="Y219" s="5"/>
      <c r="Z219" s="5"/>
      <c r="AA219" s="5"/>
      <c r="AB219" s="5"/>
      <c r="AC219" s="5"/>
      <c r="AD219" s="5"/>
      <c r="AE219" s="5">
        <v>2</v>
      </c>
      <c r="AF219" s="5"/>
      <c r="AG219" s="5">
        <v>-2</v>
      </c>
      <c r="AH219" s="5"/>
      <c r="AI219" s="5">
        <v>2</v>
      </c>
      <c r="AJ219" s="5"/>
      <c r="AK219" s="5"/>
      <c r="AL219" s="5"/>
      <c r="AM219" s="5"/>
      <c r="AN219" s="5"/>
      <c r="AO219" s="5"/>
      <c r="AP219" s="5"/>
      <c r="AQ219" s="5"/>
      <c r="AR219" s="5"/>
      <c r="AS219" s="5"/>
      <c r="AT219" s="5" t="s">
        <v>111</v>
      </c>
      <c r="AU219" s="5" t="s">
        <v>881</v>
      </c>
      <c r="AV219" s="5"/>
      <c r="AW219" s="7"/>
      <c r="AX219" s="5">
        <v>1</v>
      </c>
      <c r="AY219" s="5" t="s">
        <v>319</v>
      </c>
      <c r="AZ219" s="5" t="s">
        <v>889</v>
      </c>
      <c r="BA219" s="5" t="s">
        <v>883</v>
      </c>
      <c r="BB219" s="5" t="s">
        <v>884</v>
      </c>
      <c r="BM219" s="5" t="s">
        <v>1613</v>
      </c>
      <c r="BN219" s="5"/>
      <c r="BO219" s="5"/>
    </row>
    <row r="220" spans="1:67">
      <c r="A220" s="4" t="s">
        <v>890</v>
      </c>
      <c r="B220" s="5"/>
      <c r="C220" s="5" t="s">
        <v>85</v>
      </c>
      <c r="D220" s="5" t="s">
        <v>92</v>
      </c>
      <c r="E220" s="5" t="s">
        <v>136</v>
      </c>
      <c r="F220" s="5"/>
      <c r="G220" s="5">
        <v>30</v>
      </c>
      <c r="H220" s="5"/>
      <c r="I220" s="5"/>
      <c r="J220" s="5"/>
      <c r="K220" s="5"/>
      <c r="L220" s="5">
        <v>30</v>
      </c>
      <c r="M220" s="5"/>
      <c r="N220" s="5"/>
      <c r="O220" s="5"/>
      <c r="P220" s="6" t="s">
        <v>45</v>
      </c>
      <c r="Q220" s="5"/>
      <c r="R220" s="5"/>
      <c r="S220" s="5"/>
      <c r="T220" s="5"/>
      <c r="U220" s="7"/>
      <c r="V220" s="5"/>
      <c r="W220" s="5" t="s">
        <v>45</v>
      </c>
      <c r="X220" s="5" t="s">
        <v>45</v>
      </c>
      <c r="Y220" s="5"/>
      <c r="Z220" s="5"/>
      <c r="AA220" s="5"/>
      <c r="AB220" s="5"/>
      <c r="AC220" s="5"/>
      <c r="AD220" s="5"/>
      <c r="AE220" s="5"/>
      <c r="AF220" s="5">
        <v>2</v>
      </c>
      <c r="AG220" s="5">
        <v>-2</v>
      </c>
      <c r="AH220" s="5"/>
      <c r="AI220" s="5">
        <v>2</v>
      </c>
      <c r="AJ220" s="5"/>
      <c r="AK220" s="5"/>
      <c r="AL220" s="5"/>
      <c r="AM220" s="5"/>
      <c r="AN220" s="5"/>
      <c r="AO220" s="5"/>
      <c r="AP220" s="5"/>
      <c r="AQ220" s="5"/>
      <c r="AR220" s="5"/>
      <c r="AS220" s="5"/>
      <c r="AT220" s="5" t="s">
        <v>891</v>
      </c>
      <c r="AU220" s="5" t="s">
        <v>881</v>
      </c>
      <c r="AV220" s="5"/>
      <c r="AW220" s="7"/>
      <c r="AX220" s="5">
        <v>1</v>
      </c>
      <c r="AY220" s="5" t="s">
        <v>90</v>
      </c>
      <c r="AZ220" s="5" t="s">
        <v>892</v>
      </c>
      <c r="BA220" s="5" t="s">
        <v>883</v>
      </c>
      <c r="BB220" s="5" t="s">
        <v>884</v>
      </c>
      <c r="BM220" s="5" t="s">
        <v>1613</v>
      </c>
      <c r="BN220" s="5"/>
      <c r="BO220" s="5"/>
    </row>
    <row r="221" spans="1:67">
      <c r="A221" s="4" t="s">
        <v>893</v>
      </c>
      <c r="B221" s="5"/>
      <c r="C221" s="5" t="s">
        <v>42</v>
      </c>
      <c r="D221" s="5" t="s">
        <v>92</v>
      </c>
      <c r="E221" s="5" t="s">
        <v>100</v>
      </c>
      <c r="F221" s="5"/>
      <c r="G221" s="5">
        <v>5</v>
      </c>
      <c r="H221" s="5"/>
      <c r="I221" s="5"/>
      <c r="J221" s="5"/>
      <c r="K221" s="5"/>
      <c r="L221" s="5">
        <v>50</v>
      </c>
      <c r="M221" s="5"/>
      <c r="N221" s="5"/>
      <c r="O221" s="5"/>
      <c r="P221" s="6" t="s">
        <v>45</v>
      </c>
      <c r="Q221" s="5"/>
      <c r="R221" s="5"/>
      <c r="S221" s="5" t="s">
        <v>77</v>
      </c>
      <c r="T221" s="5"/>
      <c r="U221" s="7"/>
      <c r="V221" s="5"/>
      <c r="W221" s="5" t="s">
        <v>45</v>
      </c>
      <c r="X221" s="5" t="s">
        <v>45</v>
      </c>
      <c r="Y221" s="5"/>
      <c r="Z221" s="5"/>
      <c r="AA221" s="5"/>
      <c r="AB221" s="5"/>
      <c r="AC221" s="5"/>
      <c r="AD221" s="5">
        <v>2</v>
      </c>
      <c r="AE221" s="5">
        <v>2</v>
      </c>
      <c r="AF221" s="5">
        <v>4</v>
      </c>
      <c r="AG221" s="5"/>
      <c r="AH221" s="5">
        <v>-2</v>
      </c>
      <c r="AI221" s="5"/>
      <c r="AJ221" s="5"/>
      <c r="AK221" s="5"/>
      <c r="AL221" s="5"/>
      <c r="AM221" s="5"/>
      <c r="AN221" s="5"/>
      <c r="AO221" s="5"/>
      <c r="AP221" s="5" t="s">
        <v>101</v>
      </c>
      <c r="AQ221" s="5"/>
      <c r="AR221" s="5"/>
      <c r="AS221" s="5"/>
      <c r="AT221" s="5" t="s">
        <v>891</v>
      </c>
      <c r="AU221" s="5"/>
      <c r="AV221" s="5"/>
      <c r="AW221" s="7"/>
      <c r="AX221" s="5">
        <v>1</v>
      </c>
      <c r="AY221" s="5" t="s">
        <v>353</v>
      </c>
      <c r="AZ221" s="5" t="s">
        <v>45</v>
      </c>
      <c r="BA221" s="5" t="s">
        <v>45</v>
      </c>
      <c r="BB221" s="5" t="s">
        <v>45</v>
      </c>
      <c r="BM221" s="5" t="s">
        <v>1609</v>
      </c>
      <c r="BN221" s="5">
        <v>185</v>
      </c>
      <c r="BO221" s="5"/>
    </row>
    <row r="222" spans="1:67">
      <c r="A222" s="4" t="s">
        <v>894</v>
      </c>
      <c r="B222" s="5"/>
      <c r="C222" s="5" t="s">
        <v>42</v>
      </c>
      <c r="D222" s="5" t="s">
        <v>51</v>
      </c>
      <c r="E222" s="5" t="s">
        <v>175</v>
      </c>
      <c r="F222" s="5">
        <v>3</v>
      </c>
      <c r="G222" s="5">
        <v>30</v>
      </c>
      <c r="H222" s="5"/>
      <c r="I222" s="5"/>
      <c r="J222" s="5"/>
      <c r="K222" s="5"/>
      <c r="L222" s="5"/>
      <c r="M222" s="5">
        <v>2</v>
      </c>
      <c r="N222" s="5"/>
      <c r="O222" s="5"/>
      <c r="P222" s="6"/>
      <c r="Q222" s="5"/>
      <c r="R222" s="5"/>
      <c r="S222" s="5"/>
      <c r="T222" s="5"/>
      <c r="U222" s="7"/>
      <c r="V222" s="5" t="s">
        <v>895</v>
      </c>
      <c r="W222" s="5"/>
      <c r="X222" s="5" t="s">
        <v>131</v>
      </c>
      <c r="Y222" s="5"/>
      <c r="Z222" s="5" t="s">
        <v>65</v>
      </c>
      <c r="AA222" s="5"/>
      <c r="AB222" s="5"/>
      <c r="AC222" s="5"/>
      <c r="AD222" s="5">
        <v>6</v>
      </c>
      <c r="AE222" s="5">
        <v>6</v>
      </c>
      <c r="AF222" s="5">
        <v>4</v>
      </c>
      <c r="AG222" s="5">
        <v>-4</v>
      </c>
      <c r="AH222" s="5"/>
      <c r="AI222" s="5"/>
      <c r="AJ222" s="5"/>
      <c r="AK222" s="5"/>
      <c r="AL222" s="5"/>
      <c r="AM222" s="5"/>
      <c r="AN222" s="5"/>
      <c r="AO222" s="5"/>
      <c r="AP222" s="5" t="s">
        <v>896</v>
      </c>
      <c r="AQ222" s="5"/>
      <c r="AR222" s="5"/>
      <c r="AS222" s="5" t="s">
        <v>897</v>
      </c>
      <c r="AT222" s="5" t="s">
        <v>156</v>
      </c>
      <c r="AU222" s="5"/>
      <c r="AV222" s="5">
        <v>3</v>
      </c>
      <c r="AW222" s="7"/>
      <c r="AX222" s="5">
        <v>5</v>
      </c>
      <c r="AY222" s="5" t="s">
        <v>113</v>
      </c>
      <c r="AZ222" s="5"/>
      <c r="BA222" s="5"/>
      <c r="BB222" s="5"/>
      <c r="BM222" s="5" t="s">
        <v>1725</v>
      </c>
      <c r="BN222" s="5">
        <v>122</v>
      </c>
      <c r="BO222" s="5"/>
    </row>
    <row r="223" spans="1:67">
      <c r="A223" s="4" t="s">
        <v>898</v>
      </c>
      <c r="B223" s="5"/>
      <c r="C223" s="5" t="s">
        <v>42</v>
      </c>
      <c r="D223" s="5" t="s">
        <v>240</v>
      </c>
      <c r="E223" s="5"/>
      <c r="F223" s="5">
        <f>IF(HRSVMC,1+1*((MCCell&gt;=3)+(MCCell&gt;=5)+(MCCell&gt;=7)+(MCCell&gt;=9)+(MCCell&gt;=11)+(MCCell&gt;=13)+(MCCell&gt;=15)),8)</f>
        <v>8</v>
      </c>
      <c r="G223" s="5">
        <v>30</v>
      </c>
      <c r="H223" s="5"/>
      <c r="I223" s="5"/>
      <c r="J223" s="5"/>
      <c r="K223" s="5"/>
      <c r="L223" s="5"/>
      <c r="M223" s="5">
        <f>IF(HRSVMC,1+1*((MCCell&gt;=6)+(MCCell&gt;=10)),3)</f>
        <v>3</v>
      </c>
      <c r="N223" s="5" t="str">
        <f>IF(NOT(HRSVMC),4,IF(mcell&gt;=9,4,IF(MCCell&gt;=5,3,2)))&amp;" Tentacles+4+0+1"</f>
        <v>4 Tentacles+4+0+1</v>
      </c>
      <c r="O223" s="5"/>
      <c r="P223" s="6" t="s">
        <v>899</v>
      </c>
      <c r="Q223" s="5"/>
      <c r="R223" s="5"/>
      <c r="S223" s="5"/>
      <c r="T223" s="5">
        <v>60</v>
      </c>
      <c r="U223" s="7"/>
      <c r="V223" s="5"/>
      <c r="W223" s="5" t="s">
        <v>45</v>
      </c>
      <c r="X223" s="5" t="s">
        <v>45</v>
      </c>
      <c r="Y223" s="5">
        <f>IF(AND(HRSVMC,MCCell&lt;6),"",25+ClassLvl)</f>
        <v>33</v>
      </c>
      <c r="Z223" s="5"/>
      <c r="AA223" s="5"/>
      <c r="AB223" s="5"/>
      <c r="AC223" s="5"/>
      <c r="AD223" s="5">
        <f>IF(HRSVMC,2*(MCCell&gt;=2),2)</f>
        <v>2</v>
      </c>
      <c r="AE223" s="5">
        <f>IF(HRSVMC,2*((MCCell&gt;=6)+(MCCell&gt;=13)),4)</f>
        <v>4</v>
      </c>
      <c r="AF223" s="5">
        <f>IF(HRSVMC,2*(MCCell&gt;=4),2)</f>
        <v>2</v>
      </c>
      <c r="AG223" s="5">
        <f>IF(HRSVMC,2+2*((MCCell&gt;=5)+(MCCell&gt;=9)+(MCCell&gt;=13)),8)</f>
        <v>8</v>
      </c>
      <c r="AH223" s="5">
        <f>IF(HRSVMC,2*((MCCell&gt;=3)+(MCCell&gt;=10)+(MCCell&gt;=14)),6)</f>
        <v>6</v>
      </c>
      <c r="AI223" s="5">
        <f>IF(HRSVMC,2*((MCCell&gt;=7)+(MCCell&gt;=11)+(MCCell&gt;=15)),6)</f>
        <v>6</v>
      </c>
      <c r="AJ223" s="5"/>
      <c r="AK223" s="5"/>
      <c r="AL223" s="5"/>
      <c r="AM223" s="5"/>
      <c r="AN223" s="5"/>
      <c r="AO223" s="5"/>
      <c r="AP223" s="5" t="s">
        <v>900</v>
      </c>
      <c r="AQ223" s="5"/>
      <c r="AR223" s="5"/>
      <c r="AS223" s="5"/>
      <c r="AT223" s="5" t="s">
        <v>815</v>
      </c>
      <c r="AU223" s="5" t="s">
        <v>901</v>
      </c>
      <c r="AV223" s="5">
        <f>IF(HRSVMC,1+1*((MCCell&gt;=3)+(MCCell&gt;=5)+(MCCell&gt;=7)+(MCCell&gt;=9)+(MCCell&gt;=11)+(MCCell&gt;=13)+(MCCell&gt;=15)),8)</f>
        <v>8</v>
      </c>
      <c r="AW223" s="7"/>
      <c r="AX223" s="5">
        <f>IF(HRSVMC,1+1*((MCCell&gt;=3)+(MCCell&gt;=5)+(MCCell&gt;=7)+(MCCell&gt;=9)+(MCCell&gt;=11)+(MCCell&gt;=13)),7)</f>
        <v>7</v>
      </c>
      <c r="AY223" s="5" t="s">
        <v>258</v>
      </c>
      <c r="AZ223" s="5" t="s">
        <v>45</v>
      </c>
      <c r="BA223" s="5" t="s">
        <v>45</v>
      </c>
      <c r="BB223" s="5" t="s">
        <v>45</v>
      </c>
      <c r="BM223" s="5" t="s">
        <v>1609</v>
      </c>
      <c r="BN223" s="5">
        <v>186</v>
      </c>
      <c r="BO223" s="5"/>
    </row>
    <row r="224" spans="1:67">
      <c r="A224" s="4" t="s">
        <v>902</v>
      </c>
      <c r="B224" s="5"/>
      <c r="C224" s="5" t="str">
        <f>IF(HRDLCS,"Medium","Large")</f>
        <v>Large</v>
      </c>
      <c r="D224" s="5" t="s">
        <v>43</v>
      </c>
      <c r="E224" s="5"/>
      <c r="F224" s="5">
        <f>IF(HRDLCS,0,6)</f>
        <v>6</v>
      </c>
      <c r="G224" s="5">
        <v>30</v>
      </c>
      <c r="H224" s="5"/>
      <c r="I224" s="5"/>
      <c r="J224" s="5"/>
      <c r="K224" s="5"/>
      <c r="L224" s="5"/>
      <c r="M224" s="5">
        <f>IF(HRDLCS,2,5)</f>
        <v>5</v>
      </c>
      <c r="N224" s="5" t="s">
        <v>903</v>
      </c>
      <c r="O224" s="5"/>
      <c r="P224" s="6" t="s">
        <v>45</v>
      </c>
      <c r="Q224" s="5"/>
      <c r="R224" s="5"/>
      <c r="S224" s="5"/>
      <c r="T224" s="5">
        <f>IF(NOT(HRDLCS),60,0)</f>
        <v>60</v>
      </c>
      <c r="U224" s="7"/>
      <c r="V224" s="5"/>
      <c r="W224" s="5" t="s">
        <v>45</v>
      </c>
      <c r="X224" s="5" t="s">
        <v>45</v>
      </c>
      <c r="Y224" s="5"/>
      <c r="Z224" s="5"/>
      <c r="AA224" s="5"/>
      <c r="AB224" s="5"/>
      <c r="AC224" s="5"/>
      <c r="AD224" s="5">
        <f>IF(HRDLCS,4,8)</f>
        <v>8</v>
      </c>
      <c r="AE224" s="5">
        <f>IF(HRDLCS,-2,2)</f>
        <v>2</v>
      </c>
      <c r="AF224" s="5">
        <f>IF(HRDLCS,0,4)</f>
        <v>4</v>
      </c>
      <c r="AG224" s="5">
        <f>IF(HRDLCS,-2,-4)</f>
        <v>-4</v>
      </c>
      <c r="AH224" s="5"/>
      <c r="AI224" s="5">
        <v>-2</v>
      </c>
      <c r="AJ224" s="5"/>
      <c r="AK224" s="5"/>
      <c r="AL224" s="5"/>
      <c r="AM224" s="5"/>
      <c r="AN224" s="5"/>
      <c r="AO224" s="5"/>
      <c r="AP224" s="5" t="s">
        <v>904</v>
      </c>
      <c r="AQ224" s="5"/>
      <c r="AR224" s="5" t="s">
        <v>1791</v>
      </c>
      <c r="AS224" s="5"/>
      <c r="AT224" s="5" t="str">
        <f>IF(HRDLCS,"Common, Kothian","Common, Giant")</f>
        <v>Common, Giant</v>
      </c>
      <c r="AU224" s="5" t="str">
        <f>IF(HRDLCS,"Kalinese, Nordmaarian, Ogre, Saifhum","Orc, Goblin, Terran")</f>
        <v>Orc, Goblin, Terran</v>
      </c>
      <c r="AV224" s="5">
        <f>IF(HRDLCS,0,4)</f>
        <v>4</v>
      </c>
      <c r="AW224" s="7"/>
      <c r="AX224" s="5">
        <f>IF(HRDLCS,0,2)</f>
        <v>2</v>
      </c>
      <c r="AY224" s="5" t="str">
        <f>IF(HRDLCS,"Fighter","Barbarian")</f>
        <v>Barbarian</v>
      </c>
      <c r="AZ224" s="5" t="s">
        <v>45</v>
      </c>
      <c r="BA224" s="5" t="s">
        <v>45</v>
      </c>
      <c r="BB224" s="5" t="s">
        <v>45</v>
      </c>
      <c r="BM224" s="5" t="s">
        <v>1609</v>
      </c>
      <c r="BN224" s="5">
        <v>188</v>
      </c>
      <c r="BO224" s="5" t="s">
        <v>1732</v>
      </c>
    </row>
    <row r="225" spans="1:67">
      <c r="A225" s="4" t="s">
        <v>905</v>
      </c>
      <c r="B225" s="5"/>
      <c r="C225" s="5" t="s">
        <v>42</v>
      </c>
      <c r="D225" s="5" t="s">
        <v>92</v>
      </c>
      <c r="E225" s="5" t="s">
        <v>753</v>
      </c>
      <c r="F225" s="5"/>
      <c r="G225" s="5">
        <v>30</v>
      </c>
      <c r="H225" s="5"/>
      <c r="I225" s="5"/>
      <c r="J225" s="5"/>
      <c r="K225" s="5"/>
      <c r="L225" s="5"/>
      <c r="M225" s="5"/>
      <c r="N225" s="5"/>
      <c r="O225" s="5"/>
      <c r="P225" s="6" t="s">
        <v>45</v>
      </c>
      <c r="Q225" s="5"/>
      <c r="R225" s="5"/>
      <c r="S225" s="5"/>
      <c r="T225" s="5"/>
      <c r="U225" s="7"/>
      <c r="V225" s="5" t="s">
        <v>411</v>
      </c>
      <c r="W225" s="5" t="s">
        <v>45</v>
      </c>
      <c r="X225" s="5" t="s">
        <v>45</v>
      </c>
      <c r="Y225" s="5"/>
      <c r="Z225" s="5"/>
      <c r="AA225" s="5"/>
      <c r="AB225" s="5"/>
      <c r="AC225" s="5"/>
      <c r="AD225" s="5"/>
      <c r="AE225" s="5"/>
      <c r="AF225" s="5">
        <v>4</v>
      </c>
      <c r="AG225" s="5">
        <v>-2</v>
      </c>
      <c r="AH225" s="5"/>
      <c r="AI225" s="5">
        <v>-4</v>
      </c>
      <c r="AJ225" s="5"/>
      <c r="AK225" s="5"/>
      <c r="AL225" s="5"/>
      <c r="AM225" s="5"/>
      <c r="AN225" s="5"/>
      <c r="AO225" s="5"/>
      <c r="AP225" s="5" t="s">
        <v>906</v>
      </c>
      <c r="AQ225" s="5"/>
      <c r="AR225" s="5"/>
      <c r="AS225" s="5"/>
      <c r="AT225" s="5" t="s">
        <v>102</v>
      </c>
      <c r="AU225" s="5" t="s">
        <v>104</v>
      </c>
      <c r="AV225" s="5"/>
      <c r="AW225" s="7"/>
      <c r="AX225" s="5"/>
      <c r="AY225" s="5" t="s">
        <v>95</v>
      </c>
      <c r="AZ225" s="5" t="s">
        <v>105</v>
      </c>
      <c r="BA225" s="5" t="s">
        <v>907</v>
      </c>
      <c r="BB225" s="5" t="s">
        <v>908</v>
      </c>
      <c r="BM225" s="5" t="s">
        <v>1716</v>
      </c>
      <c r="BN225" s="5">
        <v>98</v>
      </c>
      <c r="BO225" s="5" t="s">
        <v>1688</v>
      </c>
    </row>
    <row r="226" spans="1:67">
      <c r="A226" s="4" t="s">
        <v>909</v>
      </c>
      <c r="B226" s="5"/>
      <c r="C226" s="5" t="s">
        <v>42</v>
      </c>
      <c r="D226" s="5" t="s">
        <v>51</v>
      </c>
      <c r="E226" s="5" t="s">
        <v>175</v>
      </c>
      <c r="F226" s="5">
        <v>7</v>
      </c>
      <c r="G226" s="5">
        <v>30</v>
      </c>
      <c r="H226" s="5"/>
      <c r="I226" s="5"/>
      <c r="J226" s="5"/>
      <c r="K226" s="5"/>
      <c r="L226" s="5"/>
      <c r="M226" s="5">
        <v>2</v>
      </c>
      <c r="N226" s="5"/>
      <c r="O226" s="5"/>
      <c r="P226" s="6" t="s">
        <v>910</v>
      </c>
      <c r="Q226" s="5"/>
      <c r="R226" s="5"/>
      <c r="S226" s="5"/>
      <c r="T226" s="5"/>
      <c r="U226" s="7"/>
      <c r="V226" s="5" t="s">
        <v>130</v>
      </c>
      <c r="W226" s="5"/>
      <c r="X226" s="5" t="s">
        <v>131</v>
      </c>
      <c r="Y226" s="5">
        <v>15</v>
      </c>
      <c r="Z226" s="5" t="s">
        <v>268</v>
      </c>
      <c r="AA226" s="5"/>
      <c r="AB226" s="5"/>
      <c r="AC226" s="5"/>
      <c r="AD226" s="5">
        <v>6</v>
      </c>
      <c r="AE226" s="5">
        <v>2</v>
      </c>
      <c r="AF226" s="5">
        <v>4</v>
      </c>
      <c r="AG226" s="5"/>
      <c r="AH226" s="5">
        <v>2</v>
      </c>
      <c r="AI226" s="5">
        <v>2</v>
      </c>
      <c r="AJ226" s="5"/>
      <c r="AK226" s="5"/>
      <c r="AL226" s="5"/>
      <c r="AM226" s="5"/>
      <c r="AN226" s="5"/>
      <c r="AO226" s="5"/>
      <c r="AP226" s="5" t="s">
        <v>911</v>
      </c>
      <c r="AQ226" s="5"/>
      <c r="AR226" s="5"/>
      <c r="AS226" s="5"/>
      <c r="AT226" s="5" t="s">
        <v>912</v>
      </c>
      <c r="AU226" s="5"/>
      <c r="AV226" s="5">
        <v>5</v>
      </c>
      <c r="AW226" s="7"/>
      <c r="AX226" s="5">
        <v>4</v>
      </c>
      <c r="AY226" s="5" t="s">
        <v>113</v>
      </c>
      <c r="AZ226" s="5"/>
      <c r="BA226" s="5"/>
      <c r="BB226" s="5"/>
      <c r="BM226" s="5" t="s">
        <v>1725</v>
      </c>
      <c r="BN226" s="5">
        <v>125</v>
      </c>
      <c r="BO226" s="5"/>
    </row>
    <row r="227" spans="1:67">
      <c r="A227" s="4" t="s">
        <v>913</v>
      </c>
      <c r="B227" s="5"/>
      <c r="C227" s="5" t="s">
        <v>42</v>
      </c>
      <c r="D227" s="5" t="s">
        <v>92</v>
      </c>
      <c r="E227" s="5" t="s">
        <v>753</v>
      </c>
      <c r="F227" s="5"/>
      <c r="G227" s="5">
        <v>30</v>
      </c>
      <c r="H227" s="5"/>
      <c r="I227" s="5"/>
      <c r="J227" s="5"/>
      <c r="K227" s="5"/>
      <c r="L227" s="5"/>
      <c r="M227" s="5"/>
      <c r="N227" s="5"/>
      <c r="O227" s="5"/>
      <c r="P227" s="6" t="s">
        <v>45</v>
      </c>
      <c r="Q227" s="5"/>
      <c r="R227" s="5"/>
      <c r="S227" s="5"/>
      <c r="T227" s="5"/>
      <c r="U227" s="7"/>
      <c r="V227" s="5"/>
      <c r="W227" s="5" t="s">
        <v>45</v>
      </c>
      <c r="X227" s="5" t="s">
        <v>45</v>
      </c>
      <c r="Y227" s="5"/>
      <c r="Z227" s="5"/>
      <c r="AA227" s="5"/>
      <c r="AB227" s="5"/>
      <c r="AC227" s="5"/>
      <c r="AD227" s="5">
        <v>2</v>
      </c>
      <c r="AE227" s="5">
        <v>-2</v>
      </c>
      <c r="AF227" s="5">
        <v>2</v>
      </c>
      <c r="AG227" s="5">
        <v>-2</v>
      </c>
      <c r="AH227" s="5"/>
      <c r="AI227" s="5"/>
      <c r="AJ227" s="5"/>
      <c r="AK227" s="5"/>
      <c r="AL227" s="5"/>
      <c r="AM227" s="5"/>
      <c r="AN227" s="5"/>
      <c r="AO227" s="5"/>
      <c r="AP227" s="5" t="s">
        <v>914</v>
      </c>
      <c r="AQ227" s="5"/>
      <c r="AR227" s="5"/>
      <c r="AS227" s="5"/>
      <c r="AT227" s="5" t="s">
        <v>102</v>
      </c>
      <c r="AU227" s="5" t="s">
        <v>915</v>
      </c>
      <c r="AV227" s="5"/>
      <c r="AW227" s="7"/>
      <c r="AX227" s="5"/>
      <c r="AY227" s="5" t="s">
        <v>125</v>
      </c>
      <c r="AZ227" s="5" t="s">
        <v>916</v>
      </c>
      <c r="BA227" s="5" t="s">
        <v>917</v>
      </c>
      <c r="BB227" s="5" t="s">
        <v>918</v>
      </c>
      <c r="BM227" s="5" t="s">
        <v>1731</v>
      </c>
      <c r="BN227" s="5">
        <v>145</v>
      </c>
      <c r="BO227" s="5"/>
    </row>
    <row r="228" spans="1:67">
      <c r="A228" s="4" t="s">
        <v>919</v>
      </c>
      <c r="B228" s="5"/>
      <c r="C228" s="5" t="s">
        <v>42</v>
      </c>
      <c r="D228" s="5" t="s">
        <v>51</v>
      </c>
      <c r="E228" s="5" t="s">
        <v>136</v>
      </c>
      <c r="F228" s="5"/>
      <c r="G228" s="5">
        <v>30</v>
      </c>
      <c r="H228" s="5"/>
      <c r="I228" s="5"/>
      <c r="J228" s="5"/>
      <c r="K228" s="5"/>
      <c r="L228" s="5"/>
      <c r="M228" s="5">
        <v>2</v>
      </c>
      <c r="N228" s="5"/>
      <c r="O228" s="5"/>
      <c r="P228" s="6" t="s">
        <v>45</v>
      </c>
      <c r="Q228" s="5"/>
      <c r="R228" s="5"/>
      <c r="S228" s="5"/>
      <c r="T228" s="5">
        <v>60</v>
      </c>
      <c r="U228" s="7"/>
      <c r="V228" s="5"/>
      <c r="W228" s="5" t="s">
        <v>45</v>
      </c>
      <c r="X228" s="5" t="s">
        <v>45</v>
      </c>
      <c r="Y228" s="5"/>
      <c r="Z228" s="5"/>
      <c r="AA228" s="5"/>
      <c r="AB228" s="5"/>
      <c r="AC228" s="5"/>
      <c r="AD228" s="5"/>
      <c r="AE228" s="5"/>
      <c r="AF228" s="5"/>
      <c r="AG228" s="5"/>
      <c r="AH228" s="5"/>
      <c r="AI228" s="5"/>
      <c r="AJ228" s="5"/>
      <c r="AK228" s="5"/>
      <c r="AL228" s="5"/>
      <c r="AM228" s="5"/>
      <c r="AN228" s="5"/>
      <c r="AO228" s="5"/>
      <c r="AP228" s="5" t="s">
        <v>920</v>
      </c>
      <c r="AQ228" s="5" t="s">
        <v>1772</v>
      </c>
      <c r="AS228" s="5"/>
      <c r="AT228" s="5" t="s">
        <v>921</v>
      </c>
      <c r="AU228" s="5" t="s">
        <v>922</v>
      </c>
      <c r="AV228" s="5"/>
      <c r="AW228" s="7"/>
      <c r="AX228" s="5"/>
      <c r="AY228" s="5" t="s">
        <v>49</v>
      </c>
      <c r="AZ228" s="5" t="s">
        <v>357</v>
      </c>
      <c r="BA228" s="5" t="s">
        <v>59</v>
      </c>
      <c r="BB228" s="5" t="s">
        <v>60</v>
      </c>
      <c r="BM228" s="5" t="s">
        <v>1613</v>
      </c>
      <c r="BN228" s="5"/>
      <c r="BO228" s="5"/>
    </row>
    <row r="229" spans="1:67">
      <c r="A229" s="4" t="s">
        <v>923</v>
      </c>
      <c r="B229" s="5"/>
      <c r="C229" s="5" t="s">
        <v>42</v>
      </c>
      <c r="D229" s="5" t="s">
        <v>51</v>
      </c>
      <c r="E229" s="5" t="s">
        <v>136</v>
      </c>
      <c r="F229" s="5">
        <v>3</v>
      </c>
      <c r="G229" s="5">
        <v>30</v>
      </c>
      <c r="H229" s="5"/>
      <c r="I229" s="5"/>
      <c r="J229" s="5"/>
      <c r="K229" s="5"/>
      <c r="L229" s="5"/>
      <c r="M229" s="5">
        <v>5</v>
      </c>
      <c r="N229" s="5"/>
      <c r="O229" s="5"/>
      <c r="P229" s="6" t="s">
        <v>924</v>
      </c>
      <c r="Q229" s="5"/>
      <c r="R229" s="5"/>
      <c r="S229" s="5"/>
      <c r="T229" s="5"/>
      <c r="U229" s="7"/>
      <c r="V229" s="5" t="s">
        <v>925</v>
      </c>
      <c r="W229" s="5" t="s">
        <v>926</v>
      </c>
      <c r="X229" s="5" t="s">
        <v>927</v>
      </c>
      <c r="Y229" s="5"/>
      <c r="Z229" s="5"/>
      <c r="AA229" s="5"/>
      <c r="AB229" s="5"/>
      <c r="AC229" s="5"/>
      <c r="AD229" s="5">
        <v>2</v>
      </c>
      <c r="AE229" s="5">
        <v>6</v>
      </c>
      <c r="AF229" s="5">
        <v>4</v>
      </c>
      <c r="AG229" s="5"/>
      <c r="AH229" s="5">
        <v>4</v>
      </c>
      <c r="AI229" s="5">
        <v>2</v>
      </c>
      <c r="AJ229" s="5"/>
      <c r="AK229" s="5"/>
      <c r="AL229" s="5"/>
      <c r="AM229" s="5"/>
      <c r="AN229" s="5"/>
      <c r="AO229" s="5"/>
      <c r="AP229" s="5" t="s">
        <v>928</v>
      </c>
      <c r="AQ229" s="5"/>
      <c r="AR229" s="5"/>
      <c r="AS229" s="5" t="s">
        <v>929</v>
      </c>
      <c r="AT229" s="5" t="s">
        <v>930</v>
      </c>
      <c r="AU229" s="5"/>
      <c r="AV229" s="5">
        <v>3</v>
      </c>
      <c r="AW229" s="7"/>
      <c r="AX229" s="5">
        <v>6</v>
      </c>
      <c r="AY229" s="5" t="s">
        <v>113</v>
      </c>
      <c r="AZ229" s="5" t="s">
        <v>45</v>
      </c>
      <c r="BA229" s="5" t="s">
        <v>45</v>
      </c>
      <c r="BB229" s="5" t="s">
        <v>45</v>
      </c>
      <c r="BM229" s="5" t="s">
        <v>1688</v>
      </c>
      <c r="BN229" s="5">
        <v>128</v>
      </c>
      <c r="BO229" s="5"/>
    </row>
    <row r="230" spans="1:67">
      <c r="A230" s="4" t="s">
        <v>931</v>
      </c>
      <c r="B230" s="5"/>
      <c r="C230" s="5" t="s">
        <v>42</v>
      </c>
      <c r="D230" s="5" t="s">
        <v>51</v>
      </c>
      <c r="E230" s="5" t="s">
        <v>136</v>
      </c>
      <c r="F230" s="5">
        <v>7</v>
      </c>
      <c r="G230" s="5">
        <v>30</v>
      </c>
      <c r="H230" s="5"/>
      <c r="I230" s="5"/>
      <c r="J230" s="5"/>
      <c r="K230" s="5"/>
      <c r="L230" s="5"/>
      <c r="M230" s="5">
        <v>5</v>
      </c>
      <c r="N230" s="5"/>
      <c r="O230" s="5"/>
      <c r="P230" s="6" t="s">
        <v>932</v>
      </c>
      <c r="Q230" s="5"/>
      <c r="R230" s="5"/>
      <c r="S230" s="5"/>
      <c r="T230" s="5"/>
      <c r="U230" s="7"/>
      <c r="V230" s="5" t="s">
        <v>925</v>
      </c>
      <c r="W230" s="5" t="s">
        <v>926</v>
      </c>
      <c r="X230" s="5" t="s">
        <v>933</v>
      </c>
      <c r="Y230" s="5"/>
      <c r="Z230" s="5"/>
      <c r="AA230" s="5"/>
      <c r="AB230" s="5"/>
      <c r="AC230" s="5"/>
      <c r="AD230" s="5">
        <v>2</v>
      </c>
      <c r="AE230" s="5">
        <v>4</v>
      </c>
      <c r="AF230" s="5">
        <v>4</v>
      </c>
      <c r="AG230" s="5">
        <v>6</v>
      </c>
      <c r="AH230" s="5">
        <v>4</v>
      </c>
      <c r="AI230" s="5">
        <v>8</v>
      </c>
      <c r="AJ230" s="5"/>
      <c r="AK230" s="5"/>
      <c r="AL230" s="5"/>
      <c r="AM230" s="5"/>
      <c r="AN230" s="5"/>
      <c r="AO230" s="5"/>
      <c r="AP230" s="5" t="s">
        <v>934</v>
      </c>
      <c r="AQ230" s="5"/>
      <c r="AR230" s="5"/>
      <c r="AS230" s="5" t="s">
        <v>929</v>
      </c>
      <c r="AT230" s="5" t="s">
        <v>930</v>
      </c>
      <c r="AU230" s="5"/>
      <c r="AV230" s="5">
        <v>6</v>
      </c>
      <c r="AW230" s="7"/>
      <c r="AX230" s="5">
        <v>18</v>
      </c>
      <c r="AY230" s="5" t="s">
        <v>258</v>
      </c>
      <c r="AZ230" s="5" t="s">
        <v>45</v>
      </c>
      <c r="BA230" s="5" t="s">
        <v>45</v>
      </c>
      <c r="BB230" s="5" t="s">
        <v>45</v>
      </c>
      <c r="BM230" s="5" t="s">
        <v>1688</v>
      </c>
      <c r="BN230" s="5">
        <v>129</v>
      </c>
      <c r="BO230" s="5"/>
    </row>
    <row r="231" spans="1:67">
      <c r="A231" s="4" t="s">
        <v>935</v>
      </c>
      <c r="B231" s="5"/>
      <c r="C231" s="5" t="s">
        <v>42</v>
      </c>
      <c r="D231" s="5" t="s">
        <v>51</v>
      </c>
      <c r="E231" s="5" t="s">
        <v>136</v>
      </c>
      <c r="F231" s="5"/>
      <c r="G231" s="5">
        <v>30</v>
      </c>
      <c r="H231" s="5"/>
      <c r="I231" s="5"/>
      <c r="J231" s="5"/>
      <c r="K231" s="5"/>
      <c r="L231" s="5"/>
      <c r="M231" s="5">
        <v>3</v>
      </c>
      <c r="N231" s="5"/>
      <c r="O231" s="5"/>
      <c r="P231" s="6" t="s">
        <v>936</v>
      </c>
      <c r="Q231" s="5"/>
      <c r="R231" s="5"/>
      <c r="S231" s="5"/>
      <c r="T231" s="5"/>
      <c r="U231" s="7"/>
      <c r="V231" s="5" t="s">
        <v>925</v>
      </c>
      <c r="W231" s="5" t="s">
        <v>926</v>
      </c>
      <c r="X231" s="5" t="s">
        <v>122</v>
      </c>
      <c r="Y231" s="5"/>
      <c r="Z231" s="5"/>
      <c r="AA231" s="5"/>
      <c r="AB231" s="5"/>
      <c r="AC231" s="5"/>
      <c r="AD231" s="5"/>
      <c r="AE231" s="5">
        <v>4</v>
      </c>
      <c r="AF231" s="5">
        <v>2</v>
      </c>
      <c r="AG231" s="5"/>
      <c r="AH231" s="5">
        <v>4</v>
      </c>
      <c r="AI231" s="5">
        <v>6</v>
      </c>
      <c r="AJ231" s="5"/>
      <c r="AK231" s="5"/>
      <c r="AL231" s="5"/>
      <c r="AM231" s="5"/>
      <c r="AN231" s="5"/>
      <c r="AO231" s="5"/>
      <c r="AP231" s="5" t="s">
        <v>937</v>
      </c>
      <c r="AQ231" s="5"/>
      <c r="AR231" s="5"/>
      <c r="AS231" s="5" t="s">
        <v>938</v>
      </c>
      <c r="AT231" s="5" t="s">
        <v>930</v>
      </c>
      <c r="AU231" s="5"/>
      <c r="AV231" s="5">
        <v>1</v>
      </c>
      <c r="AW231" s="7"/>
      <c r="AX231" s="5">
        <v>3</v>
      </c>
      <c r="AY231" s="5" t="s">
        <v>95</v>
      </c>
      <c r="AZ231" s="5" t="s">
        <v>45</v>
      </c>
      <c r="BA231" s="5" t="s">
        <v>45</v>
      </c>
      <c r="BB231" s="5" t="s">
        <v>45</v>
      </c>
      <c r="BM231" s="5" t="s">
        <v>1688</v>
      </c>
      <c r="BN231" s="5">
        <v>130</v>
      </c>
      <c r="BO231" s="5"/>
    </row>
    <row r="232" spans="1:67">
      <c r="A232" s="4" t="s">
        <v>939</v>
      </c>
      <c r="B232" s="5"/>
      <c r="C232" s="5" t="s">
        <v>42</v>
      </c>
      <c r="D232" s="5" t="s">
        <v>92</v>
      </c>
      <c r="E232" s="5"/>
      <c r="F232" s="5"/>
      <c r="G232" s="5">
        <v>40</v>
      </c>
      <c r="H232" s="5"/>
      <c r="I232" s="5"/>
      <c r="J232" s="5"/>
      <c r="K232" s="5"/>
      <c r="L232" s="5"/>
      <c r="M232" s="5"/>
      <c r="N232" s="5" t="s">
        <v>940</v>
      </c>
      <c r="O232" s="5"/>
      <c r="P232" s="6"/>
      <c r="Q232" s="5"/>
      <c r="R232" s="5"/>
      <c r="S232" s="5" t="s">
        <v>77</v>
      </c>
      <c r="T232" s="5"/>
      <c r="U232" s="7"/>
      <c r="V232" s="5" t="s">
        <v>941</v>
      </c>
      <c r="W232" s="5"/>
      <c r="X232" s="5"/>
      <c r="Y232" s="5"/>
      <c r="Z232" s="5"/>
      <c r="AA232" s="5"/>
      <c r="AB232" s="5"/>
      <c r="AC232" s="5"/>
      <c r="AD232" s="5"/>
      <c r="AE232" s="5"/>
      <c r="AF232" s="5">
        <v>2</v>
      </c>
      <c r="AG232" s="5"/>
      <c r="AH232" s="5"/>
      <c r="AI232" s="5">
        <v>-2</v>
      </c>
      <c r="AJ232" s="5"/>
      <c r="AK232" s="5"/>
      <c r="AL232" s="5"/>
      <c r="AM232" s="5"/>
      <c r="AN232" s="5"/>
      <c r="AO232" s="5"/>
      <c r="AP232" s="5" t="s">
        <v>93</v>
      </c>
      <c r="AQ232" s="5"/>
      <c r="AR232" s="5"/>
      <c r="AS232" s="5"/>
      <c r="AT232" s="5" t="s">
        <v>942</v>
      </c>
      <c r="AU232" s="5" t="s">
        <v>943</v>
      </c>
      <c r="AV232" s="5"/>
      <c r="AW232" s="7"/>
      <c r="AX232" s="5"/>
      <c r="AY232" s="5" t="s">
        <v>95</v>
      </c>
      <c r="AZ232" s="5" t="s">
        <v>944</v>
      </c>
      <c r="BA232" s="5" t="s">
        <v>945</v>
      </c>
      <c r="BB232" s="5" t="s">
        <v>946</v>
      </c>
      <c r="BM232" s="5" t="s">
        <v>1621</v>
      </c>
      <c r="BN232" s="5">
        <v>13</v>
      </c>
      <c r="BO232" s="5"/>
    </row>
    <row r="233" spans="1:67">
      <c r="A233" s="4" t="s">
        <v>947</v>
      </c>
      <c r="B233" s="5"/>
      <c r="C233" s="5" t="s">
        <v>85</v>
      </c>
      <c r="D233" s="5" t="s">
        <v>272</v>
      </c>
      <c r="E233" s="5" t="s">
        <v>100</v>
      </c>
      <c r="F233" s="5"/>
      <c r="G233" s="5">
        <v>20</v>
      </c>
      <c r="H233" s="5"/>
      <c r="I233" s="5"/>
      <c r="J233" s="5"/>
      <c r="K233" s="5"/>
      <c r="L233" s="5">
        <v>30</v>
      </c>
      <c r="M233" s="5"/>
      <c r="N233" s="5"/>
      <c r="O233" s="5"/>
      <c r="P233" s="6" t="s">
        <v>45</v>
      </c>
      <c r="Q233" s="5"/>
      <c r="R233" s="5"/>
      <c r="S233" s="5"/>
      <c r="T233" s="5"/>
      <c r="U233" s="7"/>
      <c r="V233" s="5"/>
      <c r="W233" s="5" t="s">
        <v>45</v>
      </c>
      <c r="X233" s="5" t="s">
        <v>45</v>
      </c>
      <c r="Y233" s="5">
        <f>16+ClassLvl</f>
        <v>24</v>
      </c>
      <c r="Z233" s="5" t="s">
        <v>643</v>
      </c>
      <c r="AA233" s="5"/>
      <c r="AB233" s="5"/>
      <c r="AC233" s="5"/>
      <c r="AD233" s="5">
        <v>-4</v>
      </c>
      <c r="AE233" s="5">
        <v>6</v>
      </c>
      <c r="AF233" s="5"/>
      <c r="AG233" s="5">
        <v>2</v>
      </c>
      <c r="AH233" s="5">
        <v>2</v>
      </c>
      <c r="AI233" s="5">
        <v>8</v>
      </c>
      <c r="AJ233" s="5"/>
      <c r="AK233" s="5"/>
      <c r="AL233" s="5"/>
      <c r="AM233" s="5"/>
      <c r="AN233" s="5"/>
      <c r="AO233" s="5"/>
      <c r="AP233" s="5" t="s">
        <v>101</v>
      </c>
      <c r="AQ233" s="5"/>
      <c r="AR233" s="5" t="s">
        <v>1786</v>
      </c>
      <c r="AS233" s="5" t="s">
        <v>645</v>
      </c>
      <c r="AT233" s="5" t="s">
        <v>948</v>
      </c>
      <c r="AU233" s="5" t="s">
        <v>949</v>
      </c>
      <c r="AV233" s="5">
        <v>1</v>
      </c>
      <c r="AW233" s="7"/>
      <c r="AX233" s="5">
        <v>3</v>
      </c>
      <c r="AY233" s="5" t="s">
        <v>319</v>
      </c>
      <c r="AZ233" s="5" t="s">
        <v>45</v>
      </c>
      <c r="BA233" s="5" t="s">
        <v>45</v>
      </c>
      <c r="BB233" s="5" t="s">
        <v>45</v>
      </c>
      <c r="BM233" s="5" t="s">
        <v>1609</v>
      </c>
      <c r="BN233" s="5">
        <v>235</v>
      </c>
      <c r="BO233" s="5"/>
    </row>
    <row r="234" spans="1:67">
      <c r="A234" s="4" t="s">
        <v>950</v>
      </c>
      <c r="B234" s="5"/>
      <c r="C234" s="5" t="s">
        <v>85</v>
      </c>
      <c r="D234" s="5" t="s">
        <v>43</v>
      </c>
      <c r="E234" s="5"/>
      <c r="F234" s="5">
        <v>3</v>
      </c>
      <c r="G234" s="5">
        <v>20</v>
      </c>
      <c r="H234" s="5"/>
      <c r="I234" s="5"/>
      <c r="J234" s="5">
        <v>40</v>
      </c>
      <c r="K234" s="5" t="s">
        <v>472</v>
      </c>
      <c r="L234" s="5"/>
      <c r="M234" s="5">
        <v>3</v>
      </c>
      <c r="N234" s="5" t="s">
        <v>198</v>
      </c>
      <c r="O234" s="5"/>
      <c r="P234" s="6" t="s">
        <v>45</v>
      </c>
      <c r="Q234" s="5"/>
      <c r="R234" s="5"/>
      <c r="S234" s="5"/>
      <c r="T234" s="5">
        <v>60</v>
      </c>
      <c r="U234" s="7"/>
      <c r="V234" s="5"/>
      <c r="W234" s="5" t="s">
        <v>926</v>
      </c>
      <c r="X234" s="5" t="s">
        <v>45</v>
      </c>
      <c r="Y234" s="5"/>
      <c r="Z234" s="5"/>
      <c r="AA234" s="5"/>
      <c r="AB234" s="5"/>
      <c r="AC234" s="5"/>
      <c r="AD234" s="5">
        <v>-2</v>
      </c>
      <c r="AE234" s="5">
        <v>4</v>
      </c>
      <c r="AF234" s="5"/>
      <c r="AG234" s="5"/>
      <c r="AH234" s="5">
        <v>2</v>
      </c>
      <c r="AI234" s="5">
        <v>-2</v>
      </c>
      <c r="AJ234" s="5"/>
      <c r="AK234" s="5"/>
      <c r="AL234" s="5"/>
      <c r="AM234" s="5"/>
      <c r="AN234" s="5"/>
      <c r="AO234" s="5"/>
      <c r="AP234" s="5" t="s">
        <v>951</v>
      </c>
      <c r="AQ234" s="5"/>
      <c r="AR234" s="5"/>
      <c r="AS234" s="5"/>
      <c r="AT234" s="5" t="s">
        <v>950</v>
      </c>
      <c r="AU234" s="5" t="s">
        <v>594</v>
      </c>
      <c r="AV234" s="5">
        <v>2</v>
      </c>
      <c r="AW234" s="7"/>
      <c r="AX234" s="5">
        <v>2</v>
      </c>
      <c r="AY234" s="5" t="s">
        <v>72</v>
      </c>
      <c r="AZ234" s="5" t="s">
        <v>45</v>
      </c>
      <c r="BA234" s="5" t="s">
        <v>45</v>
      </c>
      <c r="BB234" s="5" t="s">
        <v>45</v>
      </c>
      <c r="BM234" s="5" t="s">
        <v>1718</v>
      </c>
      <c r="BN234" s="5">
        <v>112</v>
      </c>
      <c r="BO234" s="5"/>
    </row>
    <row r="235" spans="1:67">
      <c r="A235" s="4" t="s">
        <v>952</v>
      </c>
      <c r="B235" s="5"/>
      <c r="C235" s="5" t="str">
        <f>IF(AND(HRSVMC,MCCell&lt;5),"Medium","Large")</f>
        <v>Large</v>
      </c>
      <c r="D235" s="5" t="s">
        <v>173</v>
      </c>
      <c r="E235" s="5"/>
      <c r="F235" s="5">
        <f>IF(HRSVMC,1+1*((MCCell&gt;=2)+(MCCell&gt;=3)+(MCCell&gt;=5)),4)</f>
        <v>4</v>
      </c>
      <c r="G235" s="5">
        <v>40</v>
      </c>
      <c r="H235" s="5"/>
      <c r="I235" s="5"/>
      <c r="J235" s="5"/>
      <c r="K235" s="5"/>
      <c r="L235" s="5"/>
      <c r="M235" s="5">
        <f>IF(HRSVMC,3+1*((MCCell&gt;=3)+(MCCell&gt;=4)+(MCCell&gt;=6)),5)</f>
        <v>5</v>
      </c>
      <c r="N235" s="5"/>
      <c r="O235" s="5"/>
      <c r="P235" s="6" t="s">
        <v>45</v>
      </c>
      <c r="Q235" s="5"/>
      <c r="R235" s="5"/>
      <c r="S235" s="5" t="s">
        <v>77</v>
      </c>
      <c r="T235" s="5"/>
      <c r="U235" s="7"/>
      <c r="V235" s="5"/>
      <c r="W235" s="5" t="s">
        <v>45</v>
      </c>
      <c r="X235" s="5" t="s">
        <v>45</v>
      </c>
      <c r="Y235" s="5"/>
      <c r="Z235" s="5"/>
      <c r="AA235" s="5"/>
      <c r="AB235" s="5"/>
      <c r="AC235" s="5"/>
      <c r="AD235" s="5">
        <f>IF(HRSVMC,2+2*((MCCell&gt;=2)+(MCCell&gt;=4)+(MCCell&gt;=5)+(MCCell&gt;=6)),10)</f>
        <v>10</v>
      </c>
      <c r="AE235" s="5">
        <f>IF(AND(HRSVMC,MCCell&lt;5),0,-2)</f>
        <v>-2</v>
      </c>
      <c r="AF235" s="5">
        <f>IF(HRSVMC,2*((MCCell&gt;=2)+(MCCell&gt;=4)),4)</f>
        <v>4</v>
      </c>
      <c r="AG235" s="5">
        <v>-4</v>
      </c>
      <c r="AH235" s="5"/>
      <c r="AI235" s="5">
        <v>-4</v>
      </c>
      <c r="AJ235" s="5"/>
      <c r="AK235" s="5"/>
      <c r="AL235" s="5"/>
      <c r="AM235" s="5"/>
      <c r="AN235" s="5"/>
      <c r="AO235" s="5"/>
      <c r="AP235" s="5" t="s">
        <v>953</v>
      </c>
      <c r="AQ235" s="5"/>
      <c r="AR235" s="5"/>
      <c r="AS235" s="5"/>
      <c r="AT235" s="5" t="str">
        <f>IF(HRDLCS,"Common, Ogre","Common, Giant")</f>
        <v>Common, Giant</v>
      </c>
      <c r="AU235" s="5" t="str">
        <f>IF(HRDLCS,"Goblin, Kothian, High Ogre","Dwarven, Orc, Goblin, Terran")</f>
        <v>Dwarven, Orc, Goblin, Terran</v>
      </c>
      <c r="AV235" s="5">
        <f>IF(HRSVMC,1+1*(MCCell&gt;=5),3)</f>
        <v>3</v>
      </c>
      <c r="AW235" s="7"/>
      <c r="AX235" s="5">
        <f>IF(HRSVMC,1*((MCCell&gt;=3)+(MCCell&gt;=5)),2)</f>
        <v>2</v>
      </c>
      <c r="AY235" s="5" t="s">
        <v>125</v>
      </c>
      <c r="AZ235" s="5" t="s">
        <v>45</v>
      </c>
      <c r="BA235" s="5" t="s">
        <v>45</v>
      </c>
      <c r="BB235" s="5" t="s">
        <v>45</v>
      </c>
      <c r="BM235" s="5" t="s">
        <v>1609</v>
      </c>
      <c r="BN235" s="5">
        <v>198</v>
      </c>
      <c r="BO235" s="5" t="s">
        <v>1732</v>
      </c>
    </row>
    <row r="236" spans="1:67">
      <c r="A236" s="4" t="s">
        <v>954</v>
      </c>
      <c r="B236" s="5"/>
      <c r="C236" s="5" t="str">
        <f>IF(AND(HRSVMC,MCCell&lt;10),"Medium","Large")</f>
        <v>Large</v>
      </c>
      <c r="D236" s="5" t="s">
        <v>173</v>
      </c>
      <c r="E236" s="5"/>
      <c r="F236" s="5">
        <f>IF(HRSVMC,1+1*(MCCell&gt;=2)+(MCCell&gt;=4)+(MCCell&gt;=7)+(MCCell&gt;=10),5)</f>
        <v>5</v>
      </c>
      <c r="G236" s="5">
        <v>40</v>
      </c>
      <c r="H236" s="5"/>
      <c r="I236" s="5"/>
      <c r="J236" s="5">
        <f>IF(AND(HRSVMC,MCCell&lt;4),0,40)</f>
        <v>40</v>
      </c>
      <c r="K236" s="5" t="s">
        <v>472</v>
      </c>
      <c r="L236" s="5"/>
      <c r="M236" s="5">
        <f>IF(HRSVMC,2*((MCCell&gt;=2)+1*(MCCell&gt;=5)+(MCCell&gt;=7)+(MCCell&gt;=10)),5)</f>
        <v>5</v>
      </c>
      <c r="N236" s="5"/>
      <c r="O236" s="5"/>
      <c r="P236" s="6" t="s">
        <v>955</v>
      </c>
      <c r="Q236" s="5"/>
      <c r="R236" s="5"/>
      <c r="S236" s="5" t="s">
        <v>77</v>
      </c>
      <c r="T236" s="5">
        <v>90</v>
      </c>
      <c r="U236" s="7"/>
      <c r="V236" s="5"/>
      <c r="W236" s="5" t="s">
        <v>45</v>
      </c>
      <c r="X236" s="5" t="s">
        <v>45</v>
      </c>
      <c r="Y236" s="5">
        <f>IF(AND(HRSVMC,MCCell&lt;8),"",19+ClassLvl)</f>
        <v>27</v>
      </c>
      <c r="Z236" s="5"/>
      <c r="AA236" s="5"/>
      <c r="AB236" s="5"/>
      <c r="AC236" s="5"/>
      <c r="AD236" s="5">
        <f>IF(HRSVMC,2+2*((MCCell&gt;=4)+(MCCell&gt;=7)+(MCCell&gt;=10)+(MCCell&gt;=12)),10)</f>
        <v>10</v>
      </c>
      <c r="AE236" s="5"/>
      <c r="AF236" s="5">
        <f>IF(HRSVMC,2*((MCCell&gt;=2)+(MCCell&gt;=8)+(MCCell&gt;=11)),6)</f>
        <v>6</v>
      </c>
      <c r="AG236" s="5">
        <f>IF(HRSVMC,2*((MCCell&gt;=5)+(MCCell&gt;=10)),4)</f>
        <v>4</v>
      </c>
      <c r="AH236" s="5">
        <f>IF(HRSVMC,2*((MCCell&gt;=3)+(MCCell&gt;=8)),4)</f>
        <v>4</v>
      </c>
      <c r="AI236" s="5">
        <f>IF(HRSVMC,2+2*((MCCell&gt;=4)+(MCCell&gt;=12)),6)</f>
        <v>6</v>
      </c>
      <c r="AJ236" s="5"/>
      <c r="AK236" s="5"/>
      <c r="AL236" s="5"/>
      <c r="AM236" s="5"/>
      <c r="AN236" s="5"/>
      <c r="AO236" s="5"/>
      <c r="AP236" s="5" t="s">
        <v>956</v>
      </c>
      <c r="AQ236" s="5"/>
      <c r="AR236" s="5"/>
      <c r="AS236" s="5"/>
      <c r="AT236" s="5" t="s">
        <v>555</v>
      </c>
      <c r="AU236" s="5" t="s">
        <v>957</v>
      </c>
      <c r="AV236" s="5">
        <f>IF(HRSVMC,1+1*((MCCell&gt;=3)+(MCCell&gt;=5)+(MCCell&gt;=7)+(MCCell&gt;=9)+(MCCell&gt;=10)+(MCCell&gt;=11)+(MCCell&gt;=12)),8)</f>
        <v>8</v>
      </c>
      <c r="AW236" s="7"/>
      <c r="AX236" s="5">
        <f>IF(HRSVMC,1*((MCCell&gt;=3)+(MCCell&gt;=5)+(MCCell&gt;=6)+(MCCell&gt;=8)+(MCCell&gt;=9)+(MCCell&gt;=11)+(MCCell&gt;=12)),7)</f>
        <v>7</v>
      </c>
      <c r="AY236" s="5" t="s">
        <v>319</v>
      </c>
      <c r="AZ236" s="5" t="s">
        <v>45</v>
      </c>
      <c r="BA236" s="5" t="s">
        <v>45</v>
      </c>
      <c r="BB236" s="5" t="s">
        <v>45</v>
      </c>
      <c r="BM236" s="5" t="s">
        <v>1609</v>
      </c>
      <c r="BN236" s="5">
        <v>200</v>
      </c>
      <c r="BO236" s="5"/>
    </row>
    <row r="237" spans="1:67">
      <c r="A237" s="4" t="s">
        <v>958</v>
      </c>
      <c r="B237" s="5"/>
      <c r="C237" s="5" t="s">
        <v>42</v>
      </c>
      <c r="D237" s="5" t="s">
        <v>92</v>
      </c>
      <c r="E237" s="5" t="s">
        <v>222</v>
      </c>
      <c r="F237" s="5"/>
      <c r="G237" s="5">
        <v>30</v>
      </c>
      <c r="H237" s="5"/>
      <c r="I237" s="5"/>
      <c r="J237" s="5"/>
      <c r="K237" s="5"/>
      <c r="L237" s="5"/>
      <c r="M237" s="5"/>
      <c r="N237" s="5"/>
      <c r="O237" s="5"/>
      <c r="P237" s="6" t="s">
        <v>959</v>
      </c>
      <c r="Q237" s="5"/>
      <c r="R237" s="5"/>
      <c r="S237" s="5" t="s">
        <v>77</v>
      </c>
      <c r="T237" s="5"/>
      <c r="U237" s="7"/>
      <c r="V237" s="5"/>
      <c r="W237" s="5" t="s">
        <v>45</v>
      </c>
      <c r="X237" s="5" t="s">
        <v>45</v>
      </c>
      <c r="Y237" s="5"/>
      <c r="Z237" s="5"/>
      <c r="AA237" s="5"/>
      <c r="AB237" s="5"/>
      <c r="AC237" s="5"/>
      <c r="AD237" s="5"/>
      <c r="AE237" s="5"/>
      <c r="AF237" s="5">
        <v>-2</v>
      </c>
      <c r="AG237" s="5">
        <v>2</v>
      </c>
      <c r="AH237" s="5"/>
      <c r="AI237" s="5">
        <v>2</v>
      </c>
      <c r="AJ237" s="5"/>
      <c r="AK237" s="5"/>
      <c r="AL237" s="5"/>
      <c r="AM237" s="5"/>
      <c r="AN237" s="5"/>
      <c r="AO237" s="5"/>
      <c r="AP237" s="5"/>
      <c r="AQ237" s="5"/>
      <c r="AR237" s="5"/>
      <c r="AS237" s="5"/>
      <c r="AT237" s="5" t="s">
        <v>960</v>
      </c>
      <c r="AU237" s="5" t="s">
        <v>961</v>
      </c>
      <c r="AV237" s="5"/>
      <c r="AW237" s="7"/>
      <c r="AX237" s="5">
        <v>2</v>
      </c>
      <c r="AY237" s="5" t="s">
        <v>258</v>
      </c>
      <c r="AZ237" s="5" t="s">
        <v>45</v>
      </c>
      <c r="BA237" s="5" t="s">
        <v>45</v>
      </c>
      <c r="BB237" s="5" t="s">
        <v>45</v>
      </c>
      <c r="BM237" s="5" t="s">
        <v>1732</v>
      </c>
      <c r="BN237" s="5"/>
      <c r="BO237" s="5"/>
    </row>
    <row r="238" spans="1:67">
      <c r="A238" s="4" t="s">
        <v>962</v>
      </c>
      <c r="B238" s="5"/>
      <c r="C238" s="5" t="s">
        <v>62</v>
      </c>
      <c r="D238" s="5" t="s">
        <v>173</v>
      </c>
      <c r="E238" s="5"/>
      <c r="F238" s="5">
        <v>8</v>
      </c>
      <c r="G238" s="5">
        <v>40</v>
      </c>
      <c r="H238" s="5"/>
      <c r="I238" s="5"/>
      <c r="J238" s="5"/>
      <c r="K238" s="5"/>
      <c r="L238" s="5"/>
      <c r="M238" s="5">
        <v>2</v>
      </c>
      <c r="N238" s="5"/>
      <c r="O238" s="5"/>
      <c r="P238" s="6" t="s">
        <v>45</v>
      </c>
      <c r="Q238" s="5"/>
      <c r="R238" s="5"/>
      <c r="S238" s="5" t="s">
        <v>77</v>
      </c>
      <c r="T238" s="5"/>
      <c r="U238" s="7"/>
      <c r="V238" s="5"/>
      <c r="W238" s="5" t="s">
        <v>45</v>
      </c>
      <c r="X238" s="5" t="s">
        <v>45</v>
      </c>
      <c r="Y238" s="5"/>
      <c r="Z238" s="5"/>
      <c r="AA238" s="5"/>
      <c r="AB238" s="5"/>
      <c r="AC238" s="5"/>
      <c r="AD238" s="5">
        <v>14</v>
      </c>
      <c r="AE238" s="5"/>
      <c r="AF238" s="5">
        <v>6</v>
      </c>
      <c r="AG238" s="5"/>
      <c r="AH238" s="5"/>
      <c r="AI238" s="5">
        <v>-2</v>
      </c>
      <c r="AJ238" s="5"/>
      <c r="AK238" s="5"/>
      <c r="AL238" s="5"/>
      <c r="AM238" s="5"/>
      <c r="AN238" s="5"/>
      <c r="AO238" s="5"/>
      <c r="AP238" s="5" t="s">
        <v>963</v>
      </c>
      <c r="AQ238" s="5"/>
      <c r="AR238" s="5"/>
      <c r="AS238" s="5" t="s">
        <v>964</v>
      </c>
      <c r="AT238" s="5" t="s">
        <v>555</v>
      </c>
      <c r="AU238" s="5" t="s">
        <v>965</v>
      </c>
      <c r="AV238" s="5">
        <v>5</v>
      </c>
      <c r="AW238" s="7"/>
      <c r="AX238" s="5">
        <v>3</v>
      </c>
      <c r="AY238" s="5" t="s">
        <v>113</v>
      </c>
      <c r="AZ238" s="5" t="s">
        <v>45</v>
      </c>
      <c r="BA238" s="5" t="s">
        <v>45</v>
      </c>
      <c r="BB238" s="5" t="s">
        <v>45</v>
      </c>
      <c r="BM238" s="5" t="s">
        <v>1718</v>
      </c>
      <c r="BN238" s="5">
        <v>116</v>
      </c>
      <c r="BO238" s="5"/>
    </row>
    <row r="239" spans="1:67">
      <c r="A239" s="4" t="s">
        <v>470</v>
      </c>
      <c r="B239" s="5"/>
      <c r="C239" s="5" t="s">
        <v>42</v>
      </c>
      <c r="D239" s="5" t="s">
        <v>92</v>
      </c>
      <c r="E239" s="5" t="s">
        <v>470</v>
      </c>
      <c r="F239" s="5"/>
      <c r="G239" s="5">
        <v>30</v>
      </c>
      <c r="H239" s="5"/>
      <c r="I239" s="5"/>
      <c r="J239" s="5"/>
      <c r="K239" s="5"/>
      <c r="L239" s="5"/>
      <c r="M239" s="5"/>
      <c r="N239" s="5"/>
      <c r="O239" s="5"/>
      <c r="P239" s="6" t="s">
        <v>45</v>
      </c>
      <c r="Q239" s="5"/>
      <c r="R239" s="5"/>
      <c r="S239" s="5"/>
      <c r="T239" s="5"/>
      <c r="U239" s="7"/>
      <c r="V239" s="5"/>
      <c r="W239" s="5" t="s">
        <v>45</v>
      </c>
      <c r="X239" s="5" t="s">
        <v>45</v>
      </c>
      <c r="Y239" s="5"/>
      <c r="Z239" s="5"/>
      <c r="AA239" s="5"/>
      <c r="AB239" s="5"/>
      <c r="AC239" s="5"/>
      <c r="AD239" s="5">
        <v>4</v>
      </c>
      <c r="AE239" s="5"/>
      <c r="AF239" s="5"/>
      <c r="AG239" s="5">
        <v>-2</v>
      </c>
      <c r="AH239" s="5">
        <v>-2</v>
      </c>
      <c r="AI239" s="5">
        <v>-2</v>
      </c>
      <c r="AJ239" s="5"/>
      <c r="AK239" s="5"/>
      <c r="AL239" s="5"/>
      <c r="AM239" s="5"/>
      <c r="AN239" s="5"/>
      <c r="AO239" s="5"/>
      <c r="AP239" s="5"/>
      <c r="AQ239" s="5"/>
      <c r="AR239" s="5"/>
      <c r="AS239" s="5"/>
      <c r="AT239" s="5" t="s">
        <v>190</v>
      </c>
      <c r="AU239" s="5" t="s">
        <v>966</v>
      </c>
      <c r="AV239" s="5"/>
      <c r="AW239" s="7"/>
      <c r="AX239" s="5"/>
      <c r="AY239" s="5" t="s">
        <v>125</v>
      </c>
      <c r="AZ239" s="5" t="s">
        <v>45</v>
      </c>
      <c r="BA239" s="5" t="s">
        <v>45</v>
      </c>
      <c r="BB239" s="5" t="s">
        <v>45</v>
      </c>
      <c r="BM239" s="5" t="s">
        <v>1609</v>
      </c>
      <c r="BN239" s="5">
        <v>203</v>
      </c>
      <c r="BO239" s="5"/>
    </row>
    <row r="240" spans="1:67">
      <c r="A240" s="4" t="s">
        <v>967</v>
      </c>
      <c r="B240" s="5"/>
      <c r="C240" s="5" t="s">
        <v>42</v>
      </c>
      <c r="D240" s="5" t="s">
        <v>92</v>
      </c>
      <c r="E240" s="5" t="s">
        <v>470</v>
      </c>
      <c r="F240" s="5"/>
      <c r="G240" s="5">
        <v>30</v>
      </c>
      <c r="H240" s="5"/>
      <c r="I240" s="5"/>
      <c r="J240" s="5"/>
      <c r="K240" s="5"/>
      <c r="L240" s="5"/>
      <c r="M240" s="5">
        <v>2</v>
      </c>
      <c r="N240" s="5"/>
      <c r="O240" s="5"/>
      <c r="P240" s="6" t="s">
        <v>45</v>
      </c>
      <c r="Q240" s="5"/>
      <c r="R240" s="5"/>
      <c r="S240" s="5"/>
      <c r="T240" s="5">
        <v>120</v>
      </c>
      <c r="U240" s="7"/>
      <c r="V240" s="5"/>
      <c r="W240" s="5" t="s">
        <v>45</v>
      </c>
      <c r="X240" s="5" t="s">
        <v>1777</v>
      </c>
      <c r="Y240" s="5"/>
      <c r="Z240" s="5"/>
      <c r="AA240" s="5"/>
      <c r="AB240" s="5"/>
      <c r="AC240" s="5"/>
      <c r="AD240" s="5">
        <v>6</v>
      </c>
      <c r="AE240" s="5">
        <v>-2</v>
      </c>
      <c r="AF240" s="5"/>
      <c r="AG240" s="5"/>
      <c r="AH240" s="5">
        <v>-2</v>
      </c>
      <c r="AI240" s="5">
        <v>2</v>
      </c>
      <c r="AJ240" s="5"/>
      <c r="AK240" s="5"/>
      <c r="AL240" s="5"/>
      <c r="AM240" s="5"/>
      <c r="AN240" s="5"/>
      <c r="AO240" s="5"/>
      <c r="AP240" s="5" t="s">
        <v>968</v>
      </c>
      <c r="AQ240" s="5"/>
      <c r="AR240" s="5" t="s">
        <v>1778</v>
      </c>
      <c r="AS240" s="5"/>
      <c r="AT240" s="5" t="s">
        <v>969</v>
      </c>
      <c r="AU240" s="5" t="s">
        <v>970</v>
      </c>
      <c r="AV240" s="5"/>
      <c r="AW240" s="7"/>
      <c r="AX240" s="5">
        <v>2</v>
      </c>
      <c r="AY240" s="5" t="s">
        <v>113</v>
      </c>
      <c r="AZ240" s="5" t="s">
        <v>45</v>
      </c>
      <c r="BA240" s="5" t="s">
        <v>1779</v>
      </c>
      <c r="BB240" s="5" t="s">
        <v>1780</v>
      </c>
      <c r="BM240" s="5" t="s">
        <v>1625</v>
      </c>
      <c r="BN240" s="5">
        <v>72</v>
      </c>
      <c r="BO240" s="5"/>
    </row>
    <row r="241" spans="1:67">
      <c r="A241" s="4" t="s">
        <v>971</v>
      </c>
      <c r="B241" s="5"/>
      <c r="C241" s="5" t="s">
        <v>42</v>
      </c>
      <c r="D241" s="5" t="s">
        <v>92</v>
      </c>
      <c r="E241" s="5" t="s">
        <v>718</v>
      </c>
      <c r="F241" s="5"/>
      <c r="G241" s="5">
        <v>30</v>
      </c>
      <c r="H241" s="5"/>
      <c r="I241" s="5"/>
      <c r="J241" s="5"/>
      <c r="K241" s="5"/>
      <c r="L241" s="5"/>
      <c r="M241" s="5"/>
      <c r="N241" s="5"/>
      <c r="O241" s="5"/>
      <c r="P241" s="6" t="s">
        <v>45</v>
      </c>
      <c r="Q241" s="5"/>
      <c r="R241" s="5"/>
      <c r="S241" s="5"/>
      <c r="T241" s="5"/>
      <c r="U241" s="7"/>
      <c r="V241" s="5"/>
      <c r="W241" s="5" t="s">
        <v>108</v>
      </c>
      <c r="X241" s="5" t="s">
        <v>719</v>
      </c>
      <c r="Y241" s="5"/>
      <c r="Z241" s="5"/>
      <c r="AA241" s="5"/>
      <c r="AB241" s="5"/>
      <c r="AC241" s="5"/>
      <c r="AD241" s="5">
        <v>4</v>
      </c>
      <c r="AE241" s="5"/>
      <c r="AF241" s="5"/>
      <c r="AG241" s="5">
        <v>-2</v>
      </c>
      <c r="AH241" s="5">
        <v>-2</v>
      </c>
      <c r="AI241" s="5">
        <v>-2</v>
      </c>
      <c r="AJ241" s="5"/>
      <c r="AK241" s="5"/>
      <c r="AL241" s="5"/>
      <c r="AM241" s="5"/>
      <c r="AN241" s="5"/>
      <c r="AO241" s="5"/>
      <c r="AP241" s="5"/>
      <c r="AQ241" s="5"/>
      <c r="AR241" s="5"/>
      <c r="AS241" s="5" t="s">
        <v>720</v>
      </c>
      <c r="AT241" s="5" t="s">
        <v>190</v>
      </c>
      <c r="AU241" s="5" t="s">
        <v>966</v>
      </c>
      <c r="AV241" s="5"/>
      <c r="AW241" s="7"/>
      <c r="AX241" s="5"/>
      <c r="AY241" s="5" t="s">
        <v>125</v>
      </c>
      <c r="AZ241" s="5" t="s">
        <v>45</v>
      </c>
      <c r="BA241" s="5" t="s">
        <v>45</v>
      </c>
      <c r="BB241" s="5" t="s">
        <v>45</v>
      </c>
      <c r="BM241" s="5" t="s">
        <v>1737</v>
      </c>
      <c r="BN241" s="5"/>
      <c r="BO241" s="5"/>
    </row>
    <row r="242" spans="1:67">
      <c r="A242" s="4" t="s">
        <v>972</v>
      </c>
      <c r="B242" s="5"/>
      <c r="C242" s="5" t="s">
        <v>42</v>
      </c>
      <c r="D242" s="5" t="s">
        <v>92</v>
      </c>
      <c r="E242" s="5" t="s">
        <v>470</v>
      </c>
      <c r="F242" s="5"/>
      <c r="G242" s="5">
        <v>40</v>
      </c>
      <c r="H242" s="5"/>
      <c r="I242" s="5"/>
      <c r="J242" s="5"/>
      <c r="K242" s="5"/>
      <c r="L242" s="5"/>
      <c r="M242" s="5"/>
      <c r="N242" s="5"/>
      <c r="O242" s="5"/>
      <c r="P242" s="6" t="s">
        <v>45</v>
      </c>
      <c r="Q242" s="5"/>
      <c r="R242" s="5"/>
      <c r="S242" s="5"/>
      <c r="T242" s="5">
        <v>60</v>
      </c>
      <c r="U242" s="7"/>
      <c r="V242" s="5"/>
      <c r="W242" s="5" t="s">
        <v>45</v>
      </c>
      <c r="X242" s="5" t="s">
        <v>45</v>
      </c>
      <c r="Y242" s="5"/>
      <c r="Z242" s="5"/>
      <c r="AA242" s="5"/>
      <c r="AB242" s="5"/>
      <c r="AC242" s="5"/>
      <c r="AD242" s="5">
        <v>2</v>
      </c>
      <c r="AE242" s="5"/>
      <c r="AF242" s="5"/>
      <c r="AG242" s="5">
        <v>-2</v>
      </c>
      <c r="AH242" s="5">
        <v>2</v>
      </c>
      <c r="AI242" s="5">
        <v>-2</v>
      </c>
      <c r="AJ242" s="5"/>
      <c r="AK242" s="5"/>
      <c r="AL242" s="5"/>
      <c r="AM242" s="5"/>
      <c r="AN242" s="5"/>
      <c r="AO242" s="5"/>
      <c r="AP242" s="5"/>
      <c r="AQ242" s="5"/>
      <c r="AR242" s="5" t="s">
        <v>1807</v>
      </c>
      <c r="AS242" s="5"/>
      <c r="AT242" s="5" t="s">
        <v>190</v>
      </c>
      <c r="AU242" s="5" t="s">
        <v>973</v>
      </c>
      <c r="AV242" s="5"/>
      <c r="AW242" s="7"/>
      <c r="AX242" s="5">
        <v>1</v>
      </c>
      <c r="AY242" s="5" t="s">
        <v>325</v>
      </c>
      <c r="AZ242" s="5" t="s">
        <v>209</v>
      </c>
      <c r="BA242" s="5" t="s">
        <v>535</v>
      </c>
      <c r="BB242" s="5" t="s">
        <v>716</v>
      </c>
      <c r="BM242" s="5" t="s">
        <v>1625</v>
      </c>
      <c r="BN242" s="5"/>
      <c r="BO242" s="5"/>
    </row>
    <row r="243" spans="1:67">
      <c r="A243" s="4" t="s">
        <v>974</v>
      </c>
      <c r="B243" s="5"/>
      <c r="C243" s="5" t="s">
        <v>42</v>
      </c>
      <c r="D243" s="5" t="s">
        <v>92</v>
      </c>
      <c r="E243" s="5" t="s">
        <v>470</v>
      </c>
      <c r="F243" s="5"/>
      <c r="G243" s="5">
        <v>30</v>
      </c>
      <c r="H243" s="5"/>
      <c r="I243" s="5"/>
      <c r="J243" s="5"/>
      <c r="K243" s="5"/>
      <c r="L243" s="5"/>
      <c r="M243" s="5"/>
      <c r="N243" s="5"/>
      <c r="O243" s="5"/>
      <c r="P243" s="6" t="s">
        <v>45</v>
      </c>
      <c r="Q243" s="5"/>
      <c r="R243" s="5"/>
      <c r="S243" s="5"/>
      <c r="T243" s="5"/>
      <c r="U243" s="7"/>
      <c r="V243" s="5"/>
      <c r="W243" s="5" t="s">
        <v>45</v>
      </c>
      <c r="X243" s="5" t="s">
        <v>45</v>
      </c>
      <c r="Y243" s="5"/>
      <c r="Z243" s="5"/>
      <c r="AA243" s="5"/>
      <c r="AB243" s="5"/>
      <c r="AC243" s="5"/>
      <c r="AD243" s="5">
        <v>4</v>
      </c>
      <c r="AE243" s="5"/>
      <c r="AF243" s="5"/>
      <c r="AG243" s="5">
        <v>-2</v>
      </c>
      <c r="AH243" s="5">
        <v>-2</v>
      </c>
      <c r="AI243" s="5">
        <v>-2</v>
      </c>
      <c r="AJ243" s="5"/>
      <c r="AK243" s="5"/>
      <c r="AL243" s="5"/>
      <c r="AM243" s="5"/>
      <c r="AN243" s="5"/>
      <c r="AO243" s="5"/>
      <c r="AP243" s="5"/>
      <c r="AQ243" s="5"/>
      <c r="AR243" s="5" t="s">
        <v>1795</v>
      </c>
      <c r="AS243" s="5"/>
      <c r="AT243" s="5" t="s">
        <v>190</v>
      </c>
      <c r="AU243" s="5" t="s">
        <v>975</v>
      </c>
      <c r="AV243" s="5"/>
      <c r="AW243" s="7"/>
      <c r="AX243" s="5"/>
      <c r="AY243" s="5" t="s">
        <v>125</v>
      </c>
      <c r="AZ243" s="5" t="s">
        <v>209</v>
      </c>
      <c r="BA243" s="5" t="s">
        <v>976</v>
      </c>
      <c r="BB243" s="5" t="s">
        <v>977</v>
      </c>
      <c r="BM243" s="5" t="s">
        <v>1625</v>
      </c>
      <c r="BN243" s="5"/>
      <c r="BO243" s="5"/>
    </row>
    <row r="244" spans="1:67">
      <c r="A244" s="4" t="s">
        <v>978</v>
      </c>
      <c r="B244" s="5"/>
      <c r="C244" s="5" t="s">
        <v>85</v>
      </c>
      <c r="D244" s="5" t="s">
        <v>272</v>
      </c>
      <c r="E244" s="5"/>
      <c r="F244" s="5">
        <f>IF(HRSVMC,1,0)</f>
        <v>0</v>
      </c>
      <c r="G244" s="5">
        <v>20</v>
      </c>
      <c r="H244" s="5"/>
      <c r="I244" s="5"/>
      <c r="J244" s="5">
        <f>IF(HRSVMC,20*((MCCell&gt;=2)+(MCCell&gt;=3)+(MCCell&gt;=4)),60)</f>
        <v>60</v>
      </c>
      <c r="K244" s="5" t="s">
        <v>472</v>
      </c>
      <c r="L244" s="5"/>
      <c r="M244" s="5">
        <f>IF(HRSVMC,1*(MCCell&gt;=3),1)</f>
        <v>1</v>
      </c>
      <c r="N244" s="5"/>
      <c r="O244" s="5"/>
      <c r="P244" s="6" t="s">
        <v>979</v>
      </c>
      <c r="Q244" s="5"/>
      <c r="R244" s="5"/>
      <c r="S244" s="5"/>
      <c r="T244" s="5"/>
      <c r="U244" s="7"/>
      <c r="V244" s="5"/>
      <c r="W244" s="5" t="s">
        <v>45</v>
      </c>
      <c r="X244" s="5" t="s">
        <v>45</v>
      </c>
      <c r="Y244" s="5">
        <f>IF(AND(HRSVMC,MCCell&lt;5),"",15+ClassLvl)</f>
        <v>23</v>
      </c>
      <c r="Z244" s="5" t="s">
        <v>980</v>
      </c>
      <c r="AA244" s="5"/>
      <c r="AB244" s="5"/>
      <c r="AC244" s="5"/>
      <c r="AD244" s="5">
        <v>-4</v>
      </c>
      <c r="AE244" s="5">
        <f>IF(HRSVMC,4+2*((MCCell&gt;=3)+(MCCell&gt;=5)),8)</f>
        <v>8</v>
      </c>
      <c r="AF244" s="5"/>
      <c r="AG244" s="5">
        <f>IF(HRSVMC,2+2*((MCCell&gt;=2)+(MCCell&gt;=4)),6)</f>
        <v>6</v>
      </c>
      <c r="AH244" s="5">
        <f>IF(HRSVMC,2*((MCCell&gt;=3)+(MCCell&gt;=5)),4)</f>
        <v>4</v>
      </c>
      <c r="AI244" s="5">
        <f>IF(HRSVMC,2+2*((MCCell&gt;=2)+(MCCell&gt;=4)),6)</f>
        <v>6</v>
      </c>
      <c r="AJ244" s="5"/>
      <c r="AK244" s="5"/>
      <c r="AL244" s="5"/>
      <c r="AM244" s="5"/>
      <c r="AN244" s="5"/>
      <c r="AO244" s="5"/>
      <c r="AP244" s="5" t="s">
        <v>425</v>
      </c>
      <c r="AQ244" s="5"/>
      <c r="AR244" s="5" t="s">
        <v>1806</v>
      </c>
      <c r="AS244" s="5" t="str">
        <f>IF(NOT(HRSVMC),"Dodge, Weapon Finesse",IF(AND(HRSVMC,MCCell&gt;=2),"Dodge",""))</f>
        <v>Dodge, Weapon Finesse</v>
      </c>
      <c r="AT244" s="5" t="s">
        <v>345</v>
      </c>
      <c r="AU244" s="5" t="s">
        <v>646</v>
      </c>
      <c r="AV244" s="5">
        <f>IF(HRSVMC,1*((MCCell&gt;=1)+(MCCell&gt;=2)+(MCCell&gt;=3)+(MCCell&gt;=5)),4)</f>
        <v>4</v>
      </c>
      <c r="AW244" s="7"/>
      <c r="AX244" s="5">
        <f>IF(HRSVMC,1*((MCCell&gt;=2)+(MCCell&gt;=3)+(MCCell&gt;=4)+(MCCell&gt;=5)),4)</f>
        <v>4</v>
      </c>
      <c r="AY244" s="5" t="s">
        <v>319</v>
      </c>
      <c r="AZ244" s="5" t="s">
        <v>45</v>
      </c>
      <c r="BA244" s="5" t="s">
        <v>45</v>
      </c>
      <c r="BB244" s="5" t="s">
        <v>45</v>
      </c>
      <c r="BM244" s="5" t="s">
        <v>1609</v>
      </c>
      <c r="BN244" s="5">
        <v>236</v>
      </c>
      <c r="BO244" s="5"/>
    </row>
    <row r="245" spans="1:67">
      <c r="A245" s="4" t="s">
        <v>981</v>
      </c>
      <c r="B245" s="5"/>
      <c r="C245" s="5" t="s">
        <v>62</v>
      </c>
      <c r="D245" s="5" t="s">
        <v>240</v>
      </c>
      <c r="E245" s="5"/>
      <c r="F245" s="5">
        <v>9</v>
      </c>
      <c r="G245" s="5">
        <v>40</v>
      </c>
      <c r="H245" s="5"/>
      <c r="I245" s="5"/>
      <c r="J245" s="5"/>
      <c r="K245" s="5"/>
      <c r="L245" s="5"/>
      <c r="M245" s="5">
        <v>7</v>
      </c>
      <c r="N245" s="5" t="s">
        <v>982</v>
      </c>
      <c r="O245" s="5"/>
      <c r="P245" s="6" t="s">
        <v>45</v>
      </c>
      <c r="Q245" s="5"/>
      <c r="R245" s="5"/>
      <c r="S245" s="5"/>
      <c r="T245" s="5">
        <v>60</v>
      </c>
      <c r="U245" s="7"/>
      <c r="V245" s="5"/>
      <c r="W245" s="5" t="s">
        <v>45</v>
      </c>
      <c r="X245" s="5" t="s">
        <v>45</v>
      </c>
      <c r="Y245" s="5"/>
      <c r="Z245" s="5"/>
      <c r="AA245" s="5"/>
      <c r="AB245" s="5"/>
      <c r="AC245" s="5"/>
      <c r="AD245" s="5">
        <v>10</v>
      </c>
      <c r="AE245" s="5"/>
      <c r="AF245" s="5">
        <v>12</v>
      </c>
      <c r="AG245" s="5">
        <v>-4</v>
      </c>
      <c r="AH245" s="5">
        <v>4</v>
      </c>
      <c r="AI245" s="5"/>
      <c r="AJ245" s="5"/>
      <c r="AK245" s="5"/>
      <c r="AL245" s="5"/>
      <c r="AM245" s="5"/>
      <c r="AN245" s="5"/>
      <c r="AO245" s="5"/>
      <c r="AP245" s="5" t="s">
        <v>983</v>
      </c>
      <c r="AQ245" s="5"/>
      <c r="AR245" s="5"/>
      <c r="AS245" s="5"/>
      <c r="AT245" s="5" t="s">
        <v>173</v>
      </c>
      <c r="AU245" s="5"/>
      <c r="AV245" s="5">
        <v>5</v>
      </c>
      <c r="AW245" s="7"/>
      <c r="AX245" s="5">
        <v>5</v>
      </c>
      <c r="AY245" s="5" t="s">
        <v>125</v>
      </c>
      <c r="AZ245" s="5" t="s">
        <v>45</v>
      </c>
      <c r="BA245" s="5" t="s">
        <v>45</v>
      </c>
      <c r="BB245" s="5" t="s">
        <v>45</v>
      </c>
      <c r="BM245" s="5" t="s">
        <v>1718</v>
      </c>
      <c r="BN245" s="5">
        <v>128</v>
      </c>
      <c r="BO245" s="5"/>
    </row>
    <row r="246" spans="1:67">
      <c r="A246" s="4" t="s">
        <v>984</v>
      </c>
      <c r="B246" s="5"/>
      <c r="C246" s="5" t="s">
        <v>42</v>
      </c>
      <c r="D246" s="5" t="s">
        <v>51</v>
      </c>
      <c r="E246" s="5" t="s">
        <v>52</v>
      </c>
      <c r="F246" s="5">
        <v>7</v>
      </c>
      <c r="G246" s="5">
        <v>40</v>
      </c>
      <c r="H246" s="5"/>
      <c r="I246" s="5"/>
      <c r="J246" s="5"/>
      <c r="K246" s="5"/>
      <c r="L246" s="5"/>
      <c r="M246" s="5">
        <v>9</v>
      </c>
      <c r="N246" s="5" t="s">
        <v>660</v>
      </c>
      <c r="O246" s="5"/>
      <c r="P246" s="6" t="s">
        <v>45</v>
      </c>
      <c r="Q246" s="5"/>
      <c r="R246" s="5"/>
      <c r="S246" s="5"/>
      <c r="T246" s="5"/>
      <c r="U246" s="7"/>
      <c r="V246" s="5"/>
      <c r="W246" s="5" t="s">
        <v>45</v>
      </c>
      <c r="X246" s="5" t="s">
        <v>45</v>
      </c>
      <c r="Y246" s="5">
        <f>27+ClassLvl</f>
        <v>35</v>
      </c>
      <c r="Z246" s="5" t="s">
        <v>985</v>
      </c>
      <c r="AA246" s="5"/>
      <c r="AB246" s="5"/>
      <c r="AC246" s="5"/>
      <c r="AD246" s="5">
        <v>2</v>
      </c>
      <c r="AE246" s="5">
        <v>4</v>
      </c>
      <c r="AF246" s="5">
        <v>6</v>
      </c>
      <c r="AG246" s="5">
        <v>2</v>
      </c>
      <c r="AH246" s="5">
        <v>2</v>
      </c>
      <c r="AI246" s="5">
        <v>6</v>
      </c>
      <c r="AJ246" s="5"/>
      <c r="AK246" s="5"/>
      <c r="AL246" s="5"/>
      <c r="AM246" s="5"/>
      <c r="AN246" s="5"/>
      <c r="AO246" s="5"/>
      <c r="AP246" s="5" t="s">
        <v>986</v>
      </c>
      <c r="AQ246" s="5"/>
      <c r="AR246" s="5"/>
      <c r="AS246" s="5"/>
      <c r="AT246" s="5" t="s">
        <v>744</v>
      </c>
      <c r="AU246" s="5" t="s">
        <v>987</v>
      </c>
      <c r="AV246" s="5">
        <v>10</v>
      </c>
      <c r="AW246" s="7"/>
      <c r="AX246" s="5">
        <v>7</v>
      </c>
      <c r="AY246" s="5" t="s">
        <v>319</v>
      </c>
      <c r="AZ246" s="5" t="s">
        <v>45</v>
      </c>
      <c r="BA246" s="5" t="s">
        <v>45</v>
      </c>
      <c r="BB246" s="5" t="s">
        <v>45</v>
      </c>
      <c r="BM246" s="5" t="s">
        <v>1609</v>
      </c>
      <c r="BN246" s="5">
        <v>211</v>
      </c>
      <c r="BO246" s="5"/>
    </row>
    <row r="247" spans="1:67">
      <c r="A247" s="4" t="s">
        <v>988</v>
      </c>
      <c r="B247" s="5"/>
      <c r="C247" s="5" t="s">
        <v>42</v>
      </c>
      <c r="D247" s="5" t="s">
        <v>51</v>
      </c>
      <c r="E247" s="5" t="s">
        <v>52</v>
      </c>
      <c r="F247" s="5">
        <v>11</v>
      </c>
      <c r="G247" s="5">
        <v>40</v>
      </c>
      <c r="H247" s="5"/>
      <c r="I247" s="5"/>
      <c r="J247" s="5"/>
      <c r="K247" s="5"/>
      <c r="L247" s="5"/>
      <c r="M247" s="5">
        <v>5</v>
      </c>
      <c r="N247" s="5" t="s">
        <v>989</v>
      </c>
      <c r="O247" s="5"/>
      <c r="P247" s="6" t="s">
        <v>45</v>
      </c>
      <c r="Q247" s="5"/>
      <c r="R247" s="5"/>
      <c r="S247" s="5"/>
      <c r="T247" s="5"/>
      <c r="U247" s="7"/>
      <c r="V247" s="5"/>
      <c r="W247" s="5" t="s">
        <v>45</v>
      </c>
      <c r="X247" s="5" t="s">
        <v>45</v>
      </c>
      <c r="Y247" s="5">
        <f>21+ClassLvl</f>
        <v>29</v>
      </c>
      <c r="Z247" s="5" t="s">
        <v>985</v>
      </c>
      <c r="AA247" s="5"/>
      <c r="AB247" s="5"/>
      <c r="AC247" s="5"/>
      <c r="AD247" s="5">
        <v>4</v>
      </c>
      <c r="AE247" s="5">
        <v>10</v>
      </c>
      <c r="AF247" s="5">
        <v>8</v>
      </c>
      <c r="AG247" s="5">
        <v>4</v>
      </c>
      <c r="AH247" s="5"/>
      <c r="AI247" s="5">
        <v>4</v>
      </c>
      <c r="AJ247" s="5"/>
      <c r="AK247" s="5"/>
      <c r="AL247" s="5"/>
      <c r="AM247" s="5"/>
      <c r="AN247" s="5"/>
      <c r="AO247" s="5"/>
      <c r="AP247" s="5" t="s">
        <v>990</v>
      </c>
      <c r="AQ247" s="5"/>
      <c r="AR247" s="5"/>
      <c r="AS247" s="5"/>
      <c r="AT247" s="5" t="s">
        <v>744</v>
      </c>
      <c r="AU247" s="5" t="s">
        <v>987</v>
      </c>
      <c r="AV247" s="5">
        <v>11</v>
      </c>
      <c r="AW247" s="7"/>
      <c r="AX247" s="5">
        <v>5</v>
      </c>
      <c r="AY247" s="5" t="s">
        <v>95</v>
      </c>
      <c r="AZ247" s="5" t="s">
        <v>45</v>
      </c>
      <c r="BA247" s="5" t="s">
        <v>45</v>
      </c>
      <c r="BB247" s="5" t="s">
        <v>45</v>
      </c>
      <c r="BM247" s="5" t="s">
        <v>1718</v>
      </c>
      <c r="BN247" s="5">
        <v>136</v>
      </c>
      <c r="BO247" s="5"/>
    </row>
    <row r="248" spans="1:67">
      <c r="A248" s="4" t="s">
        <v>991</v>
      </c>
      <c r="B248" s="5"/>
      <c r="C248" s="5" t="s">
        <v>42</v>
      </c>
      <c r="D248" s="5" t="s">
        <v>92</v>
      </c>
      <c r="E248" s="5"/>
      <c r="F248" s="5"/>
      <c r="G248" s="5">
        <v>30</v>
      </c>
      <c r="H248" s="5"/>
      <c r="I248" s="5"/>
      <c r="J248" s="5" t="s">
        <v>1823</v>
      </c>
      <c r="K248" s="5" t="s">
        <v>1271</v>
      </c>
      <c r="L248" s="5"/>
      <c r="M248" s="5"/>
      <c r="N248" s="5"/>
      <c r="O248" s="5"/>
      <c r="P248" s="6" t="s">
        <v>45</v>
      </c>
      <c r="Q248" s="5"/>
      <c r="R248" s="5"/>
      <c r="S248" s="5" t="s">
        <v>77</v>
      </c>
      <c r="T248" s="5"/>
      <c r="U248" s="7"/>
      <c r="V248" s="5"/>
      <c r="W248" s="5" t="s">
        <v>45</v>
      </c>
      <c r="X248" s="5" t="s">
        <v>45</v>
      </c>
      <c r="Y248" s="5"/>
      <c r="Z248" s="5"/>
      <c r="AA248" s="5"/>
      <c r="AB248" s="5"/>
      <c r="AC248" s="5"/>
      <c r="AD248" s="5"/>
      <c r="AE248" s="5"/>
      <c r="AF248" s="5"/>
      <c r="AG248" s="5"/>
      <c r="AH248" s="5"/>
      <c r="AI248" s="5"/>
      <c r="AJ248" s="5"/>
      <c r="AK248" s="5"/>
      <c r="AL248" s="5"/>
      <c r="AM248" s="5"/>
      <c r="AN248" s="5"/>
      <c r="AO248" s="5"/>
      <c r="AP248" s="5" t="s">
        <v>992</v>
      </c>
      <c r="AQ248" s="5"/>
      <c r="AR248" s="5"/>
      <c r="AS248" s="5"/>
      <c r="AT248" s="5" t="s">
        <v>993</v>
      </c>
      <c r="AU248" s="5" t="s">
        <v>994</v>
      </c>
      <c r="AV248" s="5"/>
      <c r="AW248" s="7"/>
      <c r="AX248" s="5"/>
      <c r="AY248" s="5" t="s">
        <v>325</v>
      </c>
      <c r="AZ248" s="5" t="s">
        <v>139</v>
      </c>
      <c r="BA248" s="5" t="s">
        <v>995</v>
      </c>
      <c r="BB248" s="5" t="s">
        <v>284</v>
      </c>
      <c r="BM248" s="5" t="s">
        <v>1683</v>
      </c>
      <c r="BN248" s="5">
        <v>65</v>
      </c>
      <c r="BO248" s="5"/>
    </row>
    <row r="249" spans="1:67">
      <c r="A249" s="4" t="s">
        <v>996</v>
      </c>
      <c r="B249" s="5"/>
      <c r="C249" s="5" t="s">
        <v>42</v>
      </c>
      <c r="D249" s="5" t="s">
        <v>92</v>
      </c>
      <c r="E249" s="5" t="s">
        <v>840</v>
      </c>
      <c r="F249" s="5"/>
      <c r="G249" s="5">
        <v>30</v>
      </c>
      <c r="H249" s="5"/>
      <c r="I249" s="5"/>
      <c r="J249" s="5"/>
      <c r="K249" s="5"/>
      <c r="L249" s="5"/>
      <c r="M249" s="5"/>
      <c r="N249" s="5"/>
      <c r="O249" s="5"/>
      <c r="P249" s="6"/>
      <c r="Q249" s="5"/>
      <c r="R249" s="5"/>
      <c r="S249" s="5"/>
      <c r="T249" s="5"/>
      <c r="U249" s="7"/>
      <c r="V249" s="5"/>
      <c r="W249" s="5"/>
      <c r="X249" s="5"/>
      <c r="Y249" s="5"/>
      <c r="Z249" s="5"/>
      <c r="AA249" s="5"/>
      <c r="AB249" s="5"/>
      <c r="AC249" s="5"/>
      <c r="AD249" s="5">
        <v>-2</v>
      </c>
      <c r="AE249" s="5">
        <v>2</v>
      </c>
      <c r="AF249" s="5"/>
      <c r="AG249" s="5"/>
      <c r="AH249" s="5"/>
      <c r="AI249" s="5"/>
      <c r="AJ249" s="5"/>
      <c r="AK249" s="5"/>
      <c r="AL249" s="5"/>
      <c r="AM249" s="5"/>
      <c r="AN249" s="5"/>
      <c r="AO249" s="5"/>
      <c r="AP249" s="5" t="s">
        <v>997</v>
      </c>
      <c r="AQ249" s="5"/>
      <c r="AR249" s="5"/>
      <c r="AS249" s="5"/>
      <c r="AT249" s="5" t="s">
        <v>102</v>
      </c>
      <c r="AU249" s="5" t="s">
        <v>104</v>
      </c>
      <c r="AV249" s="5"/>
      <c r="AW249" s="7"/>
      <c r="AX249" s="5"/>
      <c r="AY249" s="5" t="s">
        <v>998</v>
      </c>
      <c r="AZ249" s="5" t="s">
        <v>209</v>
      </c>
      <c r="BA249" s="5" t="s">
        <v>465</v>
      </c>
      <c r="BB249" s="5" t="s">
        <v>999</v>
      </c>
      <c r="BM249" s="5" t="s">
        <v>1721</v>
      </c>
      <c r="BN249" s="5">
        <v>12</v>
      </c>
      <c r="BO249" s="5"/>
    </row>
    <row r="250" spans="1:67">
      <c r="A250" s="4" t="s">
        <v>1000</v>
      </c>
      <c r="B250" s="5"/>
      <c r="C250" s="5" t="s">
        <v>62</v>
      </c>
      <c r="D250" s="5" t="s">
        <v>51</v>
      </c>
      <c r="E250" s="5" t="s">
        <v>136</v>
      </c>
      <c r="F250" s="5">
        <v>16</v>
      </c>
      <c r="G250" s="5">
        <v>50</v>
      </c>
      <c r="H250" s="5"/>
      <c r="I250" s="5"/>
      <c r="J250" s="5"/>
      <c r="K250" s="5"/>
      <c r="L250" s="5"/>
      <c r="M250" s="5">
        <v>14</v>
      </c>
      <c r="N250" s="5"/>
      <c r="O250" s="5"/>
      <c r="P250" s="6" t="s">
        <v>1001</v>
      </c>
      <c r="Q250" s="5"/>
      <c r="R250" s="5"/>
      <c r="S250" s="5"/>
      <c r="T250" s="5"/>
      <c r="U250" s="7"/>
      <c r="V250" s="5" t="s">
        <v>1002</v>
      </c>
      <c r="W250" s="5" t="s">
        <v>45</v>
      </c>
      <c r="X250" s="5" t="s">
        <v>1003</v>
      </c>
      <c r="Y250" s="5">
        <v>30</v>
      </c>
      <c r="Z250" s="5" t="s">
        <v>1004</v>
      </c>
      <c r="AA250" s="5"/>
      <c r="AB250" s="5"/>
      <c r="AC250" s="5"/>
      <c r="AD250" s="5">
        <v>12</v>
      </c>
      <c r="AE250" s="5">
        <v>8</v>
      </c>
      <c r="AF250" s="5">
        <v>14</v>
      </c>
      <c r="AG250" s="5">
        <v>12</v>
      </c>
      <c r="AH250" s="5">
        <v>14</v>
      </c>
      <c r="AI250" s="5">
        <v>16</v>
      </c>
      <c r="AJ250" s="5"/>
      <c r="AK250" s="5"/>
      <c r="AL250" s="5"/>
      <c r="AM250" s="5"/>
      <c r="AN250" s="5"/>
      <c r="AO250" s="5"/>
      <c r="AP250" s="5" t="s">
        <v>1005</v>
      </c>
      <c r="AQ250" s="5"/>
      <c r="AR250" s="5"/>
      <c r="AS250" s="5"/>
      <c r="AT250" s="5" t="s">
        <v>1006</v>
      </c>
      <c r="AU250" s="5"/>
      <c r="AV250" s="5">
        <v>17</v>
      </c>
      <c r="AW250" s="7"/>
      <c r="AX250" s="5">
        <v>9</v>
      </c>
      <c r="AY250" s="5" t="s">
        <v>325</v>
      </c>
      <c r="AZ250" s="5" t="s">
        <v>45</v>
      </c>
      <c r="BA250" s="5" t="s">
        <v>45</v>
      </c>
      <c r="BB250" s="5" t="s">
        <v>45</v>
      </c>
      <c r="BM250" s="5" t="s">
        <v>1683</v>
      </c>
      <c r="BN250" s="5">
        <v>67</v>
      </c>
      <c r="BO250" s="5"/>
    </row>
    <row r="251" spans="1:67">
      <c r="A251" s="4" t="s">
        <v>1007</v>
      </c>
      <c r="B251" s="5"/>
      <c r="C251" s="5" t="s">
        <v>42</v>
      </c>
      <c r="D251" s="5" t="s">
        <v>51</v>
      </c>
      <c r="E251" s="5" t="s">
        <v>136</v>
      </c>
      <c r="F251" s="5">
        <v>12</v>
      </c>
      <c r="G251" s="5">
        <v>40</v>
      </c>
      <c r="H251" s="5"/>
      <c r="I251" s="5">
        <v>20</v>
      </c>
      <c r="J251" s="5"/>
      <c r="K251" s="5"/>
      <c r="L251" s="5"/>
      <c r="M251" s="5">
        <v>15</v>
      </c>
      <c r="N251" s="5"/>
      <c r="O251" s="5"/>
      <c r="P251" s="6" t="s">
        <v>1008</v>
      </c>
      <c r="Q251" s="5"/>
      <c r="R251" s="5"/>
      <c r="S251" s="5"/>
      <c r="T251" s="5"/>
      <c r="U251" s="7"/>
      <c r="V251" s="5" t="s">
        <v>1002</v>
      </c>
      <c r="W251" s="5" t="s">
        <v>45</v>
      </c>
      <c r="X251" s="5" t="s">
        <v>1003</v>
      </c>
      <c r="Y251" s="5">
        <v>25</v>
      </c>
      <c r="Z251" s="5" t="s">
        <v>1009</v>
      </c>
      <c r="AA251" s="5"/>
      <c r="AB251" s="5"/>
      <c r="AC251" s="5"/>
      <c r="AD251" s="5">
        <v>8</v>
      </c>
      <c r="AE251" s="5">
        <v>14</v>
      </c>
      <c r="AF251" s="5">
        <v>10</v>
      </c>
      <c r="AG251" s="5">
        <v>8</v>
      </c>
      <c r="AH251" s="5">
        <v>8</v>
      </c>
      <c r="AI251" s="5">
        <v>12</v>
      </c>
      <c r="AJ251" s="5"/>
      <c r="AK251" s="5"/>
      <c r="AL251" s="5"/>
      <c r="AM251" s="5"/>
      <c r="AN251" s="5"/>
      <c r="AO251" s="5"/>
      <c r="AP251" s="5" t="s">
        <v>1010</v>
      </c>
      <c r="AQ251" s="5"/>
      <c r="AR251" s="5"/>
      <c r="AS251" s="5"/>
      <c r="AT251" s="5" t="s">
        <v>1011</v>
      </c>
      <c r="AU251" s="5"/>
      <c r="AV251" s="5">
        <v>12</v>
      </c>
      <c r="AW251" s="7"/>
      <c r="AX251" s="5">
        <v>5</v>
      </c>
      <c r="AY251" s="5" t="s">
        <v>95</v>
      </c>
      <c r="AZ251" s="5" t="s">
        <v>45</v>
      </c>
      <c r="BA251" s="5" t="s">
        <v>45</v>
      </c>
      <c r="BB251" s="5" t="s">
        <v>45</v>
      </c>
      <c r="BM251" s="5" t="s">
        <v>1688</v>
      </c>
      <c r="BN251" s="5">
        <v>142</v>
      </c>
      <c r="BO251" s="5"/>
    </row>
    <row r="252" spans="1:67">
      <c r="A252" s="4" t="s">
        <v>1012</v>
      </c>
      <c r="B252" s="5"/>
      <c r="C252" s="5" t="s">
        <v>42</v>
      </c>
      <c r="D252" s="5" t="s">
        <v>51</v>
      </c>
      <c r="E252" s="5" t="s">
        <v>136</v>
      </c>
      <c r="F252" s="5">
        <v>8</v>
      </c>
      <c r="G252" s="5">
        <v>30</v>
      </c>
      <c r="H252" s="5"/>
      <c r="I252" s="5"/>
      <c r="J252" s="5"/>
      <c r="K252" s="5"/>
      <c r="L252" s="5"/>
      <c r="M252" s="5">
        <v>7</v>
      </c>
      <c r="N252" s="5"/>
      <c r="O252" s="5"/>
      <c r="P252" s="6" t="s">
        <v>1013</v>
      </c>
      <c r="Q252" s="5"/>
      <c r="R252" s="5"/>
      <c r="S252" s="5"/>
      <c r="T252" s="5"/>
      <c r="U252" s="7"/>
      <c r="V252" s="5" t="s">
        <v>1002</v>
      </c>
      <c r="W252" s="5" t="s">
        <v>45</v>
      </c>
      <c r="X252" s="5" t="s">
        <v>1003</v>
      </c>
      <c r="Y252" s="5">
        <v>20</v>
      </c>
      <c r="Z252" s="5" t="s">
        <v>1009</v>
      </c>
      <c r="AA252" s="5"/>
      <c r="AB252" s="5"/>
      <c r="AC252" s="5"/>
      <c r="AD252" s="5">
        <v>14</v>
      </c>
      <c r="AE252" s="5">
        <v>2</v>
      </c>
      <c r="AF252" s="5">
        <v>18</v>
      </c>
      <c r="AG252" s="5">
        <v>4</v>
      </c>
      <c r="AH252" s="5">
        <v>2</v>
      </c>
      <c r="AI252" s="5">
        <v>10</v>
      </c>
      <c r="AJ252" s="5"/>
      <c r="AK252" s="5"/>
      <c r="AL252" s="5"/>
      <c r="AM252" s="5"/>
      <c r="AN252" s="5"/>
      <c r="AO252" s="5"/>
      <c r="AP252" s="5" t="s">
        <v>1014</v>
      </c>
      <c r="AQ252" s="5"/>
      <c r="AR252" s="5"/>
      <c r="AS252" s="5"/>
      <c r="AT252" s="5" t="s">
        <v>1015</v>
      </c>
      <c r="AU252" s="5"/>
      <c r="AV252" s="5">
        <v>9</v>
      </c>
      <c r="AW252" s="7"/>
      <c r="AX252" s="5">
        <v>5</v>
      </c>
      <c r="AY252" s="5" t="s">
        <v>113</v>
      </c>
      <c r="AZ252" s="5" t="s">
        <v>45</v>
      </c>
      <c r="BA252" s="5" t="s">
        <v>45</v>
      </c>
      <c r="BB252" s="5" t="s">
        <v>45</v>
      </c>
      <c r="BM252" s="5" t="s">
        <v>1688</v>
      </c>
      <c r="BN252" s="5">
        <v>143</v>
      </c>
      <c r="BO252" s="5"/>
    </row>
    <row r="253" spans="1:67">
      <c r="A253" s="4" t="s">
        <v>1016</v>
      </c>
      <c r="B253" s="5"/>
      <c r="C253" s="5" t="s">
        <v>42</v>
      </c>
      <c r="D253" s="5" t="s">
        <v>272</v>
      </c>
      <c r="E253" s="5"/>
      <c r="F253" s="5">
        <v>5</v>
      </c>
      <c r="G253" s="5">
        <v>40</v>
      </c>
      <c r="H253" s="5"/>
      <c r="I253" s="5"/>
      <c r="J253" s="5"/>
      <c r="K253" s="5"/>
      <c r="L253" s="5"/>
      <c r="M253" s="5">
        <v>4</v>
      </c>
      <c r="N253" s="5" t="s">
        <v>622</v>
      </c>
      <c r="O253" s="5"/>
      <c r="P253" s="6" t="s">
        <v>45</v>
      </c>
      <c r="Q253" s="5"/>
      <c r="R253" s="5"/>
      <c r="S253" s="5" t="s">
        <v>77</v>
      </c>
      <c r="T253" s="5"/>
      <c r="U253" s="7"/>
      <c r="V253" s="5"/>
      <c r="W253" s="5" t="s">
        <v>45</v>
      </c>
      <c r="X253" s="5" t="s">
        <v>45</v>
      </c>
      <c r="Y253" s="5"/>
      <c r="Z253" s="5" t="s">
        <v>643</v>
      </c>
      <c r="AA253" s="5"/>
      <c r="AB253" s="5"/>
      <c r="AC253" s="5"/>
      <c r="AD253" s="5"/>
      <c r="AE253" s="5">
        <v>2</v>
      </c>
      <c r="AF253" s="5">
        <v>2</v>
      </c>
      <c r="AG253" s="5">
        <v>2</v>
      </c>
      <c r="AH253" s="5">
        <v>2</v>
      </c>
      <c r="AI253" s="5">
        <v>2</v>
      </c>
      <c r="AJ253" s="5"/>
      <c r="AK253" s="5"/>
      <c r="AL253" s="5"/>
      <c r="AM253" s="5"/>
      <c r="AN253" s="5"/>
      <c r="AO253" s="5"/>
      <c r="AP253" s="5" t="s">
        <v>1017</v>
      </c>
      <c r="AQ253" s="5"/>
      <c r="AR253" s="5" t="s">
        <v>1810</v>
      </c>
      <c r="AS253" s="5" t="s">
        <v>341</v>
      </c>
      <c r="AT253" s="5" t="s">
        <v>1018</v>
      </c>
      <c r="AU253" s="5" t="s">
        <v>1019</v>
      </c>
      <c r="AV253" s="5">
        <v>2</v>
      </c>
      <c r="AW253" s="7"/>
      <c r="AX253" s="5">
        <v>2</v>
      </c>
      <c r="AY253" s="5" t="s">
        <v>353</v>
      </c>
      <c r="AZ253" s="5" t="s">
        <v>45</v>
      </c>
      <c r="BA253" s="5" t="s">
        <v>45</v>
      </c>
      <c r="BB253" s="5" t="s">
        <v>45</v>
      </c>
      <c r="BM253" s="5" t="s">
        <v>1609</v>
      </c>
      <c r="BN253" s="5">
        <v>219</v>
      </c>
      <c r="BO253" s="5"/>
    </row>
    <row r="254" spans="1:67">
      <c r="A254" s="4" t="s">
        <v>1020</v>
      </c>
      <c r="B254" s="5"/>
      <c r="C254" s="5" t="s">
        <v>62</v>
      </c>
      <c r="D254" s="5" t="s">
        <v>43</v>
      </c>
      <c r="E254" s="5"/>
      <c r="F254" s="5">
        <v>12</v>
      </c>
      <c r="G254" s="5">
        <v>40</v>
      </c>
      <c r="H254" s="5"/>
      <c r="I254" s="5"/>
      <c r="J254" s="5"/>
      <c r="K254" s="5"/>
      <c r="L254" s="5"/>
      <c r="M254" s="5">
        <v>6</v>
      </c>
      <c r="N254" s="5" t="s">
        <v>1021</v>
      </c>
      <c r="O254" s="5"/>
      <c r="P254" s="6" t="s">
        <v>1022</v>
      </c>
      <c r="Q254" s="5"/>
      <c r="R254" s="5"/>
      <c r="S254" s="5"/>
      <c r="T254" s="5">
        <v>60</v>
      </c>
      <c r="U254" s="7"/>
      <c r="V254" s="5"/>
      <c r="W254" s="5" t="s">
        <v>45</v>
      </c>
      <c r="X254" s="5" t="s">
        <v>165</v>
      </c>
      <c r="Y254" s="5">
        <v>18</v>
      </c>
      <c r="Z254" s="5"/>
      <c r="AA254" s="5"/>
      <c r="AB254" s="5"/>
      <c r="AC254" s="5"/>
      <c r="AD254" s="5">
        <v>8</v>
      </c>
      <c r="AE254" s="5">
        <v>2</v>
      </c>
      <c r="AF254" s="5">
        <v>2</v>
      </c>
      <c r="AG254" s="5">
        <v>-2</v>
      </c>
      <c r="AH254" s="5">
        <v>4</v>
      </c>
      <c r="AI254" s="5">
        <v>4</v>
      </c>
      <c r="AJ254" s="5"/>
      <c r="AK254" s="5"/>
      <c r="AL254" s="5"/>
      <c r="AM254" s="5"/>
      <c r="AN254" s="5"/>
      <c r="AO254" s="5"/>
      <c r="AP254" s="5" t="s">
        <v>1023</v>
      </c>
      <c r="AQ254" s="5"/>
      <c r="AR254" s="5"/>
      <c r="AS254" s="5"/>
      <c r="AT254" s="5" t="s">
        <v>102</v>
      </c>
      <c r="AU254" s="5" t="s">
        <v>265</v>
      </c>
      <c r="AV254" s="5">
        <v>7</v>
      </c>
      <c r="AW254" s="7"/>
      <c r="AX254" s="5">
        <v>4</v>
      </c>
      <c r="AY254" s="5" t="s">
        <v>49</v>
      </c>
      <c r="AZ254" s="5" t="s">
        <v>45</v>
      </c>
      <c r="BA254" s="5" t="s">
        <v>45</v>
      </c>
      <c r="BB254" s="5" t="s">
        <v>45</v>
      </c>
      <c r="BM254" s="5" t="s">
        <v>1614</v>
      </c>
      <c r="BN254" s="5">
        <v>221</v>
      </c>
      <c r="BO254" s="5"/>
    </row>
    <row r="255" spans="1:67">
      <c r="A255" s="4" t="s">
        <v>1024</v>
      </c>
      <c r="B255" s="5"/>
      <c r="C255" s="5" t="s">
        <v>42</v>
      </c>
      <c r="D255" s="5" t="s">
        <v>92</v>
      </c>
      <c r="E255" s="5" t="s">
        <v>753</v>
      </c>
      <c r="F255" s="5"/>
      <c r="G255" s="5">
        <v>30</v>
      </c>
      <c r="H255" s="5"/>
      <c r="I255" s="5"/>
      <c r="J255" s="5"/>
      <c r="K255" s="5"/>
      <c r="L255" s="5">
        <v>30</v>
      </c>
      <c r="M255" s="5"/>
      <c r="N255" s="5"/>
      <c r="O255" s="5"/>
      <c r="P255" s="6" t="s">
        <v>45</v>
      </c>
      <c r="Q255" s="5"/>
      <c r="R255" s="5"/>
      <c r="S255" s="5" t="s">
        <v>77</v>
      </c>
      <c r="T255" s="5"/>
      <c r="U255" s="7"/>
      <c r="V255" s="5"/>
      <c r="W255" s="5" t="s">
        <v>45</v>
      </c>
      <c r="X255" s="5" t="s">
        <v>45</v>
      </c>
      <c r="Y255" s="5"/>
      <c r="Z255" s="5"/>
      <c r="AA255" s="5"/>
      <c r="AB255" s="5"/>
      <c r="AC255" s="5"/>
      <c r="AD255" s="5"/>
      <c r="AE255" s="5"/>
      <c r="AF255" s="5"/>
      <c r="AG255" s="5"/>
      <c r="AH255" s="5"/>
      <c r="AI255" s="5"/>
      <c r="AJ255" s="5"/>
      <c r="AK255" s="5"/>
      <c r="AL255" s="5"/>
      <c r="AM255" s="5"/>
      <c r="AN255" s="5"/>
      <c r="AO255" s="5"/>
      <c r="AP255" s="5" t="s">
        <v>1025</v>
      </c>
      <c r="AQ255" s="5"/>
      <c r="AR255" s="5" t="s">
        <v>1797</v>
      </c>
      <c r="AS255" s="5"/>
      <c r="AT255" s="5" t="s">
        <v>102</v>
      </c>
      <c r="AU255" s="5" t="s">
        <v>103</v>
      </c>
      <c r="AV255" s="5"/>
      <c r="AW255" s="7"/>
      <c r="AX255" s="5"/>
      <c r="AY255" s="5" t="s">
        <v>72</v>
      </c>
      <c r="AZ255" s="5" t="s">
        <v>1026</v>
      </c>
      <c r="BA255" s="5" t="s">
        <v>59</v>
      </c>
      <c r="BB255" s="5" t="s">
        <v>60</v>
      </c>
      <c r="BM255" s="5" t="s">
        <v>1716</v>
      </c>
      <c r="BN255" s="5">
        <v>100</v>
      </c>
      <c r="BO255" s="5"/>
    </row>
    <row r="256" spans="1:67">
      <c r="A256" s="4" t="s">
        <v>1027</v>
      </c>
      <c r="B256" s="5"/>
      <c r="C256" s="5" t="s">
        <v>42</v>
      </c>
      <c r="D256" s="5" t="s">
        <v>92</v>
      </c>
      <c r="E256" s="5" t="s">
        <v>1028</v>
      </c>
      <c r="F256" s="5">
        <v>3</v>
      </c>
      <c r="G256" s="5">
        <v>30</v>
      </c>
      <c r="H256" s="5"/>
      <c r="I256" s="5"/>
      <c r="J256" s="5"/>
      <c r="K256" s="5"/>
      <c r="L256" s="5">
        <v>40</v>
      </c>
      <c r="M256" s="5"/>
      <c r="N256" s="5"/>
      <c r="O256" s="5"/>
      <c r="P256" s="6" t="s">
        <v>45</v>
      </c>
      <c r="Q256" s="5"/>
      <c r="R256" s="5"/>
      <c r="S256" s="5"/>
      <c r="T256" s="5"/>
      <c r="U256" s="7"/>
      <c r="V256" s="5"/>
      <c r="W256" s="5" t="s">
        <v>45</v>
      </c>
      <c r="X256" s="5" t="s">
        <v>45</v>
      </c>
      <c r="Y256" s="5"/>
      <c r="Z256" s="5"/>
      <c r="AA256" s="5"/>
      <c r="AB256" s="5"/>
      <c r="AC256" s="5"/>
      <c r="AD256" s="5">
        <v>-2</v>
      </c>
      <c r="AE256" s="5">
        <v>2</v>
      </c>
      <c r="AF256" s="5"/>
      <c r="AG256" s="5">
        <v>2</v>
      </c>
      <c r="AH256" s="5"/>
      <c r="AI256" s="5">
        <v>2</v>
      </c>
      <c r="AJ256" s="5"/>
      <c r="AK256" s="5"/>
      <c r="AL256" s="5"/>
      <c r="AM256" s="5"/>
      <c r="AN256" s="5"/>
      <c r="AO256" s="5"/>
      <c r="AP256" s="5" t="s">
        <v>1029</v>
      </c>
      <c r="AQ256" s="5"/>
      <c r="AR256" s="5"/>
      <c r="AS256" s="5"/>
      <c r="AT256" s="5" t="s">
        <v>102</v>
      </c>
      <c r="AU256" s="5" t="s">
        <v>854</v>
      </c>
      <c r="AV256" s="5">
        <v>1</v>
      </c>
      <c r="AW256" s="7"/>
      <c r="AX256" s="5">
        <v>1</v>
      </c>
      <c r="AY256" s="5" t="s">
        <v>353</v>
      </c>
      <c r="AZ256" s="5" t="s">
        <v>45</v>
      </c>
      <c r="BA256" s="5" t="s">
        <v>45</v>
      </c>
      <c r="BB256" s="5" t="s">
        <v>45</v>
      </c>
      <c r="BM256" s="5" t="s">
        <v>1688</v>
      </c>
      <c r="BN256" s="5">
        <v>145</v>
      </c>
      <c r="BO256" s="5"/>
    </row>
    <row r="257" spans="1:67">
      <c r="A257" s="4" t="s">
        <v>1030</v>
      </c>
      <c r="B257" s="5"/>
      <c r="C257" s="5" t="s">
        <v>42</v>
      </c>
      <c r="D257" s="5" t="s">
        <v>272</v>
      </c>
      <c r="E257" s="5" t="s">
        <v>136</v>
      </c>
      <c r="F257" s="5">
        <v>3</v>
      </c>
      <c r="G257" s="5">
        <v>30</v>
      </c>
      <c r="H257" s="5"/>
      <c r="I257" s="5"/>
      <c r="J257" s="5"/>
      <c r="K257" s="5"/>
      <c r="L257" s="5"/>
      <c r="M257" s="5"/>
      <c r="N257" s="5"/>
      <c r="O257" s="5"/>
      <c r="P257" s="6" t="s">
        <v>45</v>
      </c>
      <c r="Q257" s="5"/>
      <c r="R257" s="5"/>
      <c r="S257" s="5" t="str">
        <f>IF(AND(MonType="Fey",NOT(ChildoftheSeaSelected)),"normal","superior")</f>
        <v>superior</v>
      </c>
      <c r="T257" s="5"/>
      <c r="U257" s="7"/>
      <c r="V257" s="5"/>
      <c r="W257" s="5" t="s">
        <v>45</v>
      </c>
      <c r="X257" s="5" t="s">
        <v>45</v>
      </c>
      <c r="Y257" s="5"/>
      <c r="Z257" s="5" t="s">
        <v>643</v>
      </c>
      <c r="AA257" s="5"/>
      <c r="AB257" s="5"/>
      <c r="AC257" s="5"/>
      <c r="AD257" s="5"/>
      <c r="AE257" s="5">
        <v>6</v>
      </c>
      <c r="AF257" s="5"/>
      <c r="AG257" s="5"/>
      <c r="AH257" s="5"/>
      <c r="AI257" s="5">
        <v>-2</v>
      </c>
      <c r="AJ257" s="5"/>
      <c r="AK257" s="5"/>
      <c r="AL257" s="5"/>
      <c r="AM257" s="5"/>
      <c r="AN257" s="5"/>
      <c r="AO257" s="5"/>
      <c r="AP257" s="5"/>
      <c r="AQ257" s="5"/>
      <c r="AR257" s="5" t="s">
        <v>1783</v>
      </c>
      <c r="AS257" s="5"/>
      <c r="AT257" s="5" t="s">
        <v>1018</v>
      </c>
      <c r="AU257" s="5" t="s">
        <v>413</v>
      </c>
      <c r="AV257" s="5">
        <v>1</v>
      </c>
      <c r="AW257" s="7"/>
      <c r="AX257" s="5">
        <v>1</v>
      </c>
      <c r="AY257" s="5" t="s">
        <v>95</v>
      </c>
      <c r="AZ257" s="5" t="s">
        <v>45</v>
      </c>
      <c r="BA257" s="5" t="s">
        <v>45</v>
      </c>
      <c r="BB257" s="5" t="s">
        <v>45</v>
      </c>
      <c r="BM257" s="5" t="s">
        <v>1688</v>
      </c>
      <c r="BN257" s="5">
        <v>150</v>
      </c>
      <c r="BO257" s="5"/>
    </row>
    <row r="258" spans="1:67">
      <c r="A258" s="4" t="s">
        <v>1031</v>
      </c>
      <c r="B258" s="5"/>
      <c r="C258" s="5" t="s">
        <v>42</v>
      </c>
      <c r="D258" s="5" t="s">
        <v>51</v>
      </c>
      <c r="E258" s="5" t="s">
        <v>136</v>
      </c>
      <c r="F258" s="5"/>
      <c r="G258" s="5">
        <v>40</v>
      </c>
      <c r="H258" s="5"/>
      <c r="I258" s="5"/>
      <c r="J258" s="5"/>
      <c r="K258" s="5"/>
      <c r="L258" s="5"/>
      <c r="M258" s="5"/>
      <c r="N258" s="5"/>
      <c r="O258" s="5"/>
      <c r="P258" s="6" t="s">
        <v>45</v>
      </c>
      <c r="Q258" s="5"/>
      <c r="R258" s="5"/>
      <c r="S258" s="5"/>
      <c r="T258" s="5"/>
      <c r="U258" s="7"/>
      <c r="V258" s="5"/>
      <c r="W258" s="5" t="s">
        <v>45</v>
      </c>
      <c r="X258" s="5" t="s">
        <v>45</v>
      </c>
      <c r="Y258" s="5"/>
      <c r="Z258" s="5"/>
      <c r="AA258" s="5"/>
      <c r="AB258" s="5"/>
      <c r="AC258" s="5"/>
      <c r="AD258" s="5"/>
      <c r="AE258" s="5">
        <v>2</v>
      </c>
      <c r="AF258" s="5">
        <v>-2</v>
      </c>
      <c r="AG258" s="5"/>
      <c r="AH258" s="5"/>
      <c r="AI258" s="5"/>
      <c r="AJ258" s="5"/>
      <c r="AK258" s="5"/>
      <c r="AL258" s="5"/>
      <c r="AM258" s="5"/>
      <c r="AN258" s="5"/>
      <c r="AO258" s="5"/>
      <c r="AP258" s="5" t="s">
        <v>1032</v>
      </c>
      <c r="AQ258" s="5"/>
      <c r="AR258" s="5"/>
      <c r="AS258" s="5"/>
      <c r="AT258" s="5" t="s">
        <v>1033</v>
      </c>
      <c r="AU258" s="5" t="s">
        <v>1034</v>
      </c>
      <c r="AV258" s="5"/>
      <c r="AW258" s="7"/>
      <c r="AX258" s="5">
        <v>1</v>
      </c>
      <c r="AY258" s="5" t="s">
        <v>95</v>
      </c>
      <c r="AZ258" s="5" t="s">
        <v>1035</v>
      </c>
      <c r="BA258" s="5" t="s">
        <v>1036</v>
      </c>
      <c r="BB258" s="5" t="s">
        <v>1037</v>
      </c>
      <c r="BM258" s="5" t="s">
        <v>1613</v>
      </c>
      <c r="BN258" s="5"/>
      <c r="BO258" s="5"/>
    </row>
    <row r="259" spans="1:67">
      <c r="A259" s="4" t="s">
        <v>1038</v>
      </c>
      <c r="B259" s="5"/>
      <c r="C259" s="5" t="s">
        <v>42</v>
      </c>
      <c r="D259" s="5" t="s">
        <v>92</v>
      </c>
      <c r="E259" s="5" t="s">
        <v>753</v>
      </c>
      <c r="F259" s="5"/>
      <c r="G259" s="5">
        <v>30</v>
      </c>
      <c r="H259" s="5"/>
      <c r="I259" s="5"/>
      <c r="J259" s="5"/>
      <c r="K259" s="5"/>
      <c r="L259" s="5"/>
      <c r="M259" s="5">
        <v>1</v>
      </c>
      <c r="N259" s="5"/>
      <c r="O259" s="5"/>
      <c r="P259" s="6" t="s">
        <v>45</v>
      </c>
      <c r="Q259" s="5"/>
      <c r="R259" s="5"/>
      <c r="S259" s="5"/>
      <c r="T259" s="5">
        <v>60</v>
      </c>
      <c r="U259" s="7"/>
      <c r="V259" s="5"/>
      <c r="W259" s="5" t="s">
        <v>45</v>
      </c>
      <c r="X259" s="5" t="s">
        <v>45</v>
      </c>
      <c r="Y259" s="5"/>
      <c r="Z259" s="5"/>
      <c r="AA259" s="5"/>
      <c r="AB259" s="5"/>
      <c r="AC259" s="5"/>
      <c r="AD259" s="5">
        <v>2</v>
      </c>
      <c r="AE259" s="5">
        <v>-2</v>
      </c>
      <c r="AF259" s="5"/>
      <c r="AG259" s="5">
        <v>2</v>
      </c>
      <c r="AH259" s="5"/>
      <c r="AI259" s="5">
        <v>-2</v>
      </c>
      <c r="AJ259" s="5"/>
      <c r="AK259" s="5"/>
      <c r="AL259" s="5"/>
      <c r="AM259" s="5"/>
      <c r="AN259" s="5"/>
      <c r="AO259" s="5"/>
      <c r="AP259" s="5"/>
      <c r="AQ259" s="5"/>
      <c r="AR259" s="5"/>
      <c r="AS259" s="5"/>
      <c r="AT259" s="5" t="s">
        <v>102</v>
      </c>
      <c r="AU259" s="5" t="s">
        <v>1039</v>
      </c>
      <c r="AV259" s="5"/>
      <c r="AW259" s="7"/>
      <c r="AX259" s="5">
        <v>1</v>
      </c>
      <c r="AY259" s="5" t="s">
        <v>258</v>
      </c>
      <c r="AZ259" s="5" t="s">
        <v>1040</v>
      </c>
      <c r="BA259" s="5" t="s">
        <v>59</v>
      </c>
      <c r="BB259" s="5" t="s">
        <v>716</v>
      </c>
      <c r="BM259" s="5" t="s">
        <v>1716</v>
      </c>
      <c r="BN259" s="5">
        <v>102</v>
      </c>
      <c r="BO259" s="5"/>
    </row>
    <row r="260" spans="1:67">
      <c r="A260" s="4" t="s">
        <v>1041</v>
      </c>
      <c r="B260" s="5"/>
      <c r="C260" s="5" t="s">
        <v>42</v>
      </c>
      <c r="D260" s="5" t="s">
        <v>92</v>
      </c>
      <c r="E260" s="5" t="s">
        <v>222</v>
      </c>
      <c r="F260" s="5"/>
      <c r="G260" s="5">
        <v>30</v>
      </c>
      <c r="H260" s="5"/>
      <c r="I260" s="5">
        <f>ShifterClimbSpeed</f>
        <v>0</v>
      </c>
      <c r="J260" s="5">
        <f>ShifterFlySpeed</f>
        <v>0</v>
      </c>
      <c r="K260" s="5" t="str">
        <f>IF(FtSwiftwingElite,"good","average")</f>
        <v>average</v>
      </c>
      <c r="L260" s="5">
        <f>ShifterSwimSpeed</f>
        <v>0</v>
      </c>
      <c r="M260" s="5"/>
      <c r="N260" s="5" t="str">
        <f>ShifterAttacks</f>
        <v/>
      </c>
      <c r="O260" s="5"/>
      <c r="P260" s="6" t="s">
        <v>45</v>
      </c>
      <c r="Q260" s="5"/>
      <c r="R260" s="5"/>
      <c r="S260" s="5" t="s">
        <v>77</v>
      </c>
      <c r="T260" s="5"/>
      <c r="U260" s="7"/>
      <c r="V260" s="5"/>
      <c r="W260" s="5" t="s">
        <v>45</v>
      </c>
      <c r="X260" s="5" t="s">
        <v>45</v>
      </c>
      <c r="Y260" s="5"/>
      <c r="Z260" s="5"/>
      <c r="AA260" s="5"/>
      <c r="AB260" s="5"/>
      <c r="AC260" s="5"/>
      <c r="AD260" s="5"/>
      <c r="AE260" s="5">
        <v>2</v>
      </c>
      <c r="AF260" s="5"/>
      <c r="AG260" s="5">
        <v>-2</v>
      </c>
      <c r="AH260" s="5"/>
      <c r="AI260" s="5">
        <v>-2</v>
      </c>
      <c r="AJ260" s="5"/>
      <c r="AK260" s="5"/>
      <c r="AL260" s="5"/>
      <c r="AM260" s="5"/>
      <c r="AN260" s="5"/>
      <c r="AO260" s="5"/>
      <c r="AP260" s="5" t="str">
        <f>"Balance+2,Climb+2"&amp;IF(ShifterHandleAnimalBonus&gt;0,",Handle Animal"&amp;TEXT(ShifterHandleAnimalBonus,"+0;-0"),"")&amp;",Jump+2"&amp;IF(ShifterSurvivalBonus&gt;0,",Survival"&amp;TEXT(ShifterSurvivalBonus,"+0;-0")&amp;",","")&amp;IF($L260&gt;0,",Swim+8","")</f>
        <v>Balance+2,Climb+2,Jump+2</v>
      </c>
      <c r="AQ260" s="5"/>
      <c r="AR260" s="5"/>
      <c r="AS260" s="5"/>
      <c r="AT260" s="5" t="s">
        <v>102</v>
      </c>
      <c r="AU260" s="5" t="s">
        <v>1042</v>
      </c>
      <c r="AV260" s="5"/>
      <c r="AW260" s="7"/>
      <c r="AX260" s="5"/>
      <c r="AY260" s="5" t="s">
        <v>49</v>
      </c>
      <c r="AZ260" s="5" t="s">
        <v>1043</v>
      </c>
      <c r="BA260" s="5" t="s">
        <v>673</v>
      </c>
      <c r="BB260" s="5" t="s">
        <v>1044</v>
      </c>
      <c r="BM260" s="5" t="s">
        <v>1718</v>
      </c>
      <c r="BN260" s="5">
        <v>150</v>
      </c>
      <c r="BO260" s="5" t="s">
        <v>1762</v>
      </c>
    </row>
    <row r="261" spans="1:67">
      <c r="A261" s="4" t="s">
        <v>1045</v>
      </c>
      <c r="B261" s="5"/>
      <c r="C261" s="5" t="s">
        <v>42</v>
      </c>
      <c r="D261" s="5" t="s">
        <v>51</v>
      </c>
      <c r="E261" s="5" t="s">
        <v>52</v>
      </c>
      <c r="F261" s="5"/>
      <c r="G261" s="5">
        <v>30</v>
      </c>
      <c r="H261" s="5"/>
      <c r="I261" s="5"/>
      <c r="J261" s="5"/>
      <c r="K261" s="5"/>
      <c r="L261" s="5"/>
      <c r="M261" s="5"/>
      <c r="N261" s="5"/>
      <c r="O261" s="5"/>
      <c r="P261" s="6" t="s">
        <v>1046</v>
      </c>
      <c r="Q261" s="5"/>
      <c r="R261" s="5"/>
      <c r="S261" s="5"/>
      <c r="T261" s="5"/>
      <c r="U261" s="7"/>
      <c r="V261" s="5"/>
      <c r="W261" s="5" t="s">
        <v>45</v>
      </c>
      <c r="X261" s="5" t="s">
        <v>1047</v>
      </c>
      <c r="Y261" s="5"/>
      <c r="Z261" s="5"/>
      <c r="AA261" s="5"/>
      <c r="AB261" s="5"/>
      <c r="AC261" s="5"/>
      <c r="AD261" s="5">
        <v>-2</v>
      </c>
      <c r="AE261" s="5">
        <v>2</v>
      </c>
      <c r="AF261" s="5"/>
      <c r="AG261" s="5"/>
      <c r="AH261" s="5">
        <v>2</v>
      </c>
      <c r="AI261" s="5">
        <v>-2</v>
      </c>
      <c r="AJ261" s="5"/>
      <c r="AK261" s="5"/>
      <c r="AL261" s="5"/>
      <c r="AM261" s="5"/>
      <c r="AN261" s="5"/>
      <c r="AO261" s="5"/>
      <c r="AP261" s="5" t="s">
        <v>1048</v>
      </c>
      <c r="AQ261" s="5"/>
      <c r="AR261" s="5"/>
      <c r="AS261" s="5"/>
      <c r="AT261" s="5" t="s">
        <v>102</v>
      </c>
      <c r="AU261" s="5"/>
      <c r="AV261" s="5">
        <v>1</v>
      </c>
      <c r="AW261" s="7"/>
      <c r="AX261" s="5">
        <v>3</v>
      </c>
      <c r="AY261" s="5" t="s">
        <v>95</v>
      </c>
      <c r="AZ261" s="5" t="s">
        <v>45</v>
      </c>
      <c r="BA261" s="5" t="s">
        <v>45</v>
      </c>
      <c r="BB261" s="5" t="s">
        <v>45</v>
      </c>
      <c r="BM261" s="5" t="s">
        <v>1688</v>
      </c>
      <c r="BN261" s="5"/>
      <c r="BO261" s="5"/>
    </row>
    <row r="262" spans="1:67">
      <c r="A262" s="4" t="s">
        <v>1049</v>
      </c>
      <c r="B262" s="5"/>
      <c r="C262" s="5" t="s">
        <v>42</v>
      </c>
      <c r="D262" s="5" t="s">
        <v>272</v>
      </c>
      <c r="E262" s="5" t="s">
        <v>100</v>
      </c>
      <c r="F262" s="5">
        <v>4</v>
      </c>
      <c r="G262" s="5">
        <v>30</v>
      </c>
      <c r="H262" s="5"/>
      <c r="I262" s="5"/>
      <c r="J262" s="5"/>
      <c r="K262" s="5"/>
      <c r="L262" s="5">
        <v>60</v>
      </c>
      <c r="M262" s="5">
        <f>ChaMod</f>
        <v>-1</v>
      </c>
      <c r="N262" s="5"/>
      <c r="O262" s="5"/>
      <c r="P262" s="6" t="s">
        <v>1050</v>
      </c>
      <c r="Q262" s="5"/>
      <c r="R262" s="5"/>
      <c r="S262" s="5"/>
      <c r="T262" s="5"/>
      <c r="U262" s="7"/>
      <c r="V262" s="5"/>
      <c r="W262" s="5" t="s">
        <v>45</v>
      </c>
      <c r="X262" s="5" t="s">
        <v>45</v>
      </c>
      <c r="Y262" s="5"/>
      <c r="Z262" s="5" t="s">
        <v>643</v>
      </c>
      <c r="AA262" s="5"/>
      <c r="AB262" s="5"/>
      <c r="AC262" s="5"/>
      <c r="AD262" s="5"/>
      <c r="AE262" s="5">
        <v>8</v>
      </c>
      <c r="AF262" s="5"/>
      <c r="AG262" s="5">
        <v>2</v>
      </c>
      <c r="AH262" s="5">
        <v>6</v>
      </c>
      <c r="AI262" s="5">
        <v>6</v>
      </c>
      <c r="AJ262" s="5"/>
      <c r="AK262" s="5"/>
      <c r="AL262" s="5"/>
      <c r="AM262" s="5"/>
      <c r="AN262" s="5"/>
      <c r="AO262" s="5"/>
      <c r="AP262" s="5" t="s">
        <v>1051</v>
      </c>
      <c r="AQ262" s="5"/>
      <c r="AR262" s="5"/>
      <c r="AS262" s="5"/>
      <c r="AT262" s="5" t="s">
        <v>1052</v>
      </c>
      <c r="AU262" s="5" t="s">
        <v>854</v>
      </c>
      <c r="AV262" s="5">
        <v>5</v>
      </c>
      <c r="AW262" s="7"/>
      <c r="AX262" s="5">
        <v>4</v>
      </c>
      <c r="AY262" s="5" t="s">
        <v>319</v>
      </c>
      <c r="AZ262" s="5" t="s">
        <v>45</v>
      </c>
      <c r="BA262" s="5" t="s">
        <v>45</v>
      </c>
      <c r="BB262" s="5" t="s">
        <v>45</v>
      </c>
      <c r="BM262" s="5" t="s">
        <v>1614</v>
      </c>
      <c r="BN262" s="5">
        <v>185</v>
      </c>
      <c r="BO262" s="5"/>
    </row>
    <row r="263" spans="1:67">
      <c r="A263" s="4" t="s">
        <v>1053</v>
      </c>
      <c r="B263" s="5"/>
      <c r="C263" s="5" t="s">
        <v>42</v>
      </c>
      <c r="D263" s="5" t="s">
        <v>92</v>
      </c>
      <c r="E263" s="5" t="s">
        <v>840</v>
      </c>
      <c r="F263" s="5"/>
      <c r="G263" s="5">
        <v>30</v>
      </c>
      <c r="H263" s="5"/>
      <c r="I263" s="5"/>
      <c r="J263" s="5"/>
      <c r="K263" s="5"/>
      <c r="L263" s="5"/>
      <c r="M263" s="5"/>
      <c r="N263" s="5" t="s">
        <v>1822</v>
      </c>
      <c r="O263" s="5"/>
      <c r="P263" s="6"/>
      <c r="Q263" s="5"/>
      <c r="R263" s="5"/>
      <c r="S263" s="5"/>
      <c r="T263" s="5"/>
      <c r="U263" s="7"/>
      <c r="V263" s="5"/>
      <c r="W263" s="5"/>
      <c r="X263" s="5"/>
      <c r="Y263" s="5"/>
      <c r="Z263" s="5"/>
      <c r="AA263" s="5"/>
      <c r="AB263" s="5"/>
      <c r="AC263" s="5"/>
      <c r="AD263" s="5">
        <v>2</v>
      </c>
      <c r="AE263" s="5">
        <v>-2</v>
      </c>
      <c r="AF263" s="5"/>
      <c r="AG263" s="5"/>
      <c r="AH263" s="5"/>
      <c r="AI263" s="5"/>
      <c r="AJ263" s="5"/>
      <c r="AK263" s="5"/>
      <c r="AL263" s="5"/>
      <c r="AM263" s="5"/>
      <c r="AN263" s="5"/>
      <c r="AO263" s="5"/>
      <c r="AP263" s="5" t="s">
        <v>1054</v>
      </c>
      <c r="AQ263" s="5"/>
      <c r="AR263" s="5"/>
      <c r="AS263" s="5"/>
      <c r="AT263" s="5" t="s">
        <v>102</v>
      </c>
      <c r="AU263" s="5" t="s">
        <v>1055</v>
      </c>
      <c r="AV263" s="5"/>
      <c r="AW263" s="7"/>
      <c r="AX263" s="5"/>
      <c r="AY263" s="5" t="s">
        <v>998</v>
      </c>
      <c r="AZ263" s="5" t="s">
        <v>1056</v>
      </c>
      <c r="BA263" s="5" t="s">
        <v>1057</v>
      </c>
      <c r="BB263" s="5" t="s">
        <v>1058</v>
      </c>
      <c r="BM263" s="5" t="s">
        <v>1721</v>
      </c>
      <c r="BN263" s="5">
        <v>15</v>
      </c>
      <c r="BO263" s="5"/>
    </row>
    <row r="264" spans="1:67">
      <c r="A264" s="4" t="s">
        <v>1059</v>
      </c>
      <c r="B264" s="5"/>
      <c r="C264" s="5" t="s">
        <v>42</v>
      </c>
      <c r="D264" s="5" t="s">
        <v>92</v>
      </c>
      <c r="E264" s="5" t="s">
        <v>753</v>
      </c>
      <c r="F264" s="5">
        <f>1+1*(MCCell&gt;=2)</f>
        <v>1</v>
      </c>
      <c r="G264" s="5">
        <v>30</v>
      </c>
      <c r="H264" s="5"/>
      <c r="I264" s="5"/>
      <c r="J264" s="5"/>
      <c r="K264" s="5"/>
      <c r="L264" s="5"/>
      <c r="M264" s="5"/>
      <c r="N264" s="5"/>
      <c r="O264" s="5"/>
      <c r="P264" s="6" t="s">
        <v>45</v>
      </c>
      <c r="Q264" s="5"/>
      <c r="R264" s="5"/>
      <c r="S264" s="5"/>
      <c r="T264" s="5"/>
      <c r="U264" s="7"/>
      <c r="V264" s="5"/>
      <c r="W264" s="5" t="s">
        <v>45</v>
      </c>
      <c r="X264" s="5" t="s">
        <v>45</v>
      </c>
      <c r="Y264" s="5"/>
      <c r="Z264" s="5"/>
      <c r="AA264" s="5"/>
      <c r="AB264" s="5"/>
      <c r="AC264" s="5"/>
      <c r="AD264" s="5"/>
      <c r="AE264" s="5">
        <f>2+2*(MCCell&gt;=3)</f>
        <v>2</v>
      </c>
      <c r="AF264" s="5"/>
      <c r="AG264" s="5"/>
      <c r="AH264" s="5">
        <v>-2</v>
      </c>
      <c r="AI264" s="5">
        <v>-4</v>
      </c>
      <c r="AJ264" s="5"/>
      <c r="AK264" s="5"/>
      <c r="AL264" s="5"/>
      <c r="AM264" s="5"/>
      <c r="AN264" s="5"/>
      <c r="AO264" s="5"/>
      <c r="AP264" s="5" t="s">
        <v>1060</v>
      </c>
      <c r="AQ264" s="5"/>
      <c r="AR264" s="5"/>
      <c r="AS264" s="5"/>
      <c r="AT264" s="5" t="s">
        <v>102</v>
      </c>
      <c r="AU264" s="5" t="s">
        <v>1061</v>
      </c>
      <c r="AV264" s="5"/>
      <c r="AW264" s="7"/>
      <c r="AX264" s="5">
        <f>1*(MCCell&gt;=3)</f>
        <v>0</v>
      </c>
      <c r="AY264" s="5" t="s">
        <v>95</v>
      </c>
      <c r="AZ264" s="5" t="s">
        <v>105</v>
      </c>
      <c r="BA264" s="5" t="s">
        <v>59</v>
      </c>
      <c r="BB264" s="5" t="s">
        <v>1062</v>
      </c>
      <c r="BM264" s="5" t="s">
        <v>1623</v>
      </c>
      <c r="BN264" s="5">
        <v>187</v>
      </c>
      <c r="BO264" s="5"/>
    </row>
    <row r="265" spans="1:67">
      <c r="A265" s="4" t="s">
        <v>1063</v>
      </c>
      <c r="B265" s="5"/>
      <c r="C265" s="5" t="s">
        <v>42</v>
      </c>
      <c r="D265" s="5" t="s">
        <v>92</v>
      </c>
      <c r="E265" s="5" t="s">
        <v>840</v>
      </c>
      <c r="F265" s="5">
        <v>3</v>
      </c>
      <c r="G265" s="5">
        <v>30</v>
      </c>
      <c r="H265" s="5"/>
      <c r="I265" s="5"/>
      <c r="J265" s="5"/>
      <c r="K265" s="5"/>
      <c r="L265" s="5"/>
      <c r="M265" s="5">
        <v>4</v>
      </c>
      <c r="N265" s="5" t="s">
        <v>287</v>
      </c>
      <c r="O265" s="5"/>
      <c r="P265" s="6" t="s">
        <v>45</v>
      </c>
      <c r="Q265" s="5"/>
      <c r="R265" s="5"/>
      <c r="S265" s="5"/>
      <c r="T265" s="5">
        <v>60</v>
      </c>
      <c r="U265" s="7"/>
      <c r="V265" s="5"/>
      <c r="W265" s="5" t="s">
        <v>45</v>
      </c>
      <c r="X265" s="5" t="s">
        <v>1064</v>
      </c>
      <c r="Y265" s="5"/>
      <c r="Z265" s="5"/>
      <c r="AA265" s="5"/>
      <c r="AB265" s="5"/>
      <c r="AC265" s="5"/>
      <c r="AD265" s="5">
        <v>4</v>
      </c>
      <c r="AE265" s="5">
        <v>4</v>
      </c>
      <c r="AF265" s="5">
        <v>2</v>
      </c>
      <c r="AG265" s="5"/>
      <c r="AH265" s="5"/>
      <c r="AI265" s="5">
        <v>-4</v>
      </c>
      <c r="AJ265" s="5"/>
      <c r="AK265" s="5"/>
      <c r="AL265" s="5"/>
      <c r="AM265" s="5"/>
      <c r="AN265" s="5"/>
      <c r="AO265" s="5"/>
      <c r="AP265" s="5" t="s">
        <v>1065</v>
      </c>
      <c r="AQ265" s="5"/>
      <c r="AR265" s="5"/>
      <c r="AS265" s="5"/>
      <c r="AT265" s="5" t="s">
        <v>237</v>
      </c>
      <c r="AU265" s="5" t="s">
        <v>1066</v>
      </c>
      <c r="AV265" s="5">
        <v>2</v>
      </c>
      <c r="AW265" s="7"/>
      <c r="AX265" s="5">
        <v>2</v>
      </c>
      <c r="AY265" s="5" t="s">
        <v>95</v>
      </c>
      <c r="AZ265" s="5" t="s">
        <v>45</v>
      </c>
      <c r="BA265" s="5" t="s">
        <v>45</v>
      </c>
      <c r="BB265" s="5" t="s">
        <v>45</v>
      </c>
      <c r="BM265" s="5" t="s">
        <v>1669</v>
      </c>
      <c r="BN265" s="5"/>
      <c r="BO265" s="5"/>
    </row>
    <row r="266" spans="1:67">
      <c r="A266" s="4" t="s">
        <v>1067</v>
      </c>
      <c r="B266" s="5"/>
      <c r="C266" s="5" t="s">
        <v>42</v>
      </c>
      <c r="D266" s="5" t="s">
        <v>92</v>
      </c>
      <c r="E266" s="5" t="s">
        <v>1068</v>
      </c>
      <c r="F266" s="5">
        <v>3</v>
      </c>
      <c r="G266" s="5">
        <v>20</v>
      </c>
      <c r="H266" s="5"/>
      <c r="I266" s="5"/>
      <c r="J266" s="5"/>
      <c r="K266" s="5"/>
      <c r="L266" s="5">
        <v>40</v>
      </c>
      <c r="M266" s="5">
        <v>4</v>
      </c>
      <c r="N266" s="5" t="s">
        <v>287</v>
      </c>
      <c r="O266" s="5"/>
      <c r="P266" s="6" t="s">
        <v>45</v>
      </c>
      <c r="Q266" s="5"/>
      <c r="R266" s="5"/>
      <c r="S266" s="5"/>
      <c r="T266" s="5">
        <v>60</v>
      </c>
      <c r="U266" s="7"/>
      <c r="V266" s="5"/>
      <c r="W266" s="5" t="s">
        <v>45</v>
      </c>
      <c r="X266" s="5" t="s">
        <v>1064</v>
      </c>
      <c r="Y266" s="5"/>
      <c r="Z266" s="5"/>
      <c r="AA266" s="5"/>
      <c r="AB266" s="5"/>
      <c r="AC266" s="5"/>
      <c r="AD266" s="5">
        <v>4</v>
      </c>
      <c r="AE266" s="5">
        <v>4</v>
      </c>
      <c r="AF266" s="5">
        <v>2</v>
      </c>
      <c r="AG266" s="5"/>
      <c r="AH266" s="5"/>
      <c r="AI266" s="5">
        <v>-4</v>
      </c>
      <c r="AJ266" s="5"/>
      <c r="AK266" s="5"/>
      <c r="AL266" s="5"/>
      <c r="AM266" s="5"/>
      <c r="AN266" s="5"/>
      <c r="AO266" s="5"/>
      <c r="AP266" s="5" t="s">
        <v>1065</v>
      </c>
      <c r="AQ266" s="5"/>
      <c r="AR266" s="5"/>
      <c r="AS266" s="5"/>
      <c r="AT266" s="5" t="s">
        <v>237</v>
      </c>
      <c r="AU266" s="5" t="s">
        <v>1066</v>
      </c>
      <c r="AV266" s="5">
        <v>2</v>
      </c>
      <c r="AW266" s="7"/>
      <c r="AX266" s="5">
        <v>2</v>
      </c>
      <c r="AY266" s="5" t="s">
        <v>95</v>
      </c>
      <c r="AZ266" s="5" t="s">
        <v>45</v>
      </c>
      <c r="BA266" s="5" t="s">
        <v>45</v>
      </c>
      <c r="BB266" s="5" t="s">
        <v>45</v>
      </c>
      <c r="BM266" s="5" t="s">
        <v>1669</v>
      </c>
      <c r="BN266" s="5"/>
      <c r="BO266" s="5"/>
    </row>
    <row r="267" spans="1:67">
      <c r="A267" s="4" t="s">
        <v>1069</v>
      </c>
      <c r="B267" s="5"/>
      <c r="C267" s="5" t="s">
        <v>42</v>
      </c>
      <c r="D267" s="5" t="s">
        <v>92</v>
      </c>
      <c r="E267" s="5" t="s">
        <v>222</v>
      </c>
      <c r="F267" s="5"/>
      <c r="G267" s="5">
        <v>30</v>
      </c>
      <c r="H267" s="5"/>
      <c r="I267" s="5"/>
      <c r="J267" s="5"/>
      <c r="K267" s="5"/>
      <c r="L267" s="5">
        <v>30</v>
      </c>
      <c r="M267" s="5"/>
      <c r="N267" s="5"/>
      <c r="O267" s="5"/>
      <c r="P267" s="6" t="s">
        <v>45</v>
      </c>
      <c r="Q267" s="5"/>
      <c r="R267" s="5"/>
      <c r="S267" s="5"/>
      <c r="T267" s="5"/>
      <c r="U267" s="7"/>
      <c r="V267" s="5" t="s">
        <v>1070</v>
      </c>
      <c r="W267" s="5" t="s">
        <v>45</v>
      </c>
      <c r="X267" s="5" t="s">
        <v>1071</v>
      </c>
      <c r="Y267" s="5"/>
      <c r="Z267" s="5"/>
      <c r="AA267" s="5"/>
      <c r="AB267" s="5"/>
      <c r="AC267" s="5"/>
      <c r="AD267" s="5">
        <v>-2</v>
      </c>
      <c r="AE267" s="5">
        <v>2</v>
      </c>
      <c r="AF267" s="5"/>
      <c r="AG267" s="5"/>
      <c r="AH267" s="5">
        <v>2</v>
      </c>
      <c r="AI267" s="5"/>
      <c r="AJ267" s="5"/>
      <c r="AK267" s="5"/>
      <c r="AL267" s="5"/>
      <c r="AM267" s="5"/>
      <c r="AN267" s="5"/>
      <c r="AO267" s="5"/>
      <c r="AP267" s="5" t="s">
        <v>1072</v>
      </c>
      <c r="AQ267" s="5"/>
      <c r="AR267" s="5" t="s">
        <v>1790</v>
      </c>
      <c r="AS267" s="5"/>
      <c r="AT267" s="5" t="s">
        <v>815</v>
      </c>
      <c r="AU267" s="5" t="s">
        <v>1073</v>
      </c>
      <c r="AV267" s="5"/>
      <c r="AW267" s="7"/>
      <c r="AX267" s="5">
        <v>2</v>
      </c>
      <c r="AY267" s="5" t="s">
        <v>72</v>
      </c>
      <c r="AZ267" s="5" t="s">
        <v>45</v>
      </c>
      <c r="BA267" s="5" t="s">
        <v>45</v>
      </c>
      <c r="BB267" s="5" t="s">
        <v>45</v>
      </c>
      <c r="BM267" s="5" t="s">
        <v>1722</v>
      </c>
      <c r="BN267" s="5"/>
      <c r="BO267" s="5"/>
    </row>
    <row r="268" spans="1:67">
      <c r="A268" s="4" t="s">
        <v>1074</v>
      </c>
      <c r="B268" s="5"/>
      <c r="C268" s="5" t="s">
        <v>42</v>
      </c>
      <c r="D268" s="5" t="s">
        <v>92</v>
      </c>
      <c r="E268" s="8" t="s">
        <v>1075</v>
      </c>
      <c r="F268" s="5"/>
      <c r="G268" s="5">
        <v>30</v>
      </c>
      <c r="H268" s="5"/>
      <c r="I268" s="5"/>
      <c r="J268" s="5"/>
      <c r="K268" s="5"/>
      <c r="L268" s="5"/>
      <c r="M268" s="5"/>
      <c r="N268" s="5"/>
      <c r="O268" s="5"/>
      <c r="P268" s="6" t="s">
        <v>45</v>
      </c>
      <c r="Q268" s="5"/>
      <c r="R268" s="5"/>
      <c r="S268" s="5" t="s">
        <v>77</v>
      </c>
      <c r="T268" s="5"/>
      <c r="U268" s="7"/>
      <c r="V268" s="5"/>
      <c r="W268" s="5" t="s">
        <v>45</v>
      </c>
      <c r="X268" s="5" t="s">
        <v>45</v>
      </c>
      <c r="Y268" s="5"/>
      <c r="Z268" s="5"/>
      <c r="AA268" s="5"/>
      <c r="AB268" s="5"/>
      <c r="AC268" s="5"/>
      <c r="AD268" s="5"/>
      <c r="AE268" s="5"/>
      <c r="AF268" s="5">
        <v>-2</v>
      </c>
      <c r="AG268" s="5"/>
      <c r="AH268" s="5"/>
      <c r="AI268" s="5">
        <v>2</v>
      </c>
      <c r="AJ268" s="5"/>
      <c r="AK268" s="5"/>
      <c r="AL268" s="5"/>
      <c r="AM268" s="5"/>
      <c r="AN268" s="5"/>
      <c r="AO268" s="5"/>
      <c r="AP268" s="5"/>
      <c r="AQ268" s="5"/>
      <c r="AR268" s="5"/>
      <c r="AS268" s="5"/>
      <c r="AT268" s="5" t="s">
        <v>1076</v>
      </c>
      <c r="AU268" s="5" t="s">
        <v>1077</v>
      </c>
      <c r="AV268" s="5"/>
      <c r="AW268" s="7"/>
      <c r="AX268" s="5"/>
      <c r="AY268" s="5" t="s">
        <v>319</v>
      </c>
      <c r="AZ268" s="5" t="s">
        <v>1078</v>
      </c>
      <c r="BA268" s="5" t="s">
        <v>1079</v>
      </c>
      <c r="BB268" s="5" t="s">
        <v>1080</v>
      </c>
      <c r="BM268" s="5" t="s">
        <v>1741</v>
      </c>
      <c r="BN268" s="5">
        <v>21</v>
      </c>
      <c r="BO268" s="5"/>
    </row>
    <row r="269" spans="1:67">
      <c r="A269" s="4" t="s">
        <v>1081</v>
      </c>
      <c r="B269" s="5"/>
      <c r="C269" s="5" t="s">
        <v>42</v>
      </c>
      <c r="D269" s="5" t="s">
        <v>92</v>
      </c>
      <c r="E269" s="5" t="s">
        <v>136</v>
      </c>
      <c r="F269" s="5"/>
      <c r="G269" s="5">
        <v>30</v>
      </c>
      <c r="H269" s="5"/>
      <c r="I269" s="5"/>
      <c r="J269" s="5"/>
      <c r="K269" s="5"/>
      <c r="L269" s="5"/>
      <c r="M269" s="5">
        <v>1</v>
      </c>
      <c r="N269" s="5"/>
      <c r="O269" s="5"/>
      <c r="P269" s="6" t="s">
        <v>45</v>
      </c>
      <c r="Q269" s="5"/>
      <c r="R269" s="5"/>
      <c r="S269" s="5"/>
      <c r="T269" s="5">
        <v>60</v>
      </c>
      <c r="U269" s="7"/>
      <c r="V269" s="5"/>
      <c r="W269" s="5" t="s">
        <v>45</v>
      </c>
      <c r="X269" s="5" t="s">
        <v>844</v>
      </c>
      <c r="Y269" s="5"/>
      <c r="Z269" s="5" t="s">
        <v>1082</v>
      </c>
      <c r="AA269" s="5"/>
      <c r="AB269" s="5"/>
      <c r="AC269" s="5"/>
      <c r="AD269" s="5"/>
      <c r="AE269" s="5"/>
      <c r="AF269" s="5"/>
      <c r="AG269" s="5"/>
      <c r="AH269" s="5"/>
      <c r="AI269" s="5"/>
      <c r="AJ269" s="5"/>
      <c r="AK269" s="5"/>
      <c r="AL269" s="5"/>
      <c r="AM269" s="5"/>
      <c r="AN269" s="5"/>
      <c r="AO269" s="5"/>
      <c r="AP269" s="5"/>
      <c r="AQ269" s="5"/>
      <c r="AR269" s="5"/>
      <c r="AS269" s="5"/>
      <c r="AT269" s="5" t="s">
        <v>102</v>
      </c>
      <c r="AU269" s="5" t="s">
        <v>156</v>
      </c>
      <c r="AV269" s="5"/>
      <c r="AW269" s="7"/>
      <c r="AX269" s="5"/>
      <c r="AY269" s="5" t="s">
        <v>113</v>
      </c>
      <c r="AZ269" s="5" t="s">
        <v>96</v>
      </c>
      <c r="BA269" s="5" t="s">
        <v>59</v>
      </c>
      <c r="BB269" s="5" t="s">
        <v>1083</v>
      </c>
      <c r="BM269" s="5" t="s">
        <v>1613</v>
      </c>
      <c r="BN269" s="5"/>
      <c r="BO269" s="5"/>
    </row>
    <row r="270" spans="1:67">
      <c r="A270" s="4" t="s">
        <v>1084</v>
      </c>
      <c r="B270" s="5"/>
      <c r="C270" s="5" t="s">
        <v>42</v>
      </c>
      <c r="D270" s="5" t="s">
        <v>92</v>
      </c>
      <c r="E270" s="5" t="s">
        <v>1085</v>
      </c>
      <c r="F270" s="5"/>
      <c r="G270" s="5">
        <v>30</v>
      </c>
      <c r="H270" s="5"/>
      <c r="I270" s="5"/>
      <c r="J270" s="5"/>
      <c r="K270" s="5"/>
      <c r="L270" s="5"/>
      <c r="M270" s="5"/>
      <c r="N270" s="5"/>
      <c r="O270" s="5"/>
      <c r="P270" s="6" t="s">
        <v>1086</v>
      </c>
      <c r="Q270" s="5"/>
      <c r="R270" s="5"/>
      <c r="S270" s="5" t="s">
        <v>77</v>
      </c>
      <c r="T270" s="5"/>
      <c r="U270" s="7"/>
      <c r="V270" s="5"/>
      <c r="W270" s="5"/>
      <c r="X270" s="5"/>
      <c r="Y270" s="5"/>
      <c r="Z270" s="5"/>
      <c r="AA270" s="5"/>
      <c r="AB270" s="5"/>
      <c r="AC270" s="5"/>
      <c r="AD270" s="5"/>
      <c r="AE270" s="5"/>
      <c r="AF270" s="5"/>
      <c r="AG270" s="5"/>
      <c r="AH270" s="5"/>
      <c r="AI270" s="5"/>
      <c r="AJ270" s="5"/>
      <c r="AK270" s="5"/>
      <c r="AL270" s="5"/>
      <c r="AM270" s="5"/>
      <c r="AN270" s="5"/>
      <c r="AO270" s="5"/>
      <c r="AP270" s="5" t="s">
        <v>730</v>
      </c>
      <c r="AQ270" s="5"/>
      <c r="AR270" s="5"/>
      <c r="AS270" s="5"/>
      <c r="AT270" s="5" t="s">
        <v>1087</v>
      </c>
      <c r="AU270" s="5" t="s">
        <v>1088</v>
      </c>
      <c r="AV270" s="5"/>
      <c r="AW270" s="7"/>
      <c r="AX270" s="5"/>
      <c r="AY270" s="5" t="s">
        <v>104</v>
      </c>
      <c r="AZ270" s="5" t="s">
        <v>415</v>
      </c>
      <c r="BA270" s="5" t="s">
        <v>537</v>
      </c>
      <c r="BB270" s="5" t="s">
        <v>60</v>
      </c>
      <c r="BM270" s="5" t="s">
        <v>1621</v>
      </c>
      <c r="BN270" s="5">
        <v>14</v>
      </c>
      <c r="BO270" s="5"/>
    </row>
    <row r="271" spans="1:67">
      <c r="A271" s="4" t="s">
        <v>1089</v>
      </c>
      <c r="B271" s="5"/>
      <c r="C271" s="5" t="s">
        <v>42</v>
      </c>
      <c r="D271" s="5" t="s">
        <v>92</v>
      </c>
      <c r="E271" s="5" t="s">
        <v>1085</v>
      </c>
      <c r="F271" s="5"/>
      <c r="G271" s="5">
        <v>30</v>
      </c>
      <c r="H271" s="5"/>
      <c r="I271" s="5"/>
      <c r="J271" s="5"/>
      <c r="K271" s="5"/>
      <c r="L271" s="5">
        <v>30</v>
      </c>
      <c r="M271" s="5"/>
      <c r="N271" s="5"/>
      <c r="O271" s="5"/>
      <c r="P271" s="6" t="s">
        <v>1090</v>
      </c>
      <c r="Q271" s="5"/>
      <c r="R271" s="5"/>
      <c r="S271" s="5" t="s">
        <v>77</v>
      </c>
      <c r="T271" s="5"/>
      <c r="U271" s="7"/>
      <c r="V271" s="5"/>
      <c r="W271" s="5"/>
      <c r="X271" s="5"/>
      <c r="Y271" s="5"/>
      <c r="Z271" s="5"/>
      <c r="AA271" s="5"/>
      <c r="AB271" s="5"/>
      <c r="AC271" s="5"/>
      <c r="AD271" s="5"/>
      <c r="AE271" s="5"/>
      <c r="AF271" s="5"/>
      <c r="AG271" s="5"/>
      <c r="AH271" s="5"/>
      <c r="AI271" s="5"/>
      <c r="AJ271" s="5"/>
      <c r="AK271" s="5"/>
      <c r="AL271" s="5"/>
      <c r="AM271" s="5"/>
      <c r="AN271" s="5"/>
      <c r="AO271" s="5"/>
      <c r="AP271" s="5" t="s">
        <v>101</v>
      </c>
      <c r="AQ271" s="5"/>
      <c r="AR271" s="5"/>
      <c r="AS271" s="5"/>
      <c r="AT271" s="5" t="s">
        <v>1087</v>
      </c>
      <c r="AU271" s="5" t="s">
        <v>1088</v>
      </c>
      <c r="AV271" s="5"/>
      <c r="AW271" s="7"/>
      <c r="AX271" s="5"/>
      <c r="AY271" s="5" t="s">
        <v>104</v>
      </c>
      <c r="AZ271" s="5" t="s">
        <v>415</v>
      </c>
      <c r="BA271" s="5" t="s">
        <v>537</v>
      </c>
      <c r="BB271" s="5" t="s">
        <v>60</v>
      </c>
      <c r="BM271" s="5" t="s">
        <v>1621</v>
      </c>
      <c r="BN271" s="5">
        <v>14</v>
      </c>
      <c r="BO271" s="5"/>
    </row>
    <row r="272" spans="1:67">
      <c r="A272" s="4" t="s">
        <v>1091</v>
      </c>
      <c r="B272" s="5"/>
      <c r="C272" s="5" t="s">
        <v>42</v>
      </c>
      <c r="D272" s="5" t="s">
        <v>92</v>
      </c>
      <c r="E272" s="5" t="s">
        <v>1085</v>
      </c>
      <c r="F272" s="5"/>
      <c r="G272" s="5">
        <v>30</v>
      </c>
      <c r="H272" s="5"/>
      <c r="I272" s="5"/>
      <c r="J272" s="5"/>
      <c r="K272" s="5"/>
      <c r="L272" s="5">
        <v>30</v>
      </c>
      <c r="M272" s="5"/>
      <c r="N272" s="5"/>
      <c r="O272" s="5"/>
      <c r="P272" s="6"/>
      <c r="Q272" s="5"/>
      <c r="R272" s="5"/>
      <c r="S272" s="5" t="s">
        <v>77</v>
      </c>
      <c r="T272" s="5"/>
      <c r="U272" s="7"/>
      <c r="V272" s="5"/>
      <c r="W272" s="5"/>
      <c r="X272" s="5"/>
      <c r="Y272" s="5"/>
      <c r="Z272" s="5"/>
      <c r="AA272" s="5"/>
      <c r="AB272" s="5"/>
      <c r="AC272" s="5"/>
      <c r="AD272" s="5"/>
      <c r="AE272" s="5"/>
      <c r="AF272" s="5"/>
      <c r="AG272" s="5"/>
      <c r="AH272" s="5"/>
      <c r="AI272" s="5"/>
      <c r="AJ272" s="5"/>
      <c r="AK272" s="5"/>
      <c r="AL272" s="5"/>
      <c r="AM272" s="5"/>
      <c r="AN272" s="5"/>
      <c r="AO272" s="5"/>
      <c r="AP272" s="5" t="s">
        <v>101</v>
      </c>
      <c r="AQ272" s="5"/>
      <c r="AR272" s="5"/>
      <c r="AS272" s="5"/>
      <c r="AT272" s="5" t="s">
        <v>1087</v>
      </c>
      <c r="AU272" s="5" t="s">
        <v>1088</v>
      </c>
      <c r="AV272" s="5"/>
      <c r="AW272" s="7"/>
      <c r="AX272" s="5"/>
      <c r="AY272" s="5" t="s">
        <v>104</v>
      </c>
      <c r="AZ272" s="5" t="s">
        <v>415</v>
      </c>
      <c r="BA272" s="5" t="s">
        <v>537</v>
      </c>
      <c r="BB272" s="5" t="s">
        <v>60</v>
      </c>
      <c r="BM272" s="5" t="s">
        <v>1621</v>
      </c>
      <c r="BN272" s="5">
        <v>14</v>
      </c>
      <c r="BO272" s="5"/>
    </row>
    <row r="273" spans="1:67">
      <c r="A273" s="4" t="s">
        <v>1092</v>
      </c>
      <c r="B273" s="5"/>
      <c r="C273" s="5" t="s">
        <v>85</v>
      </c>
      <c r="D273" s="5" t="s">
        <v>272</v>
      </c>
      <c r="E273" s="5"/>
      <c r="F273" s="5">
        <v>5</v>
      </c>
      <c r="G273" s="5">
        <v>20</v>
      </c>
      <c r="H273" s="5"/>
      <c r="I273" s="5"/>
      <c r="J273" s="5"/>
      <c r="K273" s="5"/>
      <c r="L273" s="5"/>
      <c r="M273" s="5"/>
      <c r="N273" s="5"/>
      <c r="O273" s="5"/>
      <c r="P273" s="6" t="s">
        <v>1093</v>
      </c>
      <c r="Q273" s="5"/>
      <c r="R273" s="5"/>
      <c r="S273" s="5"/>
      <c r="T273" s="5"/>
      <c r="U273" s="7"/>
      <c r="V273" s="5"/>
      <c r="W273" s="5" t="s">
        <v>45</v>
      </c>
      <c r="X273" s="5" t="s">
        <v>45</v>
      </c>
      <c r="Y273" s="5"/>
      <c r="Z273" s="5" t="s">
        <v>643</v>
      </c>
      <c r="AA273" s="5"/>
      <c r="AB273" s="5"/>
      <c r="AC273" s="5"/>
      <c r="AD273" s="5"/>
      <c r="AE273" s="5">
        <v>10</v>
      </c>
      <c r="AF273" s="5">
        <v>2</v>
      </c>
      <c r="AG273" s="5"/>
      <c r="AH273" s="5">
        <v>-2</v>
      </c>
      <c r="AI273" s="5"/>
      <c r="AJ273" s="5"/>
      <c r="AK273" s="5"/>
      <c r="AL273" s="5"/>
      <c r="AM273" s="5"/>
      <c r="AN273" s="5"/>
      <c r="AO273" s="5"/>
      <c r="AP273" s="5" t="s">
        <v>1094</v>
      </c>
      <c r="AQ273" s="5"/>
      <c r="AR273" s="5"/>
      <c r="AS273" s="5"/>
      <c r="AT273" s="5" t="s">
        <v>579</v>
      </c>
      <c r="AU273" s="5" t="s">
        <v>1095</v>
      </c>
      <c r="AV273" s="5">
        <v>3</v>
      </c>
      <c r="AW273" s="7"/>
      <c r="AX273" s="5">
        <v>2</v>
      </c>
      <c r="AY273" s="5" t="s">
        <v>95</v>
      </c>
      <c r="AZ273" s="5" t="s">
        <v>45</v>
      </c>
      <c r="BA273" s="5" t="s">
        <v>45</v>
      </c>
      <c r="BB273" s="5" t="s">
        <v>45</v>
      </c>
      <c r="BM273" s="5" t="s">
        <v>1688</v>
      </c>
      <c r="BN273" s="5">
        <v>162</v>
      </c>
      <c r="BO273" s="5"/>
    </row>
    <row r="274" spans="1:67">
      <c r="A274" s="4" t="s">
        <v>1096</v>
      </c>
      <c r="B274" s="5"/>
      <c r="C274" s="5" t="s">
        <v>42</v>
      </c>
      <c r="D274" s="5" t="s">
        <v>92</v>
      </c>
      <c r="E274" s="5" t="s">
        <v>840</v>
      </c>
      <c r="F274" s="5"/>
      <c r="G274" s="5">
        <v>30</v>
      </c>
      <c r="H274" s="5"/>
      <c r="I274" s="5"/>
      <c r="J274" s="5"/>
      <c r="K274" s="5"/>
      <c r="L274" s="5"/>
      <c r="M274" s="5">
        <v>3</v>
      </c>
      <c r="N274" s="5" t="s">
        <v>810</v>
      </c>
      <c r="O274" s="5"/>
      <c r="P274" s="6" t="s">
        <v>45</v>
      </c>
      <c r="Q274" s="5"/>
      <c r="R274" s="5"/>
      <c r="S274" s="5" t="s">
        <v>77</v>
      </c>
      <c r="T274" s="5"/>
      <c r="U274" s="7"/>
      <c r="V274" s="5"/>
      <c r="W274" s="5" t="s">
        <v>45</v>
      </c>
      <c r="X274" s="5" t="s">
        <v>45</v>
      </c>
      <c r="Y274" s="5"/>
      <c r="Z274" s="5"/>
      <c r="AA274" s="5"/>
      <c r="AB274" s="5"/>
      <c r="AC274" s="5"/>
      <c r="AD274" s="5"/>
      <c r="AE274" s="5">
        <v>2</v>
      </c>
      <c r="AF274" s="5"/>
      <c r="AG274" s="5"/>
      <c r="AH274" s="5">
        <v>-2</v>
      </c>
      <c r="AI274" s="5">
        <v>-2</v>
      </c>
      <c r="AJ274" s="5"/>
      <c r="AK274" s="5"/>
      <c r="AL274" s="5"/>
      <c r="AM274" s="5"/>
      <c r="AN274" s="5"/>
      <c r="AO274" s="5"/>
      <c r="AP274" s="5"/>
      <c r="AQ274" s="5"/>
      <c r="AR274" s="5"/>
      <c r="AS274" s="5"/>
      <c r="AT274" s="5" t="s">
        <v>1097</v>
      </c>
      <c r="AU274" s="5" t="s">
        <v>1098</v>
      </c>
      <c r="AV274" s="5"/>
      <c r="AW274" s="7"/>
      <c r="AX274" s="5"/>
      <c r="AY274" s="5" t="s">
        <v>125</v>
      </c>
      <c r="AZ274" s="5" t="s">
        <v>45</v>
      </c>
      <c r="BA274" s="5" t="s">
        <v>45</v>
      </c>
      <c r="BB274" s="5" t="s">
        <v>45</v>
      </c>
      <c r="BM274" s="5" t="s">
        <v>1620</v>
      </c>
      <c r="BN274" s="5"/>
      <c r="BO274" s="5"/>
    </row>
    <row r="275" spans="1:67">
      <c r="A275" s="4" t="s">
        <v>1099</v>
      </c>
      <c r="B275" s="5"/>
      <c r="C275" s="5" t="s">
        <v>42</v>
      </c>
      <c r="D275" s="5" t="s">
        <v>92</v>
      </c>
      <c r="E275" s="5" t="s">
        <v>840</v>
      </c>
      <c r="F275" s="5"/>
      <c r="G275" s="5">
        <v>30</v>
      </c>
      <c r="H275" s="5"/>
      <c r="I275" s="5"/>
      <c r="J275" s="5"/>
      <c r="K275" s="5"/>
      <c r="L275" s="5"/>
      <c r="M275" s="5">
        <v>2</v>
      </c>
      <c r="N275" s="5" t="s">
        <v>810</v>
      </c>
      <c r="O275" s="5"/>
      <c r="P275" s="6" t="s">
        <v>45</v>
      </c>
      <c r="Q275" s="5"/>
      <c r="R275" s="5"/>
      <c r="S275" s="5" t="s">
        <v>77</v>
      </c>
      <c r="T275" s="5"/>
      <c r="U275" s="7"/>
      <c r="V275" s="5"/>
      <c r="W275" s="5" t="s">
        <v>45</v>
      </c>
      <c r="X275" s="5" t="s">
        <v>45</v>
      </c>
      <c r="Y275" s="5"/>
      <c r="Z275" s="5"/>
      <c r="AA275" s="5"/>
      <c r="AB275" s="5"/>
      <c r="AC275" s="5"/>
      <c r="AD275" s="5"/>
      <c r="AE275" s="5">
        <v>2</v>
      </c>
      <c r="AF275" s="5"/>
      <c r="AG275" s="5">
        <v>-2</v>
      </c>
      <c r="AH275" s="5"/>
      <c r="AI275" s="5"/>
      <c r="AJ275" s="5"/>
      <c r="AK275" s="5"/>
      <c r="AL275" s="5"/>
      <c r="AM275" s="5"/>
      <c r="AN275" s="5"/>
      <c r="AO275" s="5"/>
      <c r="AP275" s="5" t="s">
        <v>1100</v>
      </c>
      <c r="AQ275" s="5"/>
      <c r="AR275" s="5"/>
      <c r="AS275" s="5"/>
      <c r="AT275" s="5" t="s">
        <v>1101</v>
      </c>
      <c r="AU275" s="5" t="s">
        <v>1102</v>
      </c>
      <c r="AV275" s="5"/>
      <c r="AW275" s="7"/>
      <c r="AX275" s="5"/>
      <c r="AY275" s="5" t="s">
        <v>49</v>
      </c>
      <c r="AZ275" s="5" t="s">
        <v>45</v>
      </c>
      <c r="BA275" s="5" t="s">
        <v>45</v>
      </c>
      <c r="BB275" s="5" t="s">
        <v>45</v>
      </c>
      <c r="BM275" s="5" t="s">
        <v>1620</v>
      </c>
      <c r="BN275" s="5"/>
      <c r="BO275" s="5"/>
    </row>
    <row r="276" spans="1:67">
      <c r="A276" s="4" t="s">
        <v>1103</v>
      </c>
      <c r="B276" s="5"/>
      <c r="C276" s="5" t="s">
        <v>42</v>
      </c>
      <c r="D276" s="5" t="s">
        <v>51</v>
      </c>
      <c r="E276" s="5" t="s">
        <v>1104</v>
      </c>
      <c r="F276" s="5">
        <f>1+1*(MCCell&gt;=4)</f>
        <v>1</v>
      </c>
      <c r="G276" s="5">
        <v>30</v>
      </c>
      <c r="H276" s="5"/>
      <c r="I276" s="5"/>
      <c r="J276" s="5"/>
      <c r="K276" s="5"/>
      <c r="L276" s="5"/>
      <c r="M276" s="5">
        <f>1*(MCCell&gt;=2)+1*(MCCell&gt;=3)+1*(MCCell&gt;=5)+1*(MCCell&gt;=6)</f>
        <v>0</v>
      </c>
      <c r="N276" s="5"/>
      <c r="O276" s="5"/>
      <c r="P276" s="6" t="s">
        <v>45</v>
      </c>
      <c r="Q276" s="5"/>
      <c r="R276" s="5"/>
      <c r="S276" s="5"/>
      <c r="T276" s="5"/>
      <c r="U276" s="7"/>
      <c r="V276" s="5" t="s">
        <v>1105</v>
      </c>
      <c r="W276" s="5" t="s">
        <v>45</v>
      </c>
      <c r="X276" s="5" t="s">
        <v>45</v>
      </c>
      <c r="Y276" s="5"/>
      <c r="Z276" s="5"/>
      <c r="AA276" s="5"/>
      <c r="AB276" s="5"/>
      <c r="AC276" s="5"/>
      <c r="AD276" s="5">
        <f>2*(MCCell&gt;=2)+2*(MCCell&gt;=3)+2*(MCCell&gt;=5)+2*(MCCell&gt;=6)</f>
        <v>0</v>
      </c>
      <c r="AE276" s="5"/>
      <c r="AF276" s="5">
        <f>2+2*(MCCell&gt;=2)+2*(MCCell&gt;=3)+2*(MCCell&gt;=5)</f>
        <v>2</v>
      </c>
      <c r="AG276" s="5">
        <v>2</v>
      </c>
      <c r="AH276" s="5"/>
      <c r="AI276" s="5">
        <v>-2</v>
      </c>
      <c r="AJ276" s="5"/>
      <c r="AK276" s="5"/>
      <c r="AL276" s="5"/>
      <c r="AM276" s="5"/>
      <c r="AN276" s="5"/>
      <c r="AO276" s="5"/>
      <c r="AP276" s="5" t="s">
        <v>1106</v>
      </c>
      <c r="AQ276" s="5"/>
      <c r="AR276" s="5"/>
      <c r="AS276" s="5" t="str">
        <f>IF(MCCell&gt;=4,"Blind-Fight","")</f>
        <v/>
      </c>
      <c r="AT276" s="5" t="s">
        <v>886</v>
      </c>
      <c r="AU276" s="5" t="s">
        <v>1107</v>
      </c>
      <c r="AV276" s="5">
        <f>1+1*(MCCell&gt;=4)+1*(MCCell&gt;=5)</f>
        <v>1</v>
      </c>
      <c r="AW276" s="7"/>
      <c r="AX276" s="5">
        <f>1*(MCCell&gt;=2)+1*(MCCell&gt;=3)+1*(MCCell&gt;=5)+1*(MCCell&gt;=6)</f>
        <v>0</v>
      </c>
      <c r="AY276" s="5" t="s">
        <v>113</v>
      </c>
      <c r="AZ276" s="5" t="s">
        <v>1108</v>
      </c>
      <c r="BA276" s="5" t="s">
        <v>572</v>
      </c>
      <c r="BB276" s="5" t="s">
        <v>573</v>
      </c>
      <c r="BM276" s="5" t="s">
        <v>1736</v>
      </c>
      <c r="BN276" s="5"/>
      <c r="BO276" s="5" t="s">
        <v>1727</v>
      </c>
    </row>
    <row r="277" spans="1:67">
      <c r="A277" s="4" t="s">
        <v>1109</v>
      </c>
      <c r="B277" s="5"/>
      <c r="C277" s="5" t="s">
        <v>42</v>
      </c>
      <c r="D277" s="5" t="s">
        <v>240</v>
      </c>
      <c r="E277" s="5"/>
      <c r="F277" s="5"/>
      <c r="G277" s="5">
        <v>30</v>
      </c>
      <c r="H277" s="5"/>
      <c r="I277" s="5"/>
      <c r="J277" s="5"/>
      <c r="K277" s="5"/>
      <c r="L277" s="5"/>
      <c r="M277" s="5"/>
      <c r="N277" s="5"/>
      <c r="O277" s="5"/>
      <c r="P277" s="6" t="s">
        <v>45</v>
      </c>
      <c r="Q277" s="5"/>
      <c r="R277" s="5"/>
      <c r="S277" s="5"/>
      <c r="T277" s="5">
        <v>60</v>
      </c>
      <c r="U277" s="7"/>
      <c r="V277" s="5"/>
      <c r="W277" s="5" t="s">
        <v>45</v>
      </c>
      <c r="X277" s="5" t="s">
        <v>45</v>
      </c>
      <c r="Y277" s="5"/>
      <c r="Z277" s="5"/>
      <c r="AA277" s="5"/>
      <c r="AB277" s="5"/>
      <c r="AC277" s="5"/>
      <c r="AD277" s="5"/>
      <c r="AE277" s="5"/>
      <c r="AF277" s="5"/>
      <c r="AG277" s="5"/>
      <c r="AH277" s="5"/>
      <c r="AI277" s="5"/>
      <c r="AJ277" s="5"/>
      <c r="AK277" s="5"/>
      <c r="AL277" s="5"/>
      <c r="AM277" s="5"/>
      <c r="AN277" s="5"/>
      <c r="AO277" s="5"/>
      <c r="AP277" s="5"/>
      <c r="AQ277" s="5"/>
      <c r="AR277" s="5"/>
      <c r="AS277" s="5"/>
      <c r="AT277" s="5" t="s">
        <v>1110</v>
      </c>
      <c r="AU277" s="5" t="s">
        <v>104</v>
      </c>
      <c r="AV277" s="5"/>
      <c r="AW277" s="7"/>
      <c r="AX277" s="5"/>
      <c r="AY277" s="5" t="s">
        <v>104</v>
      </c>
      <c r="AZ277" s="5" t="s">
        <v>45</v>
      </c>
      <c r="BA277" s="5" t="s">
        <v>45</v>
      </c>
      <c r="BB277" s="5" t="s">
        <v>45</v>
      </c>
      <c r="BM277" s="5" t="s">
        <v>1742</v>
      </c>
      <c r="BN277" s="5"/>
      <c r="BO277" s="5"/>
    </row>
    <row r="278" spans="1:67">
      <c r="A278" s="4" t="s">
        <v>1111</v>
      </c>
      <c r="B278" s="5"/>
      <c r="C278" s="5" t="s">
        <v>42</v>
      </c>
      <c r="D278" s="5" t="s">
        <v>51</v>
      </c>
      <c r="E278" s="5" t="s">
        <v>52</v>
      </c>
      <c r="F278" s="5">
        <v>5</v>
      </c>
      <c r="G278" s="5">
        <v>20</v>
      </c>
      <c r="H278" s="5"/>
      <c r="I278" s="5"/>
      <c r="J278" s="5"/>
      <c r="K278" s="5"/>
      <c r="L278" s="5"/>
      <c r="M278" s="5">
        <v>4</v>
      </c>
      <c r="N278" s="5" t="s">
        <v>198</v>
      </c>
      <c r="O278" s="5"/>
      <c r="P278" s="6" t="s">
        <v>45</v>
      </c>
      <c r="Q278" s="5"/>
      <c r="R278" s="5"/>
      <c r="S278" s="5"/>
      <c r="T278" s="5"/>
      <c r="U278" s="7"/>
      <c r="V278" s="5"/>
      <c r="W278" s="5" t="s">
        <v>45</v>
      </c>
      <c r="X278" s="5" t="s">
        <v>1064</v>
      </c>
      <c r="Y278" s="5">
        <f>14+ClassLvl</f>
        <v>22</v>
      </c>
      <c r="Z278" s="5"/>
      <c r="AA278" s="5"/>
      <c r="AB278" s="5"/>
      <c r="AC278" s="5"/>
      <c r="AD278" s="5">
        <v>4</v>
      </c>
      <c r="AE278" s="5">
        <v>2</v>
      </c>
      <c r="AF278" s="5"/>
      <c r="AG278" s="5"/>
      <c r="AH278" s="5">
        <v>-2</v>
      </c>
      <c r="AI278" s="5">
        <v>-4</v>
      </c>
      <c r="AJ278" s="5"/>
      <c r="AK278" s="5"/>
      <c r="AL278" s="5"/>
      <c r="AM278" s="5"/>
      <c r="AN278" s="5"/>
      <c r="AO278" s="5"/>
      <c r="AP278" s="5" t="s">
        <v>1112</v>
      </c>
      <c r="AQ278" s="5"/>
      <c r="AR278" s="5"/>
      <c r="AS278" s="5"/>
      <c r="AT278" s="5" t="s">
        <v>1113</v>
      </c>
      <c r="AU278" s="5" t="s">
        <v>235</v>
      </c>
      <c r="AV278" s="5"/>
      <c r="AW278" s="7"/>
      <c r="AX278" s="5">
        <v>3</v>
      </c>
      <c r="AY278" s="5" t="s">
        <v>125</v>
      </c>
      <c r="AZ278" s="5" t="s">
        <v>45</v>
      </c>
      <c r="BA278" s="5" t="s">
        <v>45</v>
      </c>
      <c r="BB278" s="5" t="s">
        <v>45</v>
      </c>
      <c r="BM278" s="5" t="s">
        <v>1625</v>
      </c>
      <c r="BN278" s="5"/>
      <c r="BO278" s="5" t="s">
        <v>1715</v>
      </c>
    </row>
    <row r="279" spans="1:67">
      <c r="A279" s="4" t="s">
        <v>1114</v>
      </c>
      <c r="B279" s="5"/>
      <c r="C279" s="5" t="s">
        <v>42</v>
      </c>
      <c r="D279" s="5" t="s">
        <v>92</v>
      </c>
      <c r="E279" s="5" t="s">
        <v>753</v>
      </c>
      <c r="F279" s="5"/>
      <c r="G279" s="5">
        <v>30</v>
      </c>
      <c r="H279" s="5"/>
      <c r="I279" s="5"/>
      <c r="J279" s="5"/>
      <c r="K279" s="5"/>
      <c r="L279" s="5"/>
      <c r="M279" s="5"/>
      <c r="N279" s="5"/>
      <c r="O279" s="5"/>
      <c r="P279" s="6" t="s">
        <v>45</v>
      </c>
      <c r="Q279" s="5"/>
      <c r="R279" s="5"/>
      <c r="S279" s="5"/>
      <c r="T279" s="5"/>
      <c r="U279" s="7"/>
      <c r="V279" s="5"/>
      <c r="W279" s="5" t="s">
        <v>45</v>
      </c>
      <c r="X279" s="5" t="s">
        <v>45</v>
      </c>
      <c r="Y279" s="5"/>
      <c r="Z279" s="5"/>
      <c r="AA279" s="5"/>
      <c r="AB279" s="5"/>
      <c r="AC279" s="5"/>
      <c r="AD279" s="5">
        <v>2</v>
      </c>
      <c r="AE279" s="5"/>
      <c r="AF279" s="5">
        <v>2</v>
      </c>
      <c r="AG279" s="5">
        <v>-2</v>
      </c>
      <c r="AH279" s="5"/>
      <c r="AI279" s="5">
        <v>-2</v>
      </c>
      <c r="AJ279" s="5"/>
      <c r="AK279" s="5"/>
      <c r="AL279" s="5"/>
      <c r="AM279" s="5"/>
      <c r="AN279" s="5"/>
      <c r="AO279" s="5"/>
      <c r="AP279" s="5"/>
      <c r="AQ279" s="5"/>
      <c r="AR279" s="5"/>
      <c r="AS279" s="5"/>
      <c r="AT279" s="5" t="s">
        <v>1115</v>
      </c>
      <c r="AU279" s="5" t="s">
        <v>104</v>
      </c>
      <c r="AV279" s="5"/>
      <c r="AW279" s="7"/>
      <c r="AX279" s="5"/>
      <c r="AY279" s="5" t="s">
        <v>125</v>
      </c>
      <c r="AZ279" s="5" t="s">
        <v>45</v>
      </c>
      <c r="BA279" s="5" t="s">
        <v>45</v>
      </c>
      <c r="BB279" s="5" t="s">
        <v>45</v>
      </c>
      <c r="BM279" s="5" t="s">
        <v>1738</v>
      </c>
      <c r="BN279" s="5"/>
      <c r="BO279" s="5" t="s">
        <v>1732</v>
      </c>
    </row>
    <row r="280" spans="1:67">
      <c r="A280" s="4" t="s">
        <v>1116</v>
      </c>
      <c r="B280" s="5"/>
      <c r="C280" s="5" t="s">
        <v>62</v>
      </c>
      <c r="D280" s="5" t="s">
        <v>43</v>
      </c>
      <c r="E280" s="5"/>
      <c r="F280" s="5">
        <v>2</v>
      </c>
      <c r="G280" s="5">
        <v>30</v>
      </c>
      <c r="H280" s="5"/>
      <c r="I280" s="5"/>
      <c r="J280" s="5"/>
      <c r="K280" s="5"/>
      <c r="L280" s="5"/>
      <c r="M280" s="5">
        <v>4</v>
      </c>
      <c r="N280" s="5"/>
      <c r="O280" s="5"/>
      <c r="P280" s="6" t="s">
        <v>45</v>
      </c>
      <c r="Q280" s="5"/>
      <c r="R280" s="5"/>
      <c r="S280" s="5"/>
      <c r="T280" s="5"/>
      <c r="U280" s="7"/>
      <c r="V280" s="5" t="s">
        <v>1117</v>
      </c>
      <c r="W280" s="5" t="s">
        <v>45</v>
      </c>
      <c r="X280" s="5" t="s">
        <v>45</v>
      </c>
      <c r="Y280" s="5"/>
      <c r="Z280" s="5"/>
      <c r="AA280" s="5"/>
      <c r="AB280" s="5"/>
      <c r="AC280" s="5"/>
      <c r="AD280" s="5">
        <v>6</v>
      </c>
      <c r="AE280" s="5"/>
      <c r="AF280" s="5">
        <v>2</v>
      </c>
      <c r="AG280" s="5">
        <v>-2</v>
      </c>
      <c r="AH280" s="5"/>
      <c r="AI280" s="5">
        <v>-4</v>
      </c>
      <c r="AJ280" s="5"/>
      <c r="AK280" s="5"/>
      <c r="AL280" s="5"/>
      <c r="AM280" s="5"/>
      <c r="AN280" s="5"/>
      <c r="AO280" s="5"/>
      <c r="AP280" s="5" t="s">
        <v>1118</v>
      </c>
      <c r="AQ280" s="5"/>
      <c r="AR280" s="5" t="s">
        <v>1792</v>
      </c>
      <c r="AS280" s="5"/>
      <c r="AT280" s="5" t="s">
        <v>1119</v>
      </c>
      <c r="AU280" s="5" t="s">
        <v>1120</v>
      </c>
      <c r="AV280" s="5">
        <v>2</v>
      </c>
      <c r="AW280" s="7"/>
      <c r="AX280" s="5">
        <v>1</v>
      </c>
      <c r="AY280" s="5" t="s">
        <v>113</v>
      </c>
      <c r="AZ280" s="5" t="s">
        <v>45</v>
      </c>
      <c r="BA280" s="5" t="s">
        <v>45</v>
      </c>
      <c r="BB280" s="5" t="s">
        <v>45</v>
      </c>
      <c r="BM280" s="5" t="s">
        <v>1669</v>
      </c>
      <c r="BN280" s="5"/>
      <c r="BO280" s="5"/>
    </row>
    <row r="281" spans="1:67">
      <c r="A281" s="4" t="s">
        <v>1121</v>
      </c>
      <c r="B281" s="5"/>
      <c r="C281" s="5" t="s">
        <v>42</v>
      </c>
      <c r="D281" s="5" t="s">
        <v>92</v>
      </c>
      <c r="E281" s="5"/>
      <c r="F281" s="5"/>
      <c r="G281" s="5">
        <v>30</v>
      </c>
      <c r="H281" s="5"/>
      <c r="I281" s="5"/>
      <c r="J281" s="5"/>
      <c r="K281" s="5"/>
      <c r="L281" s="5"/>
      <c r="M281" s="5"/>
      <c r="N281" s="5"/>
      <c r="O281" s="5"/>
      <c r="P281" s="6" t="s">
        <v>1122</v>
      </c>
      <c r="Q281" s="5"/>
      <c r="R281" s="5"/>
      <c r="S281" s="5"/>
      <c r="T281" s="5"/>
      <c r="U281" s="7"/>
      <c r="V281" s="5" t="s">
        <v>1117</v>
      </c>
      <c r="W281" s="5" t="s">
        <v>45</v>
      </c>
      <c r="X281" s="5" t="s">
        <v>45</v>
      </c>
      <c r="Y281" s="5">
        <f>5+ClassLvl</f>
        <v>13</v>
      </c>
      <c r="Z281" s="5"/>
      <c r="AA281" s="5"/>
      <c r="AB281" s="5"/>
      <c r="AC281" s="5"/>
      <c r="AD281" s="5">
        <v>-2</v>
      </c>
      <c r="AE281" s="5">
        <v>2</v>
      </c>
      <c r="AF281" s="5">
        <v>-2</v>
      </c>
      <c r="AG281" s="5"/>
      <c r="AH281" s="5">
        <v>2</v>
      </c>
      <c r="AI281" s="5">
        <v>2</v>
      </c>
      <c r="AJ281" s="5"/>
      <c r="AK281" s="5"/>
      <c r="AL281" s="5"/>
      <c r="AM281" s="5"/>
      <c r="AN281" s="5"/>
      <c r="AO281" s="5"/>
      <c r="AP281" s="5" t="s">
        <v>1123</v>
      </c>
      <c r="AQ281" s="5"/>
      <c r="AR281" s="5"/>
      <c r="AS281" s="5"/>
      <c r="AT281" s="5" t="s">
        <v>1119</v>
      </c>
      <c r="AU281" s="5" t="s">
        <v>1120</v>
      </c>
      <c r="AV281" s="5">
        <f>CharLvl+1</f>
        <v>9</v>
      </c>
      <c r="AW281" s="7"/>
      <c r="AX281" s="5">
        <v>2</v>
      </c>
      <c r="AY281" s="5" t="s">
        <v>319</v>
      </c>
      <c r="AZ281" s="5" t="s">
        <v>45</v>
      </c>
      <c r="BA281" s="5" t="s">
        <v>45</v>
      </c>
      <c r="BB281" s="5" t="s">
        <v>45</v>
      </c>
      <c r="BM281" s="5" t="s">
        <v>1669</v>
      </c>
      <c r="BN281" s="5"/>
      <c r="BO281" s="5"/>
    </row>
    <row r="282" spans="1:67">
      <c r="A282" s="4" t="s">
        <v>1124</v>
      </c>
      <c r="B282" s="5"/>
      <c r="C282" s="5" t="s">
        <v>42</v>
      </c>
      <c r="D282" s="5" t="s">
        <v>43</v>
      </c>
      <c r="E282" s="5"/>
      <c r="F282" s="5">
        <v>2</v>
      </c>
      <c r="G282" s="5">
        <v>40</v>
      </c>
      <c r="H282" s="5"/>
      <c r="I282" s="5"/>
      <c r="J282" s="5"/>
      <c r="K282" s="5"/>
      <c r="L282" s="5"/>
      <c r="M282" s="5">
        <v>3</v>
      </c>
      <c r="N282" s="5" t="s">
        <v>1125</v>
      </c>
      <c r="O282" s="5"/>
      <c r="P282" s="6" t="s">
        <v>45</v>
      </c>
      <c r="Q282" s="5"/>
      <c r="R282" s="5"/>
      <c r="S282" s="5"/>
      <c r="T282" s="5">
        <v>60</v>
      </c>
      <c r="U282" s="7"/>
      <c r="V282" s="5" t="s">
        <v>411</v>
      </c>
      <c r="W282" s="5" t="s">
        <v>45</v>
      </c>
      <c r="X282" s="5" t="s">
        <v>45</v>
      </c>
      <c r="Y282" s="5"/>
      <c r="Z282" s="5"/>
      <c r="AA282" s="5"/>
      <c r="AB282" s="5"/>
      <c r="AC282" s="5"/>
      <c r="AD282" s="5">
        <v>2</v>
      </c>
      <c r="AE282" s="5">
        <v>4</v>
      </c>
      <c r="AF282" s="5"/>
      <c r="AG282" s="5">
        <v>-2</v>
      </c>
      <c r="AH282" s="5">
        <v>2</v>
      </c>
      <c r="AI282" s="5">
        <v>-4</v>
      </c>
      <c r="AJ282" s="5"/>
      <c r="AK282" s="5"/>
      <c r="AL282" s="5"/>
      <c r="AM282" s="5"/>
      <c r="AN282" s="5"/>
      <c r="AO282" s="5"/>
      <c r="AP282" s="5" t="s">
        <v>1126</v>
      </c>
      <c r="AQ282" s="5"/>
      <c r="AR282" s="5" t="s">
        <v>1774</v>
      </c>
      <c r="AS282" s="5" t="s">
        <v>1127</v>
      </c>
      <c r="AT282" s="5" t="s">
        <v>1128</v>
      </c>
      <c r="AU282" s="5" t="s">
        <v>1129</v>
      </c>
      <c r="AV282" s="5">
        <v>1</v>
      </c>
      <c r="AW282" s="7"/>
      <c r="AX282" s="5">
        <v>1</v>
      </c>
      <c r="AY282" s="5" t="s">
        <v>49</v>
      </c>
      <c r="AZ282" s="5" t="s">
        <v>1130</v>
      </c>
      <c r="BA282" s="5" t="s">
        <v>1131</v>
      </c>
      <c r="BB282" s="5" t="s">
        <v>1132</v>
      </c>
      <c r="BM282" s="5" t="s">
        <v>1614</v>
      </c>
      <c r="BN282" s="5">
        <v>195</v>
      </c>
      <c r="BO282" s="5" t="s">
        <v>1761</v>
      </c>
    </row>
    <row r="283" spans="1:67">
      <c r="A283" s="4" t="s">
        <v>1133</v>
      </c>
      <c r="B283" s="5"/>
      <c r="C283" s="5" t="s">
        <v>42</v>
      </c>
      <c r="D283" s="5" t="s">
        <v>43</v>
      </c>
      <c r="E283" s="5"/>
      <c r="F283" s="5">
        <v>2</v>
      </c>
      <c r="G283" s="5">
        <v>40</v>
      </c>
      <c r="H283" s="5"/>
      <c r="I283" s="5"/>
      <c r="J283" s="5"/>
      <c r="K283" s="5"/>
      <c r="L283" s="5"/>
      <c r="M283" s="5">
        <v>3</v>
      </c>
      <c r="N283" s="5" t="s">
        <v>1125</v>
      </c>
      <c r="O283" s="5"/>
      <c r="P283" s="6" t="s">
        <v>45</v>
      </c>
      <c r="Q283" s="5"/>
      <c r="R283" s="5"/>
      <c r="S283" s="5"/>
      <c r="T283" s="5">
        <v>60</v>
      </c>
      <c r="U283" s="7"/>
      <c r="V283" s="5" t="s">
        <v>411</v>
      </c>
      <c r="W283" s="5" t="s">
        <v>45</v>
      </c>
      <c r="X283" s="5" t="s">
        <v>45</v>
      </c>
      <c r="Y283" s="5"/>
      <c r="Z283" s="5"/>
      <c r="AA283" s="5"/>
      <c r="AB283" s="5"/>
      <c r="AC283" s="5"/>
      <c r="AD283" s="5">
        <v>2</v>
      </c>
      <c r="AE283" s="5">
        <v>4</v>
      </c>
      <c r="AF283" s="5"/>
      <c r="AG283" s="5">
        <v>-2</v>
      </c>
      <c r="AH283" s="5">
        <v>2</v>
      </c>
      <c r="AI283" s="5">
        <v>-4</v>
      </c>
      <c r="AJ283" s="5"/>
      <c r="AK283" s="5"/>
      <c r="AL283" s="5"/>
      <c r="AM283" s="5"/>
      <c r="AN283" s="5"/>
      <c r="AO283" s="5"/>
      <c r="AP283" s="5" t="s">
        <v>1126</v>
      </c>
      <c r="AQ283" s="5"/>
      <c r="AR283" s="5" t="s">
        <v>1774</v>
      </c>
      <c r="AS283" s="5" t="s">
        <v>1127</v>
      </c>
      <c r="AT283" s="5" t="s">
        <v>1128</v>
      </c>
      <c r="AU283" s="5" t="s">
        <v>1129</v>
      </c>
      <c r="AV283" s="5">
        <v>1</v>
      </c>
      <c r="AW283" s="7"/>
      <c r="AX283" s="5">
        <v>3</v>
      </c>
      <c r="AY283" s="5" t="s">
        <v>49</v>
      </c>
      <c r="AZ283" s="5" t="s">
        <v>45</v>
      </c>
      <c r="BA283" s="5" t="s">
        <v>45</v>
      </c>
      <c r="BB283" s="5" t="s">
        <v>45</v>
      </c>
      <c r="BM283" s="5" t="s">
        <v>1724</v>
      </c>
      <c r="BN283" s="5">
        <v>213</v>
      </c>
      <c r="BO283" s="5"/>
    </row>
    <row r="284" spans="1:67">
      <c r="A284" s="4" t="s">
        <v>1134</v>
      </c>
      <c r="B284" s="5"/>
      <c r="C284" s="5" t="s">
        <v>42</v>
      </c>
      <c r="D284" s="5" t="s">
        <v>51</v>
      </c>
      <c r="E284" s="5" t="s">
        <v>52</v>
      </c>
      <c r="F284" s="5"/>
      <c r="G284" s="5">
        <v>30</v>
      </c>
      <c r="H284" s="5"/>
      <c r="I284" s="5"/>
      <c r="J284" s="5">
        <f>G284*FtOutsiderWings</f>
        <v>0</v>
      </c>
      <c r="K284" s="5"/>
      <c r="L284" s="5"/>
      <c r="M284" s="5"/>
      <c r="N284" s="5"/>
      <c r="O284" s="5"/>
      <c r="P284" s="6" t="s">
        <v>121</v>
      </c>
      <c r="Q284" s="5"/>
      <c r="R284" s="5"/>
      <c r="S284" s="5"/>
      <c r="T284" s="5"/>
      <c r="U284" s="7"/>
      <c r="V284" s="5"/>
      <c r="W284" s="5" t="s">
        <v>45</v>
      </c>
      <c r="X284" s="5" t="str">
        <f>"cold "&amp;IF(TPgResistCell=3,10,5)&amp;", electricity "&amp;IF(TPgResistCell=4,10,5)&amp;", fire "&amp;IF(TPgResistCell=2,10,5)</f>
        <v>cold 5, electricity 5, fire 5</v>
      </c>
      <c r="Y284" s="5"/>
      <c r="Z284" s="5"/>
      <c r="AA284" s="5"/>
      <c r="AB284" s="5"/>
      <c r="AC284" s="5"/>
      <c r="AD284" s="5"/>
      <c r="AE284" s="5">
        <v>2</v>
      </c>
      <c r="AF284" s="5"/>
      <c r="AG284" s="5">
        <v>2</v>
      </c>
      <c r="AH284" s="5"/>
      <c r="AI284" s="5">
        <v>-2</v>
      </c>
      <c r="AJ284" s="5"/>
      <c r="AK284" s="5"/>
      <c r="AL284" s="5"/>
      <c r="AM284" s="5"/>
      <c r="AN284" s="5"/>
      <c r="AO284" s="5"/>
      <c r="AP284" s="5" t="s">
        <v>1135</v>
      </c>
      <c r="AQ284" s="5"/>
      <c r="AR284" s="5"/>
      <c r="AS284" s="5"/>
      <c r="AT284" s="5" t="s">
        <v>744</v>
      </c>
      <c r="AU284" s="5" t="s">
        <v>1136</v>
      </c>
      <c r="AV284" s="5"/>
      <c r="AW284" s="7"/>
      <c r="AX284" s="5">
        <v>1</v>
      </c>
      <c r="AY284" s="5" t="s">
        <v>95</v>
      </c>
      <c r="AZ284" s="5" t="s">
        <v>58</v>
      </c>
      <c r="BA284" s="5" t="s">
        <v>59</v>
      </c>
      <c r="BB284" s="5" t="s">
        <v>60</v>
      </c>
      <c r="BM284" s="5" t="s">
        <v>1716</v>
      </c>
      <c r="BN284" s="5">
        <v>107</v>
      </c>
      <c r="BO284" s="5" t="s">
        <v>1763</v>
      </c>
    </row>
    <row r="285" spans="1:67">
      <c r="A285" s="4" t="s">
        <v>1137</v>
      </c>
      <c r="B285" s="5"/>
      <c r="C285" s="5" t="s">
        <v>42</v>
      </c>
      <c r="D285" s="5" t="s">
        <v>92</v>
      </c>
      <c r="E285" s="5" t="s">
        <v>840</v>
      </c>
      <c r="F285" s="5">
        <v>2</v>
      </c>
      <c r="G285" s="5">
        <v>30</v>
      </c>
      <c r="H285" s="5"/>
      <c r="I285" s="5"/>
      <c r="J285" s="5"/>
      <c r="K285" s="5"/>
      <c r="L285" s="5"/>
      <c r="M285" s="5">
        <v>6</v>
      </c>
      <c r="N285" s="5" t="s">
        <v>287</v>
      </c>
      <c r="O285" s="5"/>
      <c r="P285" s="6" t="s">
        <v>45</v>
      </c>
      <c r="Q285" s="5"/>
      <c r="R285" s="5"/>
      <c r="S285" s="5"/>
      <c r="T285" s="5">
        <v>90</v>
      </c>
      <c r="U285" s="7"/>
      <c r="V285" s="5"/>
      <c r="W285" s="5" t="s">
        <v>45</v>
      </c>
      <c r="X285" s="5" t="s">
        <v>45</v>
      </c>
      <c r="Y285" s="5"/>
      <c r="Z285" s="5"/>
      <c r="AA285" s="5"/>
      <c r="AB285" s="5"/>
      <c r="AC285" s="5"/>
      <c r="AD285" s="5"/>
      <c r="AE285" s="5">
        <v>-2</v>
      </c>
      <c r="AF285" s="5">
        <v>4</v>
      </c>
      <c r="AG285" s="5">
        <v>-2</v>
      </c>
      <c r="AH285" s="5"/>
      <c r="AI285" s="5"/>
      <c r="AJ285" s="5"/>
      <c r="AK285" s="5"/>
      <c r="AL285" s="5"/>
      <c r="AM285" s="5"/>
      <c r="AN285" s="5"/>
      <c r="AO285" s="5"/>
      <c r="AP285" s="5" t="s">
        <v>1138</v>
      </c>
      <c r="AQ285" s="5"/>
      <c r="AR285" s="5"/>
      <c r="AS285" s="5" t="s">
        <v>848</v>
      </c>
      <c r="AT285" s="5" t="s">
        <v>318</v>
      </c>
      <c r="AU285" s="5" t="s">
        <v>1139</v>
      </c>
      <c r="AV285" s="5">
        <v>1</v>
      </c>
      <c r="AW285" s="7"/>
      <c r="AX285" s="5">
        <v>2</v>
      </c>
      <c r="AY285" s="5" t="s">
        <v>325</v>
      </c>
      <c r="AZ285" s="5" t="s">
        <v>45</v>
      </c>
      <c r="BA285" s="5" t="s">
        <v>45</v>
      </c>
      <c r="BB285" s="5" t="s">
        <v>45</v>
      </c>
      <c r="BM285" s="5" t="s">
        <v>1609</v>
      </c>
      <c r="BN285" s="5">
        <v>246</v>
      </c>
      <c r="BO285" s="5"/>
    </row>
    <row r="286" spans="1:67">
      <c r="A286" s="4" t="s">
        <v>1140</v>
      </c>
      <c r="B286" s="5"/>
      <c r="C286" s="5" t="s">
        <v>62</v>
      </c>
      <c r="D286" s="5" t="s">
        <v>173</v>
      </c>
      <c r="E286" s="5"/>
      <c r="F286" s="5">
        <v>6</v>
      </c>
      <c r="G286" s="5">
        <v>30</v>
      </c>
      <c r="H286" s="5"/>
      <c r="I286" s="5"/>
      <c r="J286" s="5"/>
      <c r="K286" s="5"/>
      <c r="L286" s="5"/>
      <c r="M286" s="5">
        <v>5</v>
      </c>
      <c r="N286" s="5" t="s">
        <v>287</v>
      </c>
      <c r="O286" s="5"/>
      <c r="P286" s="6" t="s">
        <v>45</v>
      </c>
      <c r="Q286" s="5"/>
      <c r="R286" s="5"/>
      <c r="S286" s="5" t="s">
        <v>77</v>
      </c>
      <c r="T286" s="5">
        <v>90</v>
      </c>
      <c r="U286" s="7"/>
      <c r="V286" s="5"/>
      <c r="W286" s="5" t="s">
        <v>45</v>
      </c>
      <c r="X286" s="5" t="s">
        <v>45</v>
      </c>
      <c r="Y286" s="5"/>
      <c r="Z286" s="5"/>
      <c r="AA286" s="5"/>
      <c r="AB286" s="5"/>
      <c r="AC286" s="5"/>
      <c r="AD286" s="5">
        <v>12</v>
      </c>
      <c r="AE286" s="5">
        <v>4</v>
      </c>
      <c r="AF286" s="5">
        <v>12</v>
      </c>
      <c r="AG286" s="5">
        <v>-4</v>
      </c>
      <c r="AH286" s="5">
        <v>-2</v>
      </c>
      <c r="AI286" s="5">
        <v>-4</v>
      </c>
      <c r="AJ286" s="5"/>
      <c r="AK286" s="5"/>
      <c r="AL286" s="5"/>
      <c r="AM286" s="5"/>
      <c r="AN286" s="5"/>
      <c r="AO286" s="5"/>
      <c r="AP286" s="5" t="s">
        <v>571</v>
      </c>
      <c r="AQ286" s="5"/>
      <c r="AR286" s="5"/>
      <c r="AS286" s="5"/>
      <c r="AT286" s="5" t="s">
        <v>173</v>
      </c>
      <c r="AU286" s="5" t="s">
        <v>190</v>
      </c>
      <c r="AV286" s="5">
        <v>5</v>
      </c>
      <c r="AW286" s="7"/>
      <c r="AX286" s="5">
        <v>5</v>
      </c>
      <c r="AY286" s="5" t="s">
        <v>113</v>
      </c>
      <c r="AZ286" s="5" t="s">
        <v>45</v>
      </c>
      <c r="BA286" s="5" t="s">
        <v>45</v>
      </c>
      <c r="BB286" s="5" t="s">
        <v>45</v>
      </c>
      <c r="BM286" s="5" t="s">
        <v>1609</v>
      </c>
      <c r="BN286" s="5">
        <v>247</v>
      </c>
      <c r="BO286" s="5"/>
    </row>
    <row r="287" spans="1:67">
      <c r="A287" s="4" t="s">
        <v>1141</v>
      </c>
      <c r="B287" s="5"/>
      <c r="C287" s="5" t="s">
        <v>62</v>
      </c>
      <c r="D287" s="5" t="s">
        <v>173</v>
      </c>
      <c r="E287" s="5"/>
      <c r="F287" s="5">
        <v>10</v>
      </c>
      <c r="G287" s="5">
        <v>30</v>
      </c>
      <c r="H287" s="5"/>
      <c r="I287" s="5"/>
      <c r="J287" s="5"/>
      <c r="K287" s="5"/>
      <c r="L287" s="5"/>
      <c r="M287" s="5">
        <v>7</v>
      </c>
      <c r="N287" s="5" t="s">
        <v>310</v>
      </c>
      <c r="O287" s="5"/>
      <c r="P287" s="6" t="s">
        <v>45</v>
      </c>
      <c r="Q287" s="5"/>
      <c r="R287" s="5"/>
      <c r="S287" s="5" t="s">
        <v>77</v>
      </c>
      <c r="T287" s="5">
        <v>90</v>
      </c>
      <c r="U287" s="7"/>
      <c r="V287" s="5" t="s">
        <v>1142</v>
      </c>
      <c r="W287" s="5" t="s">
        <v>926</v>
      </c>
      <c r="X287" s="5" t="s">
        <v>45</v>
      </c>
      <c r="Y287" s="5"/>
      <c r="Z287" s="5"/>
      <c r="AA287" s="5"/>
      <c r="AB287" s="5"/>
      <c r="AC287" s="5"/>
      <c r="AD287" s="5">
        <v>12</v>
      </c>
      <c r="AE287" s="5">
        <v>4</v>
      </c>
      <c r="AF287" s="5">
        <v>12</v>
      </c>
      <c r="AG287" s="5">
        <v>-4</v>
      </c>
      <c r="AH287" s="5">
        <v>-2</v>
      </c>
      <c r="AI287" s="5">
        <v>-2</v>
      </c>
      <c r="AJ287" s="5"/>
      <c r="AK287" s="5"/>
      <c r="AL287" s="5"/>
      <c r="AM287" s="5"/>
      <c r="AN287" s="5"/>
      <c r="AO287" s="5"/>
      <c r="AP287" s="5" t="s">
        <v>571</v>
      </c>
      <c r="AQ287" s="5"/>
      <c r="AR287" s="5"/>
      <c r="AS287" s="5"/>
      <c r="AT287" s="5" t="s">
        <v>173</v>
      </c>
      <c r="AU287" s="5" t="s">
        <v>190</v>
      </c>
      <c r="AV287" s="5">
        <v>7</v>
      </c>
      <c r="AW287" s="7"/>
      <c r="AX287" s="5">
        <v>5</v>
      </c>
      <c r="AY287" s="5" t="s">
        <v>113</v>
      </c>
      <c r="AZ287" s="5" t="s">
        <v>45</v>
      </c>
      <c r="BA287" s="5" t="s">
        <v>45</v>
      </c>
      <c r="BB287" s="5" t="s">
        <v>45</v>
      </c>
      <c r="BM287" s="5" t="s">
        <v>1718</v>
      </c>
      <c r="BN287" s="5">
        <v>178</v>
      </c>
      <c r="BO287" s="5"/>
    </row>
    <row r="288" spans="1:67">
      <c r="A288" s="4" t="s">
        <v>1143</v>
      </c>
      <c r="B288" s="5"/>
      <c r="C288" s="5" t="s">
        <v>85</v>
      </c>
      <c r="D288" s="5" t="s">
        <v>272</v>
      </c>
      <c r="E288" s="5"/>
      <c r="F288" s="5"/>
      <c r="G288" s="5">
        <v>20</v>
      </c>
      <c r="H288" s="5"/>
      <c r="I288" s="5"/>
      <c r="J288" s="5"/>
      <c r="K288" s="5"/>
      <c r="L288" s="5"/>
      <c r="M288" s="5"/>
      <c r="N288" s="5"/>
      <c r="O288" s="5"/>
      <c r="P288" s="6" t="s">
        <v>1144</v>
      </c>
      <c r="Q288" s="5"/>
      <c r="R288" s="5"/>
      <c r="S288" s="5" t="s">
        <v>77</v>
      </c>
      <c r="T288" s="5">
        <v>120</v>
      </c>
      <c r="U288" s="7"/>
      <c r="V288" s="5"/>
      <c r="W288" s="5" t="s">
        <v>45</v>
      </c>
      <c r="X288" s="5" t="s">
        <v>499</v>
      </c>
      <c r="Y288" s="5"/>
      <c r="Z288" s="5"/>
      <c r="AA288" s="5"/>
      <c r="AB288" s="5"/>
      <c r="AC288" s="5"/>
      <c r="AD288" s="5">
        <v>-2</v>
      </c>
      <c r="AE288" s="5"/>
      <c r="AF288" s="5">
        <v>2</v>
      </c>
      <c r="AG288" s="5"/>
      <c r="AH288" s="5">
        <v>2</v>
      </c>
      <c r="AI288" s="5"/>
      <c r="AJ288" s="5"/>
      <c r="AK288" s="5"/>
      <c r="AL288" s="5"/>
      <c r="AM288" s="5"/>
      <c r="AN288" s="5"/>
      <c r="AO288" s="5"/>
      <c r="AP288" s="5" t="s">
        <v>144</v>
      </c>
      <c r="AQ288" s="5"/>
      <c r="AR288" s="5"/>
      <c r="AS288" s="5"/>
      <c r="AT288" s="5" t="s">
        <v>345</v>
      </c>
      <c r="AU288" s="5" t="s">
        <v>104</v>
      </c>
      <c r="AV288" s="5"/>
      <c r="AW288" s="7"/>
      <c r="AX288" s="5">
        <v>1</v>
      </c>
      <c r="AY288" s="5" t="s">
        <v>72</v>
      </c>
      <c r="AZ288" s="5" t="s">
        <v>1145</v>
      </c>
      <c r="BA288" s="5" t="s">
        <v>1146</v>
      </c>
      <c r="BB288" s="5" t="s">
        <v>1147</v>
      </c>
      <c r="BM288" s="5" t="s">
        <v>1731</v>
      </c>
      <c r="BN288" s="5">
        <v>158</v>
      </c>
      <c r="BO288" s="5"/>
    </row>
    <row r="289" spans="1:67">
      <c r="A289" s="4" t="s">
        <v>1148</v>
      </c>
      <c r="B289" s="5"/>
      <c r="C289" s="5" t="s">
        <v>42</v>
      </c>
      <c r="D289" s="5" t="s">
        <v>43</v>
      </c>
      <c r="E289" s="5" t="s">
        <v>1149</v>
      </c>
      <c r="F289" s="5">
        <v>4</v>
      </c>
      <c r="G289" s="5"/>
      <c r="H289" s="5"/>
      <c r="I289" s="5"/>
      <c r="J289" s="5">
        <v>30</v>
      </c>
      <c r="K289" s="5" t="s">
        <v>472</v>
      </c>
      <c r="L289" s="5"/>
      <c r="M289" s="5"/>
      <c r="N289" s="5" t="s">
        <v>1150</v>
      </c>
      <c r="O289" s="5"/>
      <c r="P289" s="6" t="s">
        <v>45</v>
      </c>
      <c r="Q289" s="5"/>
      <c r="R289" s="5"/>
      <c r="S289" s="5"/>
      <c r="T289" s="5">
        <v>60</v>
      </c>
      <c r="U289" s="7"/>
      <c r="V289" s="5"/>
      <c r="W289" s="5" t="s">
        <v>45</v>
      </c>
      <c r="X289" s="5" t="s">
        <v>45</v>
      </c>
      <c r="Y289" s="5"/>
      <c r="Z289" s="5"/>
      <c r="AA289" s="5"/>
      <c r="AB289" s="5"/>
      <c r="AC289" s="5"/>
      <c r="AD289" s="5"/>
      <c r="AE289" s="5">
        <v>2</v>
      </c>
      <c r="AF289" s="5">
        <v>2</v>
      </c>
      <c r="AG289" s="5">
        <v>4</v>
      </c>
      <c r="AH289" s="5">
        <v>4</v>
      </c>
      <c r="AI289" s="5">
        <v>4</v>
      </c>
      <c r="AJ289" s="5"/>
      <c r="AK289" s="5"/>
      <c r="AL289" s="5"/>
      <c r="AM289" s="5"/>
      <c r="AN289" s="5"/>
      <c r="AO289" s="5"/>
      <c r="AP289" s="5" t="s">
        <v>281</v>
      </c>
      <c r="AQ289" s="5"/>
      <c r="AR289" s="5"/>
      <c r="AS289" s="5"/>
      <c r="AT289" s="5"/>
      <c r="AU289" s="5" t="s">
        <v>502</v>
      </c>
      <c r="AV289" s="5"/>
      <c r="AW289" s="7"/>
      <c r="AX289" s="5">
        <v>4</v>
      </c>
      <c r="AY289" s="5" t="s">
        <v>1151</v>
      </c>
      <c r="AZ289" s="5" t="s">
        <v>45</v>
      </c>
      <c r="BA289" s="5" t="s">
        <v>45</v>
      </c>
      <c r="BB289" s="5" t="s">
        <v>45</v>
      </c>
      <c r="BM289" s="5" t="s">
        <v>1724</v>
      </c>
      <c r="BN289" s="5">
        <v>215</v>
      </c>
      <c r="BO289" s="5"/>
    </row>
    <row r="290" spans="1:67">
      <c r="A290" s="4" t="s">
        <v>1152</v>
      </c>
      <c r="B290" s="5"/>
      <c r="C290" s="5" t="s">
        <v>42</v>
      </c>
      <c r="D290" s="5" t="s">
        <v>92</v>
      </c>
      <c r="E290" s="5" t="s">
        <v>753</v>
      </c>
      <c r="F290" s="5"/>
      <c r="G290" s="5">
        <v>30</v>
      </c>
      <c r="H290" s="5"/>
      <c r="I290" s="5"/>
      <c r="J290" s="5"/>
      <c r="K290" s="5"/>
      <c r="L290" s="5"/>
      <c r="M290" s="5"/>
      <c r="N290" s="5"/>
      <c r="O290" s="5"/>
      <c r="P290" s="6" t="s">
        <v>45</v>
      </c>
      <c r="Q290" s="5"/>
      <c r="R290" s="5"/>
      <c r="S290" s="5"/>
      <c r="T290" s="5">
        <v>60</v>
      </c>
      <c r="U290" s="7"/>
      <c r="V290" s="5"/>
      <c r="W290" s="5" t="s">
        <v>45</v>
      </c>
      <c r="X290" s="5" t="s">
        <v>45</v>
      </c>
      <c r="Y290" s="5"/>
      <c r="Z290" s="5"/>
      <c r="AA290" s="5"/>
      <c r="AB290" s="5"/>
      <c r="AC290" s="5"/>
      <c r="AD290" s="5"/>
      <c r="AE290" s="5"/>
      <c r="AF290" s="5"/>
      <c r="AG290" s="5"/>
      <c r="AH290" s="5"/>
      <c r="AI290" s="5"/>
      <c r="AJ290" s="5"/>
      <c r="AK290" s="5"/>
      <c r="AL290" s="5"/>
      <c r="AM290" s="5"/>
      <c r="AN290" s="5"/>
      <c r="AO290" s="5"/>
      <c r="AP290" s="5" t="s">
        <v>1138</v>
      </c>
      <c r="AQ290" s="5"/>
      <c r="AR290" s="5"/>
      <c r="AS290" s="5"/>
      <c r="AT290" s="5" t="s">
        <v>102</v>
      </c>
      <c r="AU290" s="5" t="s">
        <v>1153</v>
      </c>
      <c r="AV290" s="5"/>
      <c r="AW290" s="7"/>
      <c r="AX290" s="5"/>
      <c r="AY290" s="5" t="s">
        <v>104</v>
      </c>
      <c r="AZ290" s="5" t="s">
        <v>105</v>
      </c>
      <c r="BA290" s="5" t="s">
        <v>1154</v>
      </c>
      <c r="BB290" s="5" t="s">
        <v>427</v>
      </c>
      <c r="BM290" s="5" t="s">
        <v>1716</v>
      </c>
      <c r="BN290" s="5">
        <v>108</v>
      </c>
      <c r="BO290" s="5"/>
    </row>
    <row r="291" spans="1:67">
      <c r="A291" s="4" t="s">
        <v>1155</v>
      </c>
      <c r="B291" s="5"/>
      <c r="C291" s="5" t="s">
        <v>62</v>
      </c>
      <c r="D291" s="5" t="s">
        <v>43</v>
      </c>
      <c r="E291" s="5"/>
      <c r="F291" s="5">
        <v>5</v>
      </c>
      <c r="G291" s="5">
        <v>30</v>
      </c>
      <c r="H291" s="5"/>
      <c r="I291" s="5"/>
      <c r="J291" s="5"/>
      <c r="K291" s="5"/>
      <c r="L291" s="5"/>
      <c r="M291" s="5">
        <v>4</v>
      </c>
      <c r="N291" s="5" t="s">
        <v>1156</v>
      </c>
      <c r="O291" s="5"/>
      <c r="P291" s="6" t="s">
        <v>45</v>
      </c>
      <c r="Q291" s="5"/>
      <c r="R291" s="5"/>
      <c r="S291" s="5"/>
      <c r="T291" s="5">
        <v>60</v>
      </c>
      <c r="U291" s="7"/>
      <c r="V291" s="5"/>
      <c r="W291" s="5" t="s">
        <v>45</v>
      </c>
      <c r="X291" s="5" t="s">
        <v>719</v>
      </c>
      <c r="Y291" s="5"/>
      <c r="Z291" s="5"/>
      <c r="AA291" s="5"/>
      <c r="AB291" s="5"/>
      <c r="AC291" s="5"/>
      <c r="AD291" s="5">
        <v>10</v>
      </c>
      <c r="AE291" s="5">
        <v>2</v>
      </c>
      <c r="AF291" s="5">
        <v>6</v>
      </c>
      <c r="AG291" s="5">
        <v>-2</v>
      </c>
      <c r="AH291" s="5">
        <v>2</v>
      </c>
      <c r="AI291" s="5">
        <v>-4</v>
      </c>
      <c r="AJ291" s="5"/>
      <c r="AK291" s="5"/>
      <c r="AL291" s="5"/>
      <c r="AM291" s="5"/>
      <c r="AN291" s="5"/>
      <c r="AO291" s="5"/>
      <c r="AP291" s="5" t="s">
        <v>1157</v>
      </c>
      <c r="AQ291" s="5"/>
      <c r="AR291" s="5"/>
      <c r="AS291" s="5"/>
      <c r="AT291" s="5" t="s">
        <v>1155</v>
      </c>
      <c r="AU291" s="5" t="s">
        <v>1158</v>
      </c>
      <c r="AV291" s="5">
        <v>4</v>
      </c>
      <c r="AW291" s="7"/>
      <c r="AX291" s="5">
        <v>2</v>
      </c>
      <c r="AY291" s="5" t="s">
        <v>49</v>
      </c>
      <c r="AZ291" s="5" t="s">
        <v>45</v>
      </c>
      <c r="BA291" s="5" t="s">
        <v>45</v>
      </c>
      <c r="BB291" s="5" t="s">
        <v>45</v>
      </c>
      <c r="BM291" s="5" t="s">
        <v>1669</v>
      </c>
      <c r="BN291" s="5"/>
      <c r="BO291" s="5"/>
    </row>
    <row r="292" spans="1:67">
      <c r="A292" s="4" t="s">
        <v>1159</v>
      </c>
      <c r="B292" s="5"/>
      <c r="C292" s="5" t="s">
        <v>42</v>
      </c>
      <c r="D292" s="5" t="s">
        <v>92</v>
      </c>
      <c r="E292" s="5"/>
      <c r="F292" s="5"/>
      <c r="G292" s="5">
        <v>30</v>
      </c>
      <c r="H292" s="5"/>
      <c r="I292" s="5">
        <v>20</v>
      </c>
      <c r="J292" s="5"/>
      <c r="K292" s="5"/>
      <c r="L292" s="5"/>
      <c r="M292" s="5"/>
      <c r="N292" s="5"/>
      <c r="O292" s="5"/>
      <c r="P292" s="6"/>
      <c r="Q292" s="5"/>
      <c r="R292" s="5"/>
      <c r="S292" s="5"/>
      <c r="T292" s="5"/>
      <c r="U292" s="7"/>
      <c r="V292" s="5"/>
      <c r="W292" s="5"/>
      <c r="X292" s="5"/>
      <c r="Y292" s="5"/>
      <c r="Z292" s="5"/>
      <c r="AA292" s="5"/>
      <c r="AB292" s="5"/>
      <c r="AC292" s="5"/>
      <c r="AD292" s="5"/>
      <c r="AE292" s="5"/>
      <c r="AF292" s="5"/>
      <c r="AG292" s="5"/>
      <c r="AH292" s="5"/>
      <c r="AI292" s="5"/>
      <c r="AJ292" s="5"/>
      <c r="AK292" s="5"/>
      <c r="AL292" s="5"/>
      <c r="AM292" s="5"/>
      <c r="AN292" s="5"/>
      <c r="AO292" s="5"/>
      <c r="AP292" s="5" t="s">
        <v>1160</v>
      </c>
      <c r="AQ292" s="5"/>
      <c r="AR292" s="5"/>
      <c r="AS292" s="5"/>
      <c r="AT292" s="5" t="s">
        <v>1161</v>
      </c>
      <c r="AU292" s="5" t="s">
        <v>1162</v>
      </c>
      <c r="AV292" s="5"/>
      <c r="AW292" s="7"/>
      <c r="AX292" s="5"/>
      <c r="AY292" s="5" t="s">
        <v>1163</v>
      </c>
      <c r="AZ292" s="5" t="s">
        <v>214</v>
      </c>
      <c r="BA292" s="5" t="s">
        <v>1164</v>
      </c>
      <c r="BB292" s="5" t="s">
        <v>1165</v>
      </c>
      <c r="BM292" s="5" t="s">
        <v>1621</v>
      </c>
      <c r="BN292" s="5">
        <v>15</v>
      </c>
      <c r="BO292" s="5"/>
    </row>
    <row r="293" spans="1:67">
      <c r="A293" s="4" t="s">
        <v>1166</v>
      </c>
      <c r="B293" s="5"/>
      <c r="C293" s="5" t="s">
        <v>42</v>
      </c>
      <c r="D293" s="5" t="s">
        <v>92</v>
      </c>
      <c r="E293" s="5" t="s">
        <v>143</v>
      </c>
      <c r="F293" s="5">
        <f>1+1*(MCCell&gt;1)+1*(MCCell&gt;3)</f>
        <v>1</v>
      </c>
      <c r="G293" s="5">
        <v>40</v>
      </c>
      <c r="H293" s="5"/>
      <c r="I293" s="5"/>
      <c r="J293" s="5"/>
      <c r="K293" s="5"/>
      <c r="L293" s="5"/>
      <c r="M293" s="5">
        <f>1+1*(MCCell&gt;2)+1*(MCCell&gt;4)</f>
        <v>1</v>
      </c>
      <c r="N293" s="5"/>
      <c r="O293" s="5"/>
      <c r="P293" s="6" t="s">
        <v>45</v>
      </c>
      <c r="Q293" s="5"/>
      <c r="R293" s="5"/>
      <c r="S293" s="5"/>
      <c r="T293" s="5">
        <v>60</v>
      </c>
      <c r="U293" s="7"/>
      <c r="V293" s="5"/>
      <c r="W293" s="5" t="s">
        <v>45</v>
      </c>
      <c r="X293" s="5" t="s">
        <v>45</v>
      </c>
      <c r="Y293" s="5"/>
      <c r="Z293" s="5"/>
      <c r="AA293" s="5"/>
      <c r="AB293" s="5"/>
      <c r="AC293" s="5"/>
      <c r="AD293" s="5">
        <f>2+2*(MCCell&gt;4)</f>
        <v>2</v>
      </c>
      <c r="AE293" s="5">
        <f>2*(MCCell&gt;1)+2*(MCCell&gt;3)</f>
        <v>0</v>
      </c>
      <c r="AF293" s="5">
        <f>2*(MCCell&gt;2)</f>
        <v>0</v>
      </c>
      <c r="AG293" s="5">
        <v>-4</v>
      </c>
      <c r="AH293" s="5"/>
      <c r="AI293" s="5"/>
      <c r="AJ293" s="5"/>
      <c r="AK293" s="5"/>
      <c r="AL293" s="5"/>
      <c r="AM293" s="5"/>
      <c r="AN293" s="5"/>
      <c r="AO293" s="5"/>
      <c r="AP293" s="5" t="s">
        <v>1167</v>
      </c>
      <c r="AQ293" s="5"/>
      <c r="AR293" s="5"/>
      <c r="AS293" s="5" t="str">
        <f>IF(MCCell&gt;4,"Run, Sneak Attack",IF(MCCell&gt;1,"Run",""))</f>
        <v/>
      </c>
      <c r="AT293" s="5" t="s">
        <v>625</v>
      </c>
      <c r="AU293" s="5" t="s">
        <v>1168</v>
      </c>
      <c r="AV293" s="5">
        <f>1*(MCCell&gt;2)</f>
        <v>0</v>
      </c>
      <c r="AW293" s="7"/>
      <c r="AX293" s="5">
        <f>1+1*(MCCell&gt;2)</f>
        <v>1</v>
      </c>
      <c r="AY293" s="5" t="s">
        <v>1169</v>
      </c>
      <c r="AZ293" s="5" t="s">
        <v>45</v>
      </c>
      <c r="BA293" s="5" t="s">
        <v>45</v>
      </c>
      <c r="BB293" s="5" t="s">
        <v>45</v>
      </c>
      <c r="BM293" s="5" t="s">
        <v>1623</v>
      </c>
      <c r="BN293" s="5"/>
      <c r="BO293" s="5"/>
    </row>
    <row r="294" spans="1:67">
      <c r="A294" s="4" t="s">
        <v>1170</v>
      </c>
      <c r="B294" s="5"/>
      <c r="C294" s="5" t="s">
        <v>42</v>
      </c>
      <c r="D294" s="5" t="s">
        <v>873</v>
      </c>
      <c r="E294" s="5" t="s">
        <v>1171</v>
      </c>
      <c r="F294" s="5"/>
      <c r="G294" s="5">
        <v>30</v>
      </c>
      <c r="H294" s="5"/>
      <c r="I294" s="5"/>
      <c r="J294" s="5"/>
      <c r="K294" s="5"/>
      <c r="L294" s="5"/>
      <c r="M294" s="5"/>
      <c r="N294" s="5" t="s">
        <v>520</v>
      </c>
      <c r="O294" s="5"/>
      <c r="P294" s="6" t="s">
        <v>45</v>
      </c>
      <c r="Q294" s="5"/>
      <c r="R294" s="5"/>
      <c r="S294" s="5"/>
      <c r="T294" s="5"/>
      <c r="U294" s="7"/>
      <c r="V294" s="5"/>
      <c r="W294" s="5" t="s">
        <v>45</v>
      </c>
      <c r="X294" s="5" t="s">
        <v>45</v>
      </c>
      <c r="Y294" s="5"/>
      <c r="Z294" s="5"/>
      <c r="AA294" s="5"/>
      <c r="AB294" s="5"/>
      <c r="AC294" s="5"/>
      <c r="AD294" s="5"/>
      <c r="AE294" s="5"/>
      <c r="AF294" s="5">
        <v>2</v>
      </c>
      <c r="AG294" s="5"/>
      <c r="AH294" s="5">
        <v>-2</v>
      </c>
      <c r="AI294" s="5">
        <v>-2</v>
      </c>
      <c r="AJ294" s="5"/>
      <c r="AK294" s="5"/>
      <c r="AL294" s="5"/>
      <c r="AM294" s="5"/>
      <c r="AN294" s="5"/>
      <c r="AO294" s="5"/>
      <c r="AP294" s="5"/>
      <c r="AQ294" s="5"/>
      <c r="AR294" s="5"/>
      <c r="AS294" s="5"/>
      <c r="AT294" s="5" t="s">
        <v>102</v>
      </c>
      <c r="AU294" s="5" t="s">
        <v>502</v>
      </c>
      <c r="AV294" s="5"/>
      <c r="AW294" s="7"/>
      <c r="AX294" s="5"/>
      <c r="AY294" s="5" t="s">
        <v>113</v>
      </c>
      <c r="AZ294" s="5" t="s">
        <v>1172</v>
      </c>
      <c r="BA294" s="5" t="s">
        <v>1173</v>
      </c>
      <c r="BB294" s="5" t="s">
        <v>1174</v>
      </c>
      <c r="BM294" s="5" t="s">
        <v>1718</v>
      </c>
      <c r="BN294" s="5">
        <v>190</v>
      </c>
      <c r="BO294" s="5" t="s">
        <v>1728</v>
      </c>
    </row>
    <row r="295" spans="1:67">
      <c r="A295" s="4" t="s">
        <v>1175</v>
      </c>
      <c r="B295" s="5"/>
      <c r="C295" s="5" t="s">
        <v>62</v>
      </c>
      <c r="D295" s="5" t="s">
        <v>873</v>
      </c>
      <c r="E295" s="5" t="s">
        <v>1171</v>
      </c>
      <c r="F295" s="5">
        <v>4</v>
      </c>
      <c r="G295" s="5">
        <v>30</v>
      </c>
      <c r="H295" s="5"/>
      <c r="I295" s="5"/>
      <c r="J295" s="5"/>
      <c r="K295" s="5"/>
      <c r="L295" s="5"/>
      <c r="M295" s="5"/>
      <c r="N295" s="5" t="s">
        <v>1176</v>
      </c>
      <c r="O295" s="5"/>
      <c r="P295" s="6" t="s">
        <v>45</v>
      </c>
      <c r="Q295" s="5"/>
      <c r="R295" s="5"/>
      <c r="S295" s="5"/>
      <c r="T295" s="5"/>
      <c r="U295" s="7"/>
      <c r="V295" s="5"/>
      <c r="W295" s="5" t="s">
        <v>45</v>
      </c>
      <c r="X295" s="5" t="s">
        <v>45</v>
      </c>
      <c r="Y295" s="5"/>
      <c r="Z295" s="5"/>
      <c r="AA295" s="5"/>
      <c r="AB295" s="5"/>
      <c r="AC295" s="5"/>
      <c r="AD295" s="5">
        <v>10</v>
      </c>
      <c r="AE295" s="5"/>
      <c r="AF295" s="5">
        <v>10</v>
      </c>
      <c r="AG295" s="5">
        <v>-6</v>
      </c>
      <c r="AH295" s="5">
        <v>-4</v>
      </c>
      <c r="AI295" s="5">
        <v>-8</v>
      </c>
      <c r="AJ295" s="5"/>
      <c r="AK295" s="5"/>
      <c r="AL295" s="5"/>
      <c r="AM295" s="5"/>
      <c r="AN295" s="5"/>
      <c r="AO295" s="5"/>
      <c r="AP295" s="5" t="s">
        <v>1177</v>
      </c>
      <c r="AQ295" s="5"/>
      <c r="AR295" s="5"/>
      <c r="AS295" s="5" t="s">
        <v>1178</v>
      </c>
      <c r="AT295" s="5" t="s">
        <v>102</v>
      </c>
      <c r="AU295" s="5"/>
      <c r="AV295" s="5">
        <v>5</v>
      </c>
      <c r="AW295" s="7"/>
      <c r="AX295" s="5">
        <v>4</v>
      </c>
      <c r="AY295" s="5" t="s">
        <v>113</v>
      </c>
      <c r="AZ295" s="5" t="s">
        <v>45</v>
      </c>
      <c r="BA295" s="5" t="s">
        <v>45</v>
      </c>
      <c r="BB295" s="5" t="s">
        <v>45</v>
      </c>
      <c r="BM295" s="5" t="s">
        <v>1718</v>
      </c>
      <c r="BN295" s="5">
        <v>191</v>
      </c>
      <c r="BO295" s="5"/>
    </row>
    <row r="296" spans="1:67">
      <c r="A296" s="4" t="s">
        <v>1179</v>
      </c>
      <c r="B296" s="5"/>
      <c r="C296" s="5" t="s">
        <v>85</v>
      </c>
      <c r="D296" s="5" t="s">
        <v>873</v>
      </c>
      <c r="E296" s="5" t="s">
        <v>1171</v>
      </c>
      <c r="F296" s="5"/>
      <c r="G296" s="5">
        <v>20</v>
      </c>
      <c r="H296" s="5"/>
      <c r="I296" s="5"/>
      <c r="J296" s="5"/>
      <c r="K296" s="5"/>
      <c r="L296" s="5"/>
      <c r="M296" s="5"/>
      <c r="N296" s="5"/>
      <c r="O296" s="5"/>
      <c r="P296" s="6" t="s">
        <v>45</v>
      </c>
      <c r="Q296" s="5"/>
      <c r="R296" s="5"/>
      <c r="S296" s="5"/>
      <c r="T296" s="5"/>
      <c r="U296" s="7"/>
      <c r="V296" s="5"/>
      <c r="W296" s="5" t="s">
        <v>45</v>
      </c>
      <c r="X296" s="5" t="s">
        <v>45</v>
      </c>
      <c r="Y296" s="5"/>
      <c r="Z296" s="5"/>
      <c r="AA296" s="5"/>
      <c r="AB296" s="5"/>
      <c r="AC296" s="5"/>
      <c r="AD296" s="5">
        <v>-2</v>
      </c>
      <c r="AE296" s="5">
        <v>2</v>
      </c>
      <c r="AF296" s="5"/>
      <c r="AG296" s="5"/>
      <c r="AH296" s="5">
        <v>-2</v>
      </c>
      <c r="AI296" s="5">
        <v>-2</v>
      </c>
      <c r="AJ296" s="5"/>
      <c r="AK296" s="5"/>
      <c r="AL296" s="5"/>
      <c r="AM296" s="5"/>
      <c r="AN296" s="5"/>
      <c r="AO296" s="5"/>
      <c r="AP296" s="5" t="s">
        <v>1180</v>
      </c>
      <c r="AQ296" s="5"/>
      <c r="AR296" s="5"/>
      <c r="AS296" s="5"/>
      <c r="AT296" s="5" t="s">
        <v>102</v>
      </c>
      <c r="AU296" s="5"/>
      <c r="AV296" s="5"/>
      <c r="AW296" s="7"/>
      <c r="AX296" s="5"/>
      <c r="AY296" s="5" t="s">
        <v>95</v>
      </c>
      <c r="AZ296" s="5" t="s">
        <v>45</v>
      </c>
      <c r="BA296" s="5" t="s">
        <v>45</v>
      </c>
      <c r="BB296" s="5" t="s">
        <v>45</v>
      </c>
      <c r="BM296" s="5" t="s">
        <v>1718</v>
      </c>
      <c r="BN296" s="5">
        <v>193</v>
      </c>
      <c r="BO296" s="5"/>
    </row>
    <row r="297" spans="1:67">
      <c r="A297" s="4" t="s">
        <v>1181</v>
      </c>
      <c r="B297" s="5"/>
      <c r="C297" s="5" t="s">
        <v>62</v>
      </c>
      <c r="D297" s="5" t="s">
        <v>43</v>
      </c>
      <c r="E297" s="5"/>
      <c r="F297" s="5">
        <v>5</v>
      </c>
      <c r="G297" s="5">
        <v>40</v>
      </c>
      <c r="H297" s="5"/>
      <c r="I297" s="5"/>
      <c r="J297" s="5"/>
      <c r="K297" s="5"/>
      <c r="L297" s="5"/>
      <c r="M297" s="5">
        <v>4</v>
      </c>
      <c r="N297" s="5" t="s">
        <v>810</v>
      </c>
      <c r="O297" s="5"/>
      <c r="P297" s="6" t="s">
        <v>45</v>
      </c>
      <c r="Q297" s="5"/>
      <c r="R297" s="5"/>
      <c r="S297" s="5"/>
      <c r="T297" s="5">
        <v>60</v>
      </c>
      <c r="U297" s="7"/>
      <c r="V297" s="5"/>
      <c r="W297" s="5" t="s">
        <v>45</v>
      </c>
      <c r="X297" s="5" t="s">
        <v>45</v>
      </c>
      <c r="Y297" s="5"/>
      <c r="Z297" s="5"/>
      <c r="AA297" s="5"/>
      <c r="AB297" s="5"/>
      <c r="AC297" s="5"/>
      <c r="AD297" s="5">
        <v>8</v>
      </c>
      <c r="AE297" s="5">
        <v>2</v>
      </c>
      <c r="AF297" s="5">
        <v>2</v>
      </c>
      <c r="AG297" s="5"/>
      <c r="AH297" s="5"/>
      <c r="AI297" s="5">
        <v>-2</v>
      </c>
      <c r="AJ297" s="5"/>
      <c r="AK297" s="5"/>
      <c r="AL297" s="5"/>
      <c r="AM297" s="5"/>
      <c r="AN297" s="5"/>
      <c r="AO297" s="5"/>
      <c r="AP297" s="5" t="s">
        <v>1182</v>
      </c>
      <c r="AQ297" s="5"/>
      <c r="AR297" s="5"/>
      <c r="AS297" s="5"/>
      <c r="AT297" s="5" t="s">
        <v>1183</v>
      </c>
      <c r="AU297" s="5" t="s">
        <v>235</v>
      </c>
      <c r="AV297" s="5"/>
      <c r="AW297" s="7"/>
      <c r="AX297" s="5">
        <v>3</v>
      </c>
      <c r="AY297" s="5" t="s">
        <v>125</v>
      </c>
      <c r="AZ297" s="5" t="s">
        <v>45</v>
      </c>
      <c r="BA297" s="5" t="s">
        <v>45</v>
      </c>
      <c r="BB297" s="5" t="s">
        <v>45</v>
      </c>
      <c r="BM297" s="5" t="s">
        <v>1625</v>
      </c>
      <c r="BN297" s="5"/>
      <c r="BO297" s="5" t="s">
        <v>1715</v>
      </c>
    </row>
    <row r="298" spans="1:67">
      <c r="A298" s="4" t="s">
        <v>1184</v>
      </c>
      <c r="B298" s="5"/>
      <c r="C298" s="5" t="s">
        <v>42</v>
      </c>
      <c r="D298" s="5" t="s">
        <v>51</v>
      </c>
      <c r="E298" s="5" t="s">
        <v>136</v>
      </c>
      <c r="F298" s="5"/>
      <c r="G298" s="5">
        <v>20</v>
      </c>
      <c r="H298" s="5">
        <v>10</v>
      </c>
      <c r="I298" s="5"/>
      <c r="J298" s="5"/>
      <c r="K298" s="5"/>
      <c r="L298" s="5"/>
      <c r="M298" s="5"/>
      <c r="N298" s="5" t="s">
        <v>810</v>
      </c>
      <c r="O298" s="5"/>
      <c r="P298" s="6" t="s">
        <v>45</v>
      </c>
      <c r="Q298" s="5"/>
      <c r="R298" s="5"/>
      <c r="S298" s="5"/>
      <c r="T298" s="5"/>
      <c r="U298" s="7"/>
      <c r="V298" s="5"/>
      <c r="W298" s="5" t="s">
        <v>45</v>
      </c>
      <c r="X298" s="5" t="s">
        <v>45</v>
      </c>
      <c r="Y298" s="5"/>
      <c r="Z298" s="5"/>
      <c r="AA298" s="5"/>
      <c r="AB298" s="5"/>
      <c r="AC298" s="5"/>
      <c r="AD298" s="5"/>
      <c r="AE298" s="5">
        <v>-2</v>
      </c>
      <c r="AF298" s="5">
        <v>4</v>
      </c>
      <c r="AG298" s="5"/>
      <c r="AH298" s="5"/>
      <c r="AI298" s="5">
        <v>-2</v>
      </c>
      <c r="AJ298" s="5"/>
      <c r="AK298" s="5"/>
      <c r="AL298" s="5"/>
      <c r="AM298" s="5"/>
      <c r="AN298" s="5"/>
      <c r="AO298" s="5"/>
      <c r="AP298" s="5"/>
      <c r="AQ298" s="5"/>
      <c r="AR298" s="5"/>
      <c r="AS298" s="5"/>
      <c r="AT298" s="5" t="s">
        <v>356</v>
      </c>
      <c r="AU298" s="5" t="s">
        <v>1185</v>
      </c>
      <c r="AV298" s="5"/>
      <c r="AW298" s="7"/>
      <c r="AX298" s="5">
        <v>1</v>
      </c>
      <c r="AY298" s="5" t="s">
        <v>125</v>
      </c>
      <c r="AZ298" s="5" t="s">
        <v>1186</v>
      </c>
      <c r="BA298" s="5" t="s">
        <v>1187</v>
      </c>
      <c r="BB298" s="5" t="s">
        <v>1188</v>
      </c>
      <c r="BM298" s="5" t="s">
        <v>1613</v>
      </c>
      <c r="BN298" s="5"/>
      <c r="BO298" s="5"/>
    </row>
    <row r="299" spans="1:67">
      <c r="A299" s="4" t="s">
        <v>1189</v>
      </c>
      <c r="B299" s="5"/>
      <c r="C299" s="5" t="s">
        <v>85</v>
      </c>
      <c r="D299" s="5" t="s">
        <v>51</v>
      </c>
      <c r="E299" s="5" t="s">
        <v>136</v>
      </c>
      <c r="F299" s="5">
        <v>2</v>
      </c>
      <c r="G299" s="5">
        <v>10</v>
      </c>
      <c r="H299" s="5"/>
      <c r="I299" s="5">
        <v>10</v>
      </c>
      <c r="J299" s="5">
        <v>40</v>
      </c>
      <c r="K299" s="5" t="s">
        <v>472</v>
      </c>
      <c r="L299" s="5"/>
      <c r="M299" s="5"/>
      <c r="N299" s="5" t="s">
        <v>1190</v>
      </c>
      <c r="O299" s="5"/>
      <c r="P299" s="6" t="s">
        <v>45</v>
      </c>
      <c r="Q299" s="5"/>
      <c r="R299" s="5"/>
      <c r="S299" s="5"/>
      <c r="T299" s="5"/>
      <c r="U299" s="7"/>
      <c r="V299" s="5"/>
      <c r="W299" s="5" t="s">
        <v>45</v>
      </c>
      <c r="X299" s="5" t="s">
        <v>45</v>
      </c>
      <c r="Y299" s="5"/>
      <c r="Z299" s="5"/>
      <c r="AA299" s="5"/>
      <c r="AB299" s="5"/>
      <c r="AC299" s="5"/>
      <c r="AD299" s="5">
        <v>2</v>
      </c>
      <c r="AE299" s="5">
        <v>4</v>
      </c>
      <c r="AF299" s="5"/>
      <c r="AG299" s="5">
        <v>-2</v>
      </c>
      <c r="AH299" s="5">
        <v>2</v>
      </c>
      <c r="AI299" s="5">
        <v>-4</v>
      </c>
      <c r="AJ299" s="5"/>
      <c r="AK299" s="5"/>
      <c r="AL299" s="5"/>
      <c r="AM299" s="5"/>
      <c r="AN299" s="5"/>
      <c r="AO299" s="5"/>
      <c r="AP299" s="5" t="s">
        <v>1191</v>
      </c>
      <c r="AQ299" s="5"/>
      <c r="AR299" s="5"/>
      <c r="AS299" s="5" t="s">
        <v>1192</v>
      </c>
      <c r="AT299" s="5" t="s">
        <v>1193</v>
      </c>
      <c r="AU299" s="5" t="s">
        <v>1194</v>
      </c>
      <c r="AV299" s="5">
        <v>1</v>
      </c>
      <c r="AW299" s="7"/>
      <c r="AX299" s="5">
        <v>2</v>
      </c>
      <c r="AY299" s="5" t="s">
        <v>49</v>
      </c>
      <c r="AZ299" s="5" t="s">
        <v>45</v>
      </c>
      <c r="BA299" s="5" t="s">
        <v>45</v>
      </c>
      <c r="BB299" s="5" t="s">
        <v>45</v>
      </c>
      <c r="BM299" s="5" t="s">
        <v>1623</v>
      </c>
      <c r="BN299" s="5"/>
      <c r="BO299" s="5"/>
    </row>
    <row r="300" spans="1:67">
      <c r="A300" s="4" t="s">
        <v>1195</v>
      </c>
      <c r="B300" s="5"/>
      <c r="C300" s="5" t="s">
        <v>62</v>
      </c>
      <c r="D300" s="5" t="s">
        <v>51</v>
      </c>
      <c r="E300" s="5" t="s">
        <v>136</v>
      </c>
      <c r="F300" s="5">
        <v>8</v>
      </c>
      <c r="G300" s="5">
        <v>10</v>
      </c>
      <c r="H300" s="5"/>
      <c r="I300" s="5">
        <v>10</v>
      </c>
      <c r="J300" s="5">
        <v>60</v>
      </c>
      <c r="K300" s="5" t="s">
        <v>1271</v>
      </c>
      <c r="L300" s="5"/>
      <c r="M300" s="5">
        <v>4</v>
      </c>
      <c r="N300" s="5" t="s">
        <v>660</v>
      </c>
      <c r="O300" s="5"/>
      <c r="P300" s="6" t="s">
        <v>45</v>
      </c>
      <c r="Q300" s="5"/>
      <c r="R300" s="5"/>
      <c r="S300" s="5"/>
      <c r="T300" s="5"/>
      <c r="U300" s="7"/>
      <c r="V300" s="5"/>
      <c r="W300" s="5" t="s">
        <v>45</v>
      </c>
      <c r="X300" s="5" t="s">
        <v>45</v>
      </c>
      <c r="Y300" s="5"/>
      <c r="Z300" s="5"/>
      <c r="AA300" s="5"/>
      <c r="AB300" s="5"/>
      <c r="AC300" s="5"/>
      <c r="AD300" s="5">
        <v>10</v>
      </c>
      <c r="AE300" s="5">
        <v>2</v>
      </c>
      <c r="AF300" s="5">
        <v>4</v>
      </c>
      <c r="AG300" s="5">
        <v>-2</v>
      </c>
      <c r="AH300" s="5"/>
      <c r="AI300" s="5">
        <v>-2</v>
      </c>
      <c r="AJ300" s="5"/>
      <c r="AK300" s="5"/>
      <c r="AL300" s="5"/>
      <c r="AM300" s="5"/>
      <c r="AN300" s="5"/>
      <c r="AO300" s="5"/>
      <c r="AP300" s="5" t="s">
        <v>1196</v>
      </c>
      <c r="AQ300" s="5"/>
      <c r="AR300" s="5"/>
      <c r="AS300" s="5"/>
      <c r="AT300" s="5" t="s">
        <v>1193</v>
      </c>
      <c r="AU300" s="5" t="s">
        <v>1194</v>
      </c>
      <c r="AV300" s="5">
        <v>4</v>
      </c>
      <c r="AW300" s="7"/>
      <c r="AX300" s="5">
        <v>5</v>
      </c>
      <c r="AY300" s="5" t="s">
        <v>113</v>
      </c>
      <c r="AZ300" s="5" t="s">
        <v>45</v>
      </c>
      <c r="BA300" s="5" t="s">
        <v>45</v>
      </c>
      <c r="BB300" s="5" t="s">
        <v>45</v>
      </c>
      <c r="BM300" s="5" t="s">
        <v>1623</v>
      </c>
      <c r="BN300" s="5"/>
      <c r="BO300" s="5"/>
    </row>
    <row r="301" spans="1:67">
      <c r="A301" s="4" t="s">
        <v>1197</v>
      </c>
      <c r="B301" s="5"/>
      <c r="C301" s="5" t="s">
        <v>42</v>
      </c>
      <c r="D301" s="5" t="s">
        <v>43</v>
      </c>
      <c r="E301" s="5" t="s">
        <v>526</v>
      </c>
      <c r="F301" s="5">
        <v>3</v>
      </c>
      <c r="G301" s="5">
        <v>40</v>
      </c>
      <c r="H301" s="5"/>
      <c r="I301" s="5"/>
      <c r="J301" s="5">
        <v>60</v>
      </c>
      <c r="K301" s="5" t="s">
        <v>1271</v>
      </c>
      <c r="L301" s="5"/>
      <c r="M301" s="5">
        <v>4</v>
      </c>
      <c r="N301" s="5" t="s">
        <v>1198</v>
      </c>
      <c r="O301" s="5"/>
      <c r="P301" s="6" t="s">
        <v>45</v>
      </c>
      <c r="Q301" s="5"/>
      <c r="R301" s="5"/>
      <c r="S301" s="5"/>
      <c r="T301" s="5">
        <v>60</v>
      </c>
      <c r="U301" s="7"/>
      <c r="V301" s="5"/>
      <c r="W301" s="5" t="s">
        <v>45</v>
      </c>
      <c r="X301" s="5" t="s">
        <v>45</v>
      </c>
      <c r="Y301" s="5">
        <f>11+HitDice</f>
        <v>19</v>
      </c>
      <c r="Z301" s="5" t="s">
        <v>65</v>
      </c>
      <c r="AA301" s="5"/>
      <c r="AB301" s="5"/>
      <c r="AC301" s="5"/>
      <c r="AD301" s="5">
        <v>4</v>
      </c>
      <c r="AE301" s="5">
        <v>4</v>
      </c>
      <c r="AF301" s="5">
        <v>6</v>
      </c>
      <c r="AG301" s="5"/>
      <c r="AH301" s="5">
        <v>2</v>
      </c>
      <c r="AI301" s="5"/>
      <c r="AJ301" s="5"/>
      <c r="AK301" s="5"/>
      <c r="AL301" s="5"/>
      <c r="AM301" s="5"/>
      <c r="AN301" s="5"/>
      <c r="AO301" s="5"/>
      <c r="AP301" s="5" t="s">
        <v>528</v>
      </c>
      <c r="AQ301" s="5"/>
      <c r="AR301" s="5"/>
      <c r="AS301" s="5"/>
      <c r="AT301" s="5" t="s">
        <v>102</v>
      </c>
      <c r="AU301" s="5" t="s">
        <v>1199</v>
      </c>
      <c r="AV301" s="5">
        <v>3</v>
      </c>
      <c r="AW301" s="7"/>
      <c r="AX301" s="5">
        <v>5</v>
      </c>
      <c r="AY301" s="5" t="s">
        <v>113</v>
      </c>
      <c r="AZ301" s="5" t="s">
        <v>45</v>
      </c>
      <c r="BA301" s="5" t="s">
        <v>45</v>
      </c>
      <c r="BB301" s="5" t="s">
        <v>45</v>
      </c>
      <c r="BM301" s="5" t="s">
        <v>1743</v>
      </c>
      <c r="BN301" s="5"/>
      <c r="BO301" s="5"/>
    </row>
    <row r="302" spans="1:67">
      <c r="A302" s="4" t="s">
        <v>1200</v>
      </c>
      <c r="B302" s="5"/>
      <c r="C302" s="5" t="s">
        <v>85</v>
      </c>
      <c r="D302" s="5" t="s">
        <v>51</v>
      </c>
      <c r="E302" s="5" t="s">
        <v>52</v>
      </c>
      <c r="F302" s="5"/>
      <c r="G302" s="5">
        <v>20</v>
      </c>
      <c r="H302" s="5"/>
      <c r="I302" s="5"/>
      <c r="J302" s="5"/>
      <c r="K302" s="5"/>
      <c r="L302" s="5"/>
      <c r="M302" s="5"/>
      <c r="N302" s="5"/>
      <c r="O302" s="5"/>
      <c r="P302" s="6" t="s">
        <v>45</v>
      </c>
      <c r="Q302" s="5"/>
      <c r="R302" s="5"/>
      <c r="S302" s="5"/>
      <c r="T302" s="5"/>
      <c r="U302" s="7"/>
      <c r="V302" s="5"/>
      <c r="W302" s="5" t="s">
        <v>45</v>
      </c>
      <c r="X302" s="5" t="s">
        <v>45</v>
      </c>
      <c r="Y302" s="5"/>
      <c r="Z302" s="5"/>
      <c r="AA302" s="5"/>
      <c r="AB302" s="5"/>
      <c r="AC302" s="5"/>
      <c r="AD302" s="5">
        <v>-2</v>
      </c>
      <c r="AE302" s="5">
        <v>4</v>
      </c>
      <c r="AF302" s="5"/>
      <c r="AG302" s="5">
        <v>2</v>
      </c>
      <c r="AH302" s="5"/>
      <c r="AI302" s="5"/>
      <c r="AJ302" s="5"/>
      <c r="AK302" s="5"/>
      <c r="AL302" s="5"/>
      <c r="AM302" s="5"/>
      <c r="AN302" s="5"/>
      <c r="AO302" s="5"/>
      <c r="AP302" s="5" t="s">
        <v>1201</v>
      </c>
      <c r="AQ302" s="5"/>
      <c r="AR302" s="5"/>
      <c r="AS302" s="5"/>
      <c r="AT302" s="5" t="s">
        <v>102</v>
      </c>
      <c r="AU302" s="5"/>
      <c r="AV302" s="5"/>
      <c r="AW302" s="7"/>
      <c r="AX302" s="5">
        <v>1</v>
      </c>
      <c r="AY302" s="5" t="s">
        <v>95</v>
      </c>
      <c r="AZ302" s="5" t="s">
        <v>45</v>
      </c>
      <c r="BA302" s="5" t="s">
        <v>45</v>
      </c>
      <c r="BB302" s="5" t="s">
        <v>45</v>
      </c>
      <c r="BM302" s="5" t="s">
        <v>1688</v>
      </c>
      <c r="BN302" s="5"/>
      <c r="BO302" s="5"/>
    </row>
    <row r="303" spans="1:67">
      <c r="A303" s="4" t="s">
        <v>1202</v>
      </c>
      <c r="B303" s="5"/>
      <c r="C303" s="5" t="s">
        <v>42</v>
      </c>
      <c r="D303" s="5" t="s">
        <v>43</v>
      </c>
      <c r="E303" s="5"/>
      <c r="F303" s="5">
        <v>9</v>
      </c>
      <c r="G303" s="5">
        <v>30</v>
      </c>
      <c r="H303" s="5"/>
      <c r="I303" s="5"/>
      <c r="J303" s="5"/>
      <c r="K303" s="5"/>
      <c r="L303" s="5"/>
      <c r="M303" s="5">
        <v>1</v>
      </c>
      <c r="N303" s="5"/>
      <c r="O303" s="5"/>
      <c r="P303" s="6" t="s">
        <v>45</v>
      </c>
      <c r="Q303" s="5"/>
      <c r="R303" s="5"/>
      <c r="S303" s="5" t="s">
        <v>77</v>
      </c>
      <c r="T303" s="5"/>
      <c r="U303" s="7"/>
      <c r="V303" s="5"/>
      <c r="W303" s="5" t="s">
        <v>926</v>
      </c>
      <c r="X303" s="5" t="s">
        <v>165</v>
      </c>
      <c r="Y303" s="5"/>
      <c r="Z303" s="5"/>
      <c r="AA303" s="5"/>
      <c r="AB303" s="5"/>
      <c r="AC303" s="5"/>
      <c r="AD303" s="5"/>
      <c r="AE303" s="5">
        <v>6</v>
      </c>
      <c r="AF303" s="5">
        <v>-2</v>
      </c>
      <c r="AG303" s="5">
        <v>2</v>
      </c>
      <c r="AH303" s="5">
        <v>4</v>
      </c>
      <c r="AI303" s="5">
        <v>6</v>
      </c>
      <c r="AJ303" s="5"/>
      <c r="AK303" s="5"/>
      <c r="AL303" s="5"/>
      <c r="AM303" s="5"/>
      <c r="AN303" s="5"/>
      <c r="AO303" s="5"/>
      <c r="AP303" s="5" t="s">
        <v>1203</v>
      </c>
      <c r="AQ303" s="5"/>
      <c r="AR303" s="5"/>
      <c r="AS303" s="5"/>
      <c r="AT303" s="5" t="s">
        <v>815</v>
      </c>
      <c r="AU303" s="5" t="s">
        <v>1204</v>
      </c>
      <c r="AV303" s="5">
        <v>4</v>
      </c>
      <c r="AW303" s="7"/>
      <c r="AX303" s="5">
        <v>3</v>
      </c>
      <c r="AY303" s="5" t="s">
        <v>95</v>
      </c>
      <c r="AZ303" s="5" t="s">
        <v>45</v>
      </c>
      <c r="BA303" s="5" t="s">
        <v>45</v>
      </c>
      <c r="BB303" s="5" t="s">
        <v>45</v>
      </c>
      <c r="BM303" s="5" t="s">
        <v>1718</v>
      </c>
      <c r="BN303" s="5">
        <v>194</v>
      </c>
      <c r="BO303" s="5"/>
    </row>
    <row r="304" spans="1:67">
      <c r="A304" s="4" t="s">
        <v>1205</v>
      </c>
      <c r="B304" s="5"/>
      <c r="C304" s="5" t="s">
        <v>42</v>
      </c>
      <c r="D304" s="5" t="s">
        <v>92</v>
      </c>
      <c r="E304" s="5"/>
      <c r="F304" s="5"/>
      <c r="G304" s="5">
        <v>30</v>
      </c>
      <c r="H304" s="5"/>
      <c r="I304" s="5"/>
      <c r="J304" s="5"/>
      <c r="K304" s="5"/>
      <c r="L304" s="5"/>
      <c r="M304" s="5"/>
      <c r="N304" s="5"/>
      <c r="O304" s="5"/>
      <c r="P304" s="6" t="s">
        <v>45</v>
      </c>
      <c r="Q304" s="5"/>
      <c r="R304" s="5"/>
      <c r="S304" s="5"/>
      <c r="T304" s="5">
        <v>60</v>
      </c>
      <c r="U304" s="7"/>
      <c r="V304" s="5"/>
      <c r="W304" s="5" t="s">
        <v>45</v>
      </c>
      <c r="X304" s="5" t="s">
        <v>45</v>
      </c>
      <c r="Y304" s="5"/>
      <c r="Z304" s="5"/>
      <c r="AA304" s="5"/>
      <c r="AB304" s="5"/>
      <c r="AC304" s="5"/>
      <c r="AD304" s="5">
        <v>-2</v>
      </c>
      <c r="AE304" s="5">
        <v>2</v>
      </c>
      <c r="AF304" s="5"/>
      <c r="AG304" s="5"/>
      <c r="AH304" s="5"/>
      <c r="AI304" s="5"/>
      <c r="AJ304" s="5"/>
      <c r="AK304" s="5"/>
      <c r="AL304" s="5"/>
      <c r="AM304" s="5"/>
      <c r="AN304" s="5"/>
      <c r="AO304" s="5"/>
      <c r="AP304" s="5"/>
      <c r="AQ304" s="5"/>
      <c r="AR304" s="5"/>
      <c r="AS304" s="5"/>
      <c r="AT304" s="5" t="s">
        <v>1206</v>
      </c>
      <c r="AU304" s="5" t="s">
        <v>1207</v>
      </c>
      <c r="AV304" s="5"/>
      <c r="AW304" s="7"/>
      <c r="AX304" s="5"/>
      <c r="AY304" s="5" t="s">
        <v>1208</v>
      </c>
      <c r="AZ304" s="5" t="s">
        <v>1209</v>
      </c>
      <c r="BA304" s="5" t="s">
        <v>187</v>
      </c>
      <c r="BB304" s="5" t="s">
        <v>1210</v>
      </c>
      <c r="BM304" s="5" t="s">
        <v>1724</v>
      </c>
      <c r="BN304" s="5">
        <v>207</v>
      </c>
      <c r="BO304" s="5"/>
    </row>
    <row r="305" spans="1:67">
      <c r="A305" s="4" t="s">
        <v>1211</v>
      </c>
      <c r="B305" s="5"/>
      <c r="C305" s="5" t="s">
        <v>62</v>
      </c>
      <c r="D305" s="5" t="s">
        <v>43</v>
      </c>
      <c r="E305" s="5"/>
      <c r="F305" s="5">
        <v>5</v>
      </c>
      <c r="G305" s="5">
        <v>30</v>
      </c>
      <c r="H305" s="5"/>
      <c r="I305" s="5"/>
      <c r="J305" s="5"/>
      <c r="K305" s="5"/>
      <c r="L305" s="5"/>
      <c r="M305" s="5">
        <v>7</v>
      </c>
      <c r="N305" s="5"/>
      <c r="O305" s="5"/>
      <c r="P305" s="6" t="s">
        <v>45</v>
      </c>
      <c r="Q305" s="5"/>
      <c r="R305" s="5"/>
      <c r="S305" s="5"/>
      <c r="T305" s="5">
        <v>60</v>
      </c>
      <c r="U305" s="7"/>
      <c r="V305" s="5"/>
      <c r="W305" s="5" t="s">
        <v>45</v>
      </c>
      <c r="X305" s="5" t="s">
        <v>45</v>
      </c>
      <c r="Y305" s="5"/>
      <c r="Z305" s="5"/>
      <c r="AA305" s="5"/>
      <c r="AB305" s="5"/>
      <c r="AC305" s="5"/>
      <c r="AD305" s="5">
        <v>8</v>
      </c>
      <c r="AE305" s="5"/>
      <c r="AF305" s="5">
        <v>4</v>
      </c>
      <c r="AG305" s="5">
        <v>4</v>
      </c>
      <c r="AH305" s="5">
        <v>4</v>
      </c>
      <c r="AI305" s="5">
        <v>4</v>
      </c>
      <c r="AJ305" s="5"/>
      <c r="AK305" s="5"/>
      <c r="AL305" s="5"/>
      <c r="AM305" s="5"/>
      <c r="AN305" s="5"/>
      <c r="AO305" s="5"/>
      <c r="AP305" s="5" t="s">
        <v>1212</v>
      </c>
      <c r="AQ305" s="5"/>
      <c r="AR305" s="5"/>
      <c r="AS305" s="5" t="s">
        <v>769</v>
      </c>
      <c r="AT305" s="5" t="s">
        <v>1213</v>
      </c>
      <c r="AU305" s="5"/>
      <c r="AV305" s="5">
        <v>4</v>
      </c>
      <c r="AW305" s="7"/>
      <c r="AX305" s="5">
        <v>2</v>
      </c>
      <c r="AY305" s="5" t="s">
        <v>319</v>
      </c>
      <c r="AZ305" s="5" t="s">
        <v>45</v>
      </c>
      <c r="BA305" s="5" t="s">
        <v>45</v>
      </c>
      <c r="BB305" s="5" t="s">
        <v>45</v>
      </c>
      <c r="BM305" s="5" t="s">
        <v>1614</v>
      </c>
      <c r="BN305" s="5">
        <v>200</v>
      </c>
      <c r="BO305" s="5"/>
    </row>
    <row r="306" spans="1:67">
      <c r="A306" s="4" t="s">
        <v>1214</v>
      </c>
      <c r="B306" s="5"/>
      <c r="C306" s="5" t="s">
        <v>519</v>
      </c>
      <c r="D306" s="5" t="s">
        <v>240</v>
      </c>
      <c r="E306" s="5"/>
      <c r="F306" s="5">
        <v>22</v>
      </c>
      <c r="G306" s="5">
        <v>40</v>
      </c>
      <c r="H306" s="5"/>
      <c r="I306" s="5">
        <v>20</v>
      </c>
      <c r="J306" s="5"/>
      <c r="K306" s="5"/>
      <c r="L306" s="5">
        <v>20</v>
      </c>
      <c r="M306" s="5">
        <v>20</v>
      </c>
      <c r="N306" s="5" t="s">
        <v>1215</v>
      </c>
      <c r="O306" s="5"/>
      <c r="P306" s="6" t="s">
        <v>1216</v>
      </c>
      <c r="Q306" s="5"/>
      <c r="R306" s="5"/>
      <c r="S306" s="5"/>
      <c r="T306" s="5">
        <v>60</v>
      </c>
      <c r="U306" s="7"/>
      <c r="V306" s="5" t="s">
        <v>1105</v>
      </c>
      <c r="W306" s="5" t="s">
        <v>45</v>
      </c>
      <c r="X306" s="5" t="s">
        <v>1217</v>
      </c>
      <c r="Y306" s="5">
        <v>26</v>
      </c>
      <c r="Z306" s="5" t="s">
        <v>1218</v>
      </c>
      <c r="AA306" s="5"/>
      <c r="AB306" s="5"/>
      <c r="AC306" s="5"/>
      <c r="AD306" s="5">
        <v>16</v>
      </c>
      <c r="AE306" s="5">
        <v>2</v>
      </c>
      <c r="AF306" s="5">
        <v>18</v>
      </c>
      <c r="AG306" s="5">
        <v>14</v>
      </c>
      <c r="AH306" s="5">
        <v>14</v>
      </c>
      <c r="AI306" s="5">
        <v>12</v>
      </c>
      <c r="AJ306" s="5"/>
      <c r="AK306" s="5"/>
      <c r="AL306" s="5"/>
      <c r="AM306" s="5"/>
      <c r="AN306" s="5"/>
      <c r="AO306" s="5"/>
      <c r="AP306" s="5" t="s">
        <v>1219</v>
      </c>
      <c r="AQ306" s="5"/>
      <c r="AR306" s="5" t="s">
        <v>1808</v>
      </c>
      <c r="AS306" s="5"/>
      <c r="AT306" s="5" t="s">
        <v>1220</v>
      </c>
      <c r="AU306" s="5" t="s">
        <v>1221</v>
      </c>
      <c r="AV306" s="5">
        <v>18</v>
      </c>
      <c r="AW306" s="7"/>
      <c r="AX306" s="5">
        <v>6</v>
      </c>
      <c r="AY306" s="5" t="s">
        <v>325</v>
      </c>
      <c r="AZ306" s="5" t="s">
        <v>45</v>
      </c>
      <c r="BA306" s="5" t="s">
        <v>45</v>
      </c>
      <c r="BB306" s="5" t="s">
        <v>45</v>
      </c>
      <c r="BM306" s="5" t="s">
        <v>1688</v>
      </c>
      <c r="BN306" s="5">
        <v>193</v>
      </c>
      <c r="BO306" s="5"/>
    </row>
    <row r="307" spans="1:67">
      <c r="A307" s="4" t="s">
        <v>1222</v>
      </c>
      <c r="B307" s="5"/>
      <c r="C307" s="5" t="s">
        <v>62</v>
      </c>
      <c r="D307" s="5" t="s">
        <v>43</v>
      </c>
      <c r="E307" s="5"/>
      <c r="F307" s="5">
        <v>9</v>
      </c>
      <c r="G307" s="5">
        <v>30</v>
      </c>
      <c r="H307" s="5"/>
      <c r="I307" s="5">
        <v>20</v>
      </c>
      <c r="J307" s="5"/>
      <c r="K307" s="5"/>
      <c r="L307" s="5">
        <v>20</v>
      </c>
      <c r="M307" s="5">
        <v>10</v>
      </c>
      <c r="N307" s="5" t="s">
        <v>198</v>
      </c>
      <c r="O307" s="5"/>
      <c r="P307" s="6" t="s">
        <v>1223</v>
      </c>
      <c r="Q307" s="5"/>
      <c r="R307" s="5"/>
      <c r="S307" s="5"/>
      <c r="T307" s="5">
        <v>60</v>
      </c>
      <c r="U307" s="7"/>
      <c r="V307" s="5"/>
      <c r="W307" s="5" t="s">
        <v>45</v>
      </c>
      <c r="X307" s="5" t="s">
        <v>45</v>
      </c>
      <c r="Y307" s="5">
        <f>18+ClassLvl</f>
        <v>26</v>
      </c>
      <c r="Z307" s="5"/>
      <c r="AA307" s="5"/>
      <c r="AB307" s="5"/>
      <c r="AC307" s="5"/>
      <c r="AD307" s="5">
        <v>8</v>
      </c>
      <c r="AE307" s="5">
        <v>2</v>
      </c>
      <c r="AF307" s="5">
        <v>6</v>
      </c>
      <c r="AG307" s="5">
        <v>10</v>
      </c>
      <c r="AH307" s="5">
        <v>10</v>
      </c>
      <c r="AI307" s="5">
        <v>8</v>
      </c>
      <c r="AJ307" s="5"/>
      <c r="AK307" s="5"/>
      <c r="AL307" s="5"/>
      <c r="AM307" s="5"/>
      <c r="AN307" s="5"/>
      <c r="AO307" s="5"/>
      <c r="AP307" s="5" t="s">
        <v>1224</v>
      </c>
      <c r="AQ307" s="5"/>
      <c r="AR307" s="5" t="s">
        <v>1808</v>
      </c>
      <c r="AS307" s="5" t="s">
        <v>1225</v>
      </c>
      <c r="AT307" s="5" t="s">
        <v>1220</v>
      </c>
      <c r="AU307" s="5" t="s">
        <v>489</v>
      </c>
      <c r="AV307" s="5">
        <v>7</v>
      </c>
      <c r="AW307" s="7"/>
      <c r="AX307" s="5">
        <v>7</v>
      </c>
      <c r="AY307" s="5" t="s">
        <v>325</v>
      </c>
      <c r="AZ307" s="5" t="s">
        <v>45</v>
      </c>
      <c r="BA307" s="5" t="s">
        <v>45</v>
      </c>
      <c r="BB307" s="5" t="s">
        <v>45</v>
      </c>
      <c r="BM307" s="5" t="s">
        <v>1609</v>
      </c>
      <c r="BN307" s="5">
        <v>264</v>
      </c>
      <c r="BO307" s="5"/>
    </row>
    <row r="308" spans="1:67">
      <c r="A308" s="4" t="s">
        <v>1226</v>
      </c>
      <c r="B308" s="5"/>
      <c r="C308" s="5" t="s">
        <v>42</v>
      </c>
      <c r="D308" s="5" t="s">
        <v>43</v>
      </c>
      <c r="E308" s="5"/>
      <c r="F308" s="5">
        <v>7</v>
      </c>
      <c r="G308" s="5">
        <v>30</v>
      </c>
      <c r="H308" s="5"/>
      <c r="I308" s="5"/>
      <c r="J308" s="5"/>
      <c r="K308" s="5"/>
      <c r="L308" s="5"/>
      <c r="M308" s="5">
        <v>4</v>
      </c>
      <c r="N308" s="5" t="s">
        <v>198</v>
      </c>
      <c r="O308" s="5"/>
      <c r="P308" s="6" t="s">
        <v>1227</v>
      </c>
      <c r="Q308" s="5"/>
      <c r="R308" s="5"/>
      <c r="S308" s="5"/>
      <c r="T308" s="5">
        <v>60</v>
      </c>
      <c r="U308" s="7"/>
      <c r="V308" s="5"/>
      <c r="W308" s="5" t="s">
        <v>45</v>
      </c>
      <c r="X308" s="5" t="s">
        <v>45</v>
      </c>
      <c r="Y308" s="5">
        <f>16+ClassLvl</f>
        <v>24</v>
      </c>
      <c r="Z308" s="5"/>
      <c r="AA308" s="5"/>
      <c r="AB308" s="5"/>
      <c r="AC308" s="5"/>
      <c r="AD308" s="5">
        <v>4</v>
      </c>
      <c r="AE308" s="5">
        <v>2</v>
      </c>
      <c r="AF308" s="5">
        <v>2</v>
      </c>
      <c r="AG308" s="5">
        <v>8</v>
      </c>
      <c r="AH308" s="5">
        <v>8</v>
      </c>
      <c r="AI308" s="5">
        <v>6</v>
      </c>
      <c r="AJ308" s="5"/>
      <c r="AK308" s="5"/>
      <c r="AL308" s="5"/>
      <c r="AM308" s="5"/>
      <c r="AN308" s="5"/>
      <c r="AO308" s="5"/>
      <c r="AP308" s="5" t="s">
        <v>1228</v>
      </c>
      <c r="AQ308" s="5"/>
      <c r="AR308" s="5" t="s">
        <v>1808</v>
      </c>
      <c r="AS308" s="5" t="s">
        <v>1225</v>
      </c>
      <c r="AT308" s="5" t="s">
        <v>1220</v>
      </c>
      <c r="AU308" s="5" t="s">
        <v>489</v>
      </c>
      <c r="AV308" s="5">
        <v>5</v>
      </c>
      <c r="AW308" s="7"/>
      <c r="AX308" s="5">
        <v>5</v>
      </c>
      <c r="AY308" s="5" t="s">
        <v>49</v>
      </c>
      <c r="AZ308" s="5" t="s">
        <v>45</v>
      </c>
      <c r="BA308" s="5" t="s">
        <v>45</v>
      </c>
      <c r="BB308" s="5" t="s">
        <v>45</v>
      </c>
      <c r="BM308" s="5" t="s">
        <v>1609</v>
      </c>
      <c r="BN308" s="5">
        <v>264</v>
      </c>
      <c r="BO308" s="5"/>
    </row>
    <row r="309" spans="1:67">
      <c r="A309" s="4" t="s">
        <v>1229</v>
      </c>
      <c r="B309" s="5"/>
      <c r="C309" s="5" t="s">
        <v>42</v>
      </c>
      <c r="D309" s="5" t="s">
        <v>43</v>
      </c>
      <c r="E309" s="5"/>
      <c r="F309" s="5">
        <v>4</v>
      </c>
      <c r="G309" s="5">
        <v>30</v>
      </c>
      <c r="H309" s="5"/>
      <c r="I309" s="5"/>
      <c r="J309" s="5"/>
      <c r="K309" s="5"/>
      <c r="L309" s="5"/>
      <c r="M309" s="5">
        <v>1</v>
      </c>
      <c r="N309" s="5"/>
      <c r="O309" s="5"/>
      <c r="P309" s="6" t="s">
        <v>45</v>
      </c>
      <c r="Q309" s="5"/>
      <c r="R309" s="5"/>
      <c r="S309" s="5"/>
      <c r="T309" s="5">
        <v>60</v>
      </c>
      <c r="U309" s="7"/>
      <c r="V309" s="5"/>
      <c r="W309" s="5" t="s">
        <v>45</v>
      </c>
      <c r="X309" s="5" t="s">
        <v>45</v>
      </c>
      <c r="Y309" s="5"/>
      <c r="Z309" s="5"/>
      <c r="AA309" s="5"/>
      <c r="AB309" s="5"/>
      <c r="AC309" s="5"/>
      <c r="AD309" s="5"/>
      <c r="AE309" s="5">
        <v>2</v>
      </c>
      <c r="AF309" s="5"/>
      <c r="AG309" s="5">
        <v>2</v>
      </c>
      <c r="AH309" s="5"/>
      <c r="AI309" s="5">
        <v>2</v>
      </c>
      <c r="AJ309" s="5"/>
      <c r="AK309" s="5"/>
      <c r="AL309" s="5"/>
      <c r="AM309" s="5"/>
      <c r="AN309" s="5"/>
      <c r="AO309" s="5"/>
      <c r="AP309" s="5" t="s">
        <v>1230</v>
      </c>
      <c r="AQ309" s="5"/>
      <c r="AR309" s="5" t="s">
        <v>1808</v>
      </c>
      <c r="AS309" s="5" t="s">
        <v>1225</v>
      </c>
      <c r="AT309" s="5" t="s">
        <v>1220</v>
      </c>
      <c r="AU309" s="5" t="s">
        <v>489</v>
      </c>
      <c r="AV309" s="5">
        <v>3</v>
      </c>
      <c r="AW309" s="7"/>
      <c r="AX309" s="5">
        <f>2</f>
        <v>2</v>
      </c>
      <c r="AY309" s="5" t="s">
        <v>49</v>
      </c>
      <c r="AZ309" s="5" t="s">
        <v>45</v>
      </c>
      <c r="BA309" s="5" t="s">
        <v>45</v>
      </c>
      <c r="BB309" s="5" t="s">
        <v>45</v>
      </c>
      <c r="BM309" s="5" t="s">
        <v>1609</v>
      </c>
      <c r="BN309" s="5">
        <v>263</v>
      </c>
      <c r="BO309" s="5" t="s">
        <v>1625</v>
      </c>
    </row>
    <row r="310" spans="1:67">
      <c r="A310" s="4" t="s">
        <v>1231</v>
      </c>
      <c r="B310" s="5"/>
      <c r="C310" s="5" t="s">
        <v>42</v>
      </c>
      <c r="D310" s="5" t="s">
        <v>43</v>
      </c>
      <c r="E310" s="5" t="s">
        <v>100</v>
      </c>
      <c r="F310" s="5">
        <v>3</v>
      </c>
      <c r="G310" s="5">
        <v>30</v>
      </c>
      <c r="H310" s="5"/>
      <c r="I310" s="5"/>
      <c r="J310" s="5"/>
      <c r="K310" s="5"/>
      <c r="L310" s="5">
        <v>20</v>
      </c>
      <c r="M310" s="5">
        <v>6</v>
      </c>
      <c r="N310" s="5" t="s">
        <v>1232</v>
      </c>
      <c r="O310" s="5"/>
      <c r="P310" s="6" t="s">
        <v>45</v>
      </c>
      <c r="Q310" s="5"/>
      <c r="R310" s="5"/>
      <c r="S310" s="5"/>
      <c r="T310" s="5">
        <v>60</v>
      </c>
      <c r="U310" s="7"/>
      <c r="V310" s="5"/>
      <c r="W310" s="5" t="s">
        <v>45</v>
      </c>
      <c r="X310" s="5" t="s">
        <v>45</v>
      </c>
      <c r="Y310" s="5"/>
      <c r="Z310" s="5"/>
      <c r="AA310" s="5"/>
      <c r="AB310" s="5"/>
      <c r="AC310" s="5"/>
      <c r="AD310" s="5">
        <v>4</v>
      </c>
      <c r="AE310" s="5"/>
      <c r="AF310" s="5">
        <v>4</v>
      </c>
      <c r="AG310" s="5">
        <v>-2</v>
      </c>
      <c r="AH310" s="5"/>
      <c r="AI310" s="5">
        <v>-2</v>
      </c>
      <c r="AJ310" s="5"/>
      <c r="AK310" s="5"/>
      <c r="AL310" s="5"/>
      <c r="AM310" s="5"/>
      <c r="AN310" s="5"/>
      <c r="AO310" s="5"/>
      <c r="AP310" s="5" t="s">
        <v>1233</v>
      </c>
      <c r="AQ310" s="5"/>
      <c r="AR310" s="5"/>
      <c r="AS310" s="5"/>
      <c r="AT310" s="5" t="s">
        <v>854</v>
      </c>
      <c r="AU310" s="5"/>
      <c r="AV310" s="5">
        <v>1</v>
      </c>
      <c r="AW310" s="7"/>
      <c r="AX310" s="5">
        <v>4</v>
      </c>
      <c r="AY310" s="5" t="s">
        <v>125</v>
      </c>
      <c r="AZ310" s="5" t="s">
        <v>45</v>
      </c>
      <c r="BA310" s="5" t="s">
        <v>45</v>
      </c>
      <c r="BB310" s="5" t="s">
        <v>45</v>
      </c>
      <c r="BM310" s="5" t="s">
        <v>1688</v>
      </c>
      <c r="BN310" s="5">
        <v>198</v>
      </c>
      <c r="BO310" s="5"/>
    </row>
    <row r="311" spans="1:67">
      <c r="A311" s="4" t="s">
        <v>1234</v>
      </c>
      <c r="B311" s="5"/>
      <c r="C311" s="5" t="s">
        <v>42</v>
      </c>
      <c r="D311" s="5" t="s">
        <v>51</v>
      </c>
      <c r="E311" s="5" t="s">
        <v>52</v>
      </c>
      <c r="F311" s="5"/>
      <c r="G311" s="5">
        <v>30</v>
      </c>
      <c r="H311" s="5"/>
      <c r="I311" s="5"/>
      <c r="J311" s="5"/>
      <c r="K311" s="5"/>
      <c r="L311" s="5"/>
      <c r="M311" s="5"/>
      <c r="N311" s="5"/>
      <c r="O311" s="5"/>
      <c r="P311" s="6" t="s">
        <v>1235</v>
      </c>
      <c r="Q311" s="5"/>
      <c r="R311" s="5"/>
      <c r="S311" s="5"/>
      <c r="T311" s="5"/>
      <c r="U311" s="7"/>
      <c r="V311" s="5"/>
      <c r="W311" s="5" t="s">
        <v>45</v>
      </c>
      <c r="X311" s="5" t="s">
        <v>1236</v>
      </c>
      <c r="Y311" s="5"/>
      <c r="Z311" s="5"/>
      <c r="AA311" s="5"/>
      <c r="AB311" s="5"/>
      <c r="AC311" s="5"/>
      <c r="AD311" s="5">
        <v>2</v>
      </c>
      <c r="AE311" s="5">
        <v>2</v>
      </c>
      <c r="AF311" s="5"/>
      <c r="AG311" s="5"/>
      <c r="AH311" s="5">
        <v>2</v>
      </c>
      <c r="AI311" s="5">
        <v>-2</v>
      </c>
      <c r="AJ311" s="5"/>
      <c r="AK311" s="5"/>
      <c r="AL311" s="5"/>
      <c r="AM311" s="5"/>
      <c r="AN311" s="5"/>
      <c r="AO311" s="5"/>
      <c r="AP311" s="5" t="s">
        <v>1237</v>
      </c>
      <c r="AQ311" s="5"/>
      <c r="AR311" s="5"/>
      <c r="AS311" s="5"/>
      <c r="AT311" s="5" t="s">
        <v>102</v>
      </c>
      <c r="AU311" s="5"/>
      <c r="AV311" s="5">
        <v>1</v>
      </c>
      <c r="AW311" s="7"/>
      <c r="AX311" s="5">
        <v>1</v>
      </c>
      <c r="AY311" s="5" t="s">
        <v>90</v>
      </c>
      <c r="AZ311" s="5" t="s">
        <v>45</v>
      </c>
      <c r="BA311" s="5" t="s">
        <v>45</v>
      </c>
      <c r="BB311" s="5" t="s">
        <v>45</v>
      </c>
      <c r="BM311" s="5" t="s">
        <v>1614</v>
      </c>
      <c r="BN311" s="5"/>
      <c r="BO311" s="5"/>
    </row>
    <row r="312" spans="1:67">
      <c r="A312" s="4" t="s">
        <v>1238</v>
      </c>
      <c r="B312" s="7"/>
      <c r="C312" s="5" t="s">
        <v>62</v>
      </c>
      <c r="D312" s="8" t="s">
        <v>1239</v>
      </c>
      <c r="E312" s="5"/>
      <c r="F312" s="5"/>
      <c r="G312" s="5"/>
      <c r="H312" s="5"/>
      <c r="I312" s="5"/>
      <c r="J312" s="5"/>
      <c r="K312" s="5"/>
      <c r="L312" s="5"/>
      <c r="M312" s="5"/>
      <c r="N312" s="5" t="s">
        <v>45</v>
      </c>
      <c r="V312" s="5"/>
      <c r="W312" s="5"/>
      <c r="X312" s="5"/>
      <c r="Y312" s="5"/>
      <c r="Z312" s="5"/>
      <c r="AA312" s="5"/>
      <c r="AB312" s="5"/>
      <c r="AC312" s="5"/>
      <c r="AD312" s="5"/>
      <c r="AE312" s="5"/>
      <c r="AF312" s="5"/>
      <c r="AG312" s="5"/>
      <c r="AH312" s="5"/>
      <c r="AI312" s="5"/>
      <c r="AJ312" s="5"/>
      <c r="AK312" s="5"/>
      <c r="AL312" s="5"/>
      <c r="AM312" s="5"/>
      <c r="AN312" s="5"/>
      <c r="AO312" s="5"/>
      <c r="AS312" s="5"/>
      <c r="AT312" s="5"/>
      <c r="AU312" s="5"/>
      <c r="AV312" s="5"/>
      <c r="AW312" s="5"/>
      <c r="AX312" s="5" t="s">
        <v>1560</v>
      </c>
      <c r="BC312" s="5"/>
      <c r="BD312" s="5"/>
      <c r="BE312" s="5"/>
      <c r="BF312" s="5">
        <v>7</v>
      </c>
      <c r="BG312" s="5"/>
      <c r="BH312" s="5"/>
      <c r="BI312" s="5"/>
      <c r="BJ312" s="5"/>
      <c r="BK312" s="7"/>
      <c r="BL312" s="5"/>
      <c r="BM312" s="5" t="s">
        <v>1609</v>
      </c>
      <c r="BN312" s="5">
        <v>14</v>
      </c>
      <c r="BO312" s="5"/>
    </row>
    <row r="313" spans="1:67">
      <c r="A313" s="4" t="s">
        <v>1240</v>
      </c>
      <c r="B313" s="7"/>
      <c r="C313" s="5" t="s">
        <v>62</v>
      </c>
      <c r="D313" s="5" t="s">
        <v>1241</v>
      </c>
      <c r="E313" s="5"/>
      <c r="F313" s="5">
        <v>4</v>
      </c>
      <c r="G313" s="5">
        <v>30</v>
      </c>
      <c r="H313" s="5"/>
      <c r="I313" s="5">
        <v>30</v>
      </c>
      <c r="J313" s="5"/>
      <c r="K313" s="5"/>
      <c r="L313" s="5"/>
      <c r="M313" s="5">
        <v>3</v>
      </c>
      <c r="N313" s="5" t="s">
        <v>287</v>
      </c>
      <c r="O313" s="7"/>
      <c r="P313" s="5"/>
      <c r="Q313" s="5"/>
      <c r="S313" s="5"/>
      <c r="T313" s="5"/>
      <c r="V313" s="5"/>
      <c r="W313" s="5"/>
      <c r="X313" s="5"/>
      <c r="Y313" s="5"/>
      <c r="Z313" s="5"/>
      <c r="AA313" s="5"/>
      <c r="AB313" s="5"/>
      <c r="AC313" s="5"/>
      <c r="AD313" s="5">
        <v>21</v>
      </c>
      <c r="AE313" s="5">
        <v>15</v>
      </c>
      <c r="AF313" s="5">
        <v>14</v>
      </c>
      <c r="AG313" s="5">
        <v>2</v>
      </c>
      <c r="AH313" s="5">
        <v>12</v>
      </c>
      <c r="AI313" s="5">
        <v>7</v>
      </c>
      <c r="AJ313" s="5"/>
      <c r="AK313" s="5"/>
      <c r="AL313" s="5"/>
      <c r="AM313" s="5"/>
      <c r="AN313" s="5"/>
      <c r="AO313" s="5"/>
      <c r="AP313" s="5" t="s">
        <v>1562</v>
      </c>
      <c r="AQ313" s="5"/>
      <c r="AR313" s="5"/>
      <c r="AS313" s="5" t="s">
        <v>1563</v>
      </c>
      <c r="AT313" s="5"/>
      <c r="AU313" s="5"/>
      <c r="AV313" s="5"/>
      <c r="AW313" s="5"/>
      <c r="AX313" s="5" t="s">
        <v>1560</v>
      </c>
      <c r="BC313" s="5" t="s">
        <v>1610</v>
      </c>
      <c r="BD313" s="5"/>
      <c r="BE313" s="5"/>
      <c r="BF313" s="5">
        <v>4</v>
      </c>
      <c r="BG313" s="5"/>
      <c r="BH313" s="5"/>
      <c r="BI313" s="5"/>
      <c r="BJ313" s="5"/>
      <c r="BK313" s="7"/>
      <c r="BL313" s="5"/>
      <c r="BM313" s="5" t="s">
        <v>1609</v>
      </c>
      <c r="BN313" s="5">
        <v>268</v>
      </c>
      <c r="BO313" s="5"/>
    </row>
    <row r="314" spans="1:67">
      <c r="A314" s="4" t="s">
        <v>1242</v>
      </c>
      <c r="B314" s="7"/>
      <c r="C314" s="5" t="s">
        <v>85</v>
      </c>
      <c r="D314" s="5" t="s">
        <v>51</v>
      </c>
      <c r="E314" s="5"/>
      <c r="F314" s="5">
        <v>1</v>
      </c>
      <c r="G314" s="5"/>
      <c r="H314" s="5"/>
      <c r="I314" s="5"/>
      <c r="J314" s="5">
        <v>60</v>
      </c>
      <c r="K314" s="5" t="s">
        <v>766</v>
      </c>
      <c r="L314" s="5"/>
      <c r="M314" s="5">
        <v>4</v>
      </c>
      <c r="N314" s="5" t="s">
        <v>1243</v>
      </c>
      <c r="O314" s="7"/>
      <c r="P314" s="5"/>
      <c r="Q314" s="5"/>
      <c r="S314" s="5" t="s">
        <v>77</v>
      </c>
      <c r="T314" s="5"/>
      <c r="V314" s="5" t="s">
        <v>1536</v>
      </c>
      <c r="W314" s="5"/>
      <c r="X314" s="5"/>
      <c r="Y314" s="5"/>
      <c r="Z314" s="5" t="s">
        <v>1537</v>
      </c>
      <c r="AA314" s="5"/>
      <c r="AB314" s="5"/>
      <c r="AC314" s="5"/>
      <c r="AD314" s="5">
        <v>1</v>
      </c>
      <c r="AE314" s="5">
        <v>11</v>
      </c>
      <c r="AF314" s="5">
        <v>10</v>
      </c>
      <c r="AG314" s="5">
        <v>6</v>
      </c>
      <c r="AH314" s="5">
        <v>11</v>
      </c>
      <c r="AI314" s="5">
        <v>10</v>
      </c>
      <c r="AJ314" s="5"/>
      <c r="AK314" s="5"/>
      <c r="AL314" s="5"/>
      <c r="AM314" s="5"/>
      <c r="AN314" s="5"/>
      <c r="AO314" s="5"/>
      <c r="AP314" s="5"/>
      <c r="AS314" s="5" t="s">
        <v>769</v>
      </c>
      <c r="AT314" s="5"/>
      <c r="AU314" s="5"/>
      <c r="AV314" s="5"/>
      <c r="AW314" s="5" t="s">
        <v>1564</v>
      </c>
      <c r="AX314" s="5" t="s">
        <v>1560</v>
      </c>
      <c r="BC314" s="5" t="s">
        <v>1611</v>
      </c>
      <c r="BD314" s="5"/>
      <c r="BE314" s="5">
        <v>7</v>
      </c>
      <c r="BF314" s="5"/>
      <c r="BG314" s="5" t="s">
        <v>1612</v>
      </c>
      <c r="BH314" s="5"/>
      <c r="BI314" s="5"/>
      <c r="BJ314" s="5"/>
      <c r="BK314" s="7"/>
      <c r="BL314" s="5"/>
      <c r="BM314" s="5" t="s">
        <v>1609</v>
      </c>
      <c r="BN314" s="5">
        <v>16</v>
      </c>
      <c r="BO314" s="5" t="s">
        <v>1613</v>
      </c>
    </row>
    <row r="315" spans="1:67">
      <c r="A315" s="4" t="s">
        <v>1244</v>
      </c>
      <c r="B315" s="7"/>
      <c r="C315" s="5" t="s">
        <v>62</v>
      </c>
      <c r="D315" s="5" t="s">
        <v>1239</v>
      </c>
      <c r="E315" s="5" t="s">
        <v>298</v>
      </c>
      <c r="F315" s="5"/>
      <c r="G315" s="5"/>
      <c r="H315" s="5"/>
      <c r="I315" s="5"/>
      <c r="J315" s="5"/>
      <c r="K315" s="5"/>
      <c r="L315" s="5"/>
      <c r="M315" s="5"/>
      <c r="N315" s="5" t="s">
        <v>45</v>
      </c>
      <c r="O315" s="7"/>
      <c r="P315" s="5"/>
      <c r="Q315" s="5"/>
      <c r="S315" s="5"/>
      <c r="T315" s="5">
        <v>60</v>
      </c>
      <c r="V315" s="5"/>
      <c r="W315" s="5"/>
      <c r="X315" s="5"/>
      <c r="Y315" s="5"/>
      <c r="Z315" s="5"/>
      <c r="AA315" s="5"/>
      <c r="AB315" s="5"/>
      <c r="AC315" s="5"/>
      <c r="AD315" s="5"/>
      <c r="AE315" s="5"/>
      <c r="AF315" s="5"/>
      <c r="AG315" s="5"/>
      <c r="AH315" s="5"/>
      <c r="AI315" s="5"/>
      <c r="AJ315" s="5"/>
      <c r="AK315" s="5"/>
      <c r="AL315" s="5"/>
      <c r="AM315" s="5"/>
      <c r="AN315" s="5"/>
      <c r="AO315" s="5"/>
      <c r="AP315" s="5"/>
      <c r="AS315" s="5"/>
      <c r="AT315" s="5"/>
      <c r="AU315" s="5"/>
      <c r="AV315" s="5"/>
      <c r="AW315" s="5"/>
      <c r="AX315" s="5" t="s">
        <v>1560</v>
      </c>
      <c r="BC315" s="5"/>
      <c r="BD315" s="5"/>
      <c r="BE315" s="5"/>
      <c r="BF315" s="5">
        <v>7</v>
      </c>
      <c r="BG315" s="5"/>
      <c r="BH315" s="5" t="s">
        <v>1813</v>
      </c>
      <c r="BI315" s="5"/>
      <c r="BJ315" s="5"/>
      <c r="BK315" s="7"/>
      <c r="BL315" s="5"/>
      <c r="BM315" s="5" t="s">
        <v>1614</v>
      </c>
      <c r="BN315" s="5">
        <v>25</v>
      </c>
      <c r="BO315" s="5"/>
    </row>
    <row r="316" spans="1:67">
      <c r="A316" s="4" t="s">
        <v>1245</v>
      </c>
      <c r="B316" s="7"/>
      <c r="C316" s="5" t="s">
        <v>42</v>
      </c>
      <c r="D316" s="5" t="s">
        <v>1241</v>
      </c>
      <c r="E316" s="5"/>
      <c r="F316" s="5">
        <v>1</v>
      </c>
      <c r="G316" s="5">
        <v>40</v>
      </c>
      <c r="H316" s="5"/>
      <c r="I316" s="5">
        <v>30</v>
      </c>
      <c r="J316" s="5"/>
      <c r="K316" s="5"/>
      <c r="L316" s="5"/>
      <c r="M316" s="5">
        <v>1</v>
      </c>
      <c r="N316" s="5" t="s">
        <v>244</v>
      </c>
      <c r="O316" s="7"/>
      <c r="P316" s="5"/>
      <c r="Q316" s="5"/>
      <c r="S316" s="5"/>
      <c r="T316" s="5"/>
      <c r="V316" s="5"/>
      <c r="W316" s="5"/>
      <c r="X316" s="5"/>
      <c r="Y316" s="5"/>
      <c r="Z316" s="5"/>
      <c r="AA316" s="5"/>
      <c r="AB316" s="5"/>
      <c r="AC316" s="5"/>
      <c r="AD316" s="5">
        <v>15</v>
      </c>
      <c r="AE316" s="5">
        <v>14</v>
      </c>
      <c r="AF316" s="5">
        <v>12</v>
      </c>
      <c r="AG316" s="5">
        <v>2</v>
      </c>
      <c r="AH316" s="5">
        <v>12</v>
      </c>
      <c r="AI316" s="5">
        <v>4</v>
      </c>
      <c r="AJ316" s="5"/>
      <c r="AK316" s="5"/>
      <c r="AL316" s="5"/>
      <c r="AM316" s="5"/>
      <c r="AN316" s="5"/>
      <c r="AO316" s="5"/>
      <c r="AP316" s="5" t="s">
        <v>1818</v>
      </c>
      <c r="AS316" s="5"/>
      <c r="AT316" s="5"/>
      <c r="AU316" s="5"/>
      <c r="AV316" s="5"/>
      <c r="AW316" s="5"/>
      <c r="AX316" s="5" t="s">
        <v>1560</v>
      </c>
      <c r="BC316" s="5"/>
      <c r="BD316" s="5"/>
      <c r="BE316" s="5"/>
      <c r="BF316" s="5">
        <v>1</v>
      </c>
      <c r="BG316" s="5"/>
      <c r="BH316" s="5"/>
      <c r="BI316" s="5"/>
      <c r="BJ316" s="5"/>
      <c r="BK316" s="7"/>
      <c r="BL316" s="5"/>
      <c r="BM316" s="5" t="s">
        <v>1609</v>
      </c>
      <c r="BN316" s="5">
        <v>268</v>
      </c>
      <c r="BO316" s="5"/>
    </row>
    <row r="317" spans="1:67">
      <c r="A317" s="4" t="s">
        <v>1246</v>
      </c>
      <c r="B317" s="7"/>
      <c r="C317" s="5" t="s">
        <v>85</v>
      </c>
      <c r="D317" s="5" t="s">
        <v>1241</v>
      </c>
      <c r="E317" s="5"/>
      <c r="F317" s="5">
        <v>1</v>
      </c>
      <c r="G317" s="5">
        <v>30</v>
      </c>
      <c r="H317" s="5">
        <v>10</v>
      </c>
      <c r="I317" s="5"/>
      <c r="J317" s="5"/>
      <c r="K317" s="5"/>
      <c r="L317" s="5"/>
      <c r="M317" s="5">
        <v>1</v>
      </c>
      <c r="N317" s="5" t="s">
        <v>260</v>
      </c>
      <c r="O317" s="7"/>
      <c r="P317" s="5"/>
      <c r="Q317" s="5"/>
      <c r="S317" s="5" t="s">
        <v>77</v>
      </c>
      <c r="T317" s="5"/>
      <c r="V317" s="5"/>
      <c r="W317" s="5"/>
      <c r="X317" s="5"/>
      <c r="Y317" s="5"/>
      <c r="Z317" s="5"/>
      <c r="AA317" s="5"/>
      <c r="AB317" s="5"/>
      <c r="AC317" s="5"/>
      <c r="AD317" s="5">
        <v>8</v>
      </c>
      <c r="AE317" s="5">
        <v>17</v>
      </c>
      <c r="AF317" s="5">
        <v>15</v>
      </c>
      <c r="AG317" s="5">
        <v>3</v>
      </c>
      <c r="AH317" s="5">
        <v>12</v>
      </c>
      <c r="AI317" s="5">
        <v>6</v>
      </c>
      <c r="AJ317" s="5"/>
      <c r="AK317" s="5"/>
      <c r="AL317" s="5"/>
      <c r="AM317" s="5"/>
      <c r="AN317" s="5"/>
      <c r="AO317" s="5"/>
      <c r="AP317" s="5" t="s">
        <v>1819</v>
      </c>
      <c r="AS317" s="5"/>
      <c r="AT317" s="5"/>
      <c r="AU317" s="5"/>
      <c r="AV317" s="5"/>
      <c r="AW317" s="5"/>
      <c r="AX317" s="5" t="s">
        <v>1560</v>
      </c>
      <c r="BC317" s="5"/>
      <c r="BD317" s="5"/>
      <c r="BE317" s="5"/>
      <c r="BF317" s="5">
        <v>1</v>
      </c>
      <c r="BG317" s="5"/>
      <c r="BH317" s="5"/>
      <c r="BI317" s="5"/>
      <c r="BJ317" s="5"/>
      <c r="BK317" s="7"/>
      <c r="BL317" s="5"/>
      <c r="BM317" s="5" t="s">
        <v>1609</v>
      </c>
      <c r="BN317" s="5">
        <v>268</v>
      </c>
      <c r="BO317" s="5"/>
    </row>
    <row r="318" spans="1:67">
      <c r="A318" s="4" t="s">
        <v>1247</v>
      </c>
      <c r="B318" s="7"/>
      <c r="C318" s="5" t="s">
        <v>42</v>
      </c>
      <c r="D318" s="8" t="s">
        <v>1239</v>
      </c>
      <c r="E318" s="5"/>
      <c r="F318" s="5"/>
      <c r="G318" s="5"/>
      <c r="H318" s="5"/>
      <c r="I318" s="5"/>
      <c r="J318" s="5"/>
      <c r="K318" s="5"/>
      <c r="L318" s="5"/>
      <c r="M318" s="5"/>
      <c r="N318" s="5" t="s">
        <v>45</v>
      </c>
      <c r="O318" s="7"/>
      <c r="P318" s="5"/>
      <c r="Q318" s="5"/>
      <c r="S318" s="5" t="s">
        <v>77</v>
      </c>
      <c r="T318" s="5"/>
      <c r="V318" s="5"/>
      <c r="W318" s="5"/>
      <c r="X318" s="5"/>
      <c r="Y318" s="5"/>
      <c r="Z318" s="5"/>
      <c r="AA318" s="5"/>
      <c r="AB318" s="5"/>
      <c r="AC318" s="5"/>
      <c r="AD318" s="5"/>
      <c r="AE318" s="5"/>
      <c r="AF318" s="5"/>
      <c r="AG318" s="5"/>
      <c r="AH318" s="5"/>
      <c r="AI318" s="5"/>
      <c r="AJ318" s="5"/>
      <c r="AK318" s="5"/>
      <c r="AL318" s="5"/>
      <c r="AM318" s="5"/>
      <c r="AN318" s="5"/>
      <c r="AO318" s="5"/>
      <c r="AP318" s="5"/>
      <c r="AS318" s="5"/>
      <c r="AT318" s="5"/>
      <c r="AU318" s="5"/>
      <c r="AV318" s="5"/>
      <c r="AW318" s="5"/>
      <c r="AX318" s="5" t="s">
        <v>1560</v>
      </c>
      <c r="BC318" s="5"/>
      <c r="BD318" s="5"/>
      <c r="BE318" s="5"/>
      <c r="BF318" s="5">
        <v>10</v>
      </c>
      <c r="BG318" s="5"/>
      <c r="BH318" s="5"/>
      <c r="BI318" s="5"/>
      <c r="BJ318" s="5"/>
      <c r="BK318" s="7"/>
      <c r="BL318" s="5"/>
      <c r="BM318" s="5" t="s">
        <v>1609</v>
      </c>
      <c r="BN318" s="5">
        <v>23</v>
      </c>
      <c r="BO318" s="5"/>
    </row>
    <row r="319" spans="1:67">
      <c r="A319" s="4" t="s">
        <v>1248</v>
      </c>
      <c r="B319" s="7"/>
      <c r="C319" s="5" t="s">
        <v>1249</v>
      </c>
      <c r="D319" s="5" t="s">
        <v>1241</v>
      </c>
      <c r="E319" s="5"/>
      <c r="F319" s="5">
        <v>0.25</v>
      </c>
      <c r="G319" s="5">
        <v>5</v>
      </c>
      <c r="H319" s="5"/>
      <c r="I319" s="5"/>
      <c r="J319" s="5">
        <v>40</v>
      </c>
      <c r="K319" s="5" t="s">
        <v>472</v>
      </c>
      <c r="L319" s="5"/>
      <c r="M319" s="5">
        <v>0</v>
      </c>
      <c r="N319" s="5"/>
      <c r="O319" s="7"/>
      <c r="P319" s="5"/>
      <c r="Q319" s="5"/>
      <c r="S319" s="5"/>
      <c r="T319" s="5"/>
      <c r="V319" s="5"/>
      <c r="W319" s="5"/>
      <c r="X319" s="5"/>
      <c r="Y319" s="5"/>
      <c r="Z319" s="5"/>
      <c r="AA319" s="5"/>
      <c r="AB319" s="5"/>
      <c r="AC319" s="5"/>
      <c r="AD319" s="5">
        <v>1</v>
      </c>
      <c r="AE319" s="5">
        <v>15</v>
      </c>
      <c r="AF319" s="5">
        <v>10</v>
      </c>
      <c r="AG319" s="5">
        <v>2</v>
      </c>
      <c r="AH319" s="5">
        <v>14</v>
      </c>
      <c r="AI319" s="5">
        <v>4</v>
      </c>
      <c r="AJ319" s="5"/>
      <c r="AK319" s="5"/>
      <c r="AL319" s="5"/>
      <c r="AM319" s="5"/>
      <c r="AN319" s="5"/>
      <c r="AO319" s="5"/>
      <c r="AP319" s="5" t="s">
        <v>1821</v>
      </c>
      <c r="AS319" s="5" t="s">
        <v>341</v>
      </c>
      <c r="AT319" s="5"/>
      <c r="AU319" s="5"/>
      <c r="AV319" s="5">
        <v>0</v>
      </c>
      <c r="AW319" s="5" t="s">
        <v>1565</v>
      </c>
      <c r="AX319" s="5" t="s">
        <v>1560</v>
      </c>
      <c r="BC319" s="5" t="s">
        <v>1615</v>
      </c>
      <c r="BD319" s="5"/>
      <c r="BE319" s="5">
        <v>1</v>
      </c>
      <c r="BF319" s="5"/>
      <c r="BG319" s="5" t="s">
        <v>1616</v>
      </c>
      <c r="BH319" s="5"/>
      <c r="BI319" s="5"/>
      <c r="BJ319" s="5"/>
      <c r="BK319" s="7"/>
      <c r="BL319" s="5"/>
      <c r="BM319" s="5" t="s">
        <v>1609</v>
      </c>
      <c r="BN319" s="5">
        <v>268</v>
      </c>
      <c r="BO319" s="5"/>
    </row>
    <row r="320" spans="1:67">
      <c r="A320" s="4" t="s">
        <v>1250</v>
      </c>
      <c r="B320" s="7"/>
      <c r="C320" s="5" t="s">
        <v>42</v>
      </c>
      <c r="D320" s="5" t="s">
        <v>1241</v>
      </c>
      <c r="E320" s="5"/>
      <c r="F320" s="5">
        <v>3</v>
      </c>
      <c r="G320" s="5">
        <v>40</v>
      </c>
      <c r="H320" s="5"/>
      <c r="I320" s="5"/>
      <c r="J320" s="5"/>
      <c r="K320" s="5"/>
      <c r="L320" s="5"/>
      <c r="M320" s="5">
        <v>2</v>
      </c>
      <c r="N320" s="5" t="s">
        <v>660</v>
      </c>
      <c r="O320" s="7"/>
      <c r="P320" s="5"/>
      <c r="Q320" s="5"/>
      <c r="S320" s="5" t="s">
        <v>77</v>
      </c>
      <c r="T320" s="5"/>
      <c r="V320" s="5"/>
      <c r="W320" s="5"/>
      <c r="X320" s="5"/>
      <c r="Y320" s="5"/>
      <c r="Z320" s="5"/>
      <c r="AA320" s="5"/>
      <c r="AB320" s="5"/>
      <c r="AC320" s="5"/>
      <c r="AD320" s="5">
        <v>19</v>
      </c>
      <c r="AE320" s="5">
        <v>13</v>
      </c>
      <c r="AF320" s="5">
        <v>15</v>
      </c>
      <c r="AG320" s="5">
        <v>2</v>
      </c>
      <c r="AH320" s="5">
        <v>12</v>
      </c>
      <c r="AI320" s="5">
        <v>6</v>
      </c>
      <c r="AJ320" s="5"/>
      <c r="AK320" s="5"/>
      <c r="AL320" s="5"/>
      <c r="AM320" s="5"/>
      <c r="AN320" s="5"/>
      <c r="AO320" s="5"/>
      <c r="AP320" s="5" t="s">
        <v>1820</v>
      </c>
      <c r="AS320" s="5"/>
      <c r="AT320" s="5"/>
      <c r="AU320" s="5"/>
      <c r="AV320" s="5"/>
      <c r="AW320" s="5"/>
      <c r="AX320" s="5" t="s">
        <v>1560</v>
      </c>
      <c r="BC320" s="5"/>
      <c r="BD320" s="5"/>
      <c r="BE320" s="5"/>
      <c r="BF320" s="5">
        <v>4</v>
      </c>
      <c r="BG320" s="5"/>
      <c r="BH320" s="5"/>
      <c r="BI320" s="5"/>
      <c r="BJ320" s="5"/>
      <c r="BK320" s="7"/>
      <c r="BL320" s="5"/>
      <c r="BM320" s="5" t="s">
        <v>1609</v>
      </c>
      <c r="BN320" s="5">
        <v>269</v>
      </c>
      <c r="BO320" s="5"/>
    </row>
    <row r="321" spans="1:67">
      <c r="A321" s="4" t="s">
        <v>1251</v>
      </c>
      <c r="B321" s="7"/>
      <c r="C321" s="5" t="s">
        <v>62</v>
      </c>
      <c r="D321" s="5" t="s">
        <v>1241</v>
      </c>
      <c r="E321" s="5"/>
      <c r="F321" s="5">
        <v>6</v>
      </c>
      <c r="G321" s="5">
        <v>40</v>
      </c>
      <c r="H321" s="5"/>
      <c r="I321" s="5"/>
      <c r="J321" s="5"/>
      <c r="K321" s="5"/>
      <c r="L321" s="5"/>
      <c r="M321" s="5">
        <f>2+IF(IsLycanthropeAlternate, MAX(5,RaceNA),0)</f>
        <v>2</v>
      </c>
      <c r="N321" s="5" t="s">
        <v>1252</v>
      </c>
      <c r="O321" s="7"/>
      <c r="P321" s="5"/>
      <c r="Q321" s="5"/>
      <c r="S321" s="5" t="s">
        <v>77</v>
      </c>
      <c r="T321" s="5"/>
      <c r="V321" s="5"/>
      <c r="W321" s="5"/>
      <c r="X321" s="5"/>
      <c r="Y321" s="5"/>
      <c r="Z321" s="5"/>
      <c r="AA321" s="5"/>
      <c r="AB321" s="5"/>
      <c r="AC321" s="5"/>
      <c r="AD321" s="5">
        <v>27</v>
      </c>
      <c r="AE321" s="5">
        <v>13</v>
      </c>
      <c r="AF321" s="5">
        <v>19</v>
      </c>
      <c r="AG321" s="5">
        <v>2</v>
      </c>
      <c r="AH321" s="5">
        <v>12</v>
      </c>
      <c r="AI321" s="5">
        <v>6</v>
      </c>
      <c r="AJ321" s="5"/>
      <c r="AK321" s="5"/>
      <c r="AL321" s="5"/>
      <c r="AM321" s="5"/>
      <c r="AN321" s="5"/>
      <c r="AO321" s="5"/>
      <c r="AP321" s="5" t="s">
        <v>1816</v>
      </c>
      <c r="AS321" s="5"/>
      <c r="AT321" s="5"/>
      <c r="AU321" s="5"/>
      <c r="AV321" s="5">
        <v>4</v>
      </c>
      <c r="AW321" s="5" t="s">
        <v>1564</v>
      </c>
      <c r="AX321" s="5" t="s">
        <v>1560</v>
      </c>
      <c r="BC321" s="5"/>
      <c r="BD321" s="5"/>
      <c r="BE321" s="5"/>
      <c r="BF321" s="5">
        <v>7</v>
      </c>
      <c r="BG321" s="5"/>
      <c r="BH321" s="5"/>
      <c r="BI321" s="5"/>
      <c r="BJ321" s="5"/>
      <c r="BK321" s="7"/>
      <c r="BL321" s="5"/>
      <c r="BM321" s="5" t="s">
        <v>1609</v>
      </c>
      <c r="BN321" s="5">
        <v>269</v>
      </c>
      <c r="BO321" s="5"/>
    </row>
    <row r="322" spans="1:67">
      <c r="A322" s="4" t="s">
        <v>1253</v>
      </c>
      <c r="B322" s="7"/>
      <c r="C322" s="5" t="s">
        <v>62</v>
      </c>
      <c r="D322" s="5" t="s">
        <v>1241</v>
      </c>
      <c r="E322" s="5"/>
      <c r="F322" s="5">
        <v>8</v>
      </c>
      <c r="G322" s="5">
        <v>40</v>
      </c>
      <c r="H322" s="5"/>
      <c r="I322" s="5"/>
      <c r="J322" s="5"/>
      <c r="K322" s="5"/>
      <c r="L322" s="5">
        <v>30</v>
      </c>
      <c r="M322" s="5">
        <v>5</v>
      </c>
      <c r="N322" s="5" t="s">
        <v>1254</v>
      </c>
      <c r="O322" s="7"/>
      <c r="P322" s="5"/>
      <c r="Q322" s="5"/>
      <c r="S322" s="5" t="s">
        <v>77</v>
      </c>
      <c r="T322" s="5"/>
      <c r="V322" s="5"/>
      <c r="W322" s="5"/>
      <c r="X322" s="5"/>
      <c r="Y322" s="5"/>
      <c r="Z322" s="5"/>
      <c r="AA322" s="5"/>
      <c r="AB322" s="5"/>
      <c r="AC322" s="5"/>
      <c r="AD322" s="5">
        <v>27</v>
      </c>
      <c r="AE322" s="5">
        <v>13</v>
      </c>
      <c r="AF322" s="5">
        <v>19</v>
      </c>
      <c r="AG322" s="5">
        <v>2</v>
      </c>
      <c r="AH322" s="5">
        <v>12</v>
      </c>
      <c r="AI322" s="5">
        <v>6</v>
      </c>
      <c r="AJ322" s="5"/>
      <c r="AK322" s="5"/>
      <c r="AL322" s="5"/>
      <c r="AM322" s="5"/>
      <c r="AN322" s="5"/>
      <c r="AO322" s="5"/>
      <c r="AP322" s="5" t="s">
        <v>1817</v>
      </c>
      <c r="AS322" s="5"/>
      <c r="AT322" s="5"/>
      <c r="AU322" s="5"/>
      <c r="AV322" s="5"/>
      <c r="AW322" s="5"/>
      <c r="AX322" s="5" t="s">
        <v>1560</v>
      </c>
      <c r="BC322" s="5"/>
      <c r="BD322" s="5"/>
      <c r="BE322" s="5"/>
      <c r="BF322" s="5">
        <v>10</v>
      </c>
      <c r="BG322" s="5"/>
      <c r="BH322" s="5"/>
      <c r="BI322" s="5"/>
      <c r="BJ322" s="5"/>
      <c r="BK322" s="7"/>
      <c r="BL322" s="5"/>
      <c r="BM322" s="5" t="s">
        <v>1609</v>
      </c>
      <c r="BN322" s="5">
        <v>269</v>
      </c>
      <c r="BO322" s="5"/>
    </row>
    <row r="323" spans="1:67">
      <c r="A323" s="4" t="s">
        <v>1255</v>
      </c>
      <c r="B323" s="7"/>
      <c r="C323" s="5" t="s">
        <v>62</v>
      </c>
      <c r="D323" s="5" t="s">
        <v>1241</v>
      </c>
      <c r="E323" s="5"/>
      <c r="F323" s="5"/>
      <c r="G323" s="5"/>
      <c r="H323" s="5"/>
      <c r="I323" s="5"/>
      <c r="J323" s="5"/>
      <c r="K323" s="5"/>
      <c r="L323" s="5"/>
      <c r="M323" s="5"/>
      <c r="N323" s="5" t="s">
        <v>45</v>
      </c>
      <c r="O323" s="7"/>
      <c r="P323" s="5"/>
      <c r="Q323" s="5"/>
      <c r="S323" s="5" t="s">
        <v>77</v>
      </c>
      <c r="T323" s="5"/>
      <c r="V323" s="5"/>
      <c r="W323" s="5"/>
      <c r="X323" s="5"/>
      <c r="Y323" s="5"/>
      <c r="Z323" s="5"/>
      <c r="AA323" s="5"/>
      <c r="AB323" s="5"/>
      <c r="AC323" s="5"/>
      <c r="AD323" s="5"/>
      <c r="AE323" s="5"/>
      <c r="AF323" s="5"/>
      <c r="AG323" s="5"/>
      <c r="AH323" s="5"/>
      <c r="AI323" s="5"/>
      <c r="AJ323" s="5"/>
      <c r="AK323" s="5"/>
      <c r="AL323" s="5"/>
      <c r="AM323" s="5"/>
      <c r="AN323" s="5"/>
      <c r="AO323" s="5"/>
      <c r="AP323" s="5"/>
      <c r="AS323" s="5"/>
      <c r="AT323" s="5"/>
      <c r="AU323" s="5"/>
      <c r="AV323" s="5"/>
      <c r="AW323" s="5"/>
      <c r="AX323" s="5" t="s">
        <v>1560</v>
      </c>
      <c r="BC323" s="5"/>
      <c r="BD323" s="5"/>
      <c r="BE323" s="5"/>
      <c r="BF323" s="5">
        <v>4</v>
      </c>
      <c r="BG323" s="5"/>
      <c r="BH323" s="5"/>
      <c r="BI323" s="5"/>
      <c r="BJ323" s="5"/>
      <c r="BK323" s="7"/>
      <c r="BL323" s="5"/>
      <c r="BM323" s="5" t="s">
        <v>1609</v>
      </c>
      <c r="BN323" s="5">
        <v>269</v>
      </c>
      <c r="BO323" s="5"/>
    </row>
    <row r="324" spans="1:67">
      <c r="A324" s="4" t="s">
        <v>1256</v>
      </c>
      <c r="B324" s="7"/>
      <c r="C324" s="5" t="s">
        <v>42</v>
      </c>
      <c r="D324" s="8" t="s">
        <v>1239</v>
      </c>
      <c r="E324" s="5"/>
      <c r="F324" s="5">
        <v>4</v>
      </c>
      <c r="G324" s="5">
        <v>40</v>
      </c>
      <c r="H324" s="5"/>
      <c r="I324" s="5"/>
      <c r="J324" s="5"/>
      <c r="K324" s="5"/>
      <c r="L324" s="5"/>
      <c r="M324" s="5">
        <v>3</v>
      </c>
      <c r="N324" s="5" t="s">
        <v>244</v>
      </c>
      <c r="O324" s="7"/>
      <c r="P324" s="5"/>
      <c r="Q324" s="5"/>
      <c r="S324" s="5"/>
      <c r="T324" s="5"/>
      <c r="V324" s="5"/>
      <c r="W324" s="5"/>
      <c r="X324" s="5"/>
      <c r="Y324" s="5"/>
      <c r="Z324" s="5"/>
      <c r="AA324" s="5"/>
      <c r="AB324" s="5"/>
      <c r="AC324" s="5"/>
      <c r="AD324" s="5">
        <v>10</v>
      </c>
      <c r="AE324" s="5">
        <v>17</v>
      </c>
      <c r="AF324" s="5">
        <v>10</v>
      </c>
      <c r="AG324" s="5">
        <v>10</v>
      </c>
      <c r="AH324" s="5">
        <v>13</v>
      </c>
      <c r="AI324" s="5">
        <v>11</v>
      </c>
      <c r="AJ324" s="5"/>
      <c r="AK324" s="5"/>
      <c r="AL324" s="5"/>
      <c r="AM324" s="5"/>
      <c r="AN324" s="5"/>
      <c r="AO324" s="5"/>
      <c r="AP324" s="5"/>
      <c r="AS324" s="5" t="s">
        <v>1566</v>
      </c>
      <c r="AT324" s="5"/>
      <c r="AU324" s="5"/>
      <c r="AV324" s="5"/>
      <c r="AW324" s="5" t="s">
        <v>1564</v>
      </c>
      <c r="AX324" s="5" t="s">
        <v>1560</v>
      </c>
      <c r="BC324" s="5" t="s">
        <v>1617</v>
      </c>
      <c r="BD324" s="5"/>
      <c r="BE324" s="5">
        <v>5</v>
      </c>
      <c r="BF324" s="5">
        <v>4</v>
      </c>
      <c r="BG324" s="5" t="s">
        <v>1618</v>
      </c>
      <c r="BH324" s="5" t="s">
        <v>1813</v>
      </c>
      <c r="BI324" s="5" t="s">
        <v>1813</v>
      </c>
      <c r="BJ324" s="5"/>
      <c r="BK324" s="7"/>
      <c r="BL324" s="5"/>
      <c r="BM324" s="5" t="s">
        <v>1609</v>
      </c>
      <c r="BN324" s="5">
        <v>28</v>
      </c>
      <c r="BO324" s="5" t="s">
        <v>1619</v>
      </c>
    </row>
    <row r="325" spans="1:67">
      <c r="A325" s="4" t="s">
        <v>1257</v>
      </c>
      <c r="B325" s="7"/>
      <c r="C325" s="5" t="s">
        <v>42</v>
      </c>
      <c r="D325" s="5" t="s">
        <v>1241</v>
      </c>
      <c r="E325" s="5"/>
      <c r="F325" s="5">
        <v>3</v>
      </c>
      <c r="G325" s="5">
        <v>40</v>
      </c>
      <c r="H325" s="5"/>
      <c r="I325" s="5"/>
      <c r="J325" s="5"/>
      <c r="K325" s="5"/>
      <c r="L325" s="5"/>
      <c r="M325" s="5">
        <f>2+IF(IsLycanthropeAlternate, MAX(6,RaceNA),0)</f>
        <v>2</v>
      </c>
      <c r="N325" s="5" t="s">
        <v>1258</v>
      </c>
      <c r="O325" s="7"/>
      <c r="P325" s="5"/>
      <c r="Q325" s="5"/>
      <c r="S325" s="5" t="s">
        <v>77</v>
      </c>
      <c r="T325" s="5">
        <v>60</v>
      </c>
      <c r="V325" s="5"/>
      <c r="W325" s="5"/>
      <c r="X325" s="5"/>
      <c r="Y325" s="5"/>
      <c r="Z325" s="5"/>
      <c r="AA325" s="5"/>
      <c r="AB325" s="5"/>
      <c r="AC325" s="5"/>
      <c r="AD325" s="5">
        <v>15</v>
      </c>
      <c r="AE325" s="5">
        <v>10</v>
      </c>
      <c r="AF325" s="5">
        <v>17</v>
      </c>
      <c r="AG325" s="5">
        <v>2</v>
      </c>
      <c r="AH325" s="5">
        <v>13</v>
      </c>
      <c r="AI325" s="5">
        <v>4</v>
      </c>
      <c r="AJ325" s="5"/>
      <c r="AK325" s="5"/>
      <c r="AL325" s="5"/>
      <c r="AM325" s="5"/>
      <c r="AN325" s="5"/>
      <c r="AO325" s="5"/>
      <c r="AP325" s="5"/>
      <c r="AS325" s="5"/>
      <c r="AT325" s="5"/>
      <c r="AU325" s="5"/>
      <c r="AV325" s="5">
        <v>3</v>
      </c>
      <c r="AW325" s="5" t="s">
        <v>1565</v>
      </c>
      <c r="AX325" s="5" t="s">
        <v>1560</v>
      </c>
      <c r="BC325" s="5"/>
      <c r="BD325" s="5"/>
      <c r="BE325" s="5"/>
      <c r="BF325" s="5">
        <v>4</v>
      </c>
      <c r="BG325" s="5"/>
      <c r="BH325" s="5"/>
      <c r="BI325" s="5"/>
      <c r="BJ325" s="5"/>
      <c r="BK325" s="7"/>
      <c r="BL325" s="5"/>
      <c r="BM325" s="5" t="s">
        <v>1609</v>
      </c>
      <c r="BN325" s="5">
        <v>270</v>
      </c>
      <c r="BO325" s="5"/>
    </row>
    <row r="326" spans="1:67">
      <c r="A326" s="4" t="s">
        <v>1814</v>
      </c>
      <c r="B326" s="7"/>
      <c r="C326" s="5" t="s">
        <v>519</v>
      </c>
      <c r="D326" s="8" t="s">
        <v>1239</v>
      </c>
      <c r="E326" s="5"/>
      <c r="F326" s="5"/>
      <c r="G326" s="5"/>
      <c r="H326" s="5"/>
      <c r="I326" s="5"/>
      <c r="J326" s="5"/>
      <c r="K326" s="5"/>
      <c r="L326" s="5"/>
      <c r="M326" s="5"/>
      <c r="N326" s="5" t="s">
        <v>45</v>
      </c>
      <c r="O326" s="7"/>
      <c r="P326" s="5"/>
      <c r="Q326" s="5"/>
      <c r="S326" s="5"/>
      <c r="T326" s="5"/>
      <c r="V326" s="5"/>
      <c r="W326" s="5"/>
      <c r="X326" s="5"/>
      <c r="Y326" s="5"/>
      <c r="Z326" s="5"/>
      <c r="AA326" s="5"/>
      <c r="AB326" s="5"/>
      <c r="AC326" s="5"/>
      <c r="AD326" s="5"/>
      <c r="AE326" s="5"/>
      <c r="AF326" s="5"/>
      <c r="AG326" s="5"/>
      <c r="AH326" s="5"/>
      <c r="AI326" s="5"/>
      <c r="AJ326" s="5"/>
      <c r="AK326" s="5"/>
      <c r="AL326" s="5"/>
      <c r="AM326" s="5"/>
      <c r="AN326" s="5"/>
      <c r="AO326" s="5"/>
      <c r="AP326" s="5"/>
      <c r="AS326" s="5"/>
      <c r="AT326" s="5"/>
      <c r="AU326" s="5"/>
      <c r="AV326" s="5"/>
      <c r="AW326" s="5"/>
      <c r="AX326" s="5" t="s">
        <v>1560</v>
      </c>
      <c r="BC326" s="5"/>
      <c r="BD326" s="5"/>
      <c r="BE326" s="5"/>
      <c r="BF326" s="5">
        <v>13</v>
      </c>
      <c r="BG326" s="5"/>
      <c r="BH326" s="5"/>
      <c r="BI326" s="5"/>
      <c r="BJ326" s="5"/>
      <c r="BK326" s="7"/>
      <c r="BL326" s="5"/>
      <c r="BM326" s="5" t="s">
        <v>1609</v>
      </c>
      <c r="BN326" s="5">
        <v>30</v>
      </c>
      <c r="BO326" s="5"/>
    </row>
    <row r="327" spans="1:67">
      <c r="A327" s="4" t="s">
        <v>1259</v>
      </c>
      <c r="B327" s="7"/>
      <c r="C327" s="5" t="s">
        <v>62</v>
      </c>
      <c r="D327" s="5" t="s">
        <v>1241</v>
      </c>
      <c r="E327" s="5"/>
      <c r="F327" s="5"/>
      <c r="G327" s="5"/>
      <c r="H327" s="5"/>
      <c r="I327" s="5"/>
      <c r="J327" s="5"/>
      <c r="K327" s="5"/>
      <c r="L327" s="5"/>
      <c r="M327" s="5"/>
      <c r="N327" s="5" t="s">
        <v>45</v>
      </c>
      <c r="O327" s="7"/>
      <c r="P327" s="5"/>
      <c r="Q327" s="5"/>
      <c r="S327" s="5" t="s">
        <v>77</v>
      </c>
      <c r="T327" s="5"/>
      <c r="V327" s="5"/>
      <c r="W327" s="5"/>
      <c r="X327" s="5"/>
      <c r="Y327" s="5"/>
      <c r="Z327" s="5"/>
      <c r="AA327" s="5"/>
      <c r="AB327" s="5"/>
      <c r="AC327" s="5"/>
      <c r="AD327" s="5"/>
      <c r="AE327" s="5"/>
      <c r="AF327" s="5"/>
      <c r="AG327" s="5"/>
      <c r="AH327" s="5"/>
      <c r="AI327" s="5"/>
      <c r="AJ327" s="5"/>
      <c r="AK327" s="5"/>
      <c r="AL327" s="5"/>
      <c r="AM327" s="5"/>
      <c r="AN327" s="5"/>
      <c r="AO327" s="5"/>
      <c r="AP327" s="5"/>
      <c r="AS327" s="5"/>
      <c r="AT327" s="5"/>
      <c r="AU327" s="5"/>
      <c r="AV327" s="5"/>
      <c r="AW327" s="5"/>
      <c r="AX327" s="5" t="s">
        <v>1560</v>
      </c>
      <c r="BC327" s="5"/>
      <c r="BD327" s="5"/>
      <c r="BE327" s="5"/>
      <c r="BF327" s="5">
        <v>7</v>
      </c>
      <c r="BG327" s="5"/>
      <c r="BH327" s="5"/>
      <c r="BI327" s="5"/>
      <c r="BJ327" s="5"/>
      <c r="BK327" s="7"/>
      <c r="BL327" s="5"/>
      <c r="BM327" s="5" t="s">
        <v>1620</v>
      </c>
      <c r="BN327" s="5"/>
      <c r="BO327" s="5"/>
    </row>
    <row r="328" spans="1:67">
      <c r="A328" s="4" t="s">
        <v>1260</v>
      </c>
      <c r="B328" s="7"/>
      <c r="C328" s="5" t="s">
        <v>62</v>
      </c>
      <c r="D328" s="5" t="s">
        <v>1241</v>
      </c>
      <c r="E328" s="5"/>
      <c r="F328" s="5"/>
      <c r="G328" s="5"/>
      <c r="H328" s="5"/>
      <c r="I328" s="5"/>
      <c r="J328" s="5"/>
      <c r="K328" s="5"/>
      <c r="L328" s="5"/>
      <c r="M328" s="5"/>
      <c r="N328" s="5" t="s">
        <v>45</v>
      </c>
      <c r="O328" s="7"/>
      <c r="P328" s="5"/>
      <c r="Q328" s="5"/>
      <c r="S328" s="5"/>
      <c r="T328" s="5"/>
      <c r="V328" s="5"/>
      <c r="W328" s="5"/>
      <c r="X328" s="5"/>
      <c r="Y328" s="5"/>
      <c r="Z328" s="5"/>
      <c r="AA328" s="5"/>
      <c r="AB328" s="5"/>
      <c r="AC328" s="5"/>
      <c r="AD328" s="5"/>
      <c r="AE328" s="5"/>
      <c r="AF328" s="5"/>
      <c r="AG328" s="5"/>
      <c r="AH328" s="5"/>
      <c r="AI328" s="5"/>
      <c r="AJ328" s="5"/>
      <c r="AK328" s="5"/>
      <c r="AL328" s="5"/>
      <c r="AM328" s="5"/>
      <c r="AN328" s="5"/>
      <c r="AO328" s="5"/>
      <c r="AP328" s="5"/>
      <c r="AS328" s="5"/>
      <c r="AT328" s="5"/>
      <c r="AU328" s="5"/>
      <c r="AV328" s="5"/>
      <c r="AW328" s="5"/>
      <c r="AX328" s="5" t="s">
        <v>1560</v>
      </c>
      <c r="BC328" s="5"/>
      <c r="BD328" s="5"/>
      <c r="BE328" s="5"/>
      <c r="BF328" s="5">
        <v>1</v>
      </c>
      <c r="BG328" s="5"/>
      <c r="BH328" s="5"/>
      <c r="BI328" s="5"/>
      <c r="BJ328" s="5"/>
      <c r="BK328" s="7"/>
      <c r="BL328" s="5"/>
      <c r="BM328" s="5" t="s">
        <v>1609</v>
      </c>
      <c r="BN328" s="5">
        <v>270</v>
      </c>
      <c r="BO328" s="5"/>
    </row>
    <row r="329" spans="1:67">
      <c r="A329" s="4" t="s">
        <v>1261</v>
      </c>
      <c r="B329" s="7"/>
      <c r="C329" s="5" t="s">
        <v>1249</v>
      </c>
      <c r="D329" s="5" t="s">
        <v>1241</v>
      </c>
      <c r="E329" s="5" t="s">
        <v>100</v>
      </c>
      <c r="F329" s="5">
        <v>1</v>
      </c>
      <c r="G329" s="5"/>
      <c r="H329" s="5"/>
      <c r="I329" s="5"/>
      <c r="J329" s="5"/>
      <c r="K329" s="5"/>
      <c r="L329" s="5">
        <v>10</v>
      </c>
      <c r="M329" s="5"/>
      <c r="N329" s="5"/>
      <c r="O329" s="7"/>
      <c r="P329" s="5"/>
      <c r="Q329" s="5"/>
      <c r="S329" s="5"/>
      <c r="T329" s="5"/>
      <c r="V329" s="5"/>
      <c r="W329" s="5"/>
      <c r="X329" s="5"/>
      <c r="Y329" s="5"/>
      <c r="Z329" s="5"/>
      <c r="AA329" s="5"/>
      <c r="AB329" s="5"/>
      <c r="AC329" s="5"/>
      <c r="AD329" s="5">
        <v>1</v>
      </c>
      <c r="AE329" s="5">
        <v>20</v>
      </c>
      <c r="AF329" s="5">
        <v>10</v>
      </c>
      <c r="AG329" s="5"/>
      <c r="AH329" s="5"/>
      <c r="AI329" s="5"/>
      <c r="AJ329" s="5"/>
      <c r="AK329" s="5"/>
      <c r="AL329" s="5"/>
      <c r="AM329" s="5"/>
      <c r="AN329" s="5"/>
      <c r="AO329" s="5"/>
      <c r="AP329" s="5"/>
      <c r="AS329" s="5"/>
      <c r="AT329" s="5"/>
      <c r="AU329" s="5"/>
      <c r="AV329" s="5"/>
      <c r="AW329" s="5"/>
      <c r="AX329" s="5" t="s">
        <v>1560</v>
      </c>
      <c r="BC329" s="5"/>
      <c r="BD329" s="5"/>
      <c r="BE329" s="5"/>
      <c r="BF329" s="5"/>
      <c r="BG329" s="5"/>
      <c r="BH329" s="5"/>
      <c r="BI329" s="5"/>
      <c r="BJ329" s="5"/>
      <c r="BK329" s="7"/>
      <c r="BL329" s="5"/>
      <c r="BM329" s="5" t="s">
        <v>1621</v>
      </c>
      <c r="BN329" s="5"/>
      <c r="BO329" s="5"/>
    </row>
    <row r="330" spans="1:67">
      <c r="A330" s="4" t="s">
        <v>1262</v>
      </c>
      <c r="B330" s="7"/>
      <c r="C330" s="5" t="s">
        <v>641</v>
      </c>
      <c r="D330" s="5" t="s">
        <v>1241</v>
      </c>
      <c r="E330" s="5"/>
      <c r="F330" s="5">
        <v>0.5</v>
      </c>
      <c r="G330" s="5">
        <v>30</v>
      </c>
      <c r="H330" s="5"/>
      <c r="I330" s="5"/>
      <c r="J330" s="5"/>
      <c r="K330" s="5"/>
      <c r="L330" s="5"/>
      <c r="M330" s="5">
        <v>0</v>
      </c>
      <c r="N330" s="5" t="s">
        <v>660</v>
      </c>
      <c r="O330" s="7"/>
      <c r="P330" s="5"/>
      <c r="Q330" s="5"/>
      <c r="S330" s="5" t="s">
        <v>77</v>
      </c>
      <c r="T330" s="5"/>
      <c r="V330" s="5"/>
      <c r="W330" s="5"/>
      <c r="X330" s="5"/>
      <c r="Y330" s="5"/>
      <c r="Z330" s="5"/>
      <c r="AA330" s="5"/>
      <c r="AB330" s="5"/>
      <c r="AC330" s="5"/>
      <c r="AD330" s="5">
        <v>3</v>
      </c>
      <c r="AE330" s="5">
        <v>15</v>
      </c>
      <c r="AF330" s="5">
        <v>10</v>
      </c>
      <c r="AG330" s="5">
        <v>2</v>
      </c>
      <c r="AH330" s="5">
        <v>12</v>
      </c>
      <c r="AI330" s="5">
        <v>7</v>
      </c>
      <c r="AJ330" s="5"/>
      <c r="AK330" s="5"/>
      <c r="AL330" s="5"/>
      <c r="AM330" s="5"/>
      <c r="AN330" s="5"/>
      <c r="AO330" s="5"/>
      <c r="AP330" s="5"/>
      <c r="AS330" s="5" t="s">
        <v>1567</v>
      </c>
      <c r="AT330" s="5"/>
      <c r="AU330" s="5"/>
      <c r="AV330" s="5">
        <v>0</v>
      </c>
      <c r="AW330" s="5" t="s">
        <v>1565</v>
      </c>
      <c r="AX330" s="5" t="s">
        <v>1560</v>
      </c>
      <c r="BC330" s="5" t="s">
        <v>1610</v>
      </c>
      <c r="BD330" s="5"/>
      <c r="BE330" s="5">
        <v>1</v>
      </c>
      <c r="BF330" s="5"/>
      <c r="BG330" s="5" t="s">
        <v>1616</v>
      </c>
      <c r="BH330" s="5"/>
      <c r="BI330" s="5"/>
      <c r="BJ330" s="5"/>
      <c r="BK330" s="7"/>
      <c r="BL330" s="5"/>
      <c r="BM330" s="5" t="s">
        <v>1609</v>
      </c>
      <c r="BN330" s="5">
        <v>270</v>
      </c>
      <c r="BO330" s="5"/>
    </row>
    <row r="331" spans="1:67">
      <c r="A331" s="4" t="s">
        <v>1263</v>
      </c>
      <c r="B331" s="7"/>
      <c r="C331" s="5" t="s">
        <v>42</v>
      </c>
      <c r="D331" s="5" t="s">
        <v>1241</v>
      </c>
      <c r="E331" s="5"/>
      <c r="F331" s="5">
        <v>3</v>
      </c>
      <c r="G331" s="5">
        <v>50</v>
      </c>
      <c r="H331" s="5"/>
      <c r="I331" s="5"/>
      <c r="J331" s="5"/>
      <c r="K331" s="5"/>
      <c r="L331" s="5"/>
      <c r="M331" s="5">
        <v>1</v>
      </c>
      <c r="N331" s="5" t="s">
        <v>1264</v>
      </c>
      <c r="O331" s="7"/>
      <c r="P331" s="5"/>
      <c r="Q331" s="5"/>
      <c r="S331" s="5" t="s">
        <v>77</v>
      </c>
      <c r="T331" s="5"/>
      <c r="V331" s="5"/>
      <c r="W331" s="5"/>
      <c r="X331" s="5"/>
      <c r="Y331" s="5"/>
      <c r="Z331" s="5"/>
      <c r="AA331" s="5"/>
      <c r="AB331" s="5"/>
      <c r="AC331" s="5"/>
      <c r="AD331" s="5">
        <v>16</v>
      </c>
      <c r="AE331" s="5">
        <v>19</v>
      </c>
      <c r="AF331" s="5">
        <v>15</v>
      </c>
      <c r="AG331" s="5">
        <v>2</v>
      </c>
      <c r="AH331" s="5">
        <v>12</v>
      </c>
      <c r="AI331" s="5">
        <v>6</v>
      </c>
      <c r="AJ331" s="5"/>
      <c r="AK331" s="5"/>
      <c r="AL331" s="5"/>
      <c r="AM331" s="5"/>
      <c r="AN331" s="5"/>
      <c r="AO331" s="5"/>
      <c r="AP331" s="5"/>
      <c r="AS331" s="5"/>
      <c r="AT331" s="5"/>
      <c r="AU331" s="5"/>
      <c r="AV331" s="5"/>
      <c r="AW331" s="5"/>
      <c r="AX331" s="5" t="s">
        <v>1560</v>
      </c>
      <c r="BC331" s="5"/>
      <c r="BD331" s="5"/>
      <c r="BE331" s="5"/>
      <c r="BF331" s="5">
        <v>4</v>
      </c>
      <c r="BG331" s="5"/>
      <c r="BH331" s="5"/>
      <c r="BI331" s="5"/>
      <c r="BJ331" s="5"/>
      <c r="BK331" s="7"/>
      <c r="BL331" s="5"/>
      <c r="BM331" s="5" t="s">
        <v>1609</v>
      </c>
      <c r="BN331" s="5">
        <v>271</v>
      </c>
      <c r="BO331" s="5"/>
    </row>
    <row r="332" spans="1:67">
      <c r="A332" s="4" t="s">
        <v>1265</v>
      </c>
      <c r="B332" s="7"/>
      <c r="C332" s="5" t="s">
        <v>62</v>
      </c>
      <c r="D332" s="8" t="s">
        <v>1239</v>
      </c>
      <c r="E332" s="5"/>
      <c r="F332" s="5"/>
      <c r="G332" s="5"/>
      <c r="H332" s="5"/>
      <c r="I332" s="5"/>
      <c r="J332" s="5"/>
      <c r="K332" s="5"/>
      <c r="L332" s="5"/>
      <c r="M332" s="5"/>
      <c r="N332" s="5" t="s">
        <v>45</v>
      </c>
      <c r="O332" s="7"/>
      <c r="P332" s="5"/>
      <c r="Q332" s="5"/>
      <c r="S332" s="5" t="s">
        <v>77</v>
      </c>
      <c r="T332" s="5"/>
      <c r="V332" s="5"/>
      <c r="W332" s="5"/>
      <c r="X332" s="5"/>
      <c r="Y332" s="5"/>
      <c r="Z332" s="5"/>
      <c r="AA332" s="5"/>
      <c r="AB332" s="5"/>
      <c r="AC332" s="5"/>
      <c r="AD332" s="5"/>
      <c r="AE332" s="5"/>
      <c r="AF332" s="5"/>
      <c r="AG332" s="5"/>
      <c r="AH332" s="5"/>
      <c r="AI332" s="5"/>
      <c r="AJ332" s="5"/>
      <c r="AK332" s="5"/>
      <c r="AL332" s="5"/>
      <c r="AM332" s="5"/>
      <c r="AN332" s="5"/>
      <c r="AO332" s="5"/>
      <c r="AP332" s="5"/>
      <c r="AS332" s="5"/>
      <c r="AT332" s="5"/>
      <c r="AU332" s="5"/>
      <c r="AV332" s="5"/>
      <c r="AW332" s="5"/>
      <c r="AX332" s="5" t="s">
        <v>1560</v>
      </c>
      <c r="BC332" s="5"/>
      <c r="BD332" s="5"/>
      <c r="BE332" s="5"/>
      <c r="BF332" s="5">
        <v>13</v>
      </c>
      <c r="BG332" s="5"/>
      <c r="BH332" s="5"/>
      <c r="BI332" s="5"/>
      <c r="BJ332" s="5"/>
      <c r="BK332" s="7"/>
      <c r="BL332" s="5"/>
      <c r="BM332" s="5" t="s">
        <v>1609</v>
      </c>
      <c r="BN332" s="5">
        <v>34</v>
      </c>
      <c r="BO332" s="5"/>
    </row>
    <row r="333" spans="1:67">
      <c r="A333" s="4" t="s">
        <v>1266</v>
      </c>
      <c r="B333" s="7"/>
      <c r="C333" s="5" t="s">
        <v>641</v>
      </c>
      <c r="D333" s="8" t="s">
        <v>1239</v>
      </c>
      <c r="E333" s="5"/>
      <c r="F333" s="5">
        <v>1</v>
      </c>
      <c r="G333" s="5">
        <v>10</v>
      </c>
      <c r="H333" s="5"/>
      <c r="I333" s="5"/>
      <c r="J333" s="5">
        <v>30</v>
      </c>
      <c r="K333" s="5" t="s">
        <v>766</v>
      </c>
      <c r="L333" s="5"/>
      <c r="M333" s="5">
        <v>2</v>
      </c>
      <c r="N333" s="5" t="s">
        <v>1267</v>
      </c>
      <c r="O333" s="7"/>
      <c r="P333" s="5"/>
      <c r="Q333" s="5"/>
      <c r="S333" s="5"/>
      <c r="T333" s="5"/>
      <c r="V333" s="5"/>
      <c r="W333" s="5"/>
      <c r="X333" s="5"/>
      <c r="Y333" s="5"/>
      <c r="Z333" s="5"/>
      <c r="AA333" s="5"/>
      <c r="AB333" s="5"/>
      <c r="AC333" s="5"/>
      <c r="AD333" s="5">
        <v>3</v>
      </c>
      <c r="AE333" s="5">
        <v>19</v>
      </c>
      <c r="AF333" s="5" t="s">
        <v>1560</v>
      </c>
      <c r="AG333" s="5">
        <v>4</v>
      </c>
      <c r="AH333" s="5">
        <v>12</v>
      </c>
      <c r="AI333" s="5">
        <v>10</v>
      </c>
      <c r="AJ333" s="5"/>
      <c r="AK333" s="5"/>
      <c r="AL333" s="5"/>
      <c r="AM333" s="5"/>
      <c r="AN333" s="5"/>
      <c r="AO333" s="5"/>
      <c r="AP333" s="5"/>
      <c r="AS333" s="5" t="s">
        <v>1568</v>
      </c>
      <c r="AT333" s="5"/>
      <c r="AU333" s="5"/>
      <c r="AV333" s="5"/>
      <c r="AW333" s="5" t="s">
        <v>1569</v>
      </c>
      <c r="AX333" s="5" t="s">
        <v>1560</v>
      </c>
      <c r="BC333" s="5" t="s">
        <v>1622</v>
      </c>
      <c r="BD333" s="5"/>
      <c r="BE333" s="5">
        <v>5</v>
      </c>
      <c r="BF333" s="5"/>
      <c r="BG333" s="5" t="s">
        <v>1618</v>
      </c>
      <c r="BH333" s="5"/>
      <c r="BI333" s="5"/>
      <c r="BJ333" s="5"/>
      <c r="BK333" s="7"/>
      <c r="BL333" s="5"/>
      <c r="BM333" s="5" t="s">
        <v>1623</v>
      </c>
      <c r="BN333" s="5"/>
      <c r="BO333" s="5"/>
    </row>
    <row r="334" spans="1:67">
      <c r="A334" s="4" t="s">
        <v>1268</v>
      </c>
      <c r="B334" s="7"/>
      <c r="C334" s="5" t="s">
        <v>85</v>
      </c>
      <c r="D334" s="8" t="s">
        <v>1239</v>
      </c>
      <c r="E334" s="5"/>
      <c r="F334" s="5"/>
      <c r="G334" s="5"/>
      <c r="H334" s="5"/>
      <c r="I334" s="5"/>
      <c r="J334" s="5"/>
      <c r="K334" s="5"/>
      <c r="L334" s="5"/>
      <c r="M334" s="5"/>
      <c r="N334" s="5" t="s">
        <v>45</v>
      </c>
      <c r="O334" s="7"/>
      <c r="P334" s="5"/>
      <c r="Q334" s="5"/>
      <c r="S334" s="5" t="s">
        <v>77</v>
      </c>
      <c r="T334" s="5">
        <v>60</v>
      </c>
      <c r="V334" s="5"/>
      <c r="W334" s="5"/>
      <c r="X334" s="5"/>
      <c r="Y334" s="5"/>
      <c r="Z334" s="5"/>
      <c r="AA334" s="5"/>
      <c r="AB334" s="5"/>
      <c r="AC334" s="5"/>
      <c r="AD334" s="5"/>
      <c r="AE334" s="5"/>
      <c r="AF334" s="5"/>
      <c r="AG334" s="5"/>
      <c r="AH334" s="5"/>
      <c r="AI334" s="5"/>
      <c r="AJ334" s="5"/>
      <c r="AK334" s="5"/>
      <c r="AL334" s="5"/>
      <c r="AM334" s="5"/>
      <c r="AN334" s="5"/>
      <c r="AO334" s="5"/>
      <c r="AP334" s="5"/>
      <c r="AS334" s="5"/>
      <c r="AT334" s="5"/>
      <c r="AU334" s="5"/>
      <c r="AV334" s="5"/>
      <c r="AW334" s="5"/>
      <c r="AX334" s="5" t="s">
        <v>1560</v>
      </c>
      <c r="BC334" s="5"/>
      <c r="BD334" s="5"/>
      <c r="BE334" s="5"/>
      <c r="BF334" s="5">
        <v>7</v>
      </c>
      <c r="BG334" s="5"/>
      <c r="BH334" s="5"/>
      <c r="BI334" s="5"/>
      <c r="BJ334" s="5"/>
      <c r="BK334" s="7"/>
      <c r="BL334" s="5"/>
      <c r="BM334" s="5" t="s">
        <v>1609</v>
      </c>
      <c r="BN334" s="5">
        <v>37</v>
      </c>
      <c r="BO334" s="5"/>
    </row>
    <row r="335" spans="1:67">
      <c r="A335" s="4" t="s">
        <v>1269</v>
      </c>
      <c r="B335" s="7"/>
      <c r="C335" s="5" t="s">
        <v>1249</v>
      </c>
      <c r="D335" s="8" t="s">
        <v>1241</v>
      </c>
      <c r="E335" s="5"/>
      <c r="F335" s="5">
        <v>1</v>
      </c>
      <c r="G335" s="5">
        <v>15</v>
      </c>
      <c r="H335" s="5"/>
      <c r="I335" s="5"/>
      <c r="J335" s="5"/>
      <c r="K335" s="5"/>
      <c r="L335" s="5"/>
      <c r="M335" s="5">
        <v>1</v>
      </c>
      <c r="N335" s="5" t="s">
        <v>1232</v>
      </c>
      <c r="O335" s="7"/>
      <c r="P335" s="5"/>
      <c r="Q335" s="5"/>
      <c r="S335" s="5"/>
      <c r="T335" s="5"/>
      <c r="V335" s="5"/>
      <c r="W335" s="5"/>
      <c r="X335" s="5"/>
      <c r="Y335" s="5"/>
      <c r="Z335" s="5"/>
      <c r="AA335" s="5"/>
      <c r="AB335" s="5"/>
      <c r="AC335" s="5"/>
      <c r="AD335" s="5">
        <v>1</v>
      </c>
      <c r="AE335" s="5">
        <v>17</v>
      </c>
      <c r="AF335" s="5">
        <v>10</v>
      </c>
      <c r="AG335" s="5"/>
      <c r="AH335" s="5"/>
      <c r="AI335" s="5"/>
      <c r="AJ335" s="5"/>
      <c r="AK335" s="5"/>
      <c r="AL335" s="5"/>
      <c r="AM335" s="5"/>
      <c r="AN335" s="5"/>
      <c r="AO335" s="5"/>
      <c r="AP335" s="5"/>
      <c r="AS335" s="5"/>
      <c r="AT335" s="5"/>
      <c r="AU335" s="5"/>
      <c r="AV335" s="5"/>
      <c r="AW335" s="5"/>
      <c r="AX335" s="5" t="s">
        <v>1560</v>
      </c>
      <c r="BC335" s="5"/>
      <c r="BD335" s="5"/>
      <c r="BE335" s="5"/>
      <c r="BF335" s="5"/>
      <c r="BG335" s="5"/>
      <c r="BH335" s="5"/>
      <c r="BI335" s="5"/>
      <c r="BJ335" s="5"/>
      <c r="BK335" s="7"/>
      <c r="BL335" s="5"/>
      <c r="BM335" s="5" t="s">
        <v>1621</v>
      </c>
      <c r="BN335" s="5"/>
      <c r="BO335" s="5"/>
    </row>
    <row r="336" spans="1:67">
      <c r="A336" s="4" t="s">
        <v>1270</v>
      </c>
      <c r="B336" s="7"/>
      <c r="C336" s="5" t="s">
        <v>85</v>
      </c>
      <c r="D336" s="8" t="s">
        <v>1241</v>
      </c>
      <c r="E336" s="5"/>
      <c r="F336" s="5">
        <v>1</v>
      </c>
      <c r="G336" s="5">
        <v>5</v>
      </c>
      <c r="H336" s="5"/>
      <c r="I336" s="5"/>
      <c r="J336" s="5">
        <v>60</v>
      </c>
      <c r="K336" s="5" t="s">
        <v>1271</v>
      </c>
      <c r="L336" s="5"/>
      <c r="M336" s="5"/>
      <c r="N336" s="5" t="s">
        <v>244</v>
      </c>
      <c r="O336" s="7"/>
      <c r="P336" s="5"/>
      <c r="Q336" s="5"/>
      <c r="S336" s="5" t="s">
        <v>77</v>
      </c>
      <c r="T336" s="5"/>
      <c r="V336" s="5"/>
      <c r="W336" s="5"/>
      <c r="X336" s="5"/>
      <c r="Y336" s="5"/>
      <c r="Z336" s="5"/>
      <c r="AA336" s="5"/>
      <c r="AB336" s="5"/>
      <c r="AC336" s="5"/>
      <c r="AD336" s="5">
        <v>6</v>
      </c>
      <c r="AE336" s="5">
        <v>16</v>
      </c>
      <c r="AF336" s="5">
        <v>10</v>
      </c>
      <c r="AG336" s="5"/>
      <c r="AH336" s="5"/>
      <c r="AI336" s="5"/>
      <c r="AJ336" s="5"/>
      <c r="AK336" s="5"/>
      <c r="AL336" s="5"/>
      <c r="AM336" s="5"/>
      <c r="AN336" s="5"/>
      <c r="AO336" s="5"/>
      <c r="AP336" s="5"/>
      <c r="AS336" s="5"/>
      <c r="AT336" s="5"/>
      <c r="AU336" s="5"/>
      <c r="AV336" s="5"/>
      <c r="AW336" s="5"/>
      <c r="AX336" s="5" t="s">
        <v>1560</v>
      </c>
      <c r="BC336" s="5"/>
      <c r="BD336" s="5"/>
      <c r="BE336" s="5"/>
      <c r="BF336" s="5"/>
      <c r="BG336" s="5"/>
      <c r="BH336" s="5"/>
      <c r="BI336" s="5"/>
      <c r="BJ336" s="5"/>
      <c r="BK336" s="7"/>
      <c r="BL336" s="5"/>
      <c r="BM336" s="5" t="s">
        <v>1621</v>
      </c>
      <c r="BN336" s="5"/>
      <c r="BO336" s="5"/>
    </row>
    <row r="337" spans="1:67">
      <c r="A337" s="4" t="s">
        <v>1272</v>
      </c>
      <c r="B337" s="7"/>
      <c r="C337" s="5" t="s">
        <v>42</v>
      </c>
      <c r="D337" s="5" t="s">
        <v>1241</v>
      </c>
      <c r="E337" s="5"/>
      <c r="F337" s="5">
        <v>3</v>
      </c>
      <c r="G337" s="5">
        <v>20</v>
      </c>
      <c r="H337" s="5"/>
      <c r="I337" s="5"/>
      <c r="J337" s="5"/>
      <c r="K337" s="5"/>
      <c r="L337" s="5">
        <v>30</v>
      </c>
      <c r="M337" s="5">
        <v>4</v>
      </c>
      <c r="N337" s="5" t="s">
        <v>1273</v>
      </c>
      <c r="O337" s="7"/>
      <c r="P337" s="5"/>
      <c r="Q337" s="5"/>
      <c r="S337" s="5" t="s">
        <v>77</v>
      </c>
      <c r="T337" s="5"/>
      <c r="V337" s="5"/>
      <c r="W337" s="5"/>
      <c r="X337" s="5"/>
      <c r="Y337" s="5"/>
      <c r="Z337" s="5"/>
      <c r="AA337" s="5"/>
      <c r="AB337" s="5"/>
      <c r="AC337" s="5"/>
      <c r="AD337" s="5">
        <v>19</v>
      </c>
      <c r="AE337" s="5">
        <v>12</v>
      </c>
      <c r="AF337" s="5">
        <v>17</v>
      </c>
      <c r="AG337" s="5">
        <v>1</v>
      </c>
      <c r="AH337" s="5">
        <v>12</v>
      </c>
      <c r="AI337" s="5">
        <v>2</v>
      </c>
      <c r="AJ337" s="5"/>
      <c r="AK337" s="5"/>
      <c r="AL337" s="5"/>
      <c r="AM337" s="5"/>
      <c r="AN337" s="5"/>
      <c r="AO337" s="5"/>
      <c r="AP337" s="5"/>
      <c r="AS337" s="5"/>
      <c r="AT337" s="5"/>
      <c r="AU337" s="5"/>
      <c r="AV337" s="5"/>
      <c r="AW337" s="5"/>
      <c r="AX337" s="5" t="s">
        <v>1560</v>
      </c>
      <c r="BC337" s="5"/>
      <c r="BD337" s="5"/>
      <c r="BE337" s="5"/>
      <c r="BF337" s="5">
        <v>4</v>
      </c>
      <c r="BG337" s="5"/>
      <c r="BH337" s="5"/>
      <c r="BI337" s="5"/>
      <c r="BJ337" s="5"/>
      <c r="BK337" s="7"/>
      <c r="BL337" s="5"/>
      <c r="BM337" s="5" t="s">
        <v>1609</v>
      </c>
      <c r="BN337" s="5">
        <v>271</v>
      </c>
      <c r="BO337" s="5"/>
    </row>
    <row r="338" spans="1:67">
      <c r="A338" s="4" t="s">
        <v>1274</v>
      </c>
      <c r="B338" s="7"/>
      <c r="C338" s="5" t="s">
        <v>519</v>
      </c>
      <c r="D338" s="5" t="s">
        <v>1241</v>
      </c>
      <c r="E338" s="5"/>
      <c r="F338" s="5">
        <v>7</v>
      </c>
      <c r="G338" s="5">
        <v>20</v>
      </c>
      <c r="H338" s="5"/>
      <c r="I338" s="5"/>
      <c r="J338" s="5"/>
      <c r="K338" s="5"/>
      <c r="L338" s="5">
        <v>30</v>
      </c>
      <c r="M338" s="5">
        <v>7</v>
      </c>
      <c r="N338" s="5" t="s">
        <v>1275</v>
      </c>
      <c r="O338" s="7"/>
      <c r="P338" s="5"/>
      <c r="Q338" s="5"/>
      <c r="S338" s="5" t="s">
        <v>77</v>
      </c>
      <c r="T338" s="5"/>
      <c r="V338" s="5"/>
      <c r="W338" s="5"/>
      <c r="X338" s="5"/>
      <c r="Y338" s="5"/>
      <c r="Z338" s="5"/>
      <c r="AA338" s="5"/>
      <c r="AB338" s="5"/>
      <c r="AC338" s="5"/>
      <c r="AD338" s="5">
        <v>27</v>
      </c>
      <c r="AE338" s="5">
        <v>12</v>
      </c>
      <c r="AF338" s="5">
        <v>19</v>
      </c>
      <c r="AG338" s="5">
        <v>1</v>
      </c>
      <c r="AH338" s="5">
        <v>12</v>
      </c>
      <c r="AI338" s="5">
        <v>2</v>
      </c>
      <c r="AJ338" s="5"/>
      <c r="AK338" s="5"/>
      <c r="AL338" s="5"/>
      <c r="AM338" s="5"/>
      <c r="AN338" s="5"/>
      <c r="AO338" s="5"/>
      <c r="AP338" s="5"/>
      <c r="AS338" s="5"/>
      <c r="AT338" s="5"/>
      <c r="AU338" s="5"/>
      <c r="AV338" s="5"/>
      <c r="AW338" s="5"/>
      <c r="AX338" s="5" t="s">
        <v>1560</v>
      </c>
      <c r="BC338" s="5"/>
      <c r="BD338" s="5"/>
      <c r="BE338" s="5"/>
      <c r="BF338" s="5">
        <v>7</v>
      </c>
      <c r="BG338" s="5"/>
      <c r="BH338" s="5"/>
      <c r="BI338" s="5"/>
      <c r="BJ338" s="5"/>
      <c r="BK338" s="7"/>
      <c r="BL338" s="5"/>
      <c r="BM338" s="5" t="s">
        <v>1609</v>
      </c>
      <c r="BN338" s="5">
        <v>271</v>
      </c>
      <c r="BO338" s="5"/>
    </row>
    <row r="339" spans="1:67">
      <c r="A339" s="4" t="s">
        <v>1276</v>
      </c>
      <c r="B339" s="7"/>
      <c r="C339" s="5" t="s">
        <v>85</v>
      </c>
      <c r="D339" s="8" t="s">
        <v>1239</v>
      </c>
      <c r="E339" s="5"/>
      <c r="F339" s="5"/>
      <c r="G339" s="5"/>
      <c r="H339" s="5"/>
      <c r="I339" s="5"/>
      <c r="J339" s="5"/>
      <c r="K339" s="5"/>
      <c r="L339" s="5"/>
      <c r="M339" s="5"/>
      <c r="N339" s="5" t="s">
        <v>45</v>
      </c>
      <c r="O339" s="7"/>
      <c r="P339" s="5"/>
      <c r="Q339" s="5"/>
      <c r="S339" s="5" t="s">
        <v>77</v>
      </c>
      <c r="T339" s="5"/>
      <c r="V339" s="5"/>
      <c r="W339" s="5"/>
      <c r="X339" s="5"/>
      <c r="Y339" s="5"/>
      <c r="Z339" s="5"/>
      <c r="AA339" s="5"/>
      <c r="AB339" s="5"/>
      <c r="AC339" s="5"/>
      <c r="AD339" s="5"/>
      <c r="AE339" s="5"/>
      <c r="AF339" s="5"/>
      <c r="AG339" s="5"/>
      <c r="AH339" s="5"/>
      <c r="AI339" s="5"/>
      <c r="AJ339" s="5"/>
      <c r="AK339" s="5"/>
      <c r="AL339" s="5"/>
      <c r="AM339" s="5"/>
      <c r="AN339" s="5"/>
      <c r="AO339" s="5"/>
      <c r="AP339" s="5"/>
      <c r="AS339" s="5"/>
      <c r="AT339" s="5"/>
      <c r="AU339" s="5"/>
      <c r="AV339" s="5"/>
      <c r="AW339" s="5"/>
      <c r="AX339" s="5" t="s">
        <v>1560</v>
      </c>
      <c r="BC339" s="5"/>
      <c r="BD339" s="5"/>
      <c r="BE339" s="5"/>
      <c r="BF339" s="5">
        <v>1</v>
      </c>
      <c r="BG339" s="5"/>
      <c r="BH339" s="5"/>
      <c r="BI339" s="5"/>
      <c r="BJ339" s="5"/>
      <c r="BK339" s="7"/>
      <c r="BL339" s="5"/>
      <c r="BM339" s="5" t="s">
        <v>1609</v>
      </c>
      <c r="BN339" s="5">
        <v>38</v>
      </c>
      <c r="BO339" s="5"/>
    </row>
    <row r="340" spans="1:67">
      <c r="A340" s="4" t="s">
        <v>1277</v>
      </c>
      <c r="B340" s="7"/>
      <c r="C340" s="5" t="s">
        <v>85</v>
      </c>
      <c r="D340" s="8" t="s">
        <v>1239</v>
      </c>
      <c r="E340" s="5"/>
      <c r="F340" s="5">
        <v>1</v>
      </c>
      <c r="G340" s="5">
        <v>20</v>
      </c>
      <c r="H340" s="5"/>
      <c r="I340" s="5">
        <v>20</v>
      </c>
      <c r="J340" s="5">
        <v>20</v>
      </c>
      <c r="K340" s="5" t="s">
        <v>1271</v>
      </c>
      <c r="L340" s="5"/>
      <c r="M340" s="5">
        <v>3</v>
      </c>
      <c r="N340" s="5" t="s">
        <v>1278</v>
      </c>
      <c r="O340" s="7"/>
      <c r="P340" s="5"/>
      <c r="Q340" s="5"/>
      <c r="S340" s="5"/>
      <c r="T340" s="5"/>
      <c r="V340" s="5"/>
      <c r="W340" s="5"/>
      <c r="X340" s="5"/>
      <c r="Y340" s="5"/>
      <c r="Z340" s="5"/>
      <c r="AA340" s="5"/>
      <c r="AB340" s="5"/>
      <c r="AC340" s="5"/>
      <c r="AD340" s="5">
        <v>6</v>
      </c>
      <c r="AE340" s="5">
        <v>17</v>
      </c>
      <c r="AF340" s="5" t="s">
        <v>1560</v>
      </c>
      <c r="AG340" s="5">
        <v>1</v>
      </c>
      <c r="AH340" s="5">
        <v>12</v>
      </c>
      <c r="AI340" s="5">
        <v>2</v>
      </c>
      <c r="AJ340" s="5"/>
      <c r="AK340" s="5"/>
      <c r="AL340" s="5"/>
      <c r="AM340" s="5"/>
      <c r="AN340" s="5"/>
      <c r="AO340" s="5"/>
      <c r="AP340" s="5"/>
      <c r="AS340" s="5" t="s">
        <v>1570</v>
      </c>
      <c r="AT340" s="5"/>
      <c r="AU340" s="5"/>
      <c r="AV340" s="5"/>
      <c r="AW340" s="5" t="s">
        <v>1571</v>
      </c>
      <c r="AX340" s="5" t="s">
        <v>1560</v>
      </c>
      <c r="BC340" s="5" t="s">
        <v>1624</v>
      </c>
      <c r="BD340" s="5"/>
      <c r="BE340" s="5">
        <v>9</v>
      </c>
      <c r="BF340" s="5"/>
      <c r="BG340" s="5" t="s">
        <v>1618</v>
      </c>
      <c r="BH340" s="5"/>
      <c r="BI340" s="5"/>
      <c r="BJ340" s="5"/>
      <c r="BK340" s="7"/>
      <c r="BL340" s="5"/>
      <c r="BM340" s="5" t="s">
        <v>1625</v>
      </c>
      <c r="BN340" s="5"/>
      <c r="BO340" s="5" t="s">
        <v>1626</v>
      </c>
    </row>
    <row r="341" spans="1:67">
      <c r="A341" s="4" t="s">
        <v>1279</v>
      </c>
      <c r="B341" s="7"/>
      <c r="C341" s="5" t="s">
        <v>42</v>
      </c>
      <c r="D341" s="5" t="s">
        <v>1241</v>
      </c>
      <c r="E341" s="5"/>
      <c r="F341" s="5">
        <v>4</v>
      </c>
      <c r="G341" s="5">
        <v>60</v>
      </c>
      <c r="H341" s="5"/>
      <c r="I341" s="5"/>
      <c r="J341" s="5"/>
      <c r="K341" s="5"/>
      <c r="L341" s="5"/>
      <c r="M341" s="5">
        <v>5</v>
      </c>
      <c r="N341" s="5" t="s">
        <v>1280</v>
      </c>
      <c r="O341" s="7"/>
      <c r="P341" s="5"/>
      <c r="Q341" s="5"/>
      <c r="S341" s="5"/>
      <c r="T341" s="5"/>
      <c r="V341" s="5"/>
      <c r="W341" s="5"/>
      <c r="X341" s="5"/>
      <c r="Y341" s="5"/>
      <c r="Z341" s="5"/>
      <c r="AA341" s="5"/>
      <c r="AB341" s="5"/>
      <c r="AC341" s="5"/>
      <c r="AD341" s="5">
        <v>19</v>
      </c>
      <c r="AE341" s="5">
        <v>15</v>
      </c>
      <c r="AF341" s="5">
        <v>19</v>
      </c>
      <c r="AG341" s="5">
        <v>2</v>
      </c>
      <c r="AH341" s="5">
        <v>12</v>
      </c>
      <c r="AI341" s="5">
        <v>10</v>
      </c>
      <c r="AJ341" s="5"/>
      <c r="AK341" s="5"/>
      <c r="AL341" s="5"/>
      <c r="AM341" s="5"/>
      <c r="AN341" s="5"/>
      <c r="AO341" s="5"/>
      <c r="AP341" s="5"/>
      <c r="AS341" s="5"/>
      <c r="AT341" s="5"/>
      <c r="AU341" s="5"/>
      <c r="AV341" s="5"/>
      <c r="AW341" s="5"/>
      <c r="AX341" s="5" t="s">
        <v>1560</v>
      </c>
      <c r="BC341" s="5"/>
      <c r="BD341" s="5"/>
      <c r="BE341" s="5"/>
      <c r="BF341" s="5">
        <v>7</v>
      </c>
      <c r="BG341" s="5"/>
      <c r="BH341" s="5"/>
      <c r="BI341" s="5"/>
      <c r="BJ341" s="5"/>
      <c r="BK341" s="7"/>
      <c r="BL341" s="5" t="s">
        <v>1627</v>
      </c>
      <c r="BM341" s="5" t="s">
        <v>1609</v>
      </c>
      <c r="BN341" s="5">
        <v>60</v>
      </c>
      <c r="BO341" s="5"/>
    </row>
    <row r="342" spans="1:67">
      <c r="A342" s="4" t="s">
        <v>1281</v>
      </c>
      <c r="B342" s="7"/>
      <c r="C342" s="5" t="s">
        <v>42</v>
      </c>
      <c r="D342" s="8" t="s">
        <v>1239</v>
      </c>
      <c r="E342" s="5"/>
      <c r="F342" s="5"/>
      <c r="G342" s="5"/>
      <c r="H342" s="5"/>
      <c r="I342" s="5"/>
      <c r="J342" s="5"/>
      <c r="K342" s="5"/>
      <c r="L342" s="5"/>
      <c r="M342" s="5"/>
      <c r="N342" s="5" t="s">
        <v>45</v>
      </c>
      <c r="O342" s="7"/>
      <c r="P342" s="5"/>
      <c r="Q342" s="5"/>
      <c r="S342" s="5" t="s">
        <v>77</v>
      </c>
      <c r="T342" s="5"/>
      <c r="V342" s="5"/>
      <c r="W342" s="5"/>
      <c r="X342" s="5"/>
      <c r="Y342" s="5"/>
      <c r="Z342" s="5"/>
      <c r="AA342" s="5"/>
      <c r="AB342" s="5"/>
      <c r="AC342" s="5"/>
      <c r="AD342" s="5"/>
      <c r="AE342" s="5"/>
      <c r="AF342" s="5"/>
      <c r="AG342" s="5"/>
      <c r="AH342" s="5"/>
      <c r="AI342" s="5"/>
      <c r="AJ342" s="5"/>
      <c r="AK342" s="5"/>
      <c r="AL342" s="5"/>
      <c r="AM342" s="5"/>
      <c r="AN342" s="5"/>
      <c r="AO342" s="5"/>
      <c r="AP342" s="5"/>
      <c r="AS342" s="5"/>
      <c r="AT342" s="5"/>
      <c r="AU342" s="5"/>
      <c r="AV342" s="5"/>
      <c r="AW342" s="5"/>
      <c r="AX342" s="5" t="s">
        <v>1560</v>
      </c>
      <c r="BC342" s="5"/>
      <c r="BD342" s="5"/>
      <c r="BE342" s="5"/>
      <c r="BF342" s="5">
        <v>10</v>
      </c>
      <c r="BG342" s="5"/>
      <c r="BH342" s="5"/>
      <c r="BI342" s="5"/>
      <c r="BJ342" s="5"/>
      <c r="BK342" s="7"/>
      <c r="BL342" s="5"/>
      <c r="BM342" s="5" t="s">
        <v>1609</v>
      </c>
      <c r="BN342" s="5">
        <v>59</v>
      </c>
      <c r="BO342" s="5"/>
    </row>
    <row r="343" spans="1:67">
      <c r="A343" s="4" t="s">
        <v>1282</v>
      </c>
      <c r="B343" s="7"/>
      <c r="C343" s="5" t="s">
        <v>62</v>
      </c>
      <c r="D343" s="5" t="s">
        <v>1241</v>
      </c>
      <c r="E343" s="5"/>
      <c r="F343" s="5">
        <v>5</v>
      </c>
      <c r="G343" s="5">
        <v>30</v>
      </c>
      <c r="H343" s="5"/>
      <c r="I343" s="5">
        <v>15</v>
      </c>
      <c r="J343" s="5"/>
      <c r="K343" s="5"/>
      <c r="L343" s="5"/>
      <c r="M343" s="5">
        <v>4</v>
      </c>
      <c r="N343" s="5" t="s">
        <v>660</v>
      </c>
      <c r="O343" s="7"/>
      <c r="P343" s="5"/>
      <c r="Q343" s="5"/>
      <c r="S343" s="5"/>
      <c r="T343" s="5"/>
      <c r="V343" s="5"/>
      <c r="W343" s="5"/>
      <c r="X343" s="5"/>
      <c r="Y343" s="5"/>
      <c r="Z343" s="5"/>
      <c r="AA343" s="5"/>
      <c r="AB343" s="5"/>
      <c r="AC343" s="5"/>
      <c r="AD343" s="5">
        <v>22</v>
      </c>
      <c r="AE343" s="5">
        <v>15</v>
      </c>
      <c r="AF343" s="5">
        <v>14</v>
      </c>
      <c r="AG343" s="5">
        <v>2</v>
      </c>
      <c r="AH343" s="5">
        <v>12</v>
      </c>
      <c r="AI343" s="5">
        <v>7</v>
      </c>
      <c r="AJ343" s="5"/>
      <c r="AK343" s="5"/>
      <c r="AL343" s="5"/>
      <c r="AM343" s="5"/>
      <c r="AN343" s="5"/>
      <c r="AO343" s="5"/>
      <c r="AP343" s="5"/>
      <c r="AS343" s="5"/>
      <c r="AT343" s="5"/>
      <c r="AU343" s="5"/>
      <c r="AV343" s="5"/>
      <c r="AW343" s="5"/>
      <c r="AX343" s="5" t="s">
        <v>1560</v>
      </c>
      <c r="BC343" s="5"/>
      <c r="BD343" s="5"/>
      <c r="BE343" s="5"/>
      <c r="BF343" s="5">
        <v>7</v>
      </c>
      <c r="BG343" s="5"/>
      <c r="BH343" s="5"/>
      <c r="BI343" s="5"/>
      <c r="BJ343" s="5"/>
      <c r="BK343" s="7"/>
      <c r="BL343" s="5" t="s">
        <v>1628</v>
      </c>
      <c r="BM343" s="5" t="s">
        <v>1609</v>
      </c>
      <c r="BN343" s="5">
        <v>62</v>
      </c>
      <c r="BO343" s="5"/>
    </row>
    <row r="344" spans="1:67">
      <c r="A344" s="4" t="s">
        <v>1283</v>
      </c>
      <c r="B344" s="7"/>
      <c r="C344" s="5" t="s">
        <v>42</v>
      </c>
      <c r="D344" s="5" t="s">
        <v>1241</v>
      </c>
      <c r="E344" s="5"/>
      <c r="F344" s="5">
        <v>3</v>
      </c>
      <c r="G344" s="5">
        <v>30</v>
      </c>
      <c r="H344" s="5">
        <v>10</v>
      </c>
      <c r="I344" s="5"/>
      <c r="J344" s="5"/>
      <c r="K344" s="5"/>
      <c r="L344" s="5"/>
      <c r="M344" s="5">
        <v>3</v>
      </c>
      <c r="N344" s="5" t="s">
        <v>660</v>
      </c>
      <c r="O344" s="7"/>
      <c r="P344" s="5"/>
      <c r="Q344" s="5"/>
      <c r="S344" s="5" t="s">
        <v>77</v>
      </c>
      <c r="T344" s="5"/>
      <c r="V344" s="5"/>
      <c r="W344" s="5"/>
      <c r="X344" s="5"/>
      <c r="Y344" s="5"/>
      <c r="Z344" s="5"/>
      <c r="AA344" s="5"/>
      <c r="AB344" s="5"/>
      <c r="AC344" s="5"/>
      <c r="AD344" s="5">
        <v>14</v>
      </c>
      <c r="AE344" s="5">
        <v>17</v>
      </c>
      <c r="AF344" s="5">
        <v>19</v>
      </c>
      <c r="AG344" s="5">
        <v>2</v>
      </c>
      <c r="AH344" s="5">
        <v>12</v>
      </c>
      <c r="AI344" s="5">
        <v>10</v>
      </c>
      <c r="AJ344" s="5"/>
      <c r="AK344" s="5"/>
      <c r="AL344" s="5"/>
      <c r="AM344" s="5"/>
      <c r="AN344" s="5"/>
      <c r="AO344" s="5"/>
      <c r="AP344" s="5"/>
      <c r="AS344" s="5"/>
      <c r="AT344" s="5"/>
      <c r="AU344" s="5"/>
      <c r="AV344" s="5"/>
      <c r="AW344" s="5"/>
      <c r="AX344" s="5" t="s">
        <v>1560</v>
      </c>
      <c r="BC344" s="5"/>
      <c r="BD344" s="5"/>
      <c r="BE344" s="5"/>
      <c r="BF344" s="5">
        <v>4</v>
      </c>
      <c r="BG344" s="5"/>
      <c r="BH344" s="5"/>
      <c r="BI344" s="5"/>
      <c r="BJ344" s="5"/>
      <c r="BK344" s="7"/>
      <c r="BL344" s="5" t="s">
        <v>1628</v>
      </c>
      <c r="BM344" s="5" t="s">
        <v>1609</v>
      </c>
      <c r="BN344" s="5">
        <v>62</v>
      </c>
      <c r="BO344" s="5"/>
    </row>
    <row r="345" spans="1:67">
      <c r="A345" s="4" t="s">
        <v>1284</v>
      </c>
      <c r="B345" s="7"/>
      <c r="C345" s="5" t="s">
        <v>62</v>
      </c>
      <c r="D345" s="5" t="s">
        <v>1241</v>
      </c>
      <c r="E345" s="5"/>
      <c r="F345" s="5">
        <v>4</v>
      </c>
      <c r="G345" s="5">
        <v>20</v>
      </c>
      <c r="H345" s="5"/>
      <c r="I345" s="5"/>
      <c r="J345" s="5">
        <v>40</v>
      </c>
      <c r="K345" s="5" t="s">
        <v>472</v>
      </c>
      <c r="L345" s="5"/>
      <c r="M345" s="5">
        <v>5</v>
      </c>
      <c r="N345" s="5" t="s">
        <v>244</v>
      </c>
      <c r="O345" s="7"/>
      <c r="P345" s="5"/>
      <c r="Q345" s="5"/>
      <c r="S345" s="5" t="s">
        <v>77</v>
      </c>
      <c r="T345" s="5"/>
      <c r="V345" s="5"/>
      <c r="W345" s="5"/>
      <c r="X345" s="5"/>
      <c r="Y345" s="5"/>
      <c r="Z345" s="5"/>
      <c r="AA345" s="5"/>
      <c r="AB345" s="5"/>
      <c r="AC345" s="5"/>
      <c r="AD345" s="5">
        <v>17</v>
      </c>
      <c r="AE345" s="5">
        <v>22</v>
      </c>
      <c r="AF345" s="5">
        <v>17</v>
      </c>
      <c r="AG345" s="5">
        <v>2</v>
      </c>
      <c r="AH345" s="5">
        <v>14</v>
      </c>
      <c r="AI345" s="5">
        <v>6</v>
      </c>
      <c r="AJ345" s="5"/>
      <c r="AK345" s="5"/>
      <c r="AL345" s="5"/>
      <c r="AM345" s="5"/>
      <c r="AN345" s="5"/>
      <c r="AO345" s="5"/>
      <c r="AP345" s="5"/>
      <c r="AS345" s="5"/>
      <c r="AT345" s="5"/>
      <c r="AU345" s="5"/>
      <c r="AV345" s="5"/>
      <c r="AW345" s="5"/>
      <c r="AX345" s="5" t="s">
        <v>1560</v>
      </c>
      <c r="BC345" s="5"/>
      <c r="BD345" s="5"/>
      <c r="BE345" s="5"/>
      <c r="BF345" s="5">
        <v>4</v>
      </c>
      <c r="BG345" s="5"/>
      <c r="BH345" s="5"/>
      <c r="BI345" s="5"/>
      <c r="BJ345" s="5"/>
      <c r="BK345" s="7"/>
      <c r="BL345" s="5" t="s">
        <v>1628</v>
      </c>
      <c r="BM345" s="5" t="s">
        <v>1609</v>
      </c>
      <c r="BN345" s="5">
        <v>62</v>
      </c>
      <c r="BO345" s="5"/>
    </row>
    <row r="346" spans="1:67">
      <c r="A346" s="4" t="s">
        <v>1285</v>
      </c>
      <c r="B346" s="7"/>
      <c r="C346" s="5" t="s">
        <v>62</v>
      </c>
      <c r="D346" s="5" t="s">
        <v>1241</v>
      </c>
      <c r="E346" s="5"/>
      <c r="F346" s="5">
        <v>12</v>
      </c>
      <c r="G346" s="5">
        <v>40</v>
      </c>
      <c r="H346" s="5"/>
      <c r="I346" s="5"/>
      <c r="J346" s="5"/>
      <c r="K346" s="5"/>
      <c r="L346" s="5"/>
      <c r="M346" s="5">
        <v>7</v>
      </c>
      <c r="N346" s="5" t="s">
        <v>1286</v>
      </c>
      <c r="O346" s="7"/>
      <c r="P346" s="5"/>
      <c r="Q346" s="5"/>
      <c r="S346" s="5" t="s">
        <v>77</v>
      </c>
      <c r="T346" s="5"/>
      <c r="V346" s="5"/>
      <c r="W346" s="5"/>
      <c r="X346" s="5"/>
      <c r="Y346" s="5"/>
      <c r="Z346" s="5"/>
      <c r="AA346" s="5"/>
      <c r="AB346" s="5"/>
      <c r="AC346" s="5"/>
      <c r="AD346" s="5">
        <v>31</v>
      </c>
      <c r="AE346" s="5">
        <v>13</v>
      </c>
      <c r="AF346" s="5">
        <v>19</v>
      </c>
      <c r="AG346" s="5">
        <v>2</v>
      </c>
      <c r="AH346" s="5">
        <v>12</v>
      </c>
      <c r="AI346" s="5">
        <v>10</v>
      </c>
      <c r="AJ346" s="5"/>
      <c r="AK346" s="5"/>
      <c r="AL346" s="5"/>
      <c r="AM346" s="5"/>
      <c r="AN346" s="5"/>
      <c r="AO346" s="5"/>
      <c r="AP346" s="5"/>
      <c r="AS346" s="5"/>
      <c r="AT346" s="5"/>
      <c r="AU346" s="5"/>
      <c r="AV346" s="5"/>
      <c r="AW346" s="5"/>
      <c r="AX346" s="5" t="s">
        <v>1560</v>
      </c>
      <c r="BC346" s="5"/>
      <c r="BD346" s="5"/>
      <c r="BE346" s="5"/>
      <c r="BF346" s="5">
        <v>13</v>
      </c>
      <c r="BG346" s="5"/>
      <c r="BH346" s="5"/>
      <c r="BI346" s="5"/>
      <c r="BJ346" s="5"/>
      <c r="BK346" s="7"/>
      <c r="BL346" s="5" t="s">
        <v>1628</v>
      </c>
      <c r="BM346" s="5" t="s">
        <v>1609</v>
      </c>
      <c r="BN346" s="5">
        <v>63</v>
      </c>
      <c r="BO346" s="5"/>
    </row>
    <row r="347" spans="1:67">
      <c r="A347" s="4" t="s">
        <v>1287</v>
      </c>
      <c r="B347" s="7"/>
      <c r="C347" s="5" t="s">
        <v>62</v>
      </c>
      <c r="D347" s="5" t="s">
        <v>1241</v>
      </c>
      <c r="E347" s="5"/>
      <c r="F347" s="5">
        <v>7</v>
      </c>
      <c r="G347" s="5">
        <v>40</v>
      </c>
      <c r="H347" s="5"/>
      <c r="I347" s="5"/>
      <c r="J347" s="5"/>
      <c r="K347" s="5"/>
      <c r="L347" s="5"/>
      <c r="M347" s="5">
        <v>6</v>
      </c>
      <c r="N347" s="5" t="s">
        <v>120</v>
      </c>
      <c r="O347" s="7"/>
      <c r="P347" s="5"/>
      <c r="Q347" s="5"/>
      <c r="S347" s="5" t="s">
        <v>77</v>
      </c>
      <c r="T347" s="5"/>
      <c r="V347" s="5"/>
      <c r="W347" s="5"/>
      <c r="X347" s="5"/>
      <c r="Y347" s="5"/>
      <c r="Z347" s="5"/>
      <c r="AA347" s="5"/>
      <c r="AB347" s="5"/>
      <c r="AC347" s="5"/>
      <c r="AD347" s="5">
        <v>27</v>
      </c>
      <c r="AE347" s="5">
        <v>10</v>
      </c>
      <c r="AF347" s="5">
        <v>17</v>
      </c>
      <c r="AG347" s="5">
        <v>2</v>
      </c>
      <c r="AH347" s="5">
        <v>13</v>
      </c>
      <c r="AI347" s="5">
        <v>8</v>
      </c>
      <c r="AJ347" s="5"/>
      <c r="AK347" s="5"/>
      <c r="AL347" s="5"/>
      <c r="AM347" s="5"/>
      <c r="AN347" s="5"/>
      <c r="AO347" s="5"/>
      <c r="AP347" s="5"/>
      <c r="AS347" s="5"/>
      <c r="AT347" s="5"/>
      <c r="AU347" s="5"/>
      <c r="AV347" s="5">
        <v>4</v>
      </c>
      <c r="AW347" s="5" t="s">
        <v>1565</v>
      </c>
      <c r="AX347" s="5" t="s">
        <v>1560</v>
      </c>
      <c r="BC347" s="5"/>
      <c r="BD347" s="5"/>
      <c r="BE347" s="5"/>
      <c r="BF347" s="5">
        <v>7</v>
      </c>
      <c r="BG347" s="5"/>
      <c r="BH347" s="5"/>
      <c r="BI347" s="5"/>
      <c r="BJ347" s="5"/>
      <c r="BK347" s="7"/>
      <c r="BL347" s="5" t="s">
        <v>1628</v>
      </c>
      <c r="BM347" s="5" t="s">
        <v>1609</v>
      </c>
      <c r="BN347" s="5">
        <v>63</v>
      </c>
      <c r="BO347" s="5"/>
    </row>
    <row r="348" spans="1:67">
      <c r="A348" s="4" t="s">
        <v>1288</v>
      </c>
      <c r="B348" s="7"/>
      <c r="C348" s="5" t="s">
        <v>62</v>
      </c>
      <c r="D348" s="5" t="s">
        <v>1241</v>
      </c>
      <c r="E348" s="5"/>
      <c r="F348" s="5"/>
      <c r="G348" s="5"/>
      <c r="H348" s="5"/>
      <c r="I348" s="5"/>
      <c r="J348" s="5"/>
      <c r="K348" s="5"/>
      <c r="L348" s="5"/>
      <c r="M348" s="5"/>
      <c r="N348" s="5" t="s">
        <v>45</v>
      </c>
      <c r="O348" s="7"/>
      <c r="P348" s="5"/>
      <c r="Q348" s="5"/>
      <c r="S348" s="5" t="s">
        <v>77</v>
      </c>
      <c r="T348" s="5"/>
      <c r="V348" s="5"/>
      <c r="W348" s="5"/>
      <c r="X348" s="5"/>
      <c r="Y348" s="5"/>
      <c r="Z348" s="5"/>
      <c r="AA348" s="5"/>
      <c r="AB348" s="5"/>
      <c r="AC348" s="5"/>
      <c r="AD348" s="5"/>
      <c r="AE348" s="5"/>
      <c r="AF348" s="5"/>
      <c r="AG348" s="5"/>
      <c r="AH348" s="5"/>
      <c r="AI348" s="5"/>
      <c r="AJ348" s="5"/>
      <c r="AK348" s="5"/>
      <c r="AL348" s="5"/>
      <c r="AM348" s="5"/>
      <c r="AN348" s="5"/>
      <c r="AO348" s="5"/>
      <c r="AP348" s="5"/>
      <c r="AS348" s="5"/>
      <c r="AT348" s="5"/>
      <c r="AU348" s="5"/>
      <c r="AV348" s="5"/>
      <c r="AW348" s="5"/>
      <c r="AX348" s="5" t="s">
        <v>1560</v>
      </c>
      <c r="BC348" s="5"/>
      <c r="BD348" s="5"/>
      <c r="BE348" s="5"/>
      <c r="BF348" s="5">
        <v>10</v>
      </c>
      <c r="BG348" s="5"/>
      <c r="BH348" s="5"/>
      <c r="BI348" s="5"/>
      <c r="BJ348" s="5"/>
      <c r="BK348" s="7"/>
      <c r="BL348" s="5" t="s">
        <v>1628</v>
      </c>
      <c r="BM348" s="5" t="s">
        <v>1620</v>
      </c>
      <c r="BN348" s="5"/>
      <c r="BO348" s="5"/>
    </row>
    <row r="349" spans="1:67">
      <c r="A349" s="4" t="s">
        <v>1289</v>
      </c>
      <c r="B349" s="7"/>
      <c r="C349" s="5" t="s">
        <v>62</v>
      </c>
      <c r="D349" s="5" t="s">
        <v>1241</v>
      </c>
      <c r="E349" s="5"/>
      <c r="F349" s="5">
        <v>8</v>
      </c>
      <c r="G349" s="5">
        <v>40</v>
      </c>
      <c r="H349" s="5"/>
      <c r="I349" s="5"/>
      <c r="J349" s="5"/>
      <c r="K349" s="5"/>
      <c r="L349" s="5"/>
      <c r="M349" s="5">
        <v>4</v>
      </c>
      <c r="N349" s="5" t="s">
        <v>1290</v>
      </c>
      <c r="O349" s="7"/>
      <c r="P349" s="5"/>
      <c r="Q349" s="5"/>
      <c r="S349" s="5" t="s">
        <v>77</v>
      </c>
      <c r="T349" s="5"/>
      <c r="V349" s="5"/>
      <c r="W349" s="5"/>
      <c r="X349" s="5"/>
      <c r="Y349" s="5"/>
      <c r="Z349" s="5"/>
      <c r="AA349" s="5"/>
      <c r="AB349" s="5"/>
      <c r="AC349" s="5"/>
      <c r="AD349" s="5">
        <v>25</v>
      </c>
      <c r="AE349" s="5">
        <v>15</v>
      </c>
      <c r="AF349" s="5">
        <v>17</v>
      </c>
      <c r="AG349" s="5">
        <v>2</v>
      </c>
      <c r="AH349" s="5">
        <v>12</v>
      </c>
      <c r="AI349" s="5">
        <v>10</v>
      </c>
      <c r="AJ349" s="5"/>
      <c r="AK349" s="5"/>
      <c r="AL349" s="5"/>
      <c r="AM349" s="5"/>
      <c r="AN349" s="5"/>
      <c r="AO349" s="5"/>
      <c r="AP349" s="5"/>
      <c r="AS349" s="5"/>
      <c r="AT349" s="5"/>
      <c r="AU349" s="5"/>
      <c r="AV349" s="5"/>
      <c r="AW349" s="5"/>
      <c r="AX349" s="5" t="s">
        <v>1560</v>
      </c>
      <c r="BC349" s="5"/>
      <c r="BD349" s="5"/>
      <c r="BE349" s="5"/>
      <c r="BF349" s="5">
        <v>10</v>
      </c>
      <c r="BG349" s="5"/>
      <c r="BH349" s="5"/>
      <c r="BI349" s="5"/>
      <c r="BJ349" s="5"/>
      <c r="BK349" s="7"/>
      <c r="BL349" s="5" t="s">
        <v>1628</v>
      </c>
      <c r="BM349" s="5" t="s">
        <v>1609</v>
      </c>
      <c r="BN349" s="5">
        <v>63</v>
      </c>
      <c r="BO349" s="5"/>
    </row>
    <row r="350" spans="1:67">
      <c r="A350" s="4" t="s">
        <v>1291</v>
      </c>
      <c r="B350" s="7"/>
      <c r="C350" s="5" t="s">
        <v>62</v>
      </c>
      <c r="D350" s="5" t="s">
        <v>1241</v>
      </c>
      <c r="E350" s="5"/>
      <c r="F350" s="5"/>
      <c r="G350" s="5"/>
      <c r="H350" s="5"/>
      <c r="I350" s="5"/>
      <c r="J350" s="5"/>
      <c r="K350" s="5"/>
      <c r="L350" s="5"/>
      <c r="M350" s="5"/>
      <c r="N350" s="5" t="s">
        <v>45</v>
      </c>
      <c r="O350" s="7"/>
      <c r="P350" s="5"/>
      <c r="Q350" s="5"/>
      <c r="S350" s="5" t="s">
        <v>77</v>
      </c>
      <c r="T350" s="5"/>
      <c r="V350" s="5"/>
      <c r="W350" s="5"/>
      <c r="X350" s="5"/>
      <c r="Y350" s="5"/>
      <c r="Z350" s="5"/>
      <c r="AA350" s="5"/>
      <c r="AB350" s="5"/>
      <c r="AC350" s="5"/>
      <c r="AD350" s="5"/>
      <c r="AE350" s="5"/>
      <c r="AF350" s="5"/>
      <c r="AG350" s="5"/>
      <c r="AH350" s="5"/>
      <c r="AI350" s="5"/>
      <c r="AJ350" s="5"/>
      <c r="AK350" s="5"/>
      <c r="AL350" s="5"/>
      <c r="AM350" s="5"/>
      <c r="AN350" s="5"/>
      <c r="AO350" s="5"/>
      <c r="AP350" s="5"/>
      <c r="AS350" s="5"/>
      <c r="AT350" s="5"/>
      <c r="AU350" s="5"/>
      <c r="AV350" s="5"/>
      <c r="AW350" s="5"/>
      <c r="AX350" s="5" t="s">
        <v>1560</v>
      </c>
      <c r="BC350" s="5"/>
      <c r="BD350" s="5"/>
      <c r="BE350" s="5"/>
      <c r="BF350" s="5">
        <v>7</v>
      </c>
      <c r="BG350" s="5"/>
      <c r="BH350" s="5"/>
      <c r="BI350" s="5"/>
      <c r="BJ350" s="5"/>
      <c r="BK350" s="7"/>
      <c r="BL350" s="5" t="s">
        <v>1628</v>
      </c>
      <c r="BM350" s="5" t="s">
        <v>1620</v>
      </c>
      <c r="BN350" s="5"/>
      <c r="BO350" s="5"/>
    </row>
    <row r="351" spans="1:67">
      <c r="A351" s="4" t="s">
        <v>1292</v>
      </c>
      <c r="B351" s="7"/>
      <c r="C351" s="5" t="s">
        <v>85</v>
      </c>
      <c r="D351" s="5" t="s">
        <v>1241</v>
      </c>
      <c r="E351" s="5"/>
      <c r="F351" s="5">
        <v>1</v>
      </c>
      <c r="G351" s="5">
        <v>40</v>
      </c>
      <c r="H351" s="5"/>
      <c r="I351" s="5">
        <v>20</v>
      </c>
      <c r="J351" s="5"/>
      <c r="K351" s="5"/>
      <c r="L351" s="5"/>
      <c r="M351" s="5">
        <v>1</v>
      </c>
      <c r="N351" s="5" t="s">
        <v>244</v>
      </c>
      <c r="O351" s="7"/>
      <c r="P351" s="5"/>
      <c r="Q351" s="5"/>
      <c r="S351" s="5" t="s">
        <v>77</v>
      </c>
      <c r="T351" s="5"/>
      <c r="V351" s="5"/>
      <c r="W351" s="5"/>
      <c r="X351" s="5"/>
      <c r="Y351" s="5"/>
      <c r="Z351" s="5"/>
      <c r="AA351" s="5"/>
      <c r="AB351" s="5"/>
      <c r="AC351" s="5"/>
      <c r="AD351" s="5">
        <v>10</v>
      </c>
      <c r="AE351" s="5">
        <v>17</v>
      </c>
      <c r="AF351" s="5">
        <v>12</v>
      </c>
      <c r="AG351" s="5">
        <v>1</v>
      </c>
      <c r="AH351" s="5">
        <v>12</v>
      </c>
      <c r="AI351" s="5">
        <v>4</v>
      </c>
      <c r="AJ351" s="5"/>
      <c r="AK351" s="5"/>
      <c r="AL351" s="5"/>
      <c r="AM351" s="5"/>
      <c r="AN351" s="5"/>
      <c r="AO351" s="5"/>
      <c r="AP351" s="5"/>
      <c r="AS351" s="5"/>
      <c r="AT351" s="5"/>
      <c r="AU351" s="5"/>
      <c r="AV351" s="5">
        <v>2</v>
      </c>
      <c r="AW351" s="5" t="s">
        <v>1565</v>
      </c>
      <c r="AX351" s="5" t="s">
        <v>1560</v>
      </c>
      <c r="BC351" s="5"/>
      <c r="BD351" s="5"/>
      <c r="BE351" s="5"/>
      <c r="BF351" s="5">
        <v>1</v>
      </c>
      <c r="BG351" s="5"/>
      <c r="BH351" s="5"/>
      <c r="BI351" s="5"/>
      <c r="BJ351" s="5"/>
      <c r="BK351" s="7"/>
      <c r="BL351" s="5" t="s">
        <v>1628</v>
      </c>
      <c r="BM351" s="5" t="s">
        <v>1609</v>
      </c>
      <c r="BN351" s="5">
        <v>64</v>
      </c>
      <c r="BO351" s="5"/>
    </row>
    <row r="352" spans="1:67">
      <c r="A352" s="4" t="s">
        <v>1293</v>
      </c>
      <c r="B352" s="7"/>
      <c r="C352" s="5" t="s">
        <v>519</v>
      </c>
      <c r="D352" s="5" t="s">
        <v>1241</v>
      </c>
      <c r="E352" s="5" t="s">
        <v>100</v>
      </c>
      <c r="F352" s="5">
        <v>18</v>
      </c>
      <c r="G352" s="5"/>
      <c r="H352" s="5"/>
      <c r="I352" s="5"/>
      <c r="J352" s="5"/>
      <c r="K352" s="5"/>
      <c r="L352" s="5">
        <v>60</v>
      </c>
      <c r="M352" s="5">
        <v>7</v>
      </c>
      <c r="N352" s="5" t="s">
        <v>1294</v>
      </c>
      <c r="O352" s="7"/>
      <c r="P352" s="5"/>
      <c r="Q352" s="5"/>
      <c r="S352" s="5" t="s">
        <v>77</v>
      </c>
      <c r="T352" s="5"/>
      <c r="V352" s="5"/>
      <c r="W352" s="5"/>
      <c r="X352" s="5"/>
      <c r="Y352" s="5"/>
      <c r="Z352" s="5"/>
      <c r="AA352" s="5"/>
      <c r="AB352" s="5"/>
      <c r="AC352" s="5"/>
      <c r="AD352" s="5">
        <v>23</v>
      </c>
      <c r="AE352" s="5">
        <v>15</v>
      </c>
      <c r="AF352" s="5">
        <v>17</v>
      </c>
      <c r="AG352" s="5">
        <v>1</v>
      </c>
      <c r="AH352" s="5">
        <v>12</v>
      </c>
      <c r="AI352" s="5">
        <v>10</v>
      </c>
      <c r="AJ352" s="5"/>
      <c r="AK352" s="5"/>
      <c r="AL352" s="5"/>
      <c r="AM352" s="5"/>
      <c r="AN352" s="5"/>
      <c r="AO352" s="5"/>
      <c r="AP352" s="5"/>
      <c r="AS352" s="5"/>
      <c r="AT352" s="5"/>
      <c r="AU352" s="5"/>
      <c r="AV352" s="5"/>
      <c r="AW352" s="5"/>
      <c r="AX352" s="5" t="s">
        <v>1560</v>
      </c>
      <c r="BC352" s="5"/>
      <c r="BD352" s="5"/>
      <c r="BE352" s="5"/>
      <c r="BF352" s="5">
        <v>16</v>
      </c>
      <c r="BG352" s="5"/>
      <c r="BH352" s="5"/>
      <c r="BI352" s="5"/>
      <c r="BJ352" s="5"/>
      <c r="BK352" s="7"/>
      <c r="BL352" s="5" t="s">
        <v>1628</v>
      </c>
      <c r="BM352" s="5" t="s">
        <v>1609</v>
      </c>
      <c r="BN352" s="5">
        <v>64</v>
      </c>
      <c r="BO352" s="5"/>
    </row>
    <row r="353" spans="1:67">
      <c r="A353" s="4" t="s">
        <v>1295</v>
      </c>
      <c r="B353" s="7"/>
      <c r="C353" s="5" t="s">
        <v>62</v>
      </c>
      <c r="D353" s="5" t="s">
        <v>1241</v>
      </c>
      <c r="E353" s="5"/>
      <c r="F353" s="5">
        <v>16</v>
      </c>
      <c r="G353" s="5">
        <v>40</v>
      </c>
      <c r="H353" s="5"/>
      <c r="I353" s="5"/>
      <c r="J353" s="5"/>
      <c r="K353" s="5"/>
      <c r="L353" s="5"/>
      <c r="M353" s="5">
        <v>6</v>
      </c>
      <c r="N353" s="5" t="s">
        <v>1296</v>
      </c>
      <c r="O353" s="7"/>
      <c r="P353" s="5"/>
      <c r="Q353" s="5"/>
      <c r="S353" s="5" t="s">
        <v>77</v>
      </c>
      <c r="T353" s="5"/>
      <c r="V353" s="5"/>
      <c r="W353" s="5"/>
      <c r="X353" s="5"/>
      <c r="Y353" s="5"/>
      <c r="Z353" s="5"/>
      <c r="AA353" s="5"/>
      <c r="AB353" s="5"/>
      <c r="AC353" s="5"/>
      <c r="AD353" s="5">
        <v>25</v>
      </c>
      <c r="AE353" s="5">
        <v>15</v>
      </c>
      <c r="AF353" s="5">
        <v>17</v>
      </c>
      <c r="AG353" s="5">
        <v>2</v>
      </c>
      <c r="AH353" s="5">
        <v>12</v>
      </c>
      <c r="AI353" s="5">
        <v>10</v>
      </c>
      <c r="AJ353" s="5"/>
      <c r="AK353" s="5"/>
      <c r="AL353" s="5"/>
      <c r="AM353" s="5"/>
      <c r="AN353" s="5"/>
      <c r="AO353" s="5"/>
      <c r="AP353" s="5"/>
      <c r="AS353" s="5"/>
      <c r="AT353" s="5"/>
      <c r="AU353" s="5"/>
      <c r="AV353" s="5"/>
      <c r="AW353" s="5"/>
      <c r="AX353" s="5" t="s">
        <v>1560</v>
      </c>
      <c r="BC353" s="5"/>
      <c r="BD353" s="5"/>
      <c r="BE353" s="5"/>
      <c r="BF353" s="5">
        <v>16</v>
      </c>
      <c r="BG353" s="5"/>
      <c r="BH353" s="5"/>
      <c r="BI353" s="5"/>
      <c r="BJ353" s="5"/>
      <c r="BK353" s="7"/>
      <c r="BL353" s="5" t="s">
        <v>1628</v>
      </c>
      <c r="BM353" s="5" t="s">
        <v>1609</v>
      </c>
      <c r="BN353" s="5">
        <v>65</v>
      </c>
      <c r="BO353" s="5"/>
    </row>
    <row r="354" spans="1:67">
      <c r="A354" s="4" t="s">
        <v>1297</v>
      </c>
      <c r="B354" s="7"/>
      <c r="C354" s="5" t="s">
        <v>42</v>
      </c>
      <c r="D354" s="5" t="s">
        <v>1241</v>
      </c>
      <c r="E354" s="5"/>
      <c r="F354" s="5">
        <v>3</v>
      </c>
      <c r="G354" s="5">
        <v>40</v>
      </c>
      <c r="H354" s="5"/>
      <c r="I354" s="5"/>
      <c r="J354" s="5"/>
      <c r="K354" s="5"/>
      <c r="L354" s="5"/>
      <c r="M354" s="5">
        <v>2</v>
      </c>
      <c r="N354" s="5" t="s">
        <v>244</v>
      </c>
      <c r="O354" s="7"/>
      <c r="P354" s="5"/>
      <c r="Q354" s="5"/>
      <c r="S354" s="5" t="s">
        <v>77</v>
      </c>
      <c r="T354" s="5"/>
      <c r="V354" s="5"/>
      <c r="W354" s="5"/>
      <c r="X354" s="5"/>
      <c r="Y354" s="5"/>
      <c r="Z354" s="5"/>
      <c r="AA354" s="5"/>
      <c r="AB354" s="5"/>
      <c r="AC354" s="5"/>
      <c r="AD354" s="5">
        <v>14</v>
      </c>
      <c r="AE354" s="5">
        <v>19</v>
      </c>
      <c r="AF354" s="5">
        <v>10</v>
      </c>
      <c r="AG354" s="5">
        <v>2</v>
      </c>
      <c r="AH354" s="5">
        <v>12</v>
      </c>
      <c r="AI354" s="5">
        <v>11</v>
      </c>
      <c r="AJ354" s="5"/>
      <c r="AK354" s="5"/>
      <c r="AL354" s="5"/>
      <c r="AM354" s="5"/>
      <c r="AN354" s="5"/>
      <c r="AO354" s="5"/>
      <c r="AP354" s="5"/>
      <c r="AS354" s="5"/>
      <c r="AT354" s="5"/>
      <c r="AU354" s="5"/>
      <c r="AV354" s="5"/>
      <c r="AW354" s="5"/>
      <c r="AX354" s="5" t="s">
        <v>1560</v>
      </c>
      <c r="BC354" s="5"/>
      <c r="BD354" s="5"/>
      <c r="BE354" s="5"/>
      <c r="BF354" s="5">
        <v>4</v>
      </c>
      <c r="BG354" s="5"/>
      <c r="BH354" s="5"/>
      <c r="BI354" s="5"/>
      <c r="BJ354" s="5"/>
      <c r="BK354" s="7"/>
      <c r="BL354" s="5" t="s">
        <v>1628</v>
      </c>
      <c r="BM354" s="5" t="s">
        <v>1609</v>
      </c>
      <c r="BN354" s="5">
        <v>65</v>
      </c>
      <c r="BO354" s="5"/>
    </row>
    <row r="355" spans="1:67">
      <c r="A355" s="4" t="s">
        <v>1298</v>
      </c>
      <c r="B355" s="7"/>
      <c r="C355" s="5" t="s">
        <v>62</v>
      </c>
      <c r="D355" s="5" t="s">
        <v>1241</v>
      </c>
      <c r="E355" s="5"/>
      <c r="F355" s="5">
        <v>6</v>
      </c>
      <c r="G355" s="5">
        <v>50</v>
      </c>
      <c r="H355" s="5"/>
      <c r="I355" s="5"/>
      <c r="J355" s="5"/>
      <c r="K355" s="5"/>
      <c r="L355" s="5"/>
      <c r="M355" s="5">
        <v>3</v>
      </c>
      <c r="N355" s="5" t="s">
        <v>244</v>
      </c>
      <c r="O355" s="7"/>
      <c r="P355" s="5"/>
      <c r="Q355" s="5"/>
      <c r="S355" s="5" t="s">
        <v>77</v>
      </c>
      <c r="T355" s="5"/>
      <c r="V355" s="5"/>
      <c r="W355" s="5"/>
      <c r="X355" s="5"/>
      <c r="Y355" s="5"/>
      <c r="Z355" s="5"/>
      <c r="AA355" s="5"/>
      <c r="AB355" s="5"/>
      <c r="AC355" s="5"/>
      <c r="AD355" s="5">
        <v>25</v>
      </c>
      <c r="AE355" s="5">
        <v>15</v>
      </c>
      <c r="AF355" s="5">
        <v>17</v>
      </c>
      <c r="AG355" s="5">
        <v>2</v>
      </c>
      <c r="AH355" s="5">
        <v>12</v>
      </c>
      <c r="AI355" s="5">
        <v>10</v>
      </c>
      <c r="AJ355" s="5"/>
      <c r="AK355" s="5"/>
      <c r="AL355" s="5"/>
      <c r="AM355" s="5"/>
      <c r="AN355" s="5"/>
      <c r="AO355" s="5"/>
      <c r="AP355" s="5"/>
      <c r="AS355" s="5"/>
      <c r="AT355" s="5"/>
      <c r="AU355" s="5"/>
      <c r="AV355" s="5"/>
      <c r="AW355" s="5"/>
      <c r="AX355" s="5" t="s">
        <v>1560</v>
      </c>
      <c r="BC355" s="5"/>
      <c r="BD355" s="5"/>
      <c r="BE355" s="5"/>
      <c r="BF355" s="5">
        <v>7</v>
      </c>
      <c r="BG355" s="5"/>
      <c r="BH355" s="5"/>
      <c r="BI355" s="5"/>
      <c r="BJ355" s="5"/>
      <c r="BK355" s="7"/>
      <c r="BL355" s="5" t="s">
        <v>1628</v>
      </c>
      <c r="BM355" s="5" t="s">
        <v>1609</v>
      </c>
      <c r="BN355" s="5">
        <v>65</v>
      </c>
      <c r="BO355" s="5"/>
    </row>
    <row r="356" spans="1:67">
      <c r="A356" s="4" t="s">
        <v>1299</v>
      </c>
      <c r="B356" s="7"/>
      <c r="C356" s="5" t="s">
        <v>62</v>
      </c>
      <c r="D356" s="5" t="s">
        <v>1241</v>
      </c>
      <c r="E356" s="5"/>
      <c r="F356" s="5">
        <v>5</v>
      </c>
      <c r="G356" s="5">
        <v>30</v>
      </c>
      <c r="H356" s="5"/>
      <c r="I356" s="5">
        <v>10</v>
      </c>
      <c r="J356" s="5"/>
      <c r="K356" s="5"/>
      <c r="L356" s="5"/>
      <c r="M356" s="5">
        <v>4</v>
      </c>
      <c r="N356" s="5" t="s">
        <v>660</v>
      </c>
      <c r="O356" s="7"/>
      <c r="P356" s="5"/>
      <c r="Q356" s="5"/>
      <c r="S356" s="5" t="s">
        <v>77</v>
      </c>
      <c r="T356" s="5"/>
      <c r="V356" s="5"/>
      <c r="W356" s="5"/>
      <c r="X356" s="5"/>
      <c r="Y356" s="5"/>
      <c r="Z356" s="5"/>
      <c r="AA356" s="5"/>
      <c r="AB356" s="5"/>
      <c r="AC356" s="5"/>
      <c r="AD356" s="5">
        <v>22</v>
      </c>
      <c r="AE356" s="5">
        <v>17</v>
      </c>
      <c r="AF356" s="5">
        <v>19</v>
      </c>
      <c r="AG356" s="5">
        <v>2</v>
      </c>
      <c r="AH356" s="5">
        <v>12</v>
      </c>
      <c r="AI356" s="5">
        <v>10</v>
      </c>
      <c r="AJ356" s="5"/>
      <c r="AK356" s="5"/>
      <c r="AL356" s="5"/>
      <c r="AM356" s="5"/>
      <c r="AN356" s="5"/>
      <c r="AO356" s="5"/>
      <c r="AP356" s="5"/>
      <c r="AS356" s="5"/>
      <c r="AT356" s="5"/>
      <c r="AU356" s="5"/>
      <c r="AV356" s="5"/>
      <c r="AW356" s="5"/>
      <c r="AX356" s="5" t="s">
        <v>1560</v>
      </c>
      <c r="BC356" s="5"/>
      <c r="BD356" s="5"/>
      <c r="BE356" s="5"/>
      <c r="BF356" s="5">
        <v>7</v>
      </c>
      <c r="BG356" s="5"/>
      <c r="BH356" s="5"/>
      <c r="BI356" s="5"/>
      <c r="BJ356" s="5"/>
      <c r="BK356" s="7"/>
      <c r="BL356" s="5" t="s">
        <v>1628</v>
      </c>
      <c r="BM356" s="5" t="s">
        <v>1609</v>
      </c>
      <c r="BN356" s="5">
        <v>66</v>
      </c>
      <c r="BO356" s="5"/>
    </row>
    <row r="357" spans="1:67">
      <c r="A357" s="4" t="s">
        <v>1300</v>
      </c>
      <c r="B357" s="7"/>
      <c r="C357" s="5" t="s">
        <v>85</v>
      </c>
      <c r="D357" s="5" t="s">
        <v>1241</v>
      </c>
      <c r="E357" s="5"/>
      <c r="F357" s="5">
        <v>1</v>
      </c>
      <c r="G357" s="5">
        <v>40</v>
      </c>
      <c r="H357" s="5"/>
      <c r="I357" s="5"/>
      <c r="J357" s="5"/>
      <c r="K357" s="5"/>
      <c r="L357" s="5"/>
      <c r="M357" s="5">
        <v>1</v>
      </c>
      <c r="N357" s="5" t="s">
        <v>244</v>
      </c>
      <c r="O357" s="7"/>
      <c r="P357" s="5"/>
      <c r="Q357" s="5"/>
      <c r="S357" s="5" t="s">
        <v>77</v>
      </c>
      <c r="T357" s="5"/>
      <c r="V357" s="5"/>
      <c r="W357" s="5"/>
      <c r="X357" s="5"/>
      <c r="Y357" s="5"/>
      <c r="Z357" s="5"/>
      <c r="AA357" s="5"/>
      <c r="AB357" s="5"/>
      <c r="AC357" s="5"/>
      <c r="AD357" s="5">
        <v>13</v>
      </c>
      <c r="AE357" s="5">
        <v>17</v>
      </c>
      <c r="AF357" s="5">
        <v>15</v>
      </c>
      <c r="AG357" s="5">
        <v>2</v>
      </c>
      <c r="AH357" s="5">
        <v>12</v>
      </c>
      <c r="AI357" s="5">
        <v>6</v>
      </c>
      <c r="AJ357" s="5"/>
      <c r="AK357" s="5"/>
      <c r="AL357" s="5"/>
      <c r="AM357" s="5"/>
      <c r="AN357" s="5"/>
      <c r="AO357" s="5"/>
      <c r="AP357" s="5"/>
      <c r="AS357" s="5"/>
      <c r="AT357" s="5"/>
      <c r="AU357" s="5"/>
      <c r="AV357" s="5"/>
      <c r="AW357" s="5"/>
      <c r="AX357" s="5" t="s">
        <v>1560</v>
      </c>
      <c r="BC357" s="5"/>
      <c r="BD357" s="5"/>
      <c r="BE357" s="5"/>
      <c r="BF357" s="5">
        <v>1</v>
      </c>
      <c r="BG357" s="5"/>
      <c r="BH357" s="5"/>
      <c r="BI357" s="5"/>
      <c r="BJ357" s="5"/>
      <c r="BK357" s="7"/>
      <c r="BL357" s="5"/>
      <c r="BM357" s="5" t="s">
        <v>1609</v>
      </c>
      <c r="BN357" s="5">
        <v>271</v>
      </c>
      <c r="BO357" s="5"/>
    </row>
    <row r="358" spans="1:67">
      <c r="A358" s="4" t="s">
        <v>1301</v>
      </c>
      <c r="B358" s="7"/>
      <c r="C358" s="5" t="s">
        <v>42</v>
      </c>
      <c r="D358" s="5" t="s">
        <v>1241</v>
      </c>
      <c r="E358" s="5"/>
      <c r="F358" s="5">
        <v>2</v>
      </c>
      <c r="G358" s="5">
        <v>40</v>
      </c>
      <c r="H358" s="5"/>
      <c r="I358" s="5"/>
      <c r="J358" s="5"/>
      <c r="K358" s="5"/>
      <c r="L358" s="5"/>
      <c r="M358" s="5">
        <v>4</v>
      </c>
      <c r="N358" s="5" t="s">
        <v>244</v>
      </c>
      <c r="O358" s="7"/>
      <c r="P358" s="5"/>
      <c r="Q358" s="5"/>
      <c r="S358" s="5" t="s">
        <v>77</v>
      </c>
      <c r="T358" s="5"/>
      <c r="V358" s="5"/>
      <c r="W358" s="5"/>
      <c r="X358" s="5"/>
      <c r="Y358" s="5"/>
      <c r="Z358" s="5"/>
      <c r="AA358" s="5"/>
      <c r="AB358" s="5"/>
      <c r="AC358" s="5"/>
      <c r="AD358" s="5">
        <v>15</v>
      </c>
      <c r="AE358" s="5">
        <v>15</v>
      </c>
      <c r="AF358" s="5">
        <v>15</v>
      </c>
      <c r="AG358" s="5">
        <v>2</v>
      </c>
      <c r="AH358" s="5">
        <v>12</v>
      </c>
      <c r="AI358" s="5">
        <v>6</v>
      </c>
      <c r="AJ358" s="5"/>
      <c r="AK358" s="5"/>
      <c r="AL358" s="5"/>
      <c r="AM358" s="5"/>
      <c r="AN358" s="5"/>
      <c r="AO358" s="5"/>
      <c r="AP358" s="5"/>
      <c r="AS358" s="5"/>
      <c r="AT358" s="5"/>
      <c r="AU358" s="5"/>
      <c r="AV358" s="5"/>
      <c r="AW358" s="5"/>
      <c r="AX358" s="5" t="s">
        <v>1560</v>
      </c>
      <c r="BC358" s="5"/>
      <c r="BD358" s="5"/>
      <c r="BE358" s="5"/>
      <c r="BF358" s="5">
        <v>1</v>
      </c>
      <c r="BG358" s="5"/>
      <c r="BH358" s="5"/>
      <c r="BI358" s="5"/>
      <c r="BJ358" s="5"/>
      <c r="BK358" s="7"/>
      <c r="BL358" s="5"/>
      <c r="BM358" s="5" t="s">
        <v>1609</v>
      </c>
      <c r="BN358" s="5">
        <v>272</v>
      </c>
      <c r="BO358" s="5"/>
    </row>
    <row r="359" spans="1:67">
      <c r="A359" s="4" t="s">
        <v>1302</v>
      </c>
      <c r="B359" s="7"/>
      <c r="C359" s="5"/>
      <c r="D359" s="5" t="s">
        <v>286</v>
      </c>
      <c r="E359" s="5" t="s">
        <v>526</v>
      </c>
      <c r="F359" s="5"/>
      <c r="G359" s="5"/>
      <c r="H359" s="5"/>
      <c r="I359" s="5"/>
      <c r="J359" s="5"/>
      <c r="K359" s="5"/>
      <c r="L359" s="5"/>
      <c r="M359" s="5"/>
      <c r="N359" s="5" t="s">
        <v>45</v>
      </c>
      <c r="O359" s="5" t="s">
        <v>1506</v>
      </c>
      <c r="P359" s="5"/>
      <c r="Q359" s="5"/>
      <c r="S359" s="5" t="s">
        <v>77</v>
      </c>
      <c r="T359" s="5"/>
      <c r="V359" s="5" t="s">
        <v>782</v>
      </c>
      <c r="W359" s="5"/>
      <c r="X359" s="5"/>
      <c r="Y359" s="5"/>
      <c r="Z359" s="5"/>
      <c r="AA359" s="5"/>
      <c r="AB359" s="5"/>
      <c r="AC359" s="5"/>
      <c r="AD359" s="5"/>
      <c r="AE359" s="5"/>
      <c r="AF359" s="5"/>
      <c r="AG359" s="5"/>
      <c r="AH359" s="5"/>
      <c r="AI359" s="5"/>
      <c r="AJ359" s="5"/>
      <c r="AK359" s="5"/>
      <c r="AL359" s="5"/>
      <c r="AM359" s="5"/>
      <c r="AN359" s="5"/>
      <c r="AO359" s="5"/>
      <c r="AP359" s="5"/>
      <c r="AS359" s="5"/>
      <c r="AT359" s="5"/>
      <c r="AU359" s="5"/>
      <c r="AV359" s="5"/>
      <c r="AW359" s="5" t="s">
        <v>1565</v>
      </c>
      <c r="AX359" s="5" t="s">
        <v>1560</v>
      </c>
      <c r="BC359" s="7"/>
      <c r="BD359" s="7"/>
      <c r="BE359" s="5"/>
      <c r="BF359" s="5"/>
      <c r="BG359" s="5"/>
      <c r="BH359" s="5"/>
      <c r="BI359" s="5"/>
      <c r="BJ359" s="5" t="s">
        <v>1629</v>
      </c>
      <c r="BK359" s="7"/>
      <c r="BL359" s="5" t="s">
        <v>1630</v>
      </c>
      <c r="BM359" s="5" t="s">
        <v>1614</v>
      </c>
      <c r="BN359" s="5">
        <v>79</v>
      </c>
      <c r="BO359" s="5"/>
    </row>
    <row r="360" spans="1:67">
      <c r="A360" s="4" t="s">
        <v>1303</v>
      </c>
      <c r="B360" s="7"/>
      <c r="C360" s="5"/>
      <c r="D360" s="5" t="s">
        <v>286</v>
      </c>
      <c r="E360" s="5" t="s">
        <v>136</v>
      </c>
      <c r="F360" s="5"/>
      <c r="G360" s="5"/>
      <c r="H360" s="5"/>
      <c r="I360" s="5"/>
      <c r="J360" s="5"/>
      <c r="K360" s="5"/>
      <c r="L360" s="5"/>
      <c r="M360" s="5"/>
      <c r="N360" s="5" t="s">
        <v>45</v>
      </c>
      <c r="O360" s="5" t="s">
        <v>1507</v>
      </c>
      <c r="P360" s="5"/>
      <c r="Q360" s="5"/>
      <c r="S360" s="5"/>
      <c r="T360" s="5"/>
      <c r="V360" s="5" t="s">
        <v>926</v>
      </c>
      <c r="W360" s="5"/>
      <c r="X360" s="5" t="s">
        <v>926</v>
      </c>
      <c r="Y360" s="5"/>
      <c r="Z360" s="5"/>
      <c r="AA360" s="5"/>
      <c r="AB360" s="5"/>
      <c r="AC360" s="5"/>
      <c r="AD360" s="5"/>
      <c r="AE360" s="5"/>
      <c r="AF360" s="5"/>
      <c r="AG360" s="5"/>
      <c r="AH360" s="5"/>
      <c r="AI360" s="5"/>
      <c r="AJ360" s="5"/>
      <c r="AK360" s="5"/>
      <c r="AL360" s="5"/>
      <c r="AM360" s="5"/>
      <c r="AN360" s="5"/>
      <c r="AO360" s="5"/>
      <c r="AP360" s="5"/>
      <c r="AS360" s="5"/>
      <c r="AT360" s="5"/>
      <c r="AU360" s="5"/>
      <c r="AV360" s="5"/>
      <c r="AW360" s="5" t="s">
        <v>1572</v>
      </c>
      <c r="AX360" s="5" t="s">
        <v>1560</v>
      </c>
      <c r="BC360" s="7"/>
      <c r="BD360" s="7"/>
      <c r="BE360" s="5"/>
      <c r="BF360" s="5"/>
      <c r="BG360" s="5"/>
      <c r="BH360" s="5"/>
      <c r="BI360" s="5"/>
      <c r="BJ360" s="5" t="s">
        <v>1631</v>
      </c>
      <c r="BK360" s="7"/>
      <c r="BL360" s="5" t="s">
        <v>1632</v>
      </c>
      <c r="BM360" s="5" t="s">
        <v>1633</v>
      </c>
      <c r="BN360" s="5">
        <v>176</v>
      </c>
      <c r="BO360" s="5"/>
    </row>
    <row r="361" spans="1:67">
      <c r="A361" s="4" t="s">
        <v>1304</v>
      </c>
      <c r="B361" s="7"/>
      <c r="C361" s="5"/>
      <c r="D361" s="5" t="s">
        <v>286</v>
      </c>
      <c r="E361" s="5" t="s">
        <v>1305</v>
      </c>
      <c r="F361" s="5"/>
      <c r="G361" s="5"/>
      <c r="H361" s="5"/>
      <c r="I361" s="5"/>
      <c r="J361" s="5">
        <f>MAX(BaseSpeed*2,RaceFlySpeed)</f>
        <v>0</v>
      </c>
      <c r="K361" s="5"/>
      <c r="L361" s="5"/>
      <c r="M361" s="5">
        <v>7</v>
      </c>
      <c r="N361" s="5" t="s">
        <v>45</v>
      </c>
      <c r="O361" s="5" t="s">
        <v>1508</v>
      </c>
      <c r="P361" s="5"/>
      <c r="Q361" s="5"/>
      <c r="S361" s="5"/>
      <c r="T361" s="5"/>
      <c r="V361" s="5" t="s">
        <v>1142</v>
      </c>
      <c r="W361" s="5"/>
      <c r="X361" s="5" t="s">
        <v>1142</v>
      </c>
      <c r="Y361" s="5"/>
      <c r="Z361" s="5"/>
      <c r="AA361" s="5"/>
      <c r="AB361" s="5"/>
      <c r="AC361" s="5"/>
      <c r="AD361" s="5">
        <v>2</v>
      </c>
      <c r="AE361" s="5"/>
      <c r="AF361" s="5">
        <v>2</v>
      </c>
      <c r="AG361" s="5"/>
      <c r="AH361" s="5"/>
      <c r="AI361" s="5">
        <v>2</v>
      </c>
      <c r="AJ361" s="5"/>
      <c r="AK361" s="5"/>
      <c r="AL361" s="5"/>
      <c r="AM361" s="5"/>
      <c r="AN361" s="5"/>
      <c r="AO361" s="5"/>
      <c r="AP361" s="5"/>
      <c r="AS361" s="5"/>
      <c r="AT361" s="5"/>
      <c r="AU361" s="5"/>
      <c r="AV361" s="5">
        <v>2</v>
      </c>
      <c r="AW361" s="5" t="s">
        <v>1573</v>
      </c>
      <c r="AX361" s="5" t="s">
        <v>1560</v>
      </c>
      <c r="BC361" s="7"/>
      <c r="BD361" s="7"/>
      <c r="BE361" s="10">
        <v>8</v>
      </c>
      <c r="BF361" s="5"/>
      <c r="BG361" s="5" t="s">
        <v>286</v>
      </c>
      <c r="BH361" s="5"/>
      <c r="BI361" s="5" t="s">
        <v>286</v>
      </c>
      <c r="BJ361" s="5" t="s">
        <v>1634</v>
      </c>
      <c r="BK361" s="7"/>
      <c r="BL361" s="5" t="s">
        <v>1635</v>
      </c>
      <c r="BM361" s="5" t="s">
        <v>1609</v>
      </c>
      <c r="BN361" s="5">
        <v>70</v>
      </c>
      <c r="BO361" s="5"/>
    </row>
    <row r="362" spans="1:67">
      <c r="A362" s="4" t="s">
        <v>1306</v>
      </c>
      <c r="B362" s="7"/>
      <c r="C362" s="5"/>
      <c r="D362" s="5" t="s">
        <v>286</v>
      </c>
      <c r="E362" s="5" t="s">
        <v>526</v>
      </c>
      <c r="F362" s="5"/>
      <c r="G362" s="5"/>
      <c r="H362" s="5"/>
      <c r="I362" s="5"/>
      <c r="J362" s="5">
        <f>MAX(BaseSpeed*2,RaceFlySpeed)</f>
        <v>0</v>
      </c>
      <c r="K362" s="5"/>
      <c r="L362" s="5"/>
      <c r="M362" s="5">
        <v>7</v>
      </c>
      <c r="N362" s="5" t="s">
        <v>45</v>
      </c>
      <c r="O362" s="5" t="s">
        <v>1509</v>
      </c>
      <c r="P362" s="5"/>
      <c r="Q362" s="5"/>
      <c r="S362" s="5"/>
      <c r="T362" s="5"/>
      <c r="V362" s="5" t="s">
        <v>1538</v>
      </c>
      <c r="W362" s="5"/>
      <c r="X362" s="5" t="s">
        <v>1538</v>
      </c>
      <c r="Y362" s="5"/>
      <c r="Z362" s="5"/>
      <c r="AA362" s="5"/>
      <c r="AB362" s="5"/>
      <c r="AC362" s="5"/>
      <c r="AD362" s="5">
        <v>6</v>
      </c>
      <c r="AE362" s="5"/>
      <c r="AF362" s="5">
        <v>4</v>
      </c>
      <c r="AG362" s="5"/>
      <c r="AH362" s="5">
        <v>2</v>
      </c>
      <c r="AI362" s="5">
        <v>4</v>
      </c>
      <c r="AJ362" s="5"/>
      <c r="AK362" s="5"/>
      <c r="AL362" s="5"/>
      <c r="AM362" s="5"/>
      <c r="AN362" s="5"/>
      <c r="AO362" s="5"/>
      <c r="AP362" s="5"/>
      <c r="AS362" s="5"/>
      <c r="AT362" s="5"/>
      <c r="AU362" s="5"/>
      <c r="AV362" s="5">
        <v>2</v>
      </c>
      <c r="AW362" s="5" t="s">
        <v>1574</v>
      </c>
      <c r="AX362" s="5" t="s">
        <v>1560</v>
      </c>
      <c r="BC362" s="7"/>
      <c r="BD362" s="7"/>
      <c r="BE362" s="10">
        <v>10</v>
      </c>
      <c r="BF362" s="5"/>
      <c r="BG362" s="5" t="s">
        <v>286</v>
      </c>
      <c r="BH362" s="5"/>
      <c r="BI362" s="5" t="s">
        <v>286</v>
      </c>
      <c r="BJ362" s="5" t="s">
        <v>1636</v>
      </c>
      <c r="BK362" s="7"/>
      <c r="BL362" s="5" t="s">
        <v>1635</v>
      </c>
      <c r="BM362" s="5" t="s">
        <v>1609</v>
      </c>
      <c r="BN362" s="5">
        <v>72</v>
      </c>
      <c r="BO362" s="5"/>
    </row>
    <row r="363" spans="1:67">
      <c r="A363" s="4" t="s">
        <v>1307</v>
      </c>
      <c r="B363" s="7"/>
      <c r="C363" s="5"/>
      <c r="D363" s="5" t="s">
        <v>286</v>
      </c>
      <c r="E363" s="5"/>
      <c r="F363" s="5"/>
      <c r="G363" s="5"/>
      <c r="H363" s="5"/>
      <c r="I363" s="5"/>
      <c r="J363" s="5"/>
      <c r="K363" s="5"/>
      <c r="L363" s="5"/>
      <c r="M363" s="5"/>
      <c r="N363" s="5" t="s">
        <v>45</v>
      </c>
      <c r="O363" s="5" t="s">
        <v>1510</v>
      </c>
      <c r="P363" s="5"/>
      <c r="Q363" s="5"/>
      <c r="S363" s="5"/>
      <c r="T363" s="5"/>
      <c r="V363" s="5" t="s">
        <v>108</v>
      </c>
      <c r="W363" s="5"/>
      <c r="X363" s="5" t="s">
        <v>108</v>
      </c>
      <c r="Y363" s="5"/>
      <c r="Z363" s="5"/>
      <c r="AA363" s="5"/>
      <c r="AB363" s="5"/>
      <c r="AC363" s="5"/>
      <c r="AD363" s="5"/>
      <c r="AE363" s="5"/>
      <c r="AF363" s="5"/>
      <c r="AG363" s="5"/>
      <c r="AH363" s="5"/>
      <c r="AI363" s="5"/>
      <c r="AJ363" s="5"/>
      <c r="AK363" s="5"/>
      <c r="AL363" s="5"/>
      <c r="AM363" s="5"/>
      <c r="AN363" s="5"/>
      <c r="AO363" s="5"/>
      <c r="AP363" s="5"/>
      <c r="AS363" s="5"/>
      <c r="AT363" s="5"/>
      <c r="AU363" s="5"/>
      <c r="AV363" s="5"/>
      <c r="AW363" s="5" t="s">
        <v>1575</v>
      </c>
      <c r="AX363" s="5" t="s">
        <v>1560</v>
      </c>
      <c r="BC363" s="7"/>
      <c r="BD363" s="7"/>
      <c r="BE363" s="10">
        <v>9</v>
      </c>
      <c r="BF363" s="5"/>
      <c r="BG363" s="5" t="s">
        <v>286</v>
      </c>
      <c r="BH363" s="5"/>
      <c r="BI363" s="5" t="s">
        <v>286</v>
      </c>
      <c r="BJ363" s="5" t="s">
        <v>1637</v>
      </c>
      <c r="BK363" s="7"/>
      <c r="BL363" s="5" t="s">
        <v>1638</v>
      </c>
      <c r="BM363" s="5" t="s">
        <v>1609</v>
      </c>
      <c r="BN363" s="5">
        <v>79</v>
      </c>
      <c r="BO363" s="5"/>
    </row>
    <row r="364" spans="1:67">
      <c r="A364" s="4" t="s">
        <v>1308</v>
      </c>
      <c r="B364" s="7"/>
      <c r="C364" s="5"/>
      <c r="D364" s="5" t="s">
        <v>286</v>
      </c>
      <c r="E364" s="5"/>
      <c r="F364" s="5"/>
      <c r="G364" s="5"/>
      <c r="H364" s="5"/>
      <c r="I364" s="5"/>
      <c r="J364" s="5"/>
      <c r="K364" s="5"/>
      <c r="L364" s="5"/>
      <c r="M364" s="5"/>
      <c r="N364" s="5" t="s">
        <v>45</v>
      </c>
      <c r="O364" s="5" t="s">
        <v>1511</v>
      </c>
      <c r="P364" s="5"/>
      <c r="Q364" s="5"/>
      <c r="S364" s="5"/>
      <c r="T364" s="5"/>
      <c r="V364" s="5" t="s">
        <v>1538</v>
      </c>
      <c r="W364" s="5"/>
      <c r="X364" s="5" t="s">
        <v>1538</v>
      </c>
      <c r="Y364" s="5"/>
      <c r="Z364" s="5"/>
      <c r="AA364" s="5"/>
      <c r="AB364" s="5"/>
      <c r="AC364" s="5"/>
      <c r="AD364" s="5"/>
      <c r="AE364" s="5"/>
      <c r="AF364" s="5"/>
      <c r="AG364" s="5"/>
      <c r="AH364" s="5"/>
      <c r="AI364" s="5"/>
      <c r="AJ364" s="5"/>
      <c r="AK364" s="5"/>
      <c r="AL364" s="5"/>
      <c r="AM364" s="5"/>
      <c r="AN364" s="5"/>
      <c r="AO364" s="5"/>
      <c r="AP364" s="5"/>
      <c r="AS364" s="5"/>
      <c r="AT364" s="5"/>
      <c r="AU364" s="5"/>
      <c r="AV364" s="5"/>
      <c r="AW364" s="5" t="s">
        <v>1564</v>
      </c>
      <c r="AX364" s="5" t="s">
        <v>1560</v>
      </c>
      <c r="BC364" s="7"/>
      <c r="BD364" s="7"/>
      <c r="BE364" s="10">
        <v>11</v>
      </c>
      <c r="BF364" s="5"/>
      <c r="BG364" s="5" t="s">
        <v>286</v>
      </c>
      <c r="BH364" s="5"/>
      <c r="BI364" s="5" t="s">
        <v>286</v>
      </c>
      <c r="BJ364" s="5" t="s">
        <v>1639</v>
      </c>
      <c r="BK364" s="7"/>
      <c r="BL364" s="5" t="s">
        <v>1638</v>
      </c>
      <c r="BM364" s="5" t="s">
        <v>1609</v>
      </c>
      <c r="BN364" s="5">
        <v>80</v>
      </c>
      <c r="BO364" s="5"/>
    </row>
    <row r="365" spans="1:67">
      <c r="A365" s="4" t="s">
        <v>1309</v>
      </c>
      <c r="B365" s="7"/>
      <c r="C365" s="5"/>
      <c r="D365" s="5" t="s">
        <v>286</v>
      </c>
      <c r="E365" s="5" t="s">
        <v>526</v>
      </c>
      <c r="F365" s="5"/>
      <c r="G365" s="5"/>
      <c r="H365" s="5"/>
      <c r="I365" s="5"/>
      <c r="J365" s="5"/>
      <c r="K365" s="5"/>
      <c r="L365" s="5"/>
      <c r="M365" s="5"/>
      <c r="N365" s="5" t="s">
        <v>45</v>
      </c>
      <c r="O365" s="5" t="s">
        <v>1512</v>
      </c>
      <c r="P365" s="5"/>
      <c r="Q365" s="5"/>
      <c r="S365" s="5"/>
      <c r="T365" s="5"/>
      <c r="V365" s="5" t="s">
        <v>1142</v>
      </c>
      <c r="W365" s="5"/>
      <c r="X365" s="5" t="s">
        <v>1142</v>
      </c>
      <c r="Y365" s="5"/>
      <c r="Z365" s="5"/>
      <c r="AA365" s="5"/>
      <c r="AB365" s="5"/>
      <c r="AC365" s="5"/>
      <c r="AD365" s="5"/>
      <c r="AE365" s="5"/>
      <c r="AF365" s="5"/>
      <c r="AG365" s="5"/>
      <c r="AH365" s="5"/>
      <c r="AI365" s="5"/>
      <c r="AJ365" s="5"/>
      <c r="AK365" s="5"/>
      <c r="AL365" s="5"/>
      <c r="AM365" s="5"/>
      <c r="AN365" s="5"/>
      <c r="AO365" s="5"/>
      <c r="AP365" s="5"/>
      <c r="AS365" s="5"/>
      <c r="AT365" s="5"/>
      <c r="AU365" s="5"/>
      <c r="AV365" s="5"/>
      <c r="AW365" s="5" t="s">
        <v>1571</v>
      </c>
      <c r="AX365" s="5" t="s">
        <v>1560</v>
      </c>
      <c r="BC365" s="7"/>
      <c r="BD365" s="7"/>
      <c r="BE365" s="5"/>
      <c r="BF365" s="5"/>
      <c r="BG365" s="5"/>
      <c r="BH365" s="5"/>
      <c r="BI365" s="5"/>
      <c r="BJ365" s="5" t="s">
        <v>1631</v>
      </c>
      <c r="BK365" s="7"/>
      <c r="BL365" s="5" t="s">
        <v>1640</v>
      </c>
      <c r="BM365" s="5" t="s">
        <v>1641</v>
      </c>
      <c r="BN365" s="5">
        <v>38</v>
      </c>
      <c r="BO365" s="5" t="s">
        <v>1633</v>
      </c>
    </row>
    <row r="366" spans="1:67">
      <c r="A366" s="4" t="s">
        <v>1310</v>
      </c>
      <c r="B366" s="7"/>
      <c r="C366" s="5"/>
      <c r="D366" s="5" t="s">
        <v>286</v>
      </c>
      <c r="E366" s="5" t="s">
        <v>1311</v>
      </c>
      <c r="F366" s="5"/>
      <c r="G366" s="5"/>
      <c r="H366" s="5"/>
      <c r="I366" s="5"/>
      <c r="J366" s="5"/>
      <c r="K366" s="5"/>
      <c r="L366" s="5"/>
      <c r="M366" s="5"/>
      <c r="N366" s="5" t="s">
        <v>45</v>
      </c>
      <c r="O366" s="5" t="s">
        <v>1513</v>
      </c>
      <c r="P366" s="5"/>
      <c r="Q366" s="5"/>
      <c r="S366" s="5"/>
      <c r="T366" s="5"/>
      <c r="V366" s="5" t="s">
        <v>1539</v>
      </c>
      <c r="W366" s="5"/>
      <c r="X366" s="5"/>
      <c r="Y366" s="5"/>
      <c r="Z366" s="5"/>
      <c r="AA366" s="5"/>
      <c r="AB366" s="5"/>
      <c r="AC366" s="5"/>
      <c r="AD366" s="5"/>
      <c r="AE366" s="5"/>
      <c r="AF366" s="5"/>
      <c r="AG366" s="5"/>
      <c r="AH366" s="5"/>
      <c r="AI366" s="5"/>
      <c r="AJ366" s="5"/>
      <c r="AK366" s="5"/>
      <c r="AL366" s="5"/>
      <c r="AM366" s="5"/>
      <c r="AN366" s="5"/>
      <c r="AO366" s="5"/>
      <c r="AP366" s="5"/>
      <c r="AS366" s="5"/>
      <c r="AT366" s="5"/>
      <c r="AU366" s="5"/>
      <c r="AV366" s="5"/>
      <c r="AW366" s="5" t="s">
        <v>1576</v>
      </c>
      <c r="AX366" s="5" t="s">
        <v>1560</v>
      </c>
      <c r="BC366" s="7"/>
      <c r="BD366" s="7"/>
      <c r="BE366" s="5"/>
      <c r="BF366" s="5"/>
      <c r="BG366" s="5"/>
      <c r="BH366" s="5"/>
      <c r="BI366" s="5"/>
      <c r="BJ366" s="5" t="s">
        <v>1642</v>
      </c>
      <c r="BK366" s="7"/>
      <c r="BL366" s="5" t="s">
        <v>1632</v>
      </c>
      <c r="BM366" s="5" t="s">
        <v>1633</v>
      </c>
      <c r="BN366" s="5">
        <v>177</v>
      </c>
      <c r="BO366" s="5"/>
    </row>
    <row r="367" spans="1:67">
      <c r="A367" s="4" t="s">
        <v>1312</v>
      </c>
      <c r="B367" s="7"/>
      <c r="C367" s="5"/>
      <c r="D367" s="5" t="s">
        <v>286</v>
      </c>
      <c r="E367" s="5"/>
      <c r="F367" s="5"/>
      <c r="G367" s="5"/>
      <c r="H367" s="5"/>
      <c r="I367" s="5"/>
      <c r="J367" s="5"/>
      <c r="K367" s="5"/>
      <c r="L367" s="5"/>
      <c r="M367" s="5"/>
      <c r="N367" s="5" t="s">
        <v>45</v>
      </c>
      <c r="O367" s="5" t="s">
        <v>45</v>
      </c>
      <c r="P367" s="5"/>
      <c r="Q367" s="5"/>
      <c r="S367" s="5"/>
      <c r="T367" s="5"/>
      <c r="V367" s="5" t="s">
        <v>45</v>
      </c>
      <c r="W367" s="5"/>
      <c r="X367" s="5"/>
      <c r="Y367" s="5"/>
      <c r="Z367" s="5"/>
      <c r="AA367" s="5"/>
      <c r="AB367" s="5"/>
      <c r="AC367" s="5"/>
      <c r="AD367" s="5"/>
      <c r="AE367" s="5"/>
      <c r="AF367" s="5"/>
      <c r="AG367" s="5"/>
      <c r="AH367" s="5"/>
      <c r="AI367" s="5"/>
      <c r="AJ367" s="5"/>
      <c r="AK367" s="5"/>
      <c r="AL367" s="5"/>
      <c r="AM367" s="5"/>
      <c r="AN367" s="5"/>
      <c r="AO367" s="5"/>
      <c r="AP367" s="5"/>
      <c r="AS367" s="5"/>
      <c r="AT367" s="5"/>
      <c r="AU367" s="5"/>
      <c r="AV367" s="5"/>
      <c r="AW367" s="5" t="s">
        <v>1569</v>
      </c>
      <c r="AX367" s="5" t="s">
        <v>1560</v>
      </c>
      <c r="BC367" s="7"/>
      <c r="BD367" s="7"/>
      <c r="BE367" s="5"/>
      <c r="BF367" s="5"/>
      <c r="BG367" s="5"/>
      <c r="BH367" s="5"/>
      <c r="BI367" s="5"/>
      <c r="BJ367" s="5" t="s">
        <v>1642</v>
      </c>
      <c r="BK367" s="7"/>
      <c r="BL367" s="5" t="s">
        <v>1643</v>
      </c>
      <c r="BM367" s="5" t="s">
        <v>1621</v>
      </c>
      <c r="BN367" s="5">
        <v>155</v>
      </c>
      <c r="BO367" s="5"/>
    </row>
    <row r="368" spans="1:67">
      <c r="A368" s="4" t="s">
        <v>1313</v>
      </c>
      <c r="B368" s="7"/>
      <c r="C368" s="5"/>
      <c r="D368" s="5" t="s">
        <v>286</v>
      </c>
      <c r="E368" s="5"/>
      <c r="F368" s="5"/>
      <c r="G368" s="5"/>
      <c r="H368" s="5"/>
      <c r="I368" s="5"/>
      <c r="J368" s="5"/>
      <c r="K368" s="5"/>
      <c r="L368" s="5"/>
      <c r="M368" s="5"/>
      <c r="N368" s="5" t="s">
        <v>45</v>
      </c>
      <c r="O368" s="5" t="s">
        <v>1514</v>
      </c>
      <c r="P368" s="5"/>
      <c r="Q368" s="5"/>
      <c r="S368" s="5"/>
      <c r="T368" s="5"/>
      <c r="V368" s="5" t="s">
        <v>109</v>
      </c>
      <c r="W368" s="5"/>
      <c r="X368" s="5" t="s">
        <v>109</v>
      </c>
      <c r="Y368" s="5"/>
      <c r="Z368" s="5"/>
      <c r="AA368" s="5"/>
      <c r="AB368" s="5"/>
      <c r="AC368" s="5"/>
      <c r="AD368" s="5"/>
      <c r="AE368" s="5"/>
      <c r="AF368" s="5"/>
      <c r="AG368" s="5"/>
      <c r="AH368" s="5"/>
      <c r="AI368" s="5"/>
      <c r="AJ368" s="5"/>
      <c r="AK368" s="5"/>
      <c r="AL368" s="5"/>
      <c r="AM368" s="5"/>
      <c r="AN368" s="5"/>
      <c r="AO368" s="5"/>
      <c r="AP368" s="5"/>
      <c r="AS368" s="5"/>
      <c r="AT368" s="5"/>
      <c r="AU368" s="5"/>
      <c r="AV368" s="5"/>
      <c r="AW368" s="5" t="s">
        <v>1574</v>
      </c>
      <c r="AX368" s="5" t="s">
        <v>1560</v>
      </c>
      <c r="BC368" s="7"/>
      <c r="BD368" s="7"/>
      <c r="BE368" s="5"/>
      <c r="BF368" s="5"/>
      <c r="BG368" s="5"/>
      <c r="BH368" s="5"/>
      <c r="BI368" s="5"/>
      <c r="BJ368" s="5" t="s">
        <v>1644</v>
      </c>
      <c r="BK368" s="7"/>
      <c r="BL368" s="5" t="s">
        <v>1645</v>
      </c>
      <c r="BM368" s="5" t="s">
        <v>1646</v>
      </c>
      <c r="BN368" s="5">
        <v>356</v>
      </c>
      <c r="BO368" s="5"/>
    </row>
    <row r="369" spans="1:67">
      <c r="A369" s="4" t="s">
        <v>1314</v>
      </c>
      <c r="B369" s="7"/>
      <c r="C369" s="5"/>
      <c r="D369" s="5" t="s">
        <v>286</v>
      </c>
      <c r="E369" s="5"/>
      <c r="F369" s="5"/>
      <c r="G369" s="5"/>
      <c r="H369" s="5"/>
      <c r="I369" s="5"/>
      <c r="J369" s="5"/>
      <c r="K369" s="5"/>
      <c r="L369" s="5"/>
      <c r="M369" s="5"/>
      <c r="N369" s="5" t="s">
        <v>45</v>
      </c>
      <c r="O369" s="5" t="s">
        <v>1515</v>
      </c>
      <c r="P369" s="5"/>
      <c r="Q369" s="5"/>
      <c r="S369" s="5"/>
      <c r="T369" s="5"/>
      <c r="V369" s="5" t="s">
        <v>1540</v>
      </c>
      <c r="W369" s="5"/>
      <c r="X369" s="5" t="s">
        <v>1538</v>
      </c>
      <c r="Y369" s="5"/>
      <c r="Z369" s="5"/>
      <c r="AA369" s="5"/>
      <c r="AB369" s="5"/>
      <c r="AC369" s="5"/>
      <c r="AD369" s="5"/>
      <c r="AE369" s="5"/>
      <c r="AF369" s="5"/>
      <c r="AG369" s="5"/>
      <c r="AH369" s="5"/>
      <c r="AI369" s="5"/>
      <c r="AJ369" s="5"/>
      <c r="AK369" s="5"/>
      <c r="AL369" s="5"/>
      <c r="AM369" s="5"/>
      <c r="AN369" s="5"/>
      <c r="AO369" s="5"/>
      <c r="AP369" s="5"/>
      <c r="AS369" s="5"/>
      <c r="AT369" s="5"/>
      <c r="AU369" s="5"/>
      <c r="AV369" s="5"/>
      <c r="AW369" s="5" t="s">
        <v>1574</v>
      </c>
      <c r="AX369" s="5" t="s">
        <v>1560</v>
      </c>
      <c r="BC369" s="7"/>
      <c r="BD369" s="7"/>
      <c r="BE369" s="5"/>
      <c r="BF369" s="5"/>
      <c r="BG369" s="5"/>
      <c r="BH369" s="5"/>
      <c r="BI369" s="5"/>
      <c r="BJ369" s="5" t="s">
        <v>1642</v>
      </c>
      <c r="BK369" s="7"/>
      <c r="BL369" s="5" t="s">
        <v>1645</v>
      </c>
      <c r="BM369" s="5" t="s">
        <v>1646</v>
      </c>
      <c r="BN369" s="5">
        <v>356</v>
      </c>
      <c r="BO369" s="5"/>
    </row>
    <row r="370" spans="1:67">
      <c r="A370" s="4" t="s">
        <v>1315</v>
      </c>
      <c r="B370" s="7"/>
      <c r="C370" s="5"/>
      <c r="D370" s="5" t="s">
        <v>286</v>
      </c>
      <c r="E370" s="5"/>
      <c r="F370" s="5"/>
      <c r="G370" s="5"/>
      <c r="H370" s="5"/>
      <c r="I370" s="5"/>
      <c r="J370" s="5"/>
      <c r="K370" s="5"/>
      <c r="L370" s="5"/>
      <c r="M370" s="5"/>
      <c r="N370" s="5" t="s">
        <v>45</v>
      </c>
      <c r="O370" s="5" t="s">
        <v>1508</v>
      </c>
      <c r="P370" s="5"/>
      <c r="Q370" s="5"/>
      <c r="S370" s="5"/>
      <c r="T370" s="5"/>
      <c r="V370" s="5" t="s">
        <v>1142</v>
      </c>
      <c r="W370" s="5"/>
      <c r="X370" s="5" t="s">
        <v>1142</v>
      </c>
      <c r="Y370" s="5"/>
      <c r="Z370" s="5"/>
      <c r="AA370" s="5"/>
      <c r="AB370" s="5"/>
      <c r="AC370" s="5"/>
      <c r="AD370" s="5"/>
      <c r="AE370" s="5"/>
      <c r="AF370" s="5"/>
      <c r="AG370" s="5"/>
      <c r="AH370" s="5"/>
      <c r="AI370" s="5"/>
      <c r="AJ370" s="5"/>
      <c r="AK370" s="5"/>
      <c r="AL370" s="5"/>
      <c r="AM370" s="5"/>
      <c r="AN370" s="5"/>
      <c r="AO370" s="5"/>
      <c r="AP370" s="5"/>
      <c r="AS370" s="5"/>
      <c r="AT370" s="5"/>
      <c r="AU370" s="5"/>
      <c r="AV370" s="5"/>
      <c r="AW370" s="5" t="s">
        <v>1575</v>
      </c>
      <c r="AX370" s="5" t="s">
        <v>1560</v>
      </c>
      <c r="BC370" s="7"/>
      <c r="BD370" s="7"/>
      <c r="BE370" s="10">
        <v>10</v>
      </c>
      <c r="BF370" s="5"/>
      <c r="BG370" s="5" t="s">
        <v>286</v>
      </c>
      <c r="BH370" s="5"/>
      <c r="BI370" s="5" t="s">
        <v>286</v>
      </c>
      <c r="BJ370" s="5" t="s">
        <v>1647</v>
      </c>
      <c r="BK370" s="7"/>
      <c r="BL370" s="5" t="s">
        <v>1638</v>
      </c>
      <c r="BM370" s="5" t="s">
        <v>1609</v>
      </c>
      <c r="BN370" s="5">
        <v>82</v>
      </c>
      <c r="BO370" s="5"/>
    </row>
    <row r="371" spans="1:67">
      <c r="A371" s="4" t="s">
        <v>1316</v>
      </c>
      <c r="B371" s="7"/>
      <c r="C371" s="5"/>
      <c r="D371" s="5" t="s">
        <v>286</v>
      </c>
      <c r="E371" s="5" t="s">
        <v>1317</v>
      </c>
      <c r="F371" s="5"/>
      <c r="G371" s="5"/>
      <c r="H371" s="5"/>
      <c r="I371" s="5"/>
      <c r="J371" s="5"/>
      <c r="K371" s="5"/>
      <c r="L371" s="5"/>
      <c r="M371" s="5"/>
      <c r="N371" s="5" t="s">
        <v>45</v>
      </c>
      <c r="O371" s="5" t="s">
        <v>1516</v>
      </c>
      <c r="P371" s="5"/>
      <c r="Q371" s="5"/>
      <c r="S371" s="5"/>
      <c r="T371" s="5"/>
      <c r="V371" s="5" t="s">
        <v>109</v>
      </c>
      <c r="W371" s="5"/>
      <c r="X371" s="5" t="s">
        <v>109</v>
      </c>
      <c r="Y371" s="5"/>
      <c r="Z371" s="5"/>
      <c r="AA371" s="5"/>
      <c r="AB371" s="5"/>
      <c r="AC371" s="5"/>
      <c r="AD371" s="5"/>
      <c r="AE371" s="5"/>
      <c r="AF371" s="5"/>
      <c r="AG371" s="5"/>
      <c r="AH371" s="5"/>
      <c r="AI371" s="5"/>
      <c r="AJ371" s="5"/>
      <c r="AK371" s="5"/>
      <c r="AL371" s="5"/>
      <c r="AM371" s="5"/>
      <c r="AN371" s="5"/>
      <c r="AO371" s="5"/>
      <c r="AP371" s="5"/>
      <c r="AS371" s="5"/>
      <c r="AT371" s="5"/>
      <c r="AU371" s="5"/>
      <c r="AV371" s="5"/>
      <c r="AW371" s="5" t="s">
        <v>1577</v>
      </c>
      <c r="AX371" s="5" t="s">
        <v>1560</v>
      </c>
      <c r="BC371" s="7"/>
      <c r="BD371" s="7"/>
      <c r="BE371" s="5"/>
      <c r="BF371" s="5"/>
      <c r="BG371" s="5"/>
      <c r="BH371" s="5"/>
      <c r="BI371" s="5"/>
      <c r="BJ371" s="5" t="s">
        <v>1648</v>
      </c>
      <c r="BK371" s="7"/>
      <c r="BL371" s="5" t="s">
        <v>1630</v>
      </c>
      <c r="BM371" s="5" t="s">
        <v>1614</v>
      </c>
      <c r="BN371" s="5">
        <v>81</v>
      </c>
      <c r="BO371" s="5"/>
    </row>
    <row r="372" spans="1:67">
      <c r="A372" s="4" t="s">
        <v>1318</v>
      </c>
      <c r="B372" s="7"/>
      <c r="C372" s="5"/>
      <c r="D372" s="5" t="s">
        <v>286</v>
      </c>
      <c r="E372" s="5" t="s">
        <v>526</v>
      </c>
      <c r="F372" s="5"/>
      <c r="G372" s="5"/>
      <c r="H372" s="5"/>
      <c r="I372" s="5"/>
      <c r="J372" s="5"/>
      <c r="K372" s="5"/>
      <c r="L372" s="5"/>
      <c r="M372" s="5"/>
      <c r="N372" s="5" t="s">
        <v>45</v>
      </c>
      <c r="O372" s="5" t="s">
        <v>1517</v>
      </c>
      <c r="P372" s="5"/>
      <c r="Q372" s="5"/>
      <c r="S372" s="5"/>
      <c r="T372" s="5"/>
      <c r="V372" s="5" t="s">
        <v>1541</v>
      </c>
      <c r="W372" s="5"/>
      <c r="X372" s="5" t="s">
        <v>1142</v>
      </c>
      <c r="Y372" s="5"/>
      <c r="Z372" s="5"/>
      <c r="AA372" s="5"/>
      <c r="AB372" s="5"/>
      <c r="AC372" s="5"/>
      <c r="AD372" s="5"/>
      <c r="AE372" s="5"/>
      <c r="AF372" s="5"/>
      <c r="AG372" s="5"/>
      <c r="AH372" s="5"/>
      <c r="AI372" s="5"/>
      <c r="AJ372" s="5"/>
      <c r="AK372" s="5"/>
      <c r="AL372" s="5"/>
      <c r="AM372" s="5"/>
      <c r="AN372" s="5"/>
      <c r="AO372" s="5"/>
      <c r="AP372" s="5"/>
      <c r="AS372" s="5"/>
      <c r="AT372" s="5"/>
      <c r="AU372" s="5"/>
      <c r="AV372" s="5"/>
      <c r="AW372" s="5" t="s">
        <v>1573</v>
      </c>
      <c r="AX372" s="5" t="s">
        <v>1560</v>
      </c>
      <c r="BC372" s="7"/>
      <c r="BD372" s="7"/>
      <c r="BE372" s="5"/>
      <c r="BF372" s="5"/>
      <c r="BG372" s="5"/>
      <c r="BH372" s="5"/>
      <c r="BI372" s="5"/>
      <c r="BJ372" s="5" t="s">
        <v>1649</v>
      </c>
      <c r="BK372" s="7"/>
      <c r="BL372" s="5" t="s">
        <v>1640</v>
      </c>
      <c r="BM372" s="5" t="s">
        <v>1641</v>
      </c>
      <c r="BN372" s="5">
        <v>40</v>
      </c>
      <c r="BO372" s="5"/>
    </row>
    <row r="373" spans="1:67">
      <c r="A373" s="4" t="s">
        <v>1319</v>
      </c>
      <c r="B373" s="7"/>
      <c r="C373" s="5"/>
      <c r="D373" s="5" t="s">
        <v>286</v>
      </c>
      <c r="E373" s="5" t="s">
        <v>1317</v>
      </c>
      <c r="F373" s="5"/>
      <c r="G373" s="5"/>
      <c r="H373" s="5"/>
      <c r="I373" s="5"/>
      <c r="J373" s="5"/>
      <c r="K373" s="5"/>
      <c r="L373" s="5"/>
      <c r="M373" s="5"/>
      <c r="N373" s="5" t="s">
        <v>45</v>
      </c>
      <c r="O373" s="5" t="s">
        <v>1507</v>
      </c>
      <c r="P373" s="5"/>
      <c r="Q373" s="5"/>
      <c r="S373" s="5"/>
      <c r="T373" s="5"/>
      <c r="V373" s="5" t="s">
        <v>926</v>
      </c>
      <c r="W373" s="5"/>
      <c r="X373" s="5" t="s">
        <v>926</v>
      </c>
      <c r="Y373" s="5"/>
      <c r="Z373" s="5"/>
      <c r="AA373" s="5"/>
      <c r="AB373" s="5"/>
      <c r="AC373" s="5"/>
      <c r="AD373" s="5"/>
      <c r="AE373" s="5"/>
      <c r="AF373" s="5"/>
      <c r="AG373" s="5"/>
      <c r="AH373" s="5"/>
      <c r="AI373" s="5"/>
      <c r="AJ373" s="5"/>
      <c r="AK373" s="5"/>
      <c r="AL373" s="5"/>
      <c r="AM373" s="5"/>
      <c r="AN373" s="5"/>
      <c r="AO373" s="5"/>
      <c r="AP373" s="5"/>
      <c r="AS373" s="5"/>
      <c r="AT373" s="5"/>
      <c r="AU373" s="5"/>
      <c r="AV373" s="5"/>
      <c r="AW373" s="5" t="s">
        <v>1569</v>
      </c>
      <c r="AX373" s="5" t="s">
        <v>1560</v>
      </c>
      <c r="BC373" s="7"/>
      <c r="BD373" s="7"/>
      <c r="BE373" s="5"/>
      <c r="BF373" s="5"/>
      <c r="BG373" s="5"/>
      <c r="BH373" s="5"/>
      <c r="BI373" s="5"/>
      <c r="BJ373" s="5" t="s">
        <v>1650</v>
      </c>
      <c r="BK373" s="7"/>
      <c r="BL373" s="5" t="s">
        <v>1630</v>
      </c>
      <c r="BM373" s="5" t="s">
        <v>1614</v>
      </c>
      <c r="BN373" s="5">
        <v>82</v>
      </c>
      <c r="BO373" s="5"/>
    </row>
    <row r="374" spans="1:67">
      <c r="A374" s="4" t="s">
        <v>1320</v>
      </c>
      <c r="B374" s="7"/>
      <c r="C374" s="5"/>
      <c r="D374" s="5" t="s">
        <v>286</v>
      </c>
      <c r="E374" s="5" t="s">
        <v>136</v>
      </c>
      <c r="F374" s="5"/>
      <c r="G374" s="5"/>
      <c r="H374" s="5"/>
      <c r="I374" s="5"/>
      <c r="J374" s="5"/>
      <c r="K374" s="5"/>
      <c r="L374" s="5"/>
      <c r="M374" s="5"/>
      <c r="N374" s="5" t="s">
        <v>45</v>
      </c>
      <c r="O374" s="5" t="s">
        <v>1518</v>
      </c>
      <c r="P374" s="5"/>
      <c r="Q374" s="5"/>
      <c r="S374" s="5"/>
      <c r="T374" s="5"/>
      <c r="V374" s="5" t="s">
        <v>1540</v>
      </c>
      <c r="W374" s="5"/>
      <c r="X374" s="5"/>
      <c r="Y374" s="5"/>
      <c r="Z374" s="5"/>
      <c r="AA374" s="5"/>
      <c r="AB374" s="5"/>
      <c r="AC374" s="5"/>
      <c r="AD374" s="5"/>
      <c r="AE374" s="5"/>
      <c r="AF374" s="5"/>
      <c r="AG374" s="5"/>
      <c r="AH374" s="5"/>
      <c r="AI374" s="5"/>
      <c r="AJ374" s="5"/>
      <c r="AK374" s="5"/>
      <c r="AL374" s="5"/>
      <c r="AM374" s="5"/>
      <c r="AN374" s="5"/>
      <c r="AO374" s="5"/>
      <c r="AP374" s="5"/>
      <c r="AS374" s="5"/>
      <c r="AT374" s="5"/>
      <c r="AU374" s="5"/>
      <c r="AV374" s="5"/>
      <c r="AW374" s="5" t="s">
        <v>1565</v>
      </c>
      <c r="AX374" s="5" t="s">
        <v>1560</v>
      </c>
      <c r="BC374" s="7"/>
      <c r="BD374" s="7"/>
      <c r="BE374" s="5"/>
      <c r="BF374" s="5"/>
      <c r="BG374" s="5"/>
      <c r="BH374" s="5"/>
      <c r="BI374" s="5"/>
      <c r="BJ374" s="5" t="s">
        <v>1651</v>
      </c>
      <c r="BK374" s="7"/>
      <c r="BL374" s="5" t="s">
        <v>1632</v>
      </c>
      <c r="BM374" s="5" t="s">
        <v>1633</v>
      </c>
      <c r="BN374" s="5">
        <v>179</v>
      </c>
      <c r="BO374" s="5"/>
    </row>
    <row r="375" spans="1:67">
      <c r="A375" s="4" t="s">
        <v>1321</v>
      </c>
      <c r="B375" s="7"/>
      <c r="C375" s="5"/>
      <c r="D375" s="5" t="s">
        <v>286</v>
      </c>
      <c r="E375" s="5" t="s">
        <v>1317</v>
      </c>
      <c r="F375" s="5"/>
      <c r="G375" s="5"/>
      <c r="H375" s="5"/>
      <c r="I375" s="5"/>
      <c r="J375" s="5"/>
      <c r="K375" s="5"/>
      <c r="L375" s="5"/>
      <c r="M375" s="5"/>
      <c r="N375" s="5" t="s">
        <v>45</v>
      </c>
      <c r="O375" s="5" t="s">
        <v>1519</v>
      </c>
      <c r="P375" s="5"/>
      <c r="Q375" s="5"/>
      <c r="S375" s="5"/>
      <c r="T375" s="5"/>
      <c r="V375" s="5" t="s">
        <v>45</v>
      </c>
      <c r="W375" s="5"/>
      <c r="X375" s="5"/>
      <c r="Y375" s="5"/>
      <c r="Z375" s="5"/>
      <c r="AA375" s="5"/>
      <c r="AB375" s="5"/>
      <c r="AC375" s="5"/>
      <c r="AD375" s="5"/>
      <c r="AE375" s="5"/>
      <c r="AF375" s="5"/>
      <c r="AG375" s="5"/>
      <c r="AH375" s="5"/>
      <c r="AI375" s="5"/>
      <c r="AJ375" s="5"/>
      <c r="AK375" s="5"/>
      <c r="AL375" s="5"/>
      <c r="AM375" s="5"/>
      <c r="AN375" s="5"/>
      <c r="AO375" s="5"/>
      <c r="AP375" s="5"/>
      <c r="AS375" s="5"/>
      <c r="AT375" s="5"/>
      <c r="AU375" s="5"/>
      <c r="AV375" s="5"/>
      <c r="AW375" s="5" t="s">
        <v>1577</v>
      </c>
      <c r="AX375" s="5" t="s">
        <v>1560</v>
      </c>
      <c r="BC375" s="7"/>
      <c r="BD375" s="7"/>
      <c r="BE375" s="5"/>
      <c r="BF375" s="5"/>
      <c r="BG375" s="5"/>
      <c r="BH375" s="5"/>
      <c r="BI375" s="5"/>
      <c r="BJ375" s="5" t="s">
        <v>1652</v>
      </c>
      <c r="BK375" s="7"/>
      <c r="BL375" s="5" t="s">
        <v>1640</v>
      </c>
      <c r="BM375" s="5" t="s">
        <v>1641</v>
      </c>
      <c r="BN375" s="5">
        <v>159</v>
      </c>
      <c r="BO375" s="5" t="s">
        <v>1633</v>
      </c>
    </row>
    <row r="376" spans="1:67">
      <c r="A376" s="4" t="s">
        <v>1322</v>
      </c>
      <c r="B376" s="7"/>
      <c r="C376" s="5"/>
      <c r="D376" s="5" t="s">
        <v>286</v>
      </c>
      <c r="E376" s="5"/>
      <c r="F376" s="5"/>
      <c r="G376" s="5"/>
      <c r="H376" s="5"/>
      <c r="I376" s="5"/>
      <c r="J376" s="5"/>
      <c r="K376" s="5"/>
      <c r="L376" s="5"/>
      <c r="M376" s="5"/>
      <c r="N376" s="5" t="s">
        <v>45</v>
      </c>
      <c r="O376" s="5" t="s">
        <v>1518</v>
      </c>
      <c r="P376" s="5"/>
      <c r="Q376" s="5"/>
      <c r="S376" s="5"/>
      <c r="T376" s="5"/>
      <c r="V376" s="5" t="s">
        <v>1540</v>
      </c>
      <c r="W376" s="5"/>
      <c r="X376" s="5"/>
      <c r="Y376" s="5"/>
      <c r="Z376" s="5"/>
      <c r="AA376" s="5"/>
      <c r="AB376" s="5"/>
      <c r="AC376" s="5"/>
      <c r="AD376" s="5"/>
      <c r="AE376" s="5"/>
      <c r="AF376" s="5"/>
      <c r="AG376" s="5"/>
      <c r="AH376" s="5"/>
      <c r="AI376" s="5"/>
      <c r="AJ376" s="5"/>
      <c r="AK376" s="5"/>
      <c r="AL376" s="5"/>
      <c r="AM376" s="5"/>
      <c r="AN376" s="5"/>
      <c r="AO376" s="5"/>
      <c r="AP376" s="5"/>
      <c r="AS376" s="5"/>
      <c r="AT376" s="5"/>
      <c r="AU376" s="5"/>
      <c r="AV376" s="5"/>
      <c r="AW376" s="5" t="s">
        <v>1565</v>
      </c>
      <c r="AX376" s="5" t="s">
        <v>1560</v>
      </c>
      <c r="BC376" s="7"/>
      <c r="BD376" s="7"/>
      <c r="BE376" s="5"/>
      <c r="BF376" s="5"/>
      <c r="BG376" s="5"/>
      <c r="BH376" s="5"/>
      <c r="BI376" s="5"/>
      <c r="BJ376" s="5" t="s">
        <v>1642</v>
      </c>
      <c r="BK376" s="7"/>
      <c r="BL376" s="5" t="s">
        <v>1653</v>
      </c>
      <c r="BM376" s="5" t="s">
        <v>1654</v>
      </c>
      <c r="BN376" s="5"/>
      <c r="BO376" s="5"/>
    </row>
    <row r="377" spans="1:67">
      <c r="A377" s="4" t="s">
        <v>1323</v>
      </c>
      <c r="B377" s="7"/>
      <c r="C377" s="5"/>
      <c r="D377" s="5" t="s">
        <v>286</v>
      </c>
      <c r="E377" s="5"/>
      <c r="F377" s="5"/>
      <c r="G377" s="5"/>
      <c r="H377" s="5"/>
      <c r="I377" s="5"/>
      <c r="J377" s="5"/>
      <c r="K377" s="5"/>
      <c r="L377" s="5"/>
      <c r="M377" s="5"/>
      <c r="N377" s="5" t="s">
        <v>45</v>
      </c>
      <c r="O377" s="5" t="s">
        <v>1520</v>
      </c>
      <c r="P377" s="5"/>
      <c r="Q377" s="5"/>
      <c r="S377" s="5"/>
      <c r="T377" s="5"/>
      <c r="V377" s="5" t="s">
        <v>108</v>
      </c>
      <c r="W377" s="5"/>
      <c r="X377" s="5" t="s">
        <v>108</v>
      </c>
      <c r="Y377" s="5"/>
      <c r="Z377" s="5"/>
      <c r="AA377" s="5"/>
      <c r="AB377" s="5"/>
      <c r="AC377" s="5"/>
      <c r="AD377" s="5"/>
      <c r="AE377" s="5"/>
      <c r="AF377" s="5"/>
      <c r="AG377" s="5"/>
      <c r="AH377" s="5"/>
      <c r="AI377" s="5"/>
      <c r="AJ377" s="5"/>
      <c r="AK377" s="5"/>
      <c r="AL377" s="5"/>
      <c r="AM377" s="5"/>
      <c r="AN377" s="5"/>
      <c r="AO377" s="5"/>
      <c r="AP377" s="5"/>
      <c r="AS377" s="5"/>
      <c r="AT377" s="5"/>
      <c r="AU377" s="5"/>
      <c r="AV377" s="5"/>
      <c r="AW377" s="5" t="s">
        <v>1564</v>
      </c>
      <c r="AX377" s="5" t="s">
        <v>1560</v>
      </c>
      <c r="BC377" s="7"/>
      <c r="BD377" s="7"/>
      <c r="BE377" s="10">
        <v>14</v>
      </c>
      <c r="BF377" s="5"/>
      <c r="BG377" s="5" t="s">
        <v>286</v>
      </c>
      <c r="BH377" s="5"/>
      <c r="BI377" s="5" t="s">
        <v>286</v>
      </c>
      <c r="BJ377" s="5" t="s">
        <v>1655</v>
      </c>
      <c r="BK377" s="7"/>
      <c r="BL377" s="5" t="s">
        <v>1638</v>
      </c>
      <c r="BM377" s="5" t="s">
        <v>1609</v>
      </c>
      <c r="BN377" s="5">
        <v>84</v>
      </c>
      <c r="BO377" s="5"/>
    </row>
    <row r="378" spans="1:67">
      <c r="A378" s="4" t="s">
        <v>1324</v>
      </c>
      <c r="B378" s="7"/>
      <c r="C378" s="5"/>
      <c r="D378" s="5" t="s">
        <v>286</v>
      </c>
      <c r="E378" s="5" t="s">
        <v>1317</v>
      </c>
      <c r="F378" s="5"/>
      <c r="G378" s="5"/>
      <c r="H378" s="5"/>
      <c r="I378" s="5"/>
      <c r="J378" s="5">
        <f>MAX(BaseSpeed*2,RaceFlySpeed)</f>
        <v>0</v>
      </c>
      <c r="K378" s="5"/>
      <c r="L378" s="5"/>
      <c r="M378" s="5">
        <v>7</v>
      </c>
      <c r="N378" s="5" t="s">
        <v>45</v>
      </c>
      <c r="O378" s="5" t="s">
        <v>1521</v>
      </c>
      <c r="P378" s="5"/>
      <c r="Q378" s="5"/>
      <c r="S378" s="5"/>
      <c r="T378" s="5"/>
      <c r="V378" s="5" t="s">
        <v>1142</v>
      </c>
      <c r="W378" s="5"/>
      <c r="X378" s="5" t="s">
        <v>1142</v>
      </c>
      <c r="Y378" s="5"/>
      <c r="Z378" s="5"/>
      <c r="AA378" s="5"/>
      <c r="AB378" s="5"/>
      <c r="AC378" s="5"/>
      <c r="AD378" s="5">
        <v>2</v>
      </c>
      <c r="AE378" s="5"/>
      <c r="AF378" s="5">
        <v>2</v>
      </c>
      <c r="AG378" s="5"/>
      <c r="AH378" s="5"/>
      <c r="AI378" s="5">
        <v>2</v>
      </c>
      <c r="AJ378" s="5"/>
      <c r="AK378" s="5"/>
      <c r="AL378" s="5"/>
      <c r="AM378" s="5"/>
      <c r="AN378" s="5"/>
      <c r="AO378" s="5"/>
      <c r="AP378" s="5"/>
      <c r="AS378" s="5"/>
      <c r="AT378" s="5"/>
      <c r="AU378" s="5"/>
      <c r="AV378" s="5">
        <v>2</v>
      </c>
      <c r="AW378" s="5" t="s">
        <v>1574</v>
      </c>
      <c r="AX378" s="5" t="s">
        <v>1560</v>
      </c>
      <c r="BC378" s="7"/>
      <c r="BD378" s="7"/>
      <c r="BE378" s="10">
        <v>9</v>
      </c>
      <c r="BF378" s="5"/>
      <c r="BG378" s="5" t="s">
        <v>286</v>
      </c>
      <c r="BH378" s="5"/>
      <c r="BI378" s="5" t="s">
        <v>286</v>
      </c>
      <c r="BJ378" s="5" t="s">
        <v>1656</v>
      </c>
      <c r="BK378" s="7"/>
      <c r="BL378" s="5" t="s">
        <v>1635</v>
      </c>
      <c r="BM378" s="5" t="s">
        <v>1609</v>
      </c>
      <c r="BN378" s="5">
        <v>74</v>
      </c>
      <c r="BO378" s="5"/>
    </row>
    <row r="379" spans="1:67">
      <c r="A379" s="4" t="s">
        <v>1325</v>
      </c>
      <c r="B379" s="7"/>
      <c r="C379" s="5"/>
      <c r="D379" s="5" t="s">
        <v>286</v>
      </c>
      <c r="E379" s="5" t="s">
        <v>136</v>
      </c>
      <c r="F379" s="5"/>
      <c r="G379" s="5"/>
      <c r="H379" s="5"/>
      <c r="I379" s="5"/>
      <c r="J379" s="5"/>
      <c r="K379" s="5"/>
      <c r="L379" s="5"/>
      <c r="M379" s="5"/>
      <c r="N379" s="5" t="s">
        <v>45</v>
      </c>
      <c r="O379" s="5" t="s">
        <v>1507</v>
      </c>
      <c r="P379" s="5"/>
      <c r="Q379" s="5"/>
      <c r="S379" s="5"/>
      <c r="T379" s="5"/>
      <c r="V379" s="5" t="s">
        <v>926</v>
      </c>
      <c r="W379" s="5"/>
      <c r="X379" s="5" t="s">
        <v>926</v>
      </c>
      <c r="Y379" s="5"/>
      <c r="Z379" s="5"/>
      <c r="AA379" s="5"/>
      <c r="AB379" s="5"/>
      <c r="AC379" s="5"/>
      <c r="AD379" s="5"/>
      <c r="AE379" s="5"/>
      <c r="AF379" s="5"/>
      <c r="AG379" s="5"/>
      <c r="AH379" s="5"/>
      <c r="AI379" s="5"/>
      <c r="AJ379" s="5"/>
      <c r="AK379" s="5"/>
      <c r="AL379" s="5"/>
      <c r="AM379" s="5"/>
      <c r="AN379" s="5"/>
      <c r="AO379" s="5"/>
      <c r="AP379" s="5"/>
      <c r="AS379" s="5"/>
      <c r="AT379" s="5"/>
      <c r="AU379" s="5"/>
      <c r="AV379" s="5"/>
      <c r="AW379" s="5" t="s">
        <v>1573</v>
      </c>
      <c r="AX379" s="5" t="s">
        <v>1560</v>
      </c>
      <c r="BC379" s="7"/>
      <c r="BD379" s="7"/>
      <c r="BE379" s="5"/>
      <c r="BF379" s="5"/>
      <c r="BG379" s="5"/>
      <c r="BH379" s="5"/>
      <c r="BI379" s="5"/>
      <c r="BJ379" s="5" t="s">
        <v>1649</v>
      </c>
      <c r="BK379" s="7"/>
      <c r="BL379" s="5" t="s">
        <v>1632</v>
      </c>
      <c r="BM379" s="5" t="s">
        <v>1633</v>
      </c>
      <c r="BN379" s="5">
        <v>180</v>
      </c>
      <c r="BO379" s="5"/>
    </row>
    <row r="380" spans="1:67">
      <c r="A380" s="4" t="s">
        <v>1326</v>
      </c>
      <c r="B380" s="7"/>
      <c r="C380" s="5"/>
      <c r="D380" s="5" t="s">
        <v>286</v>
      </c>
      <c r="E380" s="5"/>
      <c r="F380" s="5"/>
      <c r="G380" s="5"/>
      <c r="H380" s="5"/>
      <c r="I380" s="5"/>
      <c r="J380" s="5"/>
      <c r="K380" s="5"/>
      <c r="L380" s="5"/>
      <c r="M380" s="5"/>
      <c r="N380" s="5" t="s">
        <v>45</v>
      </c>
      <c r="O380" s="5" t="s">
        <v>1522</v>
      </c>
      <c r="P380" s="5"/>
      <c r="Q380" s="5"/>
      <c r="S380" s="5"/>
      <c r="T380" s="5"/>
      <c r="V380" s="5" t="s">
        <v>108</v>
      </c>
      <c r="W380" s="5"/>
      <c r="X380" s="5" t="s">
        <v>1538</v>
      </c>
      <c r="Y380" s="5"/>
      <c r="Z380" s="5"/>
      <c r="AA380" s="5"/>
      <c r="AB380" s="5"/>
      <c r="AC380" s="5"/>
      <c r="AD380" s="5"/>
      <c r="AE380" s="5"/>
      <c r="AF380" s="5"/>
      <c r="AG380" s="5"/>
      <c r="AH380" s="5"/>
      <c r="AI380" s="5"/>
      <c r="AJ380" s="5"/>
      <c r="AK380" s="5"/>
      <c r="AL380" s="5"/>
      <c r="AM380" s="5"/>
      <c r="AN380" s="5"/>
      <c r="AO380" s="5"/>
      <c r="AP380" s="5"/>
      <c r="AS380" s="5"/>
      <c r="AT380" s="5"/>
      <c r="AU380" s="5"/>
      <c r="AV380" s="5"/>
      <c r="AW380" s="5" t="s">
        <v>1569</v>
      </c>
      <c r="AX380" s="5" t="s">
        <v>1560</v>
      </c>
      <c r="BC380" s="7"/>
      <c r="BD380" s="7"/>
      <c r="BE380" s="5"/>
      <c r="BF380" s="5"/>
      <c r="BG380" s="5"/>
      <c r="BH380" s="5"/>
      <c r="BI380" s="5"/>
      <c r="BJ380" s="5" t="s">
        <v>1657</v>
      </c>
      <c r="BK380" s="7"/>
      <c r="BL380" s="5" t="s">
        <v>1645</v>
      </c>
      <c r="BM380" s="5" t="s">
        <v>1646</v>
      </c>
      <c r="BN380" s="5"/>
      <c r="BO380" s="5"/>
    </row>
    <row r="381" spans="1:67">
      <c r="A381" s="4" t="s">
        <v>1327</v>
      </c>
      <c r="B381" s="7"/>
      <c r="C381" s="5"/>
      <c r="D381" s="5" t="s">
        <v>286</v>
      </c>
      <c r="E381" s="5"/>
      <c r="F381" s="5"/>
      <c r="G381" s="5"/>
      <c r="H381" s="5">
        <v>10</v>
      </c>
      <c r="I381" s="5"/>
      <c r="J381" s="5"/>
      <c r="K381" s="5"/>
      <c r="L381" s="5"/>
      <c r="M381" s="5"/>
      <c r="N381" s="5" t="s">
        <v>45</v>
      </c>
      <c r="O381" s="5" t="s">
        <v>45</v>
      </c>
      <c r="P381" s="5"/>
      <c r="Q381" s="5"/>
      <c r="S381" s="5"/>
      <c r="T381" s="5"/>
      <c r="V381" s="5" t="s">
        <v>1542</v>
      </c>
      <c r="W381" s="5"/>
      <c r="X381" s="5"/>
      <c r="Y381" s="5"/>
      <c r="Z381" s="5"/>
      <c r="AA381" s="5"/>
      <c r="AB381" s="5"/>
      <c r="AC381" s="5"/>
      <c r="AD381" s="5"/>
      <c r="AE381" s="5"/>
      <c r="AF381" s="5"/>
      <c r="AG381" s="5"/>
      <c r="AH381" s="5"/>
      <c r="AI381" s="5"/>
      <c r="AJ381" s="5"/>
      <c r="AK381" s="5"/>
      <c r="AL381" s="5"/>
      <c r="AM381" s="5"/>
      <c r="AN381" s="5"/>
      <c r="AO381" s="5"/>
      <c r="AP381" s="5"/>
      <c r="AS381" s="5"/>
      <c r="AT381" s="5"/>
      <c r="AU381" s="5"/>
      <c r="AV381" s="5"/>
      <c r="AW381" s="5" t="s">
        <v>1565</v>
      </c>
      <c r="AX381" s="5" t="s">
        <v>1560</v>
      </c>
      <c r="BC381" s="7"/>
      <c r="BD381" s="7"/>
      <c r="BE381" s="5"/>
      <c r="BF381" s="5"/>
      <c r="BG381" s="5"/>
      <c r="BH381" s="5"/>
      <c r="BI381" s="5"/>
      <c r="BJ381" s="5" t="s">
        <v>1642</v>
      </c>
      <c r="BK381" s="7"/>
      <c r="BL381" s="5" t="s">
        <v>1643</v>
      </c>
      <c r="BM381" s="5" t="s">
        <v>1621</v>
      </c>
      <c r="BN381" s="5">
        <v>156</v>
      </c>
      <c r="BO381" s="5"/>
    </row>
    <row r="382" spans="1:67">
      <c r="A382" s="4" t="s">
        <v>1328</v>
      </c>
      <c r="B382" s="7"/>
      <c r="C382" s="5"/>
      <c r="D382" s="5" t="s">
        <v>286</v>
      </c>
      <c r="E382" s="5"/>
      <c r="F382" s="5"/>
      <c r="G382" s="5"/>
      <c r="H382" s="5"/>
      <c r="I382" s="5"/>
      <c r="J382" s="5"/>
      <c r="K382" s="5"/>
      <c r="L382" s="5"/>
      <c r="M382" s="5"/>
      <c r="N382" s="5" t="s">
        <v>45</v>
      </c>
      <c r="O382" s="5" t="s">
        <v>1523</v>
      </c>
      <c r="P382" s="5"/>
      <c r="Q382" s="5"/>
      <c r="S382" s="5"/>
      <c r="T382" s="5"/>
      <c r="V382" s="5" t="s">
        <v>108</v>
      </c>
      <c r="W382" s="5"/>
      <c r="X382" s="5" t="s">
        <v>108</v>
      </c>
      <c r="Y382" s="5"/>
      <c r="Z382" s="5"/>
      <c r="AA382" s="5"/>
      <c r="AB382" s="5"/>
      <c r="AC382" s="5"/>
      <c r="AD382" s="5"/>
      <c r="AE382" s="5"/>
      <c r="AF382" s="5"/>
      <c r="AG382" s="5"/>
      <c r="AH382" s="5"/>
      <c r="AI382" s="5"/>
      <c r="AJ382" s="5"/>
      <c r="AK382" s="5"/>
      <c r="AL382" s="5"/>
      <c r="AM382" s="5"/>
      <c r="AN382" s="5"/>
      <c r="AO382" s="5"/>
      <c r="AP382" s="5"/>
      <c r="AS382" s="5"/>
      <c r="AT382" s="5"/>
      <c r="AU382" s="5"/>
      <c r="AV382" s="5"/>
      <c r="AW382" s="5" t="s">
        <v>1565</v>
      </c>
      <c r="AX382" s="5" t="s">
        <v>1560</v>
      </c>
      <c r="BC382" s="7"/>
      <c r="BD382" s="7"/>
      <c r="BE382" s="5"/>
      <c r="BF382" s="5"/>
      <c r="BG382" s="5"/>
      <c r="BH382" s="5"/>
      <c r="BI382" s="5"/>
      <c r="BJ382" s="5" t="s">
        <v>1642</v>
      </c>
      <c r="BK382" s="7"/>
      <c r="BL382" s="5" t="s">
        <v>1643</v>
      </c>
      <c r="BM382" s="5" t="s">
        <v>1621</v>
      </c>
      <c r="BN382" s="5">
        <v>157</v>
      </c>
      <c r="BO382" s="5"/>
    </row>
    <row r="383" spans="1:67">
      <c r="A383" s="4" t="s">
        <v>1329</v>
      </c>
      <c r="B383" s="7"/>
      <c r="C383" s="5"/>
      <c r="D383" s="5" t="s">
        <v>286</v>
      </c>
      <c r="E383" s="5"/>
      <c r="F383" s="5"/>
      <c r="G383" s="5"/>
      <c r="H383" s="5"/>
      <c r="I383" s="5"/>
      <c r="J383" s="5"/>
      <c r="K383" s="5"/>
      <c r="L383" s="5"/>
      <c r="M383" s="5"/>
      <c r="N383" s="5" t="s">
        <v>45</v>
      </c>
      <c r="O383" s="5" t="s">
        <v>1517</v>
      </c>
      <c r="P383" s="5"/>
      <c r="Q383" s="5"/>
      <c r="S383" s="5"/>
      <c r="T383" s="5"/>
      <c r="V383" s="5" t="s">
        <v>1142</v>
      </c>
      <c r="W383" s="5"/>
      <c r="X383" s="5" t="s">
        <v>1142</v>
      </c>
      <c r="Y383" s="5"/>
      <c r="Z383" s="5"/>
      <c r="AA383" s="5"/>
      <c r="AB383" s="5"/>
      <c r="AC383" s="5"/>
      <c r="AD383" s="5"/>
      <c r="AE383" s="5"/>
      <c r="AF383" s="5"/>
      <c r="AG383" s="5"/>
      <c r="AH383" s="5"/>
      <c r="AI383" s="5"/>
      <c r="AJ383" s="5"/>
      <c r="AK383" s="5"/>
      <c r="AL383" s="5"/>
      <c r="AM383" s="5"/>
      <c r="AN383" s="5"/>
      <c r="AO383" s="5"/>
      <c r="AP383" s="5"/>
      <c r="AS383" s="5"/>
      <c r="AT383" s="5"/>
      <c r="AU383" s="5"/>
      <c r="AV383" s="5"/>
      <c r="AW383" s="5" t="s">
        <v>1574</v>
      </c>
      <c r="AX383" s="5" t="s">
        <v>1560</v>
      </c>
      <c r="BC383" s="7"/>
      <c r="BD383" s="7"/>
      <c r="BE383" s="5"/>
      <c r="BF383" s="5"/>
      <c r="BG383" s="5"/>
      <c r="BH383" s="5"/>
      <c r="BI383" s="5"/>
      <c r="BJ383" s="5" t="s">
        <v>1658</v>
      </c>
      <c r="BK383" s="7"/>
      <c r="BL383" s="5" t="s">
        <v>1645</v>
      </c>
      <c r="BM383" s="5" t="s">
        <v>1646</v>
      </c>
      <c r="BN383" s="5">
        <v>356</v>
      </c>
      <c r="BO383" s="5"/>
    </row>
    <row r="384" spans="1:67">
      <c r="A384" s="4" t="s">
        <v>1330</v>
      </c>
      <c r="B384" s="7"/>
      <c r="C384" s="5"/>
      <c r="D384" s="5" t="s">
        <v>286</v>
      </c>
      <c r="E384" s="5" t="s">
        <v>1331</v>
      </c>
      <c r="F384" s="5"/>
      <c r="G384" s="5"/>
      <c r="H384" s="5"/>
      <c r="I384" s="5"/>
      <c r="J384" s="5"/>
      <c r="K384" s="5"/>
      <c r="L384" s="5"/>
      <c r="M384" s="5"/>
      <c r="N384" s="5" t="s">
        <v>45</v>
      </c>
      <c r="O384" s="5" t="s">
        <v>1524</v>
      </c>
      <c r="P384" s="5"/>
      <c r="Q384" s="5"/>
      <c r="S384" s="5"/>
      <c r="T384" s="5"/>
      <c r="V384" s="5" t="s">
        <v>1538</v>
      </c>
      <c r="W384" s="5"/>
      <c r="X384" s="5" t="s">
        <v>1538</v>
      </c>
      <c r="Y384" s="5"/>
      <c r="Z384" s="5"/>
      <c r="AA384" s="5"/>
      <c r="AB384" s="5"/>
      <c r="AC384" s="5"/>
      <c r="AD384" s="5"/>
      <c r="AE384" s="5"/>
      <c r="AF384" s="5"/>
      <c r="AG384" s="5"/>
      <c r="AH384" s="5"/>
      <c r="AI384" s="5"/>
      <c r="AJ384" s="5"/>
      <c r="AK384" s="5"/>
      <c r="AL384" s="5"/>
      <c r="AM384" s="5"/>
      <c r="AN384" s="5"/>
      <c r="AO384" s="5"/>
      <c r="AP384" s="5"/>
      <c r="AS384" s="5"/>
      <c r="AT384" s="5"/>
      <c r="AU384" s="5"/>
      <c r="AV384" s="5"/>
      <c r="AW384" s="5" t="s">
        <v>1572</v>
      </c>
      <c r="AX384" s="5" t="s">
        <v>1560</v>
      </c>
      <c r="BC384" s="7"/>
      <c r="BD384" s="7"/>
      <c r="BE384" s="5"/>
      <c r="BF384" s="5"/>
      <c r="BG384" s="5"/>
      <c r="BH384" s="5"/>
      <c r="BI384" s="5"/>
      <c r="BJ384" s="5" t="s">
        <v>1642</v>
      </c>
      <c r="BK384" s="7"/>
      <c r="BL384" s="5" t="s">
        <v>1632</v>
      </c>
      <c r="BM384" s="5" t="s">
        <v>1633</v>
      </c>
      <c r="BN384" s="5">
        <v>181</v>
      </c>
      <c r="BO384" s="5"/>
    </row>
    <row r="385" spans="1:67">
      <c r="A385" s="4" t="s">
        <v>1332</v>
      </c>
      <c r="B385" s="7"/>
      <c r="C385" s="5"/>
      <c r="D385" s="5" t="s">
        <v>286</v>
      </c>
      <c r="E385" s="5"/>
      <c r="F385" s="5"/>
      <c r="G385" s="5"/>
      <c r="H385" s="5"/>
      <c r="I385" s="5"/>
      <c r="J385" s="5"/>
      <c r="K385" s="5"/>
      <c r="L385" s="5"/>
      <c r="M385" s="5"/>
      <c r="N385" s="5" t="s">
        <v>45</v>
      </c>
      <c r="O385" s="5" t="s">
        <v>45</v>
      </c>
      <c r="P385" s="5"/>
      <c r="Q385" s="5"/>
      <c r="S385" s="5"/>
      <c r="T385" s="5"/>
      <c r="V385" s="5" t="s">
        <v>45</v>
      </c>
      <c r="W385" s="5"/>
      <c r="X385" s="5"/>
      <c r="Y385" s="5"/>
      <c r="Z385" s="5"/>
      <c r="AA385" s="5"/>
      <c r="AB385" s="5"/>
      <c r="AC385" s="5"/>
      <c r="AD385" s="5"/>
      <c r="AE385" s="5"/>
      <c r="AF385" s="5"/>
      <c r="AG385" s="5"/>
      <c r="AH385" s="5"/>
      <c r="AI385" s="5"/>
      <c r="AJ385" s="5"/>
      <c r="AK385" s="5"/>
      <c r="AL385" s="5"/>
      <c r="AM385" s="5"/>
      <c r="AN385" s="5"/>
      <c r="AO385" s="5"/>
      <c r="AP385" s="5"/>
      <c r="AS385" s="5"/>
      <c r="AT385" s="5"/>
      <c r="AU385" s="5"/>
      <c r="AV385" s="5"/>
      <c r="AW385" s="5" t="s">
        <v>1565</v>
      </c>
      <c r="AX385" s="5" t="s">
        <v>1560</v>
      </c>
      <c r="BC385" s="7"/>
      <c r="BD385" s="7"/>
      <c r="BE385" s="5"/>
      <c r="BF385" s="5"/>
      <c r="BG385" s="5"/>
      <c r="BH385" s="5"/>
      <c r="BI385" s="5"/>
      <c r="BJ385" s="5" t="s">
        <v>1642</v>
      </c>
      <c r="BK385" s="7"/>
      <c r="BL385" s="5" t="s">
        <v>1643</v>
      </c>
      <c r="BM385" s="5" t="s">
        <v>1621</v>
      </c>
      <c r="BN385" s="5">
        <v>158</v>
      </c>
      <c r="BO385" s="5"/>
    </row>
    <row r="386" spans="1:67">
      <c r="A386" s="4" t="s">
        <v>1333</v>
      </c>
      <c r="B386" s="7"/>
      <c r="C386" s="5"/>
      <c r="D386" s="5" t="s">
        <v>286</v>
      </c>
      <c r="E386" s="5"/>
      <c r="F386" s="5"/>
      <c r="G386" s="5"/>
      <c r="H386" s="5"/>
      <c r="I386" s="5"/>
      <c r="J386" s="5"/>
      <c r="K386" s="5"/>
      <c r="L386" s="5"/>
      <c r="M386" s="5"/>
      <c r="N386" s="5" t="s">
        <v>45</v>
      </c>
      <c r="O386" s="5" t="s">
        <v>45</v>
      </c>
      <c r="P386" s="5"/>
      <c r="Q386" s="5"/>
      <c r="S386" s="5"/>
      <c r="T386" s="5"/>
      <c r="V386" s="5" t="s">
        <v>1543</v>
      </c>
      <c r="W386" s="5"/>
      <c r="X386" s="5" t="s">
        <v>1543</v>
      </c>
      <c r="Y386" s="5"/>
      <c r="Z386" s="5"/>
      <c r="AA386" s="5"/>
      <c r="AB386" s="5"/>
      <c r="AC386" s="5"/>
      <c r="AD386" s="5"/>
      <c r="AE386" s="5"/>
      <c r="AF386" s="5"/>
      <c r="AG386" s="5"/>
      <c r="AH386" s="5"/>
      <c r="AI386" s="5"/>
      <c r="AJ386" s="5"/>
      <c r="AK386" s="5"/>
      <c r="AL386" s="5"/>
      <c r="AM386" s="5"/>
      <c r="AN386" s="5"/>
      <c r="AO386" s="5"/>
      <c r="AP386" s="5"/>
      <c r="AS386" s="5"/>
      <c r="AT386" s="5"/>
      <c r="AU386" s="5"/>
      <c r="AV386" s="5"/>
      <c r="AW386" s="5"/>
      <c r="AX386" s="5" t="s">
        <v>1560</v>
      </c>
      <c r="BC386" s="7"/>
      <c r="BD386" s="7"/>
      <c r="BE386" s="5"/>
      <c r="BF386" s="5"/>
      <c r="BG386" s="5"/>
      <c r="BH386" s="5"/>
      <c r="BI386" s="5"/>
      <c r="BJ386" s="5" t="s">
        <v>1659</v>
      </c>
      <c r="BK386" s="7"/>
      <c r="BL386" s="5" t="s">
        <v>1645</v>
      </c>
      <c r="BM386" s="5" t="s">
        <v>1646</v>
      </c>
      <c r="BN386" s="5">
        <v>356</v>
      </c>
      <c r="BO386" s="5"/>
    </row>
    <row r="387" spans="1:67">
      <c r="A387" s="4" t="s">
        <v>1334</v>
      </c>
      <c r="B387" s="7"/>
      <c r="C387" s="5"/>
      <c r="D387" s="5" t="s">
        <v>286</v>
      </c>
      <c r="E387" s="5"/>
      <c r="F387" s="5"/>
      <c r="G387" s="5"/>
      <c r="H387" s="5"/>
      <c r="I387" s="5"/>
      <c r="J387" s="5"/>
      <c r="K387" s="5"/>
      <c r="L387" s="5"/>
      <c r="M387" s="5"/>
      <c r="N387" s="5" t="s">
        <v>45</v>
      </c>
      <c r="O387" s="5" t="s">
        <v>45</v>
      </c>
      <c r="P387" s="5"/>
      <c r="Q387" s="5"/>
      <c r="S387" s="5"/>
      <c r="T387" s="5"/>
      <c r="V387" s="5" t="s">
        <v>1544</v>
      </c>
      <c r="W387" s="5"/>
      <c r="X387" s="5"/>
      <c r="Y387" s="5"/>
      <c r="Z387" s="5"/>
      <c r="AA387" s="5"/>
      <c r="AB387" s="5"/>
      <c r="AC387" s="5"/>
      <c r="AD387" s="5"/>
      <c r="AE387" s="5"/>
      <c r="AF387" s="5"/>
      <c r="AG387" s="5"/>
      <c r="AH387" s="5"/>
      <c r="AI387" s="5"/>
      <c r="AJ387" s="5"/>
      <c r="AK387" s="5"/>
      <c r="AL387" s="5"/>
      <c r="AM387" s="5"/>
      <c r="AN387" s="5"/>
      <c r="AO387" s="5"/>
      <c r="AP387" s="5"/>
      <c r="AS387" s="5"/>
      <c r="AT387" s="5"/>
      <c r="AU387" s="5"/>
      <c r="AV387" s="5"/>
      <c r="AW387" s="5" t="s">
        <v>1565</v>
      </c>
      <c r="AX387" s="5" t="s">
        <v>1560</v>
      </c>
      <c r="BC387" s="7"/>
      <c r="BD387" s="7"/>
      <c r="BE387" s="5"/>
      <c r="BF387" s="5"/>
      <c r="BG387" s="5"/>
      <c r="BH387" s="5"/>
      <c r="BI387" s="5"/>
      <c r="BJ387" s="5"/>
      <c r="BK387" s="7"/>
      <c r="BL387" s="5" t="s">
        <v>1653</v>
      </c>
      <c r="BM387" s="5" t="s">
        <v>1654</v>
      </c>
      <c r="BN387" s="5"/>
      <c r="BO387" s="5"/>
    </row>
    <row r="388" spans="1:67">
      <c r="A388" s="4" t="s">
        <v>1335</v>
      </c>
      <c r="B388" s="7"/>
      <c r="C388" s="5"/>
      <c r="D388" s="5" t="s">
        <v>286</v>
      </c>
      <c r="E388" s="5" t="s">
        <v>136</v>
      </c>
      <c r="F388" s="5"/>
      <c r="G388" s="5"/>
      <c r="H388" s="5"/>
      <c r="I388" s="5"/>
      <c r="J388" s="5"/>
      <c r="K388" s="5"/>
      <c r="L388" s="5"/>
      <c r="M388" s="5"/>
      <c r="N388" s="5" t="s">
        <v>45</v>
      </c>
      <c r="O388" s="5" t="s">
        <v>1525</v>
      </c>
      <c r="P388" s="5"/>
      <c r="Q388" s="5"/>
      <c r="S388" s="5"/>
      <c r="T388" s="5"/>
      <c r="V388" s="5" t="s">
        <v>1545</v>
      </c>
      <c r="W388" s="5"/>
      <c r="X388" s="5" t="s">
        <v>1546</v>
      </c>
      <c r="Y388" s="5"/>
      <c r="Z388" s="5"/>
      <c r="AA388" s="5"/>
      <c r="AB388" s="5"/>
      <c r="AC388" s="5"/>
      <c r="AD388" s="5"/>
      <c r="AE388" s="5"/>
      <c r="AF388" s="5"/>
      <c r="AG388" s="5"/>
      <c r="AH388" s="5"/>
      <c r="AI388" s="5"/>
      <c r="AJ388" s="5"/>
      <c r="AK388" s="5"/>
      <c r="AL388" s="5"/>
      <c r="AM388" s="5"/>
      <c r="AN388" s="5"/>
      <c r="AO388" s="5"/>
      <c r="AP388" s="5"/>
      <c r="AS388" s="5"/>
      <c r="AT388" s="5"/>
      <c r="AU388" s="5"/>
      <c r="AV388" s="5"/>
      <c r="AW388" s="5" t="s">
        <v>151</v>
      </c>
      <c r="AX388" s="5" t="s">
        <v>1560</v>
      </c>
      <c r="BC388" s="7"/>
      <c r="BD388" s="7"/>
      <c r="BE388" s="5"/>
      <c r="BF388" s="5"/>
      <c r="BG388" s="5"/>
      <c r="BH388" s="5"/>
      <c r="BI388" s="5"/>
      <c r="BJ388" s="5" t="s">
        <v>1660</v>
      </c>
      <c r="BK388" s="7"/>
      <c r="BL388" s="5" t="s">
        <v>1632</v>
      </c>
      <c r="BM388" s="5" t="s">
        <v>1633</v>
      </c>
      <c r="BN388" s="5">
        <v>182</v>
      </c>
      <c r="BO388" s="5"/>
    </row>
    <row r="389" spans="1:67">
      <c r="A389" s="4" t="s">
        <v>1336</v>
      </c>
      <c r="B389" s="7"/>
      <c r="C389" s="5"/>
      <c r="D389" s="5" t="s">
        <v>286</v>
      </c>
      <c r="E389" s="5" t="s">
        <v>136</v>
      </c>
      <c r="F389" s="5"/>
      <c r="G389" s="5"/>
      <c r="H389" s="5"/>
      <c r="I389" s="5"/>
      <c r="J389" s="5"/>
      <c r="K389" s="5"/>
      <c r="L389" s="5"/>
      <c r="M389" s="5"/>
      <c r="N389" s="5" t="s">
        <v>45</v>
      </c>
      <c r="O389" s="5" t="s">
        <v>1506</v>
      </c>
      <c r="P389" s="5"/>
      <c r="Q389" s="5"/>
      <c r="S389" s="5"/>
      <c r="T389" s="5"/>
      <c r="V389" s="5" t="s">
        <v>1547</v>
      </c>
      <c r="W389" s="5"/>
      <c r="X389" s="5"/>
      <c r="Y389" s="5"/>
      <c r="Z389" s="5"/>
      <c r="AA389" s="5"/>
      <c r="AB389" s="5"/>
      <c r="AC389" s="5"/>
      <c r="AD389" s="5"/>
      <c r="AE389" s="5"/>
      <c r="AF389" s="5"/>
      <c r="AG389" s="5"/>
      <c r="AH389" s="5"/>
      <c r="AI389" s="5"/>
      <c r="AJ389" s="5"/>
      <c r="AK389" s="5"/>
      <c r="AL389" s="5"/>
      <c r="AM389" s="5"/>
      <c r="AN389" s="5"/>
      <c r="AO389" s="5"/>
      <c r="AP389" s="5"/>
      <c r="AS389" s="5"/>
      <c r="AT389" s="5"/>
      <c r="AU389" s="5"/>
      <c r="AV389" s="5"/>
      <c r="AW389" s="5" t="s">
        <v>1564</v>
      </c>
      <c r="AX389" s="5" t="s">
        <v>1560</v>
      </c>
      <c r="BC389" s="7"/>
      <c r="BD389" s="7"/>
      <c r="BE389" s="5"/>
      <c r="BF389" s="5"/>
      <c r="BG389" s="5"/>
      <c r="BH389" s="5"/>
      <c r="BI389" s="5"/>
      <c r="BJ389" s="5" t="s">
        <v>1661</v>
      </c>
      <c r="BK389" s="7"/>
      <c r="BL389" s="5" t="s">
        <v>1632</v>
      </c>
      <c r="BM389" s="5" t="s">
        <v>1633</v>
      </c>
      <c r="BN389" s="5">
        <v>185</v>
      </c>
      <c r="BO389" s="5"/>
    </row>
    <row r="390" spans="1:67">
      <c r="A390" s="4" t="s">
        <v>1337</v>
      </c>
      <c r="B390" s="7"/>
      <c r="C390" s="5"/>
      <c r="D390" s="5" t="s">
        <v>286</v>
      </c>
      <c r="E390" s="5" t="s">
        <v>273</v>
      </c>
      <c r="F390" s="5"/>
      <c r="G390" s="5"/>
      <c r="H390" s="5"/>
      <c r="I390" s="5"/>
      <c r="J390" s="5">
        <f>MAX(BaseSpeed*2,RaceFlySpeed)</f>
        <v>0</v>
      </c>
      <c r="K390" s="5"/>
      <c r="L390" s="5"/>
      <c r="M390" s="5">
        <v>7</v>
      </c>
      <c r="N390" s="5" t="s">
        <v>45</v>
      </c>
      <c r="O390" s="5" t="s">
        <v>1520</v>
      </c>
      <c r="P390" s="5"/>
      <c r="Q390" s="5"/>
      <c r="S390" s="5"/>
      <c r="T390" s="5"/>
      <c r="V390" s="5" t="s">
        <v>108</v>
      </c>
      <c r="W390" s="5"/>
      <c r="X390" s="5" t="s">
        <v>108</v>
      </c>
      <c r="Y390" s="5"/>
      <c r="Z390" s="5"/>
      <c r="AA390" s="5"/>
      <c r="AB390" s="5"/>
      <c r="AC390" s="5"/>
      <c r="AD390" s="5">
        <v>8</v>
      </c>
      <c r="AE390" s="5">
        <v>2</v>
      </c>
      <c r="AF390" s="5">
        <v>6</v>
      </c>
      <c r="AG390" s="5">
        <v>2</v>
      </c>
      <c r="AH390" s="5">
        <v>2</v>
      </c>
      <c r="AI390" s="5">
        <v>4</v>
      </c>
      <c r="AJ390" s="5"/>
      <c r="AK390" s="5"/>
      <c r="AL390" s="5"/>
      <c r="AM390" s="5"/>
      <c r="AN390" s="5"/>
      <c r="AO390" s="5"/>
      <c r="AP390" s="5"/>
      <c r="AS390" s="5"/>
      <c r="AT390" s="5"/>
      <c r="AU390" s="5"/>
      <c r="AV390" s="5">
        <v>3</v>
      </c>
      <c r="AW390" s="5" t="s">
        <v>1573</v>
      </c>
      <c r="AX390" s="5" t="s">
        <v>1560</v>
      </c>
      <c r="BC390" s="7"/>
      <c r="BD390" s="7"/>
      <c r="BE390" s="10">
        <v>12</v>
      </c>
      <c r="BF390" s="5"/>
      <c r="BG390" s="5" t="s">
        <v>286</v>
      </c>
      <c r="BH390" s="5"/>
      <c r="BI390" s="5" t="s">
        <v>286</v>
      </c>
      <c r="BJ390" s="5" t="s">
        <v>1662</v>
      </c>
      <c r="BK390" s="7"/>
      <c r="BL390" s="5" t="s">
        <v>1635</v>
      </c>
      <c r="BM390" s="5" t="s">
        <v>1609</v>
      </c>
      <c r="BN390" s="5">
        <v>75</v>
      </c>
      <c r="BO390" s="5"/>
    </row>
    <row r="391" spans="1:67">
      <c r="A391" s="4" t="s">
        <v>1338</v>
      </c>
      <c r="B391" s="7"/>
      <c r="C391" s="5"/>
      <c r="D391" s="5" t="s">
        <v>286</v>
      </c>
      <c r="E391" s="5" t="s">
        <v>136</v>
      </c>
      <c r="F391" s="5"/>
      <c r="G391" s="5"/>
      <c r="H391" s="5"/>
      <c r="I391" s="5"/>
      <c r="J391" s="5"/>
      <c r="K391" s="5"/>
      <c r="L391" s="5"/>
      <c r="M391" s="5"/>
      <c r="N391" s="5" t="s">
        <v>45</v>
      </c>
      <c r="O391" s="5" t="s">
        <v>1512</v>
      </c>
      <c r="P391" s="5"/>
      <c r="Q391" s="5"/>
      <c r="S391" s="5"/>
      <c r="T391" s="5"/>
      <c r="V391" s="5" t="s">
        <v>1142</v>
      </c>
      <c r="W391" s="5"/>
      <c r="X391" s="5" t="s">
        <v>1142</v>
      </c>
      <c r="Y391" s="5"/>
      <c r="Z391" s="5"/>
      <c r="AA391" s="5"/>
      <c r="AB391" s="5"/>
      <c r="AC391" s="5"/>
      <c r="AD391" s="5"/>
      <c r="AE391" s="5"/>
      <c r="AF391" s="5"/>
      <c r="AG391" s="5"/>
      <c r="AH391" s="5"/>
      <c r="AI391" s="5"/>
      <c r="AJ391" s="5"/>
      <c r="AK391" s="5"/>
      <c r="AL391" s="5"/>
      <c r="AM391" s="5"/>
      <c r="AN391" s="5"/>
      <c r="AO391" s="5"/>
      <c r="AP391" s="5"/>
      <c r="AS391" s="5"/>
      <c r="AT391" s="5"/>
      <c r="AU391" s="5"/>
      <c r="AV391" s="5"/>
      <c r="AW391" s="5" t="s">
        <v>151</v>
      </c>
      <c r="AX391" s="5" t="s">
        <v>1560</v>
      </c>
      <c r="BC391" s="7"/>
      <c r="BD391" s="7"/>
      <c r="BE391" s="5"/>
      <c r="BF391" s="5"/>
      <c r="BG391" s="5"/>
      <c r="BH391" s="5"/>
      <c r="BI391" s="5"/>
      <c r="BJ391" s="5" t="s">
        <v>1663</v>
      </c>
      <c r="BK391" s="7"/>
      <c r="BL391" s="5" t="s">
        <v>1632</v>
      </c>
      <c r="BM391" s="5" t="s">
        <v>1633</v>
      </c>
      <c r="BN391" s="5">
        <v>186</v>
      </c>
      <c r="BO391" s="5"/>
    </row>
    <row r="392" spans="1:67">
      <c r="A392" s="4" t="s">
        <v>1339</v>
      </c>
      <c r="B392" s="7"/>
      <c r="C392" s="5"/>
      <c r="D392" s="5" t="s">
        <v>286</v>
      </c>
      <c r="E392" s="5"/>
      <c r="F392" s="5"/>
      <c r="G392" s="5"/>
      <c r="H392" s="5"/>
      <c r="I392" s="5"/>
      <c r="J392" s="5"/>
      <c r="K392" s="5"/>
      <c r="L392" s="5"/>
      <c r="M392" s="5"/>
      <c r="N392" s="5" t="s">
        <v>45</v>
      </c>
      <c r="O392" s="5" t="s">
        <v>1526</v>
      </c>
      <c r="P392" s="5"/>
      <c r="Q392" s="5"/>
      <c r="S392" s="5"/>
      <c r="T392" s="5"/>
      <c r="V392" s="5" t="s">
        <v>108</v>
      </c>
      <c r="W392" s="5"/>
      <c r="X392" s="5" t="s">
        <v>108</v>
      </c>
      <c r="Y392" s="5"/>
      <c r="Z392" s="5"/>
      <c r="AA392" s="5"/>
      <c r="AB392" s="5"/>
      <c r="AC392" s="5"/>
      <c r="AD392" s="5"/>
      <c r="AE392" s="5"/>
      <c r="AF392" s="5"/>
      <c r="AG392" s="5"/>
      <c r="AH392" s="5"/>
      <c r="AI392" s="5"/>
      <c r="AJ392" s="5"/>
      <c r="AK392" s="5"/>
      <c r="AL392" s="5"/>
      <c r="AM392" s="5"/>
      <c r="AN392" s="5"/>
      <c r="AO392" s="5"/>
      <c r="AP392" s="5"/>
      <c r="AS392" s="5"/>
      <c r="AT392" s="5"/>
      <c r="AU392" s="5"/>
      <c r="AV392" s="5"/>
      <c r="AW392" s="5" t="s">
        <v>1577</v>
      </c>
      <c r="AX392" s="5" t="s">
        <v>1560</v>
      </c>
      <c r="BC392" s="7"/>
      <c r="BD392" s="7"/>
      <c r="BE392" s="5"/>
      <c r="BF392" s="5"/>
      <c r="BG392" s="5"/>
      <c r="BH392" s="5"/>
      <c r="BI392" s="5"/>
      <c r="BJ392" s="5"/>
      <c r="BK392" s="7"/>
      <c r="BL392" s="5" t="s">
        <v>1664</v>
      </c>
      <c r="BM392" s="5" t="s">
        <v>1665</v>
      </c>
      <c r="BN392" s="5">
        <v>152</v>
      </c>
      <c r="BO392" s="5"/>
    </row>
    <row r="393" spans="1:67">
      <c r="A393" s="4" t="s">
        <v>1340</v>
      </c>
      <c r="B393" s="7"/>
      <c r="C393" s="5"/>
      <c r="D393" s="5" t="s">
        <v>286</v>
      </c>
      <c r="E393" s="5" t="s">
        <v>526</v>
      </c>
      <c r="F393" s="5"/>
      <c r="G393" s="5"/>
      <c r="H393" s="5"/>
      <c r="I393" s="5"/>
      <c r="J393" s="5"/>
      <c r="K393" s="5"/>
      <c r="L393" s="5"/>
      <c r="M393" s="5"/>
      <c r="N393" s="5" t="s">
        <v>45</v>
      </c>
      <c r="O393" s="5" t="s">
        <v>1507</v>
      </c>
      <c r="P393" s="5"/>
      <c r="Q393" s="5"/>
      <c r="S393" s="5"/>
      <c r="T393" s="5"/>
      <c r="V393" s="5" t="s">
        <v>1538</v>
      </c>
      <c r="W393" s="5"/>
      <c r="X393" s="5" t="s">
        <v>926</v>
      </c>
      <c r="Y393" s="5"/>
      <c r="Z393" s="5"/>
      <c r="AA393" s="5"/>
      <c r="AB393" s="5"/>
      <c r="AC393" s="5"/>
      <c r="AD393" s="5"/>
      <c r="AE393" s="5"/>
      <c r="AF393" s="5"/>
      <c r="AG393" s="5"/>
      <c r="AH393" s="5"/>
      <c r="AI393" s="5"/>
      <c r="AJ393" s="5"/>
      <c r="AK393" s="5"/>
      <c r="AL393" s="5"/>
      <c r="AM393" s="5"/>
      <c r="AN393" s="5"/>
      <c r="AO393" s="5"/>
      <c r="AP393" s="5"/>
      <c r="AS393" s="5"/>
      <c r="AT393" s="5"/>
      <c r="AU393" s="5"/>
      <c r="AV393" s="5"/>
      <c r="AW393" s="5" t="s">
        <v>1569</v>
      </c>
      <c r="AX393" s="5" t="s">
        <v>1560</v>
      </c>
      <c r="BC393" s="7"/>
      <c r="BD393" s="7"/>
      <c r="BE393" s="5"/>
      <c r="BF393" s="5"/>
      <c r="BG393" s="5"/>
      <c r="BH393" s="5"/>
      <c r="BI393" s="5"/>
      <c r="BJ393" s="5" t="s">
        <v>1666</v>
      </c>
      <c r="BK393" s="7"/>
      <c r="BL393" s="5" t="s">
        <v>1630</v>
      </c>
      <c r="BM393" s="5" t="s">
        <v>1614</v>
      </c>
      <c r="BN393" s="5">
        <v>84</v>
      </c>
      <c r="BO393" s="5"/>
    </row>
    <row r="394" spans="1:67">
      <c r="A394" s="4" t="s">
        <v>1341</v>
      </c>
      <c r="B394" s="7"/>
      <c r="C394" s="5"/>
      <c r="D394" s="5" t="s">
        <v>286</v>
      </c>
      <c r="E394" s="5" t="s">
        <v>1342</v>
      </c>
      <c r="F394" s="5"/>
      <c r="G394" s="5"/>
      <c r="H394" s="5"/>
      <c r="I394" s="5"/>
      <c r="J394" s="5"/>
      <c r="K394" s="5"/>
      <c r="L394" s="5">
        <f>BaseSpeed+20</f>
        <v>20</v>
      </c>
      <c r="M394" s="5">
        <v>10</v>
      </c>
      <c r="N394" s="5" t="s">
        <v>45</v>
      </c>
      <c r="O394" s="5" t="s">
        <v>1527</v>
      </c>
      <c r="P394" s="5"/>
      <c r="Q394" s="5"/>
      <c r="S394" s="5"/>
      <c r="T394" s="5"/>
      <c r="V394" s="5" t="s">
        <v>108</v>
      </c>
      <c r="W394" s="5"/>
      <c r="X394" s="5" t="s">
        <v>108</v>
      </c>
      <c r="Y394" s="5"/>
      <c r="Z394" s="5"/>
      <c r="AA394" s="5"/>
      <c r="AB394" s="5"/>
      <c r="AC394" s="5"/>
      <c r="AD394" s="5">
        <v>6</v>
      </c>
      <c r="AE394" s="5"/>
      <c r="AF394" s="5">
        <v>4</v>
      </c>
      <c r="AG394" s="5"/>
      <c r="AH394" s="5">
        <v>2</v>
      </c>
      <c r="AI394" s="5">
        <v>4</v>
      </c>
      <c r="AJ394" s="5"/>
      <c r="AK394" s="5"/>
      <c r="AL394" s="5"/>
      <c r="AM394" s="5"/>
      <c r="AN394" s="5"/>
      <c r="AO394" s="5"/>
      <c r="AP394" s="5"/>
      <c r="AS394" s="5"/>
      <c r="AT394" s="5"/>
      <c r="AU394" s="5"/>
      <c r="AV394" s="5">
        <v>2</v>
      </c>
      <c r="AW394" s="5" t="s">
        <v>1571</v>
      </c>
      <c r="AX394" s="5" t="s">
        <v>1560</v>
      </c>
      <c r="BC394" s="7"/>
      <c r="BD394" s="7"/>
      <c r="BE394" s="5"/>
      <c r="BF394" s="5"/>
      <c r="BG394" s="5"/>
      <c r="BH394" s="5"/>
      <c r="BI394" s="5"/>
      <c r="BJ394" s="5" t="s">
        <v>1667</v>
      </c>
      <c r="BK394" s="7"/>
      <c r="BL394" s="5" t="s">
        <v>1668</v>
      </c>
      <c r="BM394" s="5" t="s">
        <v>1669</v>
      </c>
      <c r="BN394" s="5"/>
      <c r="BO394" s="5"/>
    </row>
    <row r="395" spans="1:67">
      <c r="A395" s="4" t="s">
        <v>1343</v>
      </c>
      <c r="B395" s="7"/>
      <c r="C395" s="5"/>
      <c r="D395" s="5" t="s">
        <v>286</v>
      </c>
      <c r="E395" s="5" t="s">
        <v>1344</v>
      </c>
      <c r="F395" s="5"/>
      <c r="G395" s="5"/>
      <c r="H395" s="5"/>
      <c r="I395" s="5"/>
      <c r="J395" s="5"/>
      <c r="K395" s="5"/>
      <c r="L395" s="5"/>
      <c r="M395" s="5"/>
      <c r="N395" s="5" t="s">
        <v>45</v>
      </c>
      <c r="O395" s="5" t="s">
        <v>1528</v>
      </c>
      <c r="P395" s="5"/>
      <c r="Q395" s="5"/>
      <c r="S395" s="5"/>
      <c r="T395" s="5"/>
      <c r="V395" s="5" t="s">
        <v>1548</v>
      </c>
      <c r="W395" s="5"/>
      <c r="X395" s="5"/>
      <c r="Y395" s="5"/>
      <c r="Z395" s="5"/>
      <c r="AA395" s="5"/>
      <c r="AB395" s="5"/>
      <c r="AC395" s="5"/>
      <c r="AD395" s="5"/>
      <c r="AE395" s="5"/>
      <c r="AF395" s="5"/>
      <c r="AG395" s="5"/>
      <c r="AH395" s="5"/>
      <c r="AI395" s="5"/>
      <c r="AJ395" s="5"/>
      <c r="AK395" s="5"/>
      <c r="AL395" s="5"/>
      <c r="AM395" s="5"/>
      <c r="AN395" s="5"/>
      <c r="AO395" s="5"/>
      <c r="AP395" s="5"/>
      <c r="AS395" s="5"/>
      <c r="AT395" s="5"/>
      <c r="AU395" s="5"/>
      <c r="AV395" s="5"/>
      <c r="AW395" s="5" t="s">
        <v>1573</v>
      </c>
      <c r="AX395" s="5" t="s">
        <v>1560</v>
      </c>
      <c r="BC395" s="7"/>
      <c r="BD395" s="7"/>
      <c r="BE395" s="5"/>
      <c r="BF395" s="5"/>
      <c r="BG395" s="5"/>
      <c r="BH395" s="5"/>
      <c r="BI395" s="5"/>
      <c r="BJ395" s="5" t="s">
        <v>1648</v>
      </c>
      <c r="BK395" s="7"/>
      <c r="BL395" s="5" t="s">
        <v>1640</v>
      </c>
      <c r="BM395" s="5" t="s">
        <v>1641</v>
      </c>
      <c r="BN395" s="5">
        <v>191</v>
      </c>
      <c r="BO395" s="5" t="s">
        <v>1633</v>
      </c>
    </row>
    <row r="396" spans="1:67">
      <c r="A396" s="4" t="s">
        <v>1345</v>
      </c>
      <c r="B396" s="7"/>
      <c r="C396" s="5"/>
      <c r="D396" s="5" t="s">
        <v>286</v>
      </c>
      <c r="E396" s="5"/>
      <c r="F396" s="5"/>
      <c r="G396" s="5"/>
      <c r="H396" s="5"/>
      <c r="I396" s="5"/>
      <c r="J396" s="5"/>
      <c r="K396" s="5"/>
      <c r="L396" s="5"/>
      <c r="M396" s="5"/>
      <c r="N396" s="5" t="s">
        <v>45</v>
      </c>
      <c r="O396" s="5" t="s">
        <v>45</v>
      </c>
      <c r="P396" s="5"/>
      <c r="Q396" s="5"/>
      <c r="S396" s="5"/>
      <c r="T396" s="5"/>
      <c r="V396" s="5" t="s">
        <v>109</v>
      </c>
      <c r="W396" s="5"/>
      <c r="X396" s="5" t="s">
        <v>1538</v>
      </c>
      <c r="Y396" s="5"/>
      <c r="Z396" s="5"/>
      <c r="AA396" s="5"/>
      <c r="AB396" s="5"/>
      <c r="AC396" s="5"/>
      <c r="AD396" s="5"/>
      <c r="AE396" s="5"/>
      <c r="AF396" s="5"/>
      <c r="AG396" s="5"/>
      <c r="AH396" s="5"/>
      <c r="AI396" s="5"/>
      <c r="AJ396" s="5"/>
      <c r="AK396" s="5"/>
      <c r="AL396" s="5"/>
      <c r="AM396" s="5"/>
      <c r="AN396" s="5"/>
      <c r="AO396" s="5"/>
      <c r="AP396" s="5"/>
      <c r="AS396" s="5"/>
      <c r="AT396" s="5"/>
      <c r="AU396" s="5"/>
      <c r="AV396" s="5"/>
      <c r="AW396" s="5" t="s">
        <v>1564</v>
      </c>
      <c r="AX396" s="5" t="s">
        <v>1560</v>
      </c>
      <c r="BC396" s="7"/>
      <c r="BD396" s="7"/>
      <c r="BE396" s="5"/>
      <c r="BF396" s="5"/>
      <c r="BG396" s="5"/>
      <c r="BH396" s="5"/>
      <c r="BI396" s="5"/>
      <c r="BJ396" s="5"/>
      <c r="BK396" s="7"/>
      <c r="BL396" s="5" t="s">
        <v>1643</v>
      </c>
      <c r="BM396" s="5" t="s">
        <v>1621</v>
      </c>
      <c r="BN396" s="5">
        <v>159</v>
      </c>
      <c r="BO396" s="5"/>
    </row>
    <row r="397" spans="1:67">
      <c r="A397" s="4" t="s">
        <v>1346</v>
      </c>
      <c r="B397" s="7"/>
      <c r="C397" s="5"/>
      <c r="D397" s="5" t="s">
        <v>286</v>
      </c>
      <c r="E397" s="5"/>
      <c r="F397" s="5"/>
      <c r="G397" s="5"/>
      <c r="H397" s="5"/>
      <c r="I397" s="5"/>
      <c r="J397" s="5"/>
      <c r="K397" s="5"/>
      <c r="L397" s="5"/>
      <c r="M397" s="5"/>
      <c r="N397" s="5" t="s">
        <v>45</v>
      </c>
      <c r="O397" s="5" t="s">
        <v>1529</v>
      </c>
      <c r="P397" s="5"/>
      <c r="Q397" s="5"/>
      <c r="S397" s="5"/>
      <c r="T397" s="5"/>
      <c r="V397" s="5" t="s">
        <v>109</v>
      </c>
      <c r="W397" s="5"/>
      <c r="X397" s="5" t="s">
        <v>109</v>
      </c>
      <c r="Y397" s="5"/>
      <c r="Z397" s="5"/>
      <c r="AA397" s="5"/>
      <c r="AB397" s="5"/>
      <c r="AC397" s="5"/>
      <c r="AD397" s="5"/>
      <c r="AE397" s="5"/>
      <c r="AF397" s="5"/>
      <c r="AG397" s="5"/>
      <c r="AH397" s="5"/>
      <c r="AI397" s="5"/>
      <c r="AJ397" s="5"/>
      <c r="AK397" s="5"/>
      <c r="AL397" s="5"/>
      <c r="AM397" s="5"/>
      <c r="AN397" s="5"/>
      <c r="AO397" s="5"/>
      <c r="AP397" s="5"/>
      <c r="AS397" s="5"/>
      <c r="AT397" s="5"/>
      <c r="AU397" s="5"/>
      <c r="AV397" s="5"/>
      <c r="AW397" s="5" t="s">
        <v>1564</v>
      </c>
      <c r="AX397" s="5" t="s">
        <v>1560</v>
      </c>
      <c r="BC397" s="7"/>
      <c r="BD397" s="7"/>
      <c r="BE397" s="10">
        <v>12</v>
      </c>
      <c r="BF397" s="5"/>
      <c r="BG397" s="5" t="s">
        <v>286</v>
      </c>
      <c r="BH397" s="5"/>
      <c r="BI397" s="5" t="s">
        <v>286</v>
      </c>
      <c r="BJ397" s="5" t="s">
        <v>1670</v>
      </c>
      <c r="BK397" s="7"/>
      <c r="BL397" s="5" t="s">
        <v>1638</v>
      </c>
      <c r="BM397" s="5" t="s">
        <v>1609</v>
      </c>
      <c r="BN397" s="5">
        <v>86</v>
      </c>
      <c r="BO397" s="5"/>
    </row>
    <row r="398" spans="1:67">
      <c r="A398" s="4" t="s">
        <v>1347</v>
      </c>
      <c r="B398" s="7"/>
      <c r="C398" s="5"/>
      <c r="D398" s="5" t="s">
        <v>286</v>
      </c>
      <c r="E398" s="5" t="s">
        <v>1348</v>
      </c>
      <c r="F398" s="5"/>
      <c r="G398" s="5"/>
      <c r="H398" s="5"/>
      <c r="I398" s="5"/>
      <c r="J398" s="5"/>
      <c r="K398" s="5"/>
      <c r="L398" s="5"/>
      <c r="M398" s="5"/>
      <c r="N398" s="5" t="s">
        <v>45</v>
      </c>
      <c r="O398" s="5" t="s">
        <v>1530</v>
      </c>
      <c r="P398" s="5"/>
      <c r="Q398" s="5"/>
      <c r="S398" s="5"/>
      <c r="T398" s="5"/>
      <c r="V398" s="5" t="s">
        <v>1538</v>
      </c>
      <c r="W398" s="5"/>
      <c r="X398" s="5" t="s">
        <v>1538</v>
      </c>
      <c r="Y398" s="5"/>
      <c r="Z398" s="5"/>
      <c r="AA398" s="5"/>
      <c r="AB398" s="5"/>
      <c r="AC398" s="5"/>
      <c r="AD398" s="5"/>
      <c r="AE398" s="5"/>
      <c r="AF398" s="5"/>
      <c r="AG398" s="5"/>
      <c r="AH398" s="5"/>
      <c r="AI398" s="5"/>
      <c r="AJ398" s="5"/>
      <c r="AK398" s="5"/>
      <c r="AL398" s="5"/>
      <c r="AM398" s="5"/>
      <c r="AN398" s="5"/>
      <c r="AO398" s="5"/>
      <c r="AP398" s="5"/>
      <c r="AS398" s="5"/>
      <c r="AT398" s="5"/>
      <c r="AU398" s="5"/>
      <c r="AV398" s="5"/>
      <c r="AW398" s="5" t="s">
        <v>1577</v>
      </c>
      <c r="AX398" s="5" t="s">
        <v>1560</v>
      </c>
      <c r="BC398" s="7"/>
      <c r="BD398" s="7"/>
      <c r="BE398" s="5"/>
      <c r="BF398" s="5"/>
      <c r="BG398" s="5"/>
      <c r="BH398" s="5"/>
      <c r="BI398" s="5"/>
      <c r="BJ398" s="5" t="s">
        <v>1671</v>
      </c>
      <c r="BK398" s="7"/>
      <c r="BL398" s="5" t="s">
        <v>1640</v>
      </c>
      <c r="BM398" s="5" t="s">
        <v>1641</v>
      </c>
      <c r="BN398" s="5">
        <v>44</v>
      </c>
      <c r="BO398" s="5"/>
    </row>
    <row r="399" spans="1:67">
      <c r="A399" s="4" t="s">
        <v>1349</v>
      </c>
      <c r="B399" s="7"/>
      <c r="C399" s="5"/>
      <c r="D399" s="5" t="s">
        <v>286</v>
      </c>
      <c r="E399" s="5" t="s">
        <v>1331</v>
      </c>
      <c r="F399" s="5"/>
      <c r="G399" s="5"/>
      <c r="H399" s="5"/>
      <c r="I399" s="5"/>
      <c r="J399" s="5"/>
      <c r="K399" s="5"/>
      <c r="L399" s="5"/>
      <c r="M399" s="5"/>
      <c r="N399" s="5" t="s">
        <v>45</v>
      </c>
      <c r="O399" s="5" t="s">
        <v>1512</v>
      </c>
      <c r="P399" s="5"/>
      <c r="Q399" s="5"/>
      <c r="S399" s="5"/>
      <c r="T399" s="5"/>
      <c r="V399" s="5" t="s">
        <v>1549</v>
      </c>
      <c r="W399" s="5"/>
      <c r="X399" s="5" t="s">
        <v>1142</v>
      </c>
      <c r="Y399" s="5"/>
      <c r="Z399" s="5"/>
      <c r="AA399" s="5"/>
      <c r="AB399" s="5"/>
      <c r="AC399" s="5"/>
      <c r="AD399" s="5"/>
      <c r="AE399" s="5"/>
      <c r="AF399" s="5"/>
      <c r="AG399" s="5"/>
      <c r="AH399" s="5"/>
      <c r="AI399" s="5"/>
      <c r="AJ399" s="5"/>
      <c r="AK399" s="5"/>
      <c r="AL399" s="5"/>
      <c r="AM399" s="5"/>
      <c r="AN399" s="5"/>
      <c r="AO399" s="5"/>
      <c r="AP399" s="5"/>
      <c r="AS399" s="5"/>
      <c r="AT399" s="5"/>
      <c r="AU399" s="5"/>
      <c r="AV399" s="5"/>
      <c r="AW399" s="5" t="s">
        <v>1571</v>
      </c>
      <c r="AX399" s="5" t="s">
        <v>1560</v>
      </c>
      <c r="BC399" s="7"/>
      <c r="BD399" s="7"/>
      <c r="BE399" s="5"/>
      <c r="BF399" s="5"/>
      <c r="BG399" s="5"/>
      <c r="BH399" s="5"/>
      <c r="BI399" s="5"/>
      <c r="BJ399" s="5" t="s">
        <v>1631</v>
      </c>
      <c r="BK399" s="7"/>
      <c r="BL399" s="5" t="s">
        <v>1632</v>
      </c>
      <c r="BM399" s="5" t="s">
        <v>1633</v>
      </c>
      <c r="BN399" s="5">
        <v>187</v>
      </c>
      <c r="BO399" s="5"/>
    </row>
    <row r="400" spans="1:67">
      <c r="A400" s="4" t="s">
        <v>1350</v>
      </c>
      <c r="B400" s="7"/>
      <c r="C400" s="5"/>
      <c r="D400" s="5" t="s">
        <v>286</v>
      </c>
      <c r="E400" s="5" t="s">
        <v>136</v>
      </c>
      <c r="F400" s="5"/>
      <c r="G400" s="5"/>
      <c r="H400" s="5"/>
      <c r="I400" s="5"/>
      <c r="J400" s="5"/>
      <c r="K400" s="5"/>
      <c r="L400" s="5"/>
      <c r="M400" s="5"/>
      <c r="N400" s="5" t="s">
        <v>45</v>
      </c>
      <c r="O400" s="5" t="s">
        <v>1506</v>
      </c>
      <c r="P400" s="5"/>
      <c r="Q400" s="5"/>
      <c r="S400" s="5"/>
      <c r="T400" s="5"/>
      <c r="V400" s="5" t="s">
        <v>1540</v>
      </c>
      <c r="W400" s="5"/>
      <c r="X400" s="5"/>
      <c r="Y400" s="5"/>
      <c r="Z400" s="5"/>
      <c r="AA400" s="5"/>
      <c r="AB400" s="5"/>
      <c r="AC400" s="5"/>
      <c r="AD400" s="5"/>
      <c r="AE400" s="5"/>
      <c r="AF400" s="5"/>
      <c r="AG400" s="5"/>
      <c r="AH400" s="5"/>
      <c r="AI400" s="5"/>
      <c r="AJ400" s="5"/>
      <c r="AK400" s="5"/>
      <c r="AL400" s="5"/>
      <c r="AM400" s="5"/>
      <c r="AN400" s="5"/>
      <c r="AO400" s="5"/>
      <c r="AP400" s="5"/>
      <c r="AS400" s="5"/>
      <c r="AT400" s="5"/>
      <c r="AU400" s="5"/>
      <c r="AV400" s="5"/>
      <c r="AW400" s="5" t="s">
        <v>1573</v>
      </c>
      <c r="AX400" s="5" t="s">
        <v>1560</v>
      </c>
      <c r="BC400" s="7"/>
      <c r="BD400" s="7"/>
      <c r="BE400" s="5"/>
      <c r="BF400" s="5"/>
      <c r="BG400" s="5"/>
      <c r="BH400" s="5"/>
      <c r="BI400" s="5"/>
      <c r="BJ400" s="5" t="s">
        <v>1672</v>
      </c>
      <c r="BK400" s="7"/>
      <c r="BL400" s="5" t="s">
        <v>1632</v>
      </c>
      <c r="BM400" s="5" t="s">
        <v>1633</v>
      </c>
      <c r="BN400" s="5">
        <v>189</v>
      </c>
      <c r="BO400" s="5"/>
    </row>
    <row r="401" spans="1:67">
      <c r="A401" s="4" t="s">
        <v>1351</v>
      </c>
      <c r="B401" s="7"/>
      <c r="C401" s="5"/>
      <c r="D401" s="5" t="s">
        <v>286</v>
      </c>
      <c r="E401" s="5"/>
      <c r="F401" s="5"/>
      <c r="G401" s="5"/>
      <c r="H401" s="5"/>
      <c r="I401" s="5"/>
      <c r="J401" s="5"/>
      <c r="K401" s="5"/>
      <c r="L401" s="5"/>
      <c r="M401" s="5"/>
      <c r="N401" s="5" t="s">
        <v>45</v>
      </c>
      <c r="O401" s="5" t="s">
        <v>1531</v>
      </c>
      <c r="P401" s="5"/>
      <c r="Q401" s="5"/>
      <c r="S401" s="5"/>
      <c r="T401" s="5"/>
      <c r="V401" s="5" t="s">
        <v>108</v>
      </c>
      <c r="W401" s="5"/>
      <c r="X401" s="5" t="s">
        <v>108</v>
      </c>
      <c r="Y401" s="5"/>
      <c r="Z401" s="5"/>
      <c r="AA401" s="5"/>
      <c r="AB401" s="5"/>
      <c r="AC401" s="5"/>
      <c r="AD401" s="5"/>
      <c r="AE401" s="5"/>
      <c r="AF401" s="5"/>
      <c r="AG401" s="5"/>
      <c r="AH401" s="5"/>
      <c r="AI401" s="5"/>
      <c r="AJ401" s="5"/>
      <c r="AK401" s="5"/>
      <c r="AL401" s="5"/>
      <c r="AM401" s="5"/>
      <c r="AN401" s="5"/>
      <c r="AO401" s="5"/>
      <c r="AP401" s="5"/>
      <c r="AS401" s="5"/>
      <c r="AT401" s="5"/>
      <c r="AU401" s="5"/>
      <c r="AV401" s="5"/>
      <c r="AW401" s="5" t="s">
        <v>1569</v>
      </c>
      <c r="AX401" s="5" t="s">
        <v>1560</v>
      </c>
      <c r="BC401" s="7"/>
      <c r="BD401" s="7"/>
      <c r="BE401" s="5"/>
      <c r="BF401" s="5"/>
      <c r="BG401" s="5"/>
      <c r="BH401" s="5"/>
      <c r="BI401" s="5"/>
      <c r="BJ401" s="5"/>
      <c r="BK401" s="7"/>
      <c r="BL401" s="5" t="s">
        <v>1643</v>
      </c>
      <c r="BM401" s="5" t="s">
        <v>1621</v>
      </c>
      <c r="BN401" s="5">
        <v>161</v>
      </c>
      <c r="BO401" s="5"/>
    </row>
    <row r="402" spans="1:67">
      <c r="A402" s="4" t="s">
        <v>1352</v>
      </c>
      <c r="B402" s="7"/>
      <c r="C402" s="5"/>
      <c r="D402" s="5" t="s">
        <v>286</v>
      </c>
      <c r="E402" s="5" t="s">
        <v>1305</v>
      </c>
      <c r="F402" s="5"/>
      <c r="G402" s="5"/>
      <c r="H402" s="5"/>
      <c r="I402" s="5"/>
      <c r="J402" s="5"/>
      <c r="K402" s="5"/>
      <c r="L402" s="5"/>
      <c r="M402" s="5"/>
      <c r="N402" s="5" t="s">
        <v>45</v>
      </c>
      <c r="O402" s="5" t="s">
        <v>1532</v>
      </c>
      <c r="P402" s="5"/>
      <c r="Q402" s="5"/>
      <c r="S402" s="5"/>
      <c r="T402" s="5"/>
      <c r="V402" s="5" t="s">
        <v>109</v>
      </c>
      <c r="W402" s="5"/>
      <c r="X402" s="5" t="s">
        <v>109</v>
      </c>
      <c r="Y402" s="5"/>
      <c r="Z402" s="5"/>
      <c r="AA402" s="5"/>
      <c r="AB402" s="5"/>
      <c r="AC402" s="5"/>
      <c r="AD402" s="5"/>
      <c r="AE402" s="5"/>
      <c r="AF402" s="5"/>
      <c r="AG402" s="5"/>
      <c r="AH402" s="5"/>
      <c r="AI402" s="5"/>
      <c r="AJ402" s="5"/>
      <c r="AK402" s="5"/>
      <c r="AL402" s="5"/>
      <c r="AM402" s="5"/>
      <c r="AN402" s="5"/>
      <c r="AO402" s="5"/>
      <c r="AP402" s="5"/>
      <c r="AS402" s="5"/>
      <c r="AT402" s="5"/>
      <c r="AU402" s="5"/>
      <c r="AV402" s="5"/>
      <c r="AW402" s="5" t="s">
        <v>1577</v>
      </c>
      <c r="AX402" s="5" t="s">
        <v>1560</v>
      </c>
      <c r="BC402" s="7"/>
      <c r="BD402" s="7"/>
      <c r="BE402" s="5"/>
      <c r="BF402" s="5"/>
      <c r="BG402" s="5"/>
      <c r="BH402" s="5"/>
      <c r="BI402" s="5"/>
      <c r="BJ402" s="5" t="s">
        <v>1673</v>
      </c>
      <c r="BK402" s="7"/>
      <c r="BL402" s="5" t="s">
        <v>1630</v>
      </c>
      <c r="BM402" s="5" t="s">
        <v>1614</v>
      </c>
      <c r="BN402" s="5">
        <v>85</v>
      </c>
      <c r="BO402" s="5"/>
    </row>
    <row r="403" spans="1:67">
      <c r="A403" s="4" t="s">
        <v>1353</v>
      </c>
      <c r="B403" s="7"/>
      <c r="C403" s="5"/>
      <c r="D403" s="5" t="s">
        <v>286</v>
      </c>
      <c r="E403" s="5"/>
      <c r="F403" s="5"/>
      <c r="G403" s="5"/>
      <c r="H403" s="5"/>
      <c r="I403" s="5"/>
      <c r="J403" s="5"/>
      <c r="K403" s="5"/>
      <c r="L403" s="5"/>
      <c r="M403" s="5"/>
      <c r="N403" s="5" t="s">
        <v>45</v>
      </c>
      <c r="O403" s="5" t="s">
        <v>45</v>
      </c>
      <c r="P403" s="5"/>
      <c r="Q403" s="5"/>
      <c r="S403" s="5"/>
      <c r="T403" s="5"/>
      <c r="V403" s="5" t="s">
        <v>1538</v>
      </c>
      <c r="W403" s="5"/>
      <c r="X403" s="5" t="s">
        <v>1538</v>
      </c>
      <c r="Y403" s="5"/>
      <c r="Z403" s="5"/>
      <c r="AA403" s="5"/>
      <c r="AB403" s="5"/>
      <c r="AC403" s="5"/>
      <c r="AD403" s="5"/>
      <c r="AE403" s="5"/>
      <c r="AF403" s="5"/>
      <c r="AG403" s="5"/>
      <c r="AH403" s="5"/>
      <c r="AI403" s="5"/>
      <c r="AJ403" s="5"/>
      <c r="AK403" s="5"/>
      <c r="AL403" s="5"/>
      <c r="AM403" s="5"/>
      <c r="AN403" s="5"/>
      <c r="AO403" s="5"/>
      <c r="AP403" s="5"/>
      <c r="AS403" s="5"/>
      <c r="AT403" s="5"/>
      <c r="AU403" s="5"/>
      <c r="AV403" s="5"/>
      <c r="AW403" s="5" t="s">
        <v>1571</v>
      </c>
      <c r="AX403" s="5" t="s">
        <v>1560</v>
      </c>
      <c r="BC403" s="7"/>
      <c r="BD403" s="7"/>
      <c r="BE403" s="5"/>
      <c r="BF403" s="5"/>
      <c r="BG403" s="5"/>
      <c r="BH403" s="5"/>
      <c r="BI403" s="5"/>
      <c r="BJ403" s="5"/>
      <c r="BK403" s="7"/>
      <c r="BL403" s="5" t="s">
        <v>1643</v>
      </c>
      <c r="BM403" s="5" t="s">
        <v>1621</v>
      </c>
      <c r="BN403" s="5">
        <v>162</v>
      </c>
      <c r="BO403" s="5"/>
    </row>
    <row r="404" spans="1:67">
      <c r="A404" s="4" t="s">
        <v>1354</v>
      </c>
      <c r="B404" s="7"/>
      <c r="C404" s="5"/>
      <c r="D404" s="5" t="s">
        <v>286</v>
      </c>
      <c r="E404" s="5"/>
      <c r="F404" s="5"/>
      <c r="G404" s="5"/>
      <c r="H404" s="5"/>
      <c r="I404" s="5"/>
      <c r="J404" s="5"/>
      <c r="K404" s="5"/>
      <c r="L404" s="5"/>
      <c r="M404" s="5"/>
      <c r="N404" s="5" t="s">
        <v>45</v>
      </c>
      <c r="O404" s="5" t="s">
        <v>1533</v>
      </c>
      <c r="P404" s="5"/>
      <c r="Q404" s="5"/>
      <c r="S404" s="5"/>
      <c r="T404" s="5"/>
      <c r="V404" s="5" t="s">
        <v>108</v>
      </c>
      <c r="W404" s="5"/>
      <c r="X404" s="5" t="s">
        <v>108</v>
      </c>
      <c r="Y404" s="5"/>
      <c r="Z404" s="5"/>
      <c r="AA404" s="5"/>
      <c r="AB404" s="5"/>
      <c r="AC404" s="5"/>
      <c r="AD404" s="5"/>
      <c r="AE404" s="5"/>
      <c r="AF404" s="5"/>
      <c r="AG404" s="5"/>
      <c r="AH404" s="5"/>
      <c r="AI404" s="5"/>
      <c r="AJ404" s="5"/>
      <c r="AK404" s="5"/>
      <c r="AL404" s="5"/>
      <c r="AM404" s="5"/>
      <c r="AN404" s="5"/>
      <c r="AO404" s="5"/>
      <c r="AP404" s="5"/>
      <c r="AS404" s="5"/>
      <c r="AT404" s="5"/>
      <c r="AU404" s="5"/>
      <c r="AV404" s="5"/>
      <c r="AW404" s="5" t="s">
        <v>1564</v>
      </c>
      <c r="AX404" s="5" t="s">
        <v>1560</v>
      </c>
      <c r="BC404" s="7"/>
      <c r="BD404" s="7"/>
      <c r="BE404" s="5"/>
      <c r="BF404" s="5"/>
      <c r="BG404" s="5"/>
      <c r="BH404" s="5"/>
      <c r="BI404" s="5"/>
      <c r="BJ404" s="5"/>
      <c r="BK404" s="7"/>
      <c r="BL404" s="5" t="s">
        <v>1645</v>
      </c>
      <c r="BM404" s="5" t="s">
        <v>1646</v>
      </c>
      <c r="BN404" s="5">
        <v>356</v>
      </c>
      <c r="BO404" s="5"/>
    </row>
    <row r="405" spans="1:67">
      <c r="A405" s="4" t="s">
        <v>1355</v>
      </c>
      <c r="B405" s="7"/>
      <c r="C405" s="5"/>
      <c r="D405" s="5" t="s">
        <v>286</v>
      </c>
      <c r="E405" s="5" t="s">
        <v>298</v>
      </c>
      <c r="F405" s="5"/>
      <c r="G405" s="5"/>
      <c r="H405" s="5"/>
      <c r="I405" s="5"/>
      <c r="J405" s="5">
        <f>MAX(BaseSpeed*2,RaceFlySpeed)</f>
        <v>0</v>
      </c>
      <c r="K405" s="5"/>
      <c r="L405" s="5"/>
      <c r="M405" s="5">
        <v>7</v>
      </c>
      <c r="N405" s="5" t="s">
        <v>45</v>
      </c>
      <c r="O405" s="5" t="s">
        <v>1534</v>
      </c>
      <c r="P405" s="5"/>
      <c r="Q405" s="5"/>
      <c r="S405" s="5"/>
      <c r="T405" s="5"/>
      <c r="V405" s="5" t="s">
        <v>109</v>
      </c>
      <c r="W405" s="5"/>
      <c r="X405" s="5" t="s">
        <v>109</v>
      </c>
      <c r="Y405" s="5"/>
      <c r="Z405" s="5"/>
      <c r="AA405" s="5"/>
      <c r="AB405" s="5"/>
      <c r="AC405" s="5"/>
      <c r="AD405" s="5"/>
      <c r="AE405" s="5">
        <v>2</v>
      </c>
      <c r="AF405" s="5">
        <v>2</v>
      </c>
      <c r="AG405" s="5"/>
      <c r="AH405" s="5"/>
      <c r="AI405" s="5"/>
      <c r="AJ405" s="5"/>
      <c r="AK405" s="5"/>
      <c r="AL405" s="5"/>
      <c r="AM405" s="5"/>
      <c r="AN405" s="5"/>
      <c r="AO405" s="5"/>
      <c r="AP405" s="5"/>
      <c r="AS405" s="5"/>
      <c r="AT405" s="5"/>
      <c r="AU405" s="5"/>
      <c r="AV405" s="5">
        <v>1</v>
      </c>
      <c r="AW405" s="5" t="s">
        <v>1573</v>
      </c>
      <c r="AX405" s="5" t="s">
        <v>1560</v>
      </c>
      <c r="BC405" s="7"/>
      <c r="BD405" s="7"/>
      <c r="BE405" s="10">
        <v>7</v>
      </c>
      <c r="BF405" s="5"/>
      <c r="BG405" s="5" t="s">
        <v>286</v>
      </c>
      <c r="BH405" s="5"/>
      <c r="BI405" s="5" t="s">
        <v>286</v>
      </c>
      <c r="BJ405" s="5" t="s">
        <v>1674</v>
      </c>
      <c r="BK405" s="7"/>
      <c r="BL405" s="5" t="s">
        <v>1635</v>
      </c>
      <c r="BM405" s="5" t="s">
        <v>1609</v>
      </c>
      <c r="BN405" s="5">
        <v>77</v>
      </c>
      <c r="BO405" s="5"/>
    </row>
    <row r="406" spans="1:67">
      <c r="A406" s="4" t="s">
        <v>1356</v>
      </c>
      <c r="B406" s="7"/>
      <c r="C406" s="5"/>
      <c r="D406" s="5" t="s">
        <v>286</v>
      </c>
      <c r="E406" s="5"/>
      <c r="F406" s="5"/>
      <c r="G406" s="5"/>
      <c r="H406" s="5"/>
      <c r="I406" s="5"/>
      <c r="J406" s="5"/>
      <c r="K406" s="5"/>
      <c r="L406" s="5"/>
      <c r="M406" s="5"/>
      <c r="N406" s="5" t="s">
        <v>45</v>
      </c>
      <c r="O406" s="7"/>
      <c r="P406" s="5"/>
      <c r="Q406" s="5"/>
      <c r="S406" s="5"/>
      <c r="T406" s="5"/>
      <c r="V406" s="5" t="s">
        <v>45</v>
      </c>
      <c r="W406" s="5"/>
      <c r="X406" s="5"/>
      <c r="Y406" s="5"/>
      <c r="Z406" s="5"/>
      <c r="AA406" s="5"/>
      <c r="AB406" s="5"/>
      <c r="AC406" s="5"/>
      <c r="AD406" s="5"/>
      <c r="AE406" s="5"/>
      <c r="AF406" s="5"/>
      <c r="AG406" s="5"/>
      <c r="AH406" s="5"/>
      <c r="AI406" s="5"/>
      <c r="AJ406" s="5"/>
      <c r="AK406" s="5"/>
      <c r="AL406" s="5"/>
      <c r="AM406" s="5"/>
      <c r="AN406" s="5"/>
      <c r="AO406" s="5"/>
      <c r="AP406" s="5"/>
      <c r="AS406" s="5"/>
      <c r="AT406" s="5"/>
      <c r="AU406" s="5"/>
      <c r="AV406" s="5"/>
      <c r="AW406" s="5" t="s">
        <v>1565</v>
      </c>
      <c r="AX406" s="5" t="s">
        <v>1560</v>
      </c>
      <c r="BC406" s="5" t="s">
        <v>45</v>
      </c>
      <c r="BD406" s="5"/>
      <c r="BE406" s="5"/>
      <c r="BF406" s="5"/>
      <c r="BG406" s="5"/>
      <c r="BH406" s="5"/>
      <c r="BI406" s="5"/>
      <c r="BJ406" s="5"/>
      <c r="BK406" s="7"/>
      <c r="BL406" s="5" t="s">
        <v>1643</v>
      </c>
      <c r="BM406" s="5" t="s">
        <v>1621</v>
      </c>
      <c r="BN406" s="5">
        <v>154</v>
      </c>
      <c r="BO406" s="5"/>
    </row>
    <row r="407" spans="1:67">
      <c r="A407" s="4" t="s">
        <v>1357</v>
      </c>
      <c r="B407" s="7"/>
      <c r="C407" s="5" t="s">
        <v>85</v>
      </c>
      <c r="D407" s="5" t="s">
        <v>1241</v>
      </c>
      <c r="E407" s="5"/>
      <c r="F407" s="5">
        <v>1</v>
      </c>
      <c r="G407" s="5">
        <v>10</v>
      </c>
      <c r="H407" s="5"/>
      <c r="I407" s="5"/>
      <c r="J407" s="5">
        <v>80</v>
      </c>
      <c r="K407" s="5" t="s">
        <v>1271</v>
      </c>
      <c r="L407" s="5"/>
      <c r="M407" s="5">
        <v>1</v>
      </c>
      <c r="N407" s="5" t="s">
        <v>1358</v>
      </c>
      <c r="O407" s="7"/>
      <c r="P407" s="5"/>
      <c r="Q407" s="5"/>
      <c r="S407" s="5"/>
      <c r="T407" s="5"/>
      <c r="V407" s="5"/>
      <c r="W407" s="5"/>
      <c r="X407" s="5"/>
      <c r="Y407" s="5"/>
      <c r="Z407" s="5"/>
      <c r="AA407" s="5"/>
      <c r="AB407" s="5"/>
      <c r="AC407" s="5"/>
      <c r="AD407" s="5">
        <v>10</v>
      </c>
      <c r="AE407" s="5">
        <v>15</v>
      </c>
      <c r="AF407" s="5">
        <v>12</v>
      </c>
      <c r="AG407" s="5">
        <v>2</v>
      </c>
      <c r="AH407" s="5">
        <v>14</v>
      </c>
      <c r="AI407" s="5">
        <v>6</v>
      </c>
      <c r="AJ407" s="5"/>
      <c r="AK407" s="5"/>
      <c r="AL407" s="5"/>
      <c r="AM407" s="5"/>
      <c r="AN407" s="5"/>
      <c r="AO407" s="5"/>
      <c r="AP407" s="5"/>
      <c r="AS407" s="5"/>
      <c r="AT407" s="5"/>
      <c r="AU407" s="5"/>
      <c r="AV407" s="5"/>
      <c r="AW407" s="5"/>
      <c r="AX407" s="5" t="s">
        <v>1560</v>
      </c>
      <c r="BC407" s="5"/>
      <c r="BD407" s="5"/>
      <c r="BE407" s="5"/>
      <c r="BF407" s="5">
        <v>1</v>
      </c>
      <c r="BG407" s="5"/>
      <c r="BH407" s="5"/>
      <c r="BI407" s="5"/>
      <c r="BJ407" s="5"/>
      <c r="BK407" s="7"/>
      <c r="BL407" s="5"/>
      <c r="BM407" s="5" t="s">
        <v>1609</v>
      </c>
      <c r="BN407" s="5">
        <v>272</v>
      </c>
      <c r="BO407" s="5"/>
    </row>
    <row r="408" spans="1:67">
      <c r="A408" s="4" t="s">
        <v>1359</v>
      </c>
      <c r="B408" s="7"/>
      <c r="C408" s="5" t="s">
        <v>62</v>
      </c>
      <c r="D408" s="8" t="s">
        <v>1239</v>
      </c>
      <c r="E408" s="5"/>
      <c r="F408" s="5">
        <v>4</v>
      </c>
      <c r="G408" s="5">
        <v>10</v>
      </c>
      <c r="H408" s="5"/>
      <c r="I408" s="5"/>
      <c r="J408" s="5">
        <v>80</v>
      </c>
      <c r="K408" s="5" t="s">
        <v>1271</v>
      </c>
      <c r="L408" s="5"/>
      <c r="M408" s="5">
        <v>3</v>
      </c>
      <c r="N408" s="5" t="s">
        <v>660</v>
      </c>
      <c r="O408" s="7"/>
      <c r="P408" s="5"/>
      <c r="Q408" s="5"/>
      <c r="S408" s="5"/>
      <c r="T408" s="5"/>
      <c r="V408" s="5"/>
      <c r="W408" s="5"/>
      <c r="X408" s="5"/>
      <c r="Y408" s="5"/>
      <c r="Z408" s="5"/>
      <c r="AA408" s="5"/>
      <c r="AB408" s="5"/>
      <c r="AC408" s="5"/>
      <c r="AD408" s="5">
        <v>18</v>
      </c>
      <c r="AE408" s="5">
        <v>17</v>
      </c>
      <c r="AF408" s="5">
        <v>12</v>
      </c>
      <c r="AG408" s="5">
        <v>10</v>
      </c>
      <c r="AH408" s="5">
        <v>14</v>
      </c>
      <c r="AI408" s="5">
        <v>10</v>
      </c>
      <c r="AJ408" s="5"/>
      <c r="AK408" s="5"/>
      <c r="AL408" s="5"/>
      <c r="AM408" s="5"/>
      <c r="AN408" s="5"/>
      <c r="AO408" s="5"/>
      <c r="AP408" s="5"/>
      <c r="AS408" s="5"/>
      <c r="AT408" s="5"/>
      <c r="AU408" s="5"/>
      <c r="AV408" s="5"/>
      <c r="AW408" s="5"/>
      <c r="AX408" s="5" t="s">
        <v>1560</v>
      </c>
      <c r="BC408" s="5"/>
      <c r="BD408" s="5"/>
      <c r="BE408" s="5"/>
      <c r="BF408" s="5">
        <v>7</v>
      </c>
      <c r="BG408" s="5"/>
      <c r="BH408" s="5" t="s">
        <v>1813</v>
      </c>
      <c r="BI408" s="5" t="s">
        <v>1813</v>
      </c>
      <c r="BJ408" s="5"/>
      <c r="BK408" s="7"/>
      <c r="BL408" s="5"/>
      <c r="BM408" s="5" t="s">
        <v>1609</v>
      </c>
      <c r="BN408" s="5">
        <v>93</v>
      </c>
      <c r="BO408" s="5"/>
    </row>
    <row r="409" spans="1:67">
      <c r="A409" s="4" t="s">
        <v>1360</v>
      </c>
      <c r="B409" s="7"/>
      <c r="C409" s="5" t="s">
        <v>641</v>
      </c>
      <c r="D409" s="5" t="s">
        <v>51</v>
      </c>
      <c r="E409" s="5" t="s">
        <v>1361</v>
      </c>
      <c r="F409" s="5">
        <v>0</v>
      </c>
      <c r="G409" s="5">
        <v>20</v>
      </c>
      <c r="H409" s="5"/>
      <c r="I409" s="5"/>
      <c r="J409" s="5">
        <v>60</v>
      </c>
      <c r="K409" s="5" t="s">
        <v>766</v>
      </c>
      <c r="L409" s="5"/>
      <c r="M409" s="5">
        <v>4</v>
      </c>
      <c r="N409" s="5" t="s">
        <v>1362</v>
      </c>
      <c r="O409" s="7"/>
      <c r="P409" s="5"/>
      <c r="Q409" s="5"/>
      <c r="S409" s="5"/>
      <c r="T409" s="5"/>
      <c r="V409" s="5" t="s">
        <v>1536</v>
      </c>
      <c r="W409" s="5"/>
      <c r="X409" s="5" t="s">
        <v>131</v>
      </c>
      <c r="Y409" s="5"/>
      <c r="Z409" s="5"/>
      <c r="AA409" s="5"/>
      <c r="AB409" s="5"/>
      <c r="AC409" s="5"/>
      <c r="AD409" s="5">
        <v>6</v>
      </c>
      <c r="AE409" s="5">
        <v>24</v>
      </c>
      <c r="AF409" s="5">
        <v>12</v>
      </c>
      <c r="AG409" s="5">
        <v>12</v>
      </c>
      <c r="AH409" s="5">
        <v>10</v>
      </c>
      <c r="AI409" s="5">
        <v>14</v>
      </c>
      <c r="AJ409" s="5"/>
      <c r="AK409" s="5"/>
      <c r="AL409" s="5"/>
      <c r="AM409" s="5"/>
      <c r="AN409" s="5"/>
      <c r="AO409" s="5"/>
      <c r="AP409" s="5"/>
      <c r="AS409" s="5" t="s">
        <v>1578</v>
      </c>
      <c r="AT409" s="5"/>
      <c r="AU409" s="5"/>
      <c r="AV409" s="5"/>
      <c r="AW409" s="5" t="s">
        <v>1575</v>
      </c>
      <c r="AX409" s="5" t="s">
        <v>1560</v>
      </c>
      <c r="BC409" s="5" t="s">
        <v>1675</v>
      </c>
      <c r="BD409" s="5"/>
      <c r="BE409" s="5">
        <v>7</v>
      </c>
      <c r="BF409" s="5"/>
      <c r="BG409" s="5" t="s">
        <v>81</v>
      </c>
      <c r="BH409" s="5"/>
      <c r="BI409" s="5"/>
      <c r="BJ409" s="5"/>
      <c r="BK409" s="7"/>
      <c r="BL409" s="5"/>
      <c r="BM409" s="5" t="s">
        <v>1676</v>
      </c>
      <c r="BN409" s="5">
        <v>168</v>
      </c>
      <c r="BO409" s="5"/>
    </row>
    <row r="410" spans="1:67">
      <c r="A410" s="4" t="s">
        <v>1363</v>
      </c>
      <c r="B410" s="7"/>
      <c r="C410" s="5" t="s">
        <v>519</v>
      </c>
      <c r="D410" s="5" t="s">
        <v>1241</v>
      </c>
      <c r="E410" s="5"/>
      <c r="F410" s="5">
        <v>10</v>
      </c>
      <c r="G410" s="5">
        <v>10</v>
      </c>
      <c r="H410" s="5"/>
      <c r="I410" s="5"/>
      <c r="J410" s="5"/>
      <c r="K410" s="5"/>
      <c r="L410" s="5">
        <v>50</v>
      </c>
      <c r="M410" s="5">
        <v>3</v>
      </c>
      <c r="N410" s="5" t="s">
        <v>1294</v>
      </c>
      <c r="O410" s="7"/>
      <c r="P410" s="5"/>
      <c r="Q410" s="5"/>
      <c r="S410" s="5"/>
      <c r="T410" s="5"/>
      <c r="V410" s="5"/>
      <c r="W410" s="5"/>
      <c r="X410" s="5"/>
      <c r="Y410" s="5"/>
      <c r="Z410" s="5"/>
      <c r="AA410" s="5"/>
      <c r="AB410" s="5"/>
      <c r="AC410" s="5"/>
      <c r="AD410" s="5">
        <v>26</v>
      </c>
      <c r="AE410" s="5">
        <v>14</v>
      </c>
      <c r="AF410" s="5">
        <v>22</v>
      </c>
      <c r="AG410" s="5">
        <v>2</v>
      </c>
      <c r="AH410" s="5">
        <v>13</v>
      </c>
      <c r="AI410" s="5">
        <v>9</v>
      </c>
      <c r="AJ410" s="5"/>
      <c r="AK410" s="5"/>
      <c r="AL410" s="5"/>
      <c r="AM410" s="5"/>
      <c r="AN410" s="5"/>
      <c r="AO410" s="5"/>
      <c r="AP410" s="5"/>
      <c r="AS410" s="5"/>
      <c r="AT410" s="5"/>
      <c r="AU410" s="5"/>
      <c r="AV410" s="5"/>
      <c r="AW410" s="5"/>
      <c r="AX410" s="5" t="s">
        <v>1560</v>
      </c>
      <c r="BC410" s="5"/>
      <c r="BD410" s="5"/>
      <c r="BE410" s="5"/>
      <c r="BF410" s="5">
        <v>7</v>
      </c>
      <c r="BG410" s="5"/>
      <c r="BH410" s="5"/>
      <c r="BI410" s="5"/>
      <c r="BJ410" s="5"/>
      <c r="BK410" s="7"/>
      <c r="BL410" s="5" t="s">
        <v>1627</v>
      </c>
      <c r="BM410" s="5" t="s">
        <v>1609</v>
      </c>
      <c r="BN410" s="5">
        <v>60</v>
      </c>
      <c r="BO410" s="5"/>
    </row>
    <row r="411" spans="1:67">
      <c r="A411" s="4" t="s">
        <v>1364</v>
      </c>
      <c r="B411" s="7"/>
      <c r="C411" s="5"/>
      <c r="D411" s="5" t="s">
        <v>1365</v>
      </c>
      <c r="E411" s="5" t="s">
        <v>1317</v>
      </c>
      <c r="F411" s="5"/>
      <c r="G411" s="5"/>
      <c r="H411" s="5"/>
      <c r="I411" s="5"/>
      <c r="J411" s="5"/>
      <c r="K411" s="5"/>
      <c r="L411" s="5"/>
      <c r="M411" s="5">
        <v>1</v>
      </c>
      <c r="N411" s="5" t="s">
        <v>45</v>
      </c>
      <c r="O411" s="7"/>
      <c r="P411" s="5" t="str">
        <f>IF(HasTemplate,RANGECONCAT(", ",TRUE,'[1]Template Info'!$BI$69:INDEX('[1]Template Info'!$BI$69:$BI$78,'[1]Template Info'!$BI$34)),"")</f>
        <v/>
      </c>
      <c r="Q411" s="5"/>
      <c r="S411" s="5"/>
      <c r="T411" s="5"/>
      <c r="V411" s="5" t="s">
        <v>1550</v>
      </c>
      <c r="W411" s="5"/>
      <c r="X411" s="5" t="s">
        <v>1142</v>
      </c>
      <c r="Y411" s="5"/>
      <c r="Z411" s="5"/>
      <c r="AA411" s="5"/>
      <c r="AB411" s="5"/>
      <c r="AC411" s="5"/>
      <c r="AD411" s="5">
        <v>0</v>
      </c>
      <c r="AE411" s="5">
        <v>2</v>
      </c>
      <c r="AF411" s="5">
        <v>2</v>
      </c>
      <c r="AG411" s="5">
        <v>2</v>
      </c>
      <c r="AH411" s="5">
        <v>2</v>
      </c>
      <c r="AI411" s="5">
        <v>2</v>
      </c>
      <c r="AJ411" s="5"/>
      <c r="AK411" s="5"/>
      <c r="AL411" s="5"/>
      <c r="AM411" s="5"/>
      <c r="AN411" s="5"/>
      <c r="AO411" s="5"/>
      <c r="AP411" s="5"/>
      <c r="AS411" s="5"/>
      <c r="AT411" s="5" t="s">
        <v>1579</v>
      </c>
      <c r="AU411" s="5"/>
      <c r="AV411" s="5"/>
      <c r="AW411" s="5"/>
      <c r="AX411" s="5" t="s">
        <v>1560</v>
      </c>
      <c r="BC411" s="5"/>
      <c r="BD411" s="5"/>
      <c r="BE411" s="5"/>
      <c r="BF411" s="5"/>
      <c r="BG411" s="5"/>
      <c r="BH411" s="5"/>
      <c r="BI411" s="5"/>
      <c r="BJ411" s="5" t="s">
        <v>1538</v>
      </c>
      <c r="BK411" s="7"/>
      <c r="BL411" s="5"/>
      <c r="BM411" s="5" t="s">
        <v>1609</v>
      </c>
      <c r="BN411" s="5">
        <v>95</v>
      </c>
      <c r="BO411" s="5" t="s">
        <v>1677</v>
      </c>
    </row>
    <row r="412" spans="1:67">
      <c r="A412" s="4" t="s">
        <v>1366</v>
      </c>
      <c r="B412" s="7"/>
      <c r="C412" s="5" t="s">
        <v>519</v>
      </c>
      <c r="D412" s="8" t="s">
        <v>1365</v>
      </c>
      <c r="E412" s="5" t="s">
        <v>1367</v>
      </c>
      <c r="F412" s="5">
        <v>16</v>
      </c>
      <c r="G412" s="5"/>
      <c r="H412" s="5"/>
      <c r="I412" s="5"/>
      <c r="J412" s="5"/>
      <c r="K412" s="5"/>
      <c r="L412" s="5"/>
      <c r="M412" s="5">
        <v>8</v>
      </c>
      <c r="N412" s="5" t="s">
        <v>45</v>
      </c>
      <c r="O412" s="7"/>
      <c r="P412" s="5"/>
      <c r="Q412" s="5"/>
      <c r="S412" s="5"/>
      <c r="T412" s="5"/>
      <c r="V412" s="5"/>
      <c r="W412" s="5"/>
      <c r="X412" s="5"/>
      <c r="Y412" s="5"/>
      <c r="Z412" s="5"/>
      <c r="AA412" s="5"/>
      <c r="AB412" s="5"/>
      <c r="AC412" s="5"/>
      <c r="AD412" s="5">
        <v>18</v>
      </c>
      <c r="AE412" s="5">
        <v>29</v>
      </c>
      <c r="AF412" s="5">
        <v>18</v>
      </c>
      <c r="AG412" s="5">
        <v>6</v>
      </c>
      <c r="AH412" s="5">
        <v>11</v>
      </c>
      <c r="AI412" s="5">
        <v>11</v>
      </c>
      <c r="AJ412" s="5"/>
      <c r="AK412" s="5"/>
      <c r="AL412" s="5"/>
      <c r="AM412" s="5"/>
      <c r="AN412" s="5"/>
      <c r="AO412" s="5"/>
      <c r="AP412" s="5"/>
      <c r="AS412" s="5"/>
      <c r="AT412" s="5"/>
      <c r="AU412" s="5"/>
      <c r="AV412" s="5">
        <v>7</v>
      </c>
      <c r="AW412" s="5" t="s">
        <v>1565</v>
      </c>
      <c r="AX412" s="5" t="s">
        <v>1560</v>
      </c>
      <c r="BC412" s="5"/>
      <c r="BD412" s="5"/>
      <c r="BE412" s="5"/>
      <c r="BF412" s="5">
        <v>16</v>
      </c>
      <c r="BG412" s="5"/>
      <c r="BH412" s="5" t="s">
        <v>1365</v>
      </c>
      <c r="BI412" s="5" t="s">
        <v>1365</v>
      </c>
      <c r="BJ412" s="5"/>
      <c r="BK412" s="7"/>
      <c r="BL412" s="5"/>
      <c r="BM412" s="5" t="s">
        <v>1609</v>
      </c>
      <c r="BN412" s="5">
        <v>95</v>
      </c>
      <c r="BO412" s="5"/>
    </row>
    <row r="413" spans="1:67">
      <c r="A413" s="4" t="s">
        <v>1368</v>
      </c>
      <c r="B413" s="7"/>
      <c r="C413" s="5" t="s">
        <v>62</v>
      </c>
      <c r="D413" s="8" t="s">
        <v>1365</v>
      </c>
      <c r="E413" s="5" t="s">
        <v>1367</v>
      </c>
      <c r="F413" s="5">
        <v>8</v>
      </c>
      <c r="G413" s="5"/>
      <c r="H413" s="5"/>
      <c r="I413" s="5"/>
      <c r="J413" s="5"/>
      <c r="K413" s="5"/>
      <c r="L413" s="5"/>
      <c r="M413" s="5">
        <v>4</v>
      </c>
      <c r="N413" s="5" t="s">
        <v>45</v>
      </c>
      <c r="O413" s="7"/>
      <c r="P413" s="5"/>
      <c r="Q413" s="5"/>
      <c r="S413" s="5"/>
      <c r="T413" s="5">
        <v>60</v>
      </c>
      <c r="V413" s="5"/>
      <c r="W413" s="5"/>
      <c r="X413" s="5"/>
      <c r="Y413" s="5"/>
      <c r="Z413" s="5"/>
      <c r="AA413" s="5"/>
      <c r="AB413" s="5"/>
      <c r="AC413" s="5"/>
      <c r="AD413" s="5">
        <v>14</v>
      </c>
      <c r="AE413" s="5">
        <v>25</v>
      </c>
      <c r="AF413" s="5">
        <v>16</v>
      </c>
      <c r="AG413" s="5">
        <v>6</v>
      </c>
      <c r="AH413" s="5">
        <v>11</v>
      </c>
      <c r="AI413" s="5">
        <v>11</v>
      </c>
      <c r="AJ413" s="5"/>
      <c r="AK413" s="5"/>
      <c r="AL413" s="5"/>
      <c r="AM413" s="5"/>
      <c r="AN413" s="5"/>
      <c r="AO413" s="5"/>
      <c r="AP413" s="5"/>
      <c r="AS413" s="5"/>
      <c r="AT413" s="5"/>
      <c r="AU413" s="5"/>
      <c r="AV413" s="5">
        <v>5</v>
      </c>
      <c r="AW413" s="5" t="s">
        <v>1565</v>
      </c>
      <c r="AX413" s="5" t="s">
        <v>1560</v>
      </c>
      <c r="BC413" s="5"/>
      <c r="BD413" s="5"/>
      <c r="BE413" s="5"/>
      <c r="BF413" s="5">
        <v>10</v>
      </c>
      <c r="BG413" s="5"/>
      <c r="BH413" s="5" t="s">
        <v>1365</v>
      </c>
      <c r="BI413" s="5" t="s">
        <v>1365</v>
      </c>
      <c r="BJ413" s="5"/>
      <c r="BK413" s="7"/>
      <c r="BL413" s="5"/>
      <c r="BM413" s="5" t="s">
        <v>1609</v>
      </c>
      <c r="BN413" s="5">
        <v>95</v>
      </c>
      <c r="BO413" s="5"/>
    </row>
    <row r="414" spans="1:67">
      <c r="A414" s="4" t="s">
        <v>1369</v>
      </c>
      <c r="B414" s="7"/>
      <c r="C414" s="5" t="s">
        <v>42</v>
      </c>
      <c r="D414" s="8" t="s">
        <v>1365</v>
      </c>
      <c r="E414" s="5" t="s">
        <v>1367</v>
      </c>
      <c r="F414" s="5">
        <v>4</v>
      </c>
      <c r="G414" s="5"/>
      <c r="H414" s="5"/>
      <c r="I414" s="5"/>
      <c r="J414" s="5"/>
      <c r="K414" s="5"/>
      <c r="L414" s="5"/>
      <c r="M414" s="5">
        <v>3</v>
      </c>
      <c r="N414" s="5" t="s">
        <v>45</v>
      </c>
      <c r="O414" s="7"/>
      <c r="P414" s="5"/>
      <c r="Q414" s="5"/>
      <c r="S414" s="5"/>
      <c r="T414" s="5">
        <v>60</v>
      </c>
      <c r="V414" s="5"/>
      <c r="W414" s="5"/>
      <c r="X414" s="5"/>
      <c r="Y414" s="5"/>
      <c r="Z414" s="5"/>
      <c r="AA414" s="5"/>
      <c r="AB414" s="5"/>
      <c r="AC414" s="5"/>
      <c r="AD414" s="5">
        <v>12</v>
      </c>
      <c r="AE414" s="5">
        <v>21</v>
      </c>
      <c r="AF414" s="5">
        <v>14</v>
      </c>
      <c r="AG414" s="5">
        <v>4</v>
      </c>
      <c r="AH414" s="5">
        <v>11</v>
      </c>
      <c r="AI414" s="5">
        <v>11</v>
      </c>
      <c r="AJ414" s="5"/>
      <c r="AK414" s="5"/>
      <c r="AL414" s="5"/>
      <c r="AM414" s="5"/>
      <c r="AN414" s="5"/>
      <c r="AO414" s="5"/>
      <c r="AP414" s="5"/>
      <c r="AS414" s="5"/>
      <c r="AT414" s="5"/>
      <c r="AU414" s="5"/>
      <c r="AV414" s="5">
        <v>3</v>
      </c>
      <c r="AW414" s="5" t="s">
        <v>1565</v>
      </c>
      <c r="AX414" s="5" t="s">
        <v>1560</v>
      </c>
      <c r="BC414" s="5"/>
      <c r="BD414" s="5"/>
      <c r="BE414" s="5"/>
      <c r="BF414" s="5">
        <v>4</v>
      </c>
      <c r="BG414" s="5"/>
      <c r="BH414" s="5" t="s">
        <v>1365</v>
      </c>
      <c r="BI414" s="5" t="s">
        <v>1365</v>
      </c>
      <c r="BJ414" s="5"/>
      <c r="BK414" s="7"/>
      <c r="BL414" s="5"/>
      <c r="BM414" s="5" t="s">
        <v>1609</v>
      </c>
      <c r="BN414" s="5">
        <v>95</v>
      </c>
      <c r="BO414" s="5"/>
    </row>
    <row r="415" spans="1:67">
      <c r="A415" s="4" t="s">
        <v>1370</v>
      </c>
      <c r="B415" s="7"/>
      <c r="C415" s="5" t="s">
        <v>85</v>
      </c>
      <c r="D415" s="8" t="s">
        <v>1365</v>
      </c>
      <c r="E415" s="5" t="s">
        <v>1367</v>
      </c>
      <c r="F415" s="5">
        <v>2</v>
      </c>
      <c r="G415" s="5"/>
      <c r="H415" s="5"/>
      <c r="I415" s="5"/>
      <c r="J415" s="5">
        <v>100</v>
      </c>
      <c r="K415" s="5" t="s">
        <v>766</v>
      </c>
      <c r="L415" s="5"/>
      <c r="M415" s="5">
        <v>3</v>
      </c>
      <c r="N415" s="5" t="s">
        <v>1371</v>
      </c>
      <c r="O415" s="7"/>
      <c r="P415" s="5"/>
      <c r="Q415" s="5"/>
      <c r="S415" s="5"/>
      <c r="T415" s="5">
        <v>60</v>
      </c>
      <c r="V415" s="5"/>
      <c r="W415" s="5"/>
      <c r="X415" s="5"/>
      <c r="Y415" s="5"/>
      <c r="Z415" s="5"/>
      <c r="AA415" s="5"/>
      <c r="AB415" s="5"/>
      <c r="AC415" s="5"/>
      <c r="AD415" s="5">
        <v>10</v>
      </c>
      <c r="AE415" s="5">
        <v>17</v>
      </c>
      <c r="AF415" s="5">
        <v>10</v>
      </c>
      <c r="AG415" s="5">
        <v>4</v>
      </c>
      <c r="AH415" s="5">
        <v>11</v>
      </c>
      <c r="AI415" s="5">
        <v>11</v>
      </c>
      <c r="AJ415" s="5"/>
      <c r="AK415" s="5"/>
      <c r="AL415" s="5"/>
      <c r="AM415" s="5"/>
      <c r="AN415" s="5"/>
      <c r="AO415" s="5"/>
      <c r="AP415" s="5"/>
      <c r="AS415" s="5" t="s">
        <v>1580</v>
      </c>
      <c r="AT415" s="5"/>
      <c r="AU415" s="5"/>
      <c r="AV415" s="5">
        <v>1</v>
      </c>
      <c r="AW415" s="5" t="s">
        <v>1565</v>
      </c>
      <c r="AX415" s="5" t="s">
        <v>1560</v>
      </c>
      <c r="BC415" s="5" t="s">
        <v>1678</v>
      </c>
      <c r="BD415" s="5"/>
      <c r="BE415" s="5">
        <v>5</v>
      </c>
      <c r="BF415" s="5">
        <v>1</v>
      </c>
      <c r="BG415" s="5" t="s">
        <v>1632</v>
      </c>
      <c r="BH415" s="5" t="s">
        <v>1365</v>
      </c>
      <c r="BI415" s="5" t="s">
        <v>1365</v>
      </c>
      <c r="BJ415" s="5"/>
      <c r="BK415" s="7"/>
      <c r="BL415" s="5"/>
      <c r="BM415" s="5" t="s">
        <v>1609</v>
      </c>
      <c r="BN415" s="5">
        <v>95</v>
      </c>
      <c r="BO415" s="5" t="s">
        <v>1613</v>
      </c>
    </row>
    <row r="416" spans="1:67">
      <c r="A416" s="4" t="s">
        <v>1372</v>
      </c>
      <c r="B416" s="7"/>
      <c r="C416" s="5"/>
      <c r="D416" s="5" t="s">
        <v>1365</v>
      </c>
      <c r="E416" s="5" t="s">
        <v>526</v>
      </c>
      <c r="F416" s="5"/>
      <c r="G416" s="5"/>
      <c r="H416" s="5"/>
      <c r="I416" s="5"/>
      <c r="J416" s="5"/>
      <c r="K416" s="5"/>
      <c r="L416" s="5"/>
      <c r="M416" s="5">
        <v>3</v>
      </c>
      <c r="N416" s="5" t="s">
        <v>45</v>
      </c>
      <c r="O416" s="7"/>
      <c r="P416" s="5" t="str">
        <f>IF(HasTemplate,RANGECONCAT(", ",TRUE,'[1]Template Info'!$BJ$69:INDEX('[1]Template Info'!$BJ$69:$BJ$78,'[1]Template Info'!$BI$34)),"")</f>
        <v/>
      </c>
      <c r="Q416" s="5"/>
      <c r="S416" s="5"/>
      <c r="T416" s="5">
        <v>60</v>
      </c>
      <c r="V416" s="5" t="s">
        <v>1551</v>
      </c>
      <c r="W416" s="5"/>
      <c r="X416" s="5" t="s">
        <v>109</v>
      </c>
      <c r="Y416" s="5"/>
      <c r="Z416" s="5"/>
      <c r="AA416" s="5"/>
      <c r="AB416" s="5"/>
      <c r="AC416" s="5"/>
      <c r="AD416" s="5">
        <v>4</v>
      </c>
      <c r="AE416" s="5">
        <v>-2</v>
      </c>
      <c r="AF416" s="5">
        <v>4</v>
      </c>
      <c r="AG416" s="5">
        <v>0</v>
      </c>
      <c r="AH416" s="5">
        <v>0</v>
      </c>
      <c r="AI416" s="5">
        <v>0</v>
      </c>
      <c r="AJ416" s="5"/>
      <c r="AK416" s="5"/>
      <c r="AL416" s="5"/>
      <c r="AM416" s="5"/>
      <c r="AN416" s="5"/>
      <c r="AO416" s="5"/>
      <c r="AP416" s="5"/>
      <c r="AS416" s="5"/>
      <c r="AT416" s="5" t="s">
        <v>265</v>
      </c>
      <c r="AU416" s="5"/>
      <c r="AV416" s="5"/>
      <c r="AW416" s="5" t="s">
        <v>1565</v>
      </c>
      <c r="AX416" s="5" t="s">
        <v>1560</v>
      </c>
      <c r="BC416" s="5"/>
      <c r="BD416" s="5"/>
      <c r="BE416" s="5"/>
      <c r="BF416" s="5"/>
      <c r="BG416" s="5"/>
      <c r="BH416" s="5"/>
      <c r="BI416" s="5"/>
      <c r="BJ416" s="5" t="s">
        <v>1142</v>
      </c>
      <c r="BK416" s="7"/>
      <c r="BL416" s="5"/>
      <c r="BM416" s="5" t="s">
        <v>1609</v>
      </c>
      <c r="BN416" s="5">
        <v>98</v>
      </c>
      <c r="BO416" s="5" t="s">
        <v>1677</v>
      </c>
    </row>
    <row r="417" spans="1:67">
      <c r="A417" s="4" t="s">
        <v>1373</v>
      </c>
      <c r="B417" s="7"/>
      <c r="C417" s="5" t="s">
        <v>519</v>
      </c>
      <c r="D417" s="8" t="s">
        <v>1365</v>
      </c>
      <c r="E417" s="5" t="s">
        <v>1104</v>
      </c>
      <c r="F417" s="5">
        <v>16</v>
      </c>
      <c r="G417" s="5"/>
      <c r="H417" s="5"/>
      <c r="I417" s="5"/>
      <c r="J417" s="5"/>
      <c r="K417" s="5"/>
      <c r="L417" s="5"/>
      <c r="M417" s="5">
        <v>11</v>
      </c>
      <c r="N417" s="5" t="s">
        <v>45</v>
      </c>
      <c r="O417" s="7"/>
      <c r="P417" s="5"/>
      <c r="Q417" s="5"/>
      <c r="S417" s="5"/>
      <c r="T417" s="5">
        <v>60</v>
      </c>
      <c r="V417" s="5"/>
      <c r="W417" s="5"/>
      <c r="X417" s="5"/>
      <c r="Y417" s="5"/>
      <c r="Z417" s="5"/>
      <c r="AA417" s="5"/>
      <c r="AB417" s="5"/>
      <c r="AC417" s="5"/>
      <c r="AD417" s="5">
        <v>29</v>
      </c>
      <c r="AE417" s="5">
        <v>8</v>
      </c>
      <c r="AF417" s="5">
        <v>21</v>
      </c>
      <c r="AG417" s="5">
        <v>6</v>
      </c>
      <c r="AH417" s="5">
        <v>11</v>
      </c>
      <c r="AI417" s="5">
        <v>11</v>
      </c>
      <c r="AJ417" s="5"/>
      <c r="AK417" s="5"/>
      <c r="AL417" s="5"/>
      <c r="AM417" s="5"/>
      <c r="AN417" s="5"/>
      <c r="AO417" s="5"/>
      <c r="AP417" s="5"/>
      <c r="AS417" s="5"/>
      <c r="AT417" s="5"/>
      <c r="AU417" s="5"/>
      <c r="AV417" s="5">
        <v>7</v>
      </c>
      <c r="AW417" s="5" t="s">
        <v>1565</v>
      </c>
      <c r="AX417" s="5" t="s">
        <v>1560</v>
      </c>
      <c r="BC417" s="5"/>
      <c r="BD417" s="5"/>
      <c r="BE417" s="5"/>
      <c r="BF417" s="5">
        <v>16</v>
      </c>
      <c r="BG417" s="5"/>
      <c r="BH417" s="5" t="s">
        <v>1365</v>
      </c>
      <c r="BI417" s="5" t="s">
        <v>1365</v>
      </c>
      <c r="BJ417" s="5"/>
      <c r="BK417" s="7"/>
      <c r="BL417" s="5"/>
      <c r="BM417" s="5" t="s">
        <v>1609</v>
      </c>
      <c r="BN417" s="5">
        <v>98</v>
      </c>
      <c r="BO417" s="5"/>
    </row>
    <row r="418" spans="1:67">
      <c r="A418" s="4" t="s">
        <v>1374</v>
      </c>
      <c r="B418" s="7"/>
      <c r="C418" s="5" t="s">
        <v>62</v>
      </c>
      <c r="D418" s="8" t="s">
        <v>1365</v>
      </c>
      <c r="E418" s="5" t="s">
        <v>1104</v>
      </c>
      <c r="F418" s="5">
        <v>8</v>
      </c>
      <c r="G418" s="5"/>
      <c r="H418" s="5"/>
      <c r="I418" s="5"/>
      <c r="J418" s="5"/>
      <c r="K418" s="5"/>
      <c r="L418" s="5"/>
      <c r="M418" s="5">
        <v>10</v>
      </c>
      <c r="N418" s="5" t="s">
        <v>45</v>
      </c>
      <c r="O418" s="7"/>
      <c r="P418" s="5"/>
      <c r="Q418" s="5"/>
      <c r="S418" s="5"/>
      <c r="T418" s="5">
        <v>60</v>
      </c>
      <c r="V418" s="5"/>
      <c r="W418" s="5"/>
      <c r="X418" s="5"/>
      <c r="Y418" s="5"/>
      <c r="Z418" s="5"/>
      <c r="AA418" s="5"/>
      <c r="AB418" s="5"/>
      <c r="AC418" s="5"/>
      <c r="AD418" s="5">
        <v>25</v>
      </c>
      <c r="AE418" s="5">
        <v>8</v>
      </c>
      <c r="AF418" s="5">
        <v>19</v>
      </c>
      <c r="AG418" s="5">
        <v>6</v>
      </c>
      <c r="AH418" s="5">
        <v>11</v>
      </c>
      <c r="AI418" s="5">
        <v>11</v>
      </c>
      <c r="AJ418" s="5"/>
      <c r="AK418" s="5"/>
      <c r="AL418" s="5"/>
      <c r="AM418" s="5"/>
      <c r="AN418" s="5"/>
      <c r="AO418" s="5"/>
      <c r="AP418" s="5"/>
      <c r="AS418" s="5"/>
      <c r="AT418" s="5"/>
      <c r="AU418" s="5"/>
      <c r="AV418" s="5">
        <v>5</v>
      </c>
      <c r="AW418" s="5" t="s">
        <v>1565</v>
      </c>
      <c r="AX418" s="5" t="s">
        <v>1560</v>
      </c>
      <c r="BC418" s="5"/>
      <c r="BD418" s="5"/>
      <c r="BE418" s="5"/>
      <c r="BF418" s="5">
        <v>10</v>
      </c>
      <c r="BG418" s="5"/>
      <c r="BH418" s="5" t="s">
        <v>1365</v>
      </c>
      <c r="BI418" s="5" t="s">
        <v>1365</v>
      </c>
      <c r="BJ418" s="5"/>
      <c r="BK418" s="7"/>
      <c r="BL418" s="5"/>
      <c r="BM418" s="5" t="s">
        <v>1609</v>
      </c>
      <c r="BN418" s="5">
        <v>98</v>
      </c>
      <c r="BO418" s="5"/>
    </row>
    <row r="419" spans="1:67">
      <c r="A419" s="4" t="s">
        <v>1375</v>
      </c>
      <c r="B419" s="7"/>
      <c r="C419" s="5" t="s">
        <v>42</v>
      </c>
      <c r="D419" s="8" t="s">
        <v>1365</v>
      </c>
      <c r="E419" s="5" t="s">
        <v>1104</v>
      </c>
      <c r="F419" s="5">
        <v>4</v>
      </c>
      <c r="G419" s="5"/>
      <c r="H419" s="5"/>
      <c r="I419" s="5"/>
      <c r="J419" s="5"/>
      <c r="K419" s="5"/>
      <c r="L419" s="5"/>
      <c r="M419" s="5">
        <v>9</v>
      </c>
      <c r="N419" s="5" t="s">
        <v>45</v>
      </c>
      <c r="O419" s="7"/>
      <c r="P419" s="5"/>
      <c r="Q419" s="5"/>
      <c r="S419" s="5"/>
      <c r="T419" s="5">
        <v>60</v>
      </c>
      <c r="V419" s="5"/>
      <c r="W419" s="5"/>
      <c r="X419" s="5"/>
      <c r="Y419" s="5"/>
      <c r="Z419" s="5"/>
      <c r="AA419" s="5"/>
      <c r="AB419" s="5"/>
      <c r="AC419" s="5"/>
      <c r="AD419" s="5">
        <v>21</v>
      </c>
      <c r="AE419" s="5">
        <v>8</v>
      </c>
      <c r="AF419" s="5">
        <v>17</v>
      </c>
      <c r="AG419" s="5">
        <v>4</v>
      </c>
      <c r="AH419" s="5">
        <v>11</v>
      </c>
      <c r="AI419" s="5">
        <v>11</v>
      </c>
      <c r="AJ419" s="5"/>
      <c r="AK419" s="5"/>
      <c r="AL419" s="5"/>
      <c r="AM419" s="5"/>
      <c r="AN419" s="5"/>
      <c r="AO419" s="5"/>
      <c r="AP419" s="5"/>
      <c r="AS419" s="5"/>
      <c r="AT419" s="5"/>
      <c r="AU419" s="5"/>
      <c r="AV419" s="5">
        <v>3</v>
      </c>
      <c r="AW419" s="5" t="s">
        <v>1565</v>
      </c>
      <c r="AX419" s="5" t="s">
        <v>1560</v>
      </c>
      <c r="BC419" s="5"/>
      <c r="BD419" s="5"/>
      <c r="BE419" s="5"/>
      <c r="BF419" s="5">
        <v>4</v>
      </c>
      <c r="BG419" s="5"/>
      <c r="BH419" s="5" t="s">
        <v>1365</v>
      </c>
      <c r="BI419" s="5" t="s">
        <v>1365</v>
      </c>
      <c r="BJ419" s="5"/>
      <c r="BK419" s="7"/>
      <c r="BL419" s="5"/>
      <c r="BM419" s="5" t="s">
        <v>1609</v>
      </c>
      <c r="BN419" s="5">
        <v>98</v>
      </c>
      <c r="BO419" s="5"/>
    </row>
    <row r="420" spans="1:67">
      <c r="A420" s="4" t="s">
        <v>1376</v>
      </c>
      <c r="B420" s="7"/>
      <c r="C420" s="5" t="s">
        <v>85</v>
      </c>
      <c r="D420" s="8" t="s">
        <v>1365</v>
      </c>
      <c r="E420" s="5" t="s">
        <v>1104</v>
      </c>
      <c r="F420" s="5">
        <v>2</v>
      </c>
      <c r="G420" s="5">
        <v>30</v>
      </c>
      <c r="H420" s="5"/>
      <c r="I420" s="5"/>
      <c r="J420" s="5"/>
      <c r="K420" s="5"/>
      <c r="L420" s="5"/>
      <c r="M420" s="5">
        <v>7</v>
      </c>
      <c r="N420" s="5" t="s">
        <v>1371</v>
      </c>
      <c r="O420" s="7"/>
      <c r="P420" s="5"/>
      <c r="Q420" s="5"/>
      <c r="S420" s="5"/>
      <c r="T420" s="5">
        <v>60</v>
      </c>
      <c r="V420" s="5"/>
      <c r="W420" s="5"/>
      <c r="X420" s="5"/>
      <c r="Y420" s="5"/>
      <c r="Z420" s="5"/>
      <c r="AA420" s="5"/>
      <c r="AB420" s="5"/>
      <c r="AC420" s="5"/>
      <c r="AD420" s="5">
        <v>17</v>
      </c>
      <c r="AE420" s="5">
        <v>8</v>
      </c>
      <c r="AF420" s="5">
        <v>13</v>
      </c>
      <c r="AG420" s="5">
        <v>4</v>
      </c>
      <c r="AH420" s="5">
        <v>11</v>
      </c>
      <c r="AI420" s="5">
        <v>11</v>
      </c>
      <c r="AJ420" s="5"/>
      <c r="AK420" s="5"/>
      <c r="AL420" s="5"/>
      <c r="AM420" s="5"/>
      <c r="AN420" s="5"/>
      <c r="AO420" s="5"/>
      <c r="AP420" s="5"/>
      <c r="AS420" s="5"/>
      <c r="AT420" s="5"/>
      <c r="AU420" s="5"/>
      <c r="AV420" s="5">
        <v>1</v>
      </c>
      <c r="AW420" s="5" t="s">
        <v>1565</v>
      </c>
      <c r="AX420" s="5" t="s">
        <v>1560</v>
      </c>
      <c r="BC420" s="5" t="s">
        <v>1679</v>
      </c>
      <c r="BD420" s="5"/>
      <c r="BE420" s="5">
        <v>5</v>
      </c>
      <c r="BF420" s="5">
        <v>1</v>
      </c>
      <c r="BG420" s="5" t="s">
        <v>1632</v>
      </c>
      <c r="BH420" s="5" t="s">
        <v>1365</v>
      </c>
      <c r="BI420" s="5" t="s">
        <v>1365</v>
      </c>
      <c r="BJ420" s="5"/>
      <c r="BK420" s="7"/>
      <c r="BL420" s="5"/>
      <c r="BM420" s="5" t="s">
        <v>1609</v>
      </c>
      <c r="BN420" s="5">
        <v>98</v>
      </c>
      <c r="BO420" s="5" t="s">
        <v>1613</v>
      </c>
    </row>
    <row r="421" spans="1:67">
      <c r="A421" s="4" t="s">
        <v>1377</v>
      </c>
      <c r="B421" s="7"/>
      <c r="C421" s="5"/>
      <c r="D421" s="5" t="s">
        <v>1365</v>
      </c>
      <c r="E421" s="5" t="s">
        <v>273</v>
      </c>
      <c r="F421" s="5"/>
      <c r="G421" s="5"/>
      <c r="H421" s="5"/>
      <c r="I421" s="5"/>
      <c r="J421" s="5"/>
      <c r="K421" s="5"/>
      <c r="L421" s="5"/>
      <c r="M421" s="5">
        <v>1</v>
      </c>
      <c r="N421" s="5" t="s">
        <v>45</v>
      </c>
      <c r="O421" s="7"/>
      <c r="P421" s="5" t="str">
        <f>IF(HasTemplate,RANGECONCAT(", ",TRUE,'[1]Template Info'!$BK$69:INDEX('[1]Template Info'!$BK$69:$BK$78,'[1]Template Info'!$BI$34)),"")</f>
        <v/>
      </c>
      <c r="Q421" s="5"/>
      <c r="S421" s="5"/>
      <c r="T421" s="5">
        <v>60</v>
      </c>
      <c r="V421" s="5" t="s">
        <v>1552</v>
      </c>
      <c r="W421" s="5"/>
      <c r="X421" s="5" t="s">
        <v>1538</v>
      </c>
      <c r="Y421" s="5"/>
      <c r="Z421" s="5"/>
      <c r="AA421" s="5"/>
      <c r="AB421" s="5"/>
      <c r="AC421" s="5"/>
      <c r="AD421" s="5">
        <v>0</v>
      </c>
      <c r="AE421" s="5">
        <v>4</v>
      </c>
      <c r="AF421" s="5">
        <v>0</v>
      </c>
      <c r="AG421" s="5">
        <v>2</v>
      </c>
      <c r="AH421" s="5">
        <v>0</v>
      </c>
      <c r="AI421" s="5">
        <v>2</v>
      </c>
      <c r="AJ421" s="5"/>
      <c r="AK421" s="5"/>
      <c r="AL421" s="5"/>
      <c r="AM421" s="5"/>
      <c r="AN421" s="5"/>
      <c r="AO421" s="5"/>
      <c r="AP421" s="5"/>
      <c r="AS421" s="5"/>
      <c r="AT421" s="5" t="s">
        <v>1581</v>
      </c>
      <c r="AU421" s="5"/>
      <c r="AV421" s="5"/>
      <c r="AW421" s="5" t="s">
        <v>1565</v>
      </c>
      <c r="AX421" s="5" t="s">
        <v>1560</v>
      </c>
      <c r="BC421" s="5"/>
      <c r="BD421" s="5"/>
      <c r="BE421" s="5"/>
      <c r="BF421" s="5"/>
      <c r="BG421" s="5"/>
      <c r="BH421" s="5"/>
      <c r="BI421" s="5"/>
      <c r="BJ421" s="5" t="s">
        <v>108</v>
      </c>
      <c r="BK421" s="7"/>
      <c r="BL421" s="5"/>
      <c r="BM421" s="5" t="s">
        <v>1609</v>
      </c>
      <c r="BN421" s="5">
        <v>98</v>
      </c>
      <c r="BO421" s="5" t="s">
        <v>1677</v>
      </c>
    </row>
    <row r="422" spans="1:67">
      <c r="A422" s="4" t="s">
        <v>1378</v>
      </c>
      <c r="B422" s="7"/>
      <c r="C422" s="5" t="s">
        <v>519</v>
      </c>
      <c r="D422" s="8" t="s">
        <v>1365</v>
      </c>
      <c r="E422" s="5" t="s">
        <v>1379</v>
      </c>
      <c r="F422" s="5">
        <v>16</v>
      </c>
      <c r="G422" s="5"/>
      <c r="H422" s="5"/>
      <c r="I422" s="5"/>
      <c r="J422" s="5"/>
      <c r="K422" s="5"/>
      <c r="L422" s="5"/>
      <c r="M422" s="5"/>
      <c r="N422" s="5" t="s">
        <v>45</v>
      </c>
      <c r="O422" s="7"/>
      <c r="P422" s="5"/>
      <c r="Q422" s="5"/>
      <c r="S422" s="5"/>
      <c r="T422" s="5">
        <v>60</v>
      </c>
      <c r="V422" s="5" t="s">
        <v>108</v>
      </c>
      <c r="W422" s="5" t="s">
        <v>109</v>
      </c>
      <c r="X422" s="5"/>
      <c r="Y422" s="5"/>
      <c r="Z422" s="5"/>
      <c r="AA422" s="5"/>
      <c r="AB422" s="5"/>
      <c r="AC422" s="5"/>
      <c r="AD422" s="5">
        <v>18</v>
      </c>
      <c r="AE422" s="5">
        <v>25</v>
      </c>
      <c r="AF422" s="5">
        <v>18</v>
      </c>
      <c r="AG422" s="5">
        <v>6</v>
      </c>
      <c r="AH422" s="5">
        <v>11</v>
      </c>
      <c r="AI422" s="5">
        <v>11</v>
      </c>
      <c r="AJ422" s="5"/>
      <c r="AK422" s="5"/>
      <c r="AL422" s="5"/>
      <c r="AM422" s="5"/>
      <c r="AN422" s="5"/>
      <c r="AO422" s="5"/>
      <c r="AP422" s="5"/>
      <c r="AS422" s="5"/>
      <c r="AT422" s="5"/>
      <c r="AU422" s="5"/>
      <c r="AV422" s="5">
        <v>7</v>
      </c>
      <c r="AW422" s="5" t="s">
        <v>1565</v>
      </c>
      <c r="AX422" s="5" t="s">
        <v>1560</v>
      </c>
      <c r="BC422" s="5"/>
      <c r="BD422" s="5"/>
      <c r="BE422" s="5"/>
      <c r="BF422" s="5">
        <v>16</v>
      </c>
      <c r="BG422" s="5"/>
      <c r="BH422" s="5" t="s">
        <v>1365</v>
      </c>
      <c r="BI422" s="5" t="s">
        <v>1365</v>
      </c>
      <c r="BJ422" s="5"/>
      <c r="BK422" s="7"/>
      <c r="BL422" s="5"/>
      <c r="BM422" s="5" t="s">
        <v>1609</v>
      </c>
      <c r="BN422" s="5">
        <v>98</v>
      </c>
      <c r="BO422" s="5"/>
    </row>
    <row r="423" spans="1:67">
      <c r="A423" s="4" t="s">
        <v>1380</v>
      </c>
      <c r="B423" s="7"/>
      <c r="C423" s="5" t="s">
        <v>62</v>
      </c>
      <c r="D423" s="8" t="s">
        <v>1365</v>
      </c>
      <c r="E423" s="5" t="s">
        <v>1379</v>
      </c>
      <c r="F423" s="5">
        <v>8</v>
      </c>
      <c r="G423" s="5"/>
      <c r="H423" s="5"/>
      <c r="I423" s="5"/>
      <c r="J423" s="5"/>
      <c r="K423" s="5"/>
      <c r="L423" s="5"/>
      <c r="M423" s="5"/>
      <c r="N423" s="5" t="s">
        <v>45</v>
      </c>
      <c r="O423" s="7"/>
      <c r="P423" s="5"/>
      <c r="Q423" s="5"/>
      <c r="S423" s="5"/>
      <c r="T423" s="5">
        <v>60</v>
      </c>
      <c r="V423" s="5" t="s">
        <v>108</v>
      </c>
      <c r="W423" s="5" t="s">
        <v>109</v>
      </c>
      <c r="X423" s="5"/>
      <c r="Y423" s="5"/>
      <c r="Z423" s="5"/>
      <c r="AA423" s="5"/>
      <c r="AB423" s="5"/>
      <c r="AC423" s="5"/>
      <c r="AD423" s="5">
        <v>14</v>
      </c>
      <c r="AE423" s="5">
        <v>21</v>
      </c>
      <c r="AF423" s="5">
        <v>16</v>
      </c>
      <c r="AG423" s="5">
        <v>6</v>
      </c>
      <c r="AH423" s="5">
        <v>11</v>
      </c>
      <c r="AI423" s="5">
        <v>11</v>
      </c>
      <c r="AJ423" s="5"/>
      <c r="AK423" s="5"/>
      <c r="AL423" s="5"/>
      <c r="AM423" s="5"/>
      <c r="AN423" s="5"/>
      <c r="AO423" s="5"/>
      <c r="AP423" s="5"/>
      <c r="AS423" s="5"/>
      <c r="AT423" s="5"/>
      <c r="AU423" s="5"/>
      <c r="AV423" s="5">
        <v>5</v>
      </c>
      <c r="AW423" s="5" t="s">
        <v>1565</v>
      </c>
      <c r="AX423" s="5" t="s">
        <v>1560</v>
      </c>
      <c r="BC423" s="5"/>
      <c r="BD423" s="5"/>
      <c r="BE423" s="5"/>
      <c r="BF423" s="5">
        <v>10</v>
      </c>
      <c r="BG423" s="5"/>
      <c r="BH423" s="5" t="s">
        <v>1365</v>
      </c>
      <c r="BI423" s="5" t="s">
        <v>1365</v>
      </c>
      <c r="BJ423" s="5"/>
      <c r="BK423" s="7"/>
      <c r="BL423" s="5"/>
      <c r="BM423" s="5" t="s">
        <v>1609</v>
      </c>
      <c r="BN423" s="5">
        <v>98</v>
      </c>
      <c r="BO423" s="5"/>
    </row>
    <row r="424" spans="1:67">
      <c r="A424" s="4" t="s">
        <v>1381</v>
      </c>
      <c r="B424" s="7"/>
      <c r="C424" s="5" t="s">
        <v>42</v>
      </c>
      <c r="D424" s="8" t="s">
        <v>1365</v>
      </c>
      <c r="E424" s="5" t="s">
        <v>1379</v>
      </c>
      <c r="F424" s="5">
        <v>4</v>
      </c>
      <c r="G424" s="5"/>
      <c r="H424" s="5"/>
      <c r="I424" s="5"/>
      <c r="J424" s="5"/>
      <c r="K424" s="5"/>
      <c r="L424" s="5"/>
      <c r="M424" s="5"/>
      <c r="N424" s="5" t="s">
        <v>45</v>
      </c>
      <c r="O424" s="7"/>
      <c r="P424" s="5"/>
      <c r="Q424" s="5"/>
      <c r="S424" s="5"/>
      <c r="T424" s="5">
        <v>60</v>
      </c>
      <c r="V424" s="5" t="s">
        <v>108</v>
      </c>
      <c r="W424" s="5" t="s">
        <v>109</v>
      </c>
      <c r="X424" s="5"/>
      <c r="Y424" s="5"/>
      <c r="Z424" s="5"/>
      <c r="AA424" s="5"/>
      <c r="AB424" s="5"/>
      <c r="AC424" s="5"/>
      <c r="AD424" s="5">
        <v>12</v>
      </c>
      <c r="AE424" s="5">
        <v>17</v>
      </c>
      <c r="AF424" s="5">
        <v>14</v>
      </c>
      <c r="AG424" s="5">
        <v>4</v>
      </c>
      <c r="AH424" s="5">
        <v>11</v>
      </c>
      <c r="AI424" s="5">
        <v>11</v>
      </c>
      <c r="AJ424" s="5"/>
      <c r="AK424" s="5"/>
      <c r="AL424" s="5"/>
      <c r="AM424" s="5"/>
      <c r="AN424" s="5"/>
      <c r="AO424" s="5"/>
      <c r="AP424" s="5"/>
      <c r="AS424" s="5"/>
      <c r="AT424" s="5"/>
      <c r="AU424" s="5"/>
      <c r="AV424" s="5">
        <v>3</v>
      </c>
      <c r="AW424" s="5" t="s">
        <v>1565</v>
      </c>
      <c r="AX424" s="5" t="s">
        <v>1560</v>
      </c>
      <c r="BC424" s="5"/>
      <c r="BD424" s="5"/>
      <c r="BE424" s="5"/>
      <c r="BF424" s="5">
        <v>4</v>
      </c>
      <c r="BG424" s="5"/>
      <c r="BH424" s="5" t="s">
        <v>1365</v>
      </c>
      <c r="BI424" s="5" t="s">
        <v>1365</v>
      </c>
      <c r="BJ424" s="5"/>
      <c r="BK424" s="7"/>
      <c r="BL424" s="5"/>
      <c r="BM424" s="5" t="s">
        <v>1609</v>
      </c>
      <c r="BN424" s="5">
        <v>98</v>
      </c>
      <c r="BO424" s="5"/>
    </row>
    <row r="425" spans="1:67">
      <c r="A425" s="4" t="s">
        <v>1382</v>
      </c>
      <c r="B425" s="7"/>
      <c r="C425" s="5" t="s">
        <v>85</v>
      </c>
      <c r="D425" s="8" t="s">
        <v>1365</v>
      </c>
      <c r="E425" s="5" t="s">
        <v>1379</v>
      </c>
      <c r="F425" s="5">
        <v>2</v>
      </c>
      <c r="G425" s="5">
        <v>50</v>
      </c>
      <c r="H425" s="5"/>
      <c r="I425" s="5"/>
      <c r="J425" s="5"/>
      <c r="K425" s="5"/>
      <c r="L425" s="5"/>
      <c r="M425" s="5"/>
      <c r="N425" s="5" t="s">
        <v>1371</v>
      </c>
      <c r="O425" s="7"/>
      <c r="P425" s="5"/>
      <c r="Q425" s="5"/>
      <c r="S425" s="5"/>
      <c r="T425" s="5">
        <v>60</v>
      </c>
      <c r="V425" s="5" t="s">
        <v>108</v>
      </c>
      <c r="W425" s="5" t="s">
        <v>109</v>
      </c>
      <c r="X425" s="5"/>
      <c r="Y425" s="5"/>
      <c r="Z425" s="5"/>
      <c r="AA425" s="5"/>
      <c r="AB425" s="5"/>
      <c r="AC425" s="5"/>
      <c r="AD425" s="5">
        <v>10</v>
      </c>
      <c r="AE425" s="5">
        <v>13</v>
      </c>
      <c r="AF425" s="5">
        <v>10</v>
      </c>
      <c r="AG425" s="5">
        <v>4</v>
      </c>
      <c r="AH425" s="5">
        <v>11</v>
      </c>
      <c r="AI425" s="5">
        <v>11</v>
      </c>
      <c r="AJ425" s="5"/>
      <c r="AK425" s="5"/>
      <c r="AL425" s="5"/>
      <c r="AM425" s="5"/>
      <c r="AN425" s="5"/>
      <c r="AO425" s="5"/>
      <c r="AP425" s="5"/>
      <c r="AS425" s="5"/>
      <c r="AT425" s="5"/>
      <c r="AU425" s="5"/>
      <c r="AV425" s="5">
        <v>1</v>
      </c>
      <c r="AW425" s="5" t="s">
        <v>1565</v>
      </c>
      <c r="AX425" s="5" t="s">
        <v>1560</v>
      </c>
      <c r="BC425" s="5" t="s">
        <v>1680</v>
      </c>
      <c r="BD425" s="5"/>
      <c r="BE425" s="5">
        <v>5</v>
      </c>
      <c r="BF425" s="5">
        <v>1</v>
      </c>
      <c r="BG425" s="5" t="s">
        <v>1632</v>
      </c>
      <c r="BH425" s="5" t="s">
        <v>1365</v>
      </c>
      <c r="BI425" s="5" t="s">
        <v>1365</v>
      </c>
      <c r="BJ425" s="5"/>
      <c r="BK425" s="7"/>
      <c r="BL425" s="5"/>
      <c r="BM425" s="5" t="s">
        <v>1609</v>
      </c>
      <c r="BN425" s="5">
        <v>98</v>
      </c>
      <c r="BO425" s="5" t="s">
        <v>1613</v>
      </c>
    </row>
    <row r="426" spans="1:67">
      <c r="A426" s="4" t="s">
        <v>1383</v>
      </c>
      <c r="B426" s="7"/>
      <c r="C426" s="5"/>
      <c r="D426" s="5" t="s">
        <v>1365</v>
      </c>
      <c r="E426" s="5" t="s">
        <v>1305</v>
      </c>
      <c r="F426" s="5"/>
      <c r="G426" s="5"/>
      <c r="H426" s="5"/>
      <c r="I426" s="5"/>
      <c r="J426" s="5"/>
      <c r="K426" s="5"/>
      <c r="L426" s="5"/>
      <c r="M426" s="5">
        <v>1</v>
      </c>
      <c r="N426" s="5" t="s">
        <v>45</v>
      </c>
      <c r="O426" s="7"/>
      <c r="P426" s="5" t="str">
        <f>IF(HasTemplate,RANGECONCAT(", ",TRUE,'[1]Template Info'!$BL$69:INDEX('[1]Template Info'!$BL$69:$BL$78,'[1]Template Info'!$BI$34)),"")</f>
        <v/>
      </c>
      <c r="Q426" s="5"/>
      <c r="S426" s="5"/>
      <c r="T426" s="5">
        <v>60</v>
      </c>
      <c r="V426" s="5" t="s">
        <v>1553</v>
      </c>
      <c r="W426" s="5"/>
      <c r="X426" s="5" t="s">
        <v>108</v>
      </c>
      <c r="Y426" s="5"/>
      <c r="Z426" s="5"/>
      <c r="AA426" s="5"/>
      <c r="AB426" s="5"/>
      <c r="AC426" s="5"/>
      <c r="AD426" s="5">
        <v>2</v>
      </c>
      <c r="AE426" s="5">
        <v>0</v>
      </c>
      <c r="AF426" s="5">
        <v>2</v>
      </c>
      <c r="AG426" s="5">
        <v>2</v>
      </c>
      <c r="AH426" s="5">
        <v>2</v>
      </c>
      <c r="AI426" s="5">
        <v>2</v>
      </c>
      <c r="AJ426" s="5"/>
      <c r="AK426" s="5"/>
      <c r="AL426" s="5"/>
      <c r="AM426" s="5"/>
      <c r="AN426" s="5"/>
      <c r="AO426" s="5"/>
      <c r="AP426" s="5"/>
      <c r="AS426" s="5"/>
      <c r="AT426" s="5" t="s">
        <v>854</v>
      </c>
      <c r="AU426" s="5"/>
      <c r="AV426" s="5"/>
      <c r="AW426" s="5" t="s">
        <v>1565</v>
      </c>
      <c r="AX426" s="5" t="s">
        <v>1560</v>
      </c>
      <c r="BC426" s="5"/>
      <c r="BD426" s="5"/>
      <c r="BE426" s="5"/>
      <c r="BF426" s="5"/>
      <c r="BG426" s="5"/>
      <c r="BH426" s="5"/>
      <c r="BI426" s="5"/>
      <c r="BJ426" s="5" t="s">
        <v>109</v>
      </c>
      <c r="BK426" s="7"/>
      <c r="BL426" s="5"/>
      <c r="BM426" s="5" t="s">
        <v>1609</v>
      </c>
      <c r="BN426" s="5">
        <v>98</v>
      </c>
      <c r="BO426" s="5" t="s">
        <v>1677</v>
      </c>
    </row>
    <row r="427" spans="1:67">
      <c r="A427" s="4" t="s">
        <v>1384</v>
      </c>
      <c r="B427" s="7"/>
      <c r="C427" s="5" t="s">
        <v>519</v>
      </c>
      <c r="D427" s="8" t="s">
        <v>1365</v>
      </c>
      <c r="E427" s="5" t="s">
        <v>1385</v>
      </c>
      <c r="F427" s="5">
        <v>16</v>
      </c>
      <c r="G427" s="5"/>
      <c r="H427" s="5"/>
      <c r="I427" s="5"/>
      <c r="J427" s="5"/>
      <c r="K427" s="5"/>
      <c r="L427" s="5"/>
      <c r="M427" s="5">
        <v>9</v>
      </c>
      <c r="N427" s="5" t="s">
        <v>45</v>
      </c>
      <c r="O427" s="7"/>
      <c r="P427" s="5"/>
      <c r="Q427" s="5"/>
      <c r="S427" s="5"/>
      <c r="T427" s="5">
        <v>60</v>
      </c>
      <c r="V427" s="5"/>
      <c r="W427" s="5"/>
      <c r="X427" s="5"/>
      <c r="Y427" s="5"/>
      <c r="Z427" s="5"/>
      <c r="AA427" s="5"/>
      <c r="AB427" s="5"/>
      <c r="AC427" s="5"/>
      <c r="AD427" s="5">
        <v>24</v>
      </c>
      <c r="AE427" s="5">
        <v>18</v>
      </c>
      <c r="AF427" s="5">
        <v>21</v>
      </c>
      <c r="AG427" s="5">
        <v>6</v>
      </c>
      <c r="AH427" s="5">
        <v>11</v>
      </c>
      <c r="AI427" s="5">
        <v>11</v>
      </c>
      <c r="AJ427" s="5"/>
      <c r="AK427" s="5"/>
      <c r="AL427" s="5"/>
      <c r="AM427" s="5"/>
      <c r="AN427" s="5"/>
      <c r="AO427" s="5"/>
      <c r="AP427" s="5"/>
      <c r="AS427" s="5"/>
      <c r="AT427" s="5"/>
      <c r="AU427" s="5"/>
      <c r="AV427" s="5">
        <v>7</v>
      </c>
      <c r="AW427" s="5" t="s">
        <v>1565</v>
      </c>
      <c r="AX427" s="5" t="s">
        <v>1560</v>
      </c>
      <c r="BC427" s="5"/>
      <c r="BD427" s="5"/>
      <c r="BE427" s="5"/>
      <c r="BF427" s="5">
        <v>16</v>
      </c>
      <c r="BG427" s="5"/>
      <c r="BH427" s="5" t="s">
        <v>1365</v>
      </c>
      <c r="BI427" s="5" t="s">
        <v>1365</v>
      </c>
      <c r="BJ427" s="5"/>
      <c r="BK427" s="7"/>
      <c r="BL427" s="5"/>
      <c r="BM427" s="5" t="s">
        <v>1609</v>
      </c>
      <c r="BN427" s="5">
        <v>98</v>
      </c>
      <c r="BO427" s="5"/>
    </row>
    <row r="428" spans="1:67">
      <c r="A428" s="4" t="s">
        <v>1386</v>
      </c>
      <c r="B428" s="7"/>
      <c r="C428" s="5" t="s">
        <v>62</v>
      </c>
      <c r="D428" s="8" t="s">
        <v>1365</v>
      </c>
      <c r="E428" s="5" t="s">
        <v>1385</v>
      </c>
      <c r="F428" s="5">
        <v>8</v>
      </c>
      <c r="G428" s="5"/>
      <c r="H428" s="5"/>
      <c r="I428" s="5"/>
      <c r="J428" s="5"/>
      <c r="K428" s="5"/>
      <c r="L428" s="5"/>
      <c r="M428" s="5">
        <v>9</v>
      </c>
      <c r="N428" s="5" t="s">
        <v>45</v>
      </c>
      <c r="O428" s="7"/>
      <c r="P428" s="5"/>
      <c r="Q428" s="5"/>
      <c r="S428" s="5"/>
      <c r="T428" s="5">
        <v>60</v>
      </c>
      <c r="V428" s="5"/>
      <c r="W428" s="5"/>
      <c r="X428" s="5"/>
      <c r="Y428" s="5"/>
      <c r="Z428" s="5"/>
      <c r="AA428" s="5"/>
      <c r="AB428" s="5"/>
      <c r="AC428" s="5"/>
      <c r="AD428" s="5">
        <v>20</v>
      </c>
      <c r="AE428" s="5">
        <v>14</v>
      </c>
      <c r="AF428" s="5">
        <v>19</v>
      </c>
      <c r="AG428" s="5">
        <v>6</v>
      </c>
      <c r="AH428" s="5">
        <v>11</v>
      </c>
      <c r="AI428" s="5">
        <v>11</v>
      </c>
      <c r="AJ428" s="5"/>
      <c r="AK428" s="5"/>
      <c r="AL428" s="5"/>
      <c r="AM428" s="5"/>
      <c r="AN428" s="5"/>
      <c r="AO428" s="5"/>
      <c r="AP428" s="5"/>
      <c r="AS428" s="5"/>
      <c r="AT428" s="5"/>
      <c r="AU428" s="5"/>
      <c r="AV428" s="5">
        <v>5</v>
      </c>
      <c r="AW428" s="5" t="s">
        <v>1565</v>
      </c>
      <c r="AX428" s="5" t="s">
        <v>1560</v>
      </c>
      <c r="BC428" s="5"/>
      <c r="BD428" s="5"/>
      <c r="BE428" s="5"/>
      <c r="BF428" s="5">
        <v>10</v>
      </c>
      <c r="BG428" s="5"/>
      <c r="BH428" s="5" t="s">
        <v>1365</v>
      </c>
      <c r="BI428" s="5" t="s">
        <v>1365</v>
      </c>
      <c r="BJ428" s="5"/>
      <c r="BK428" s="7"/>
      <c r="BL428" s="5"/>
      <c r="BM428" s="5" t="s">
        <v>1609</v>
      </c>
      <c r="BN428" s="5">
        <v>98</v>
      </c>
      <c r="BO428" s="5"/>
    </row>
    <row r="429" spans="1:67">
      <c r="A429" s="4" t="s">
        <v>1387</v>
      </c>
      <c r="B429" s="7"/>
      <c r="C429" s="5" t="s">
        <v>42</v>
      </c>
      <c r="D429" s="8" t="s">
        <v>1365</v>
      </c>
      <c r="E429" s="5" t="s">
        <v>1385</v>
      </c>
      <c r="F429" s="5">
        <v>4</v>
      </c>
      <c r="G429" s="5"/>
      <c r="H429" s="5"/>
      <c r="I429" s="5"/>
      <c r="J429" s="5"/>
      <c r="K429" s="5"/>
      <c r="L429" s="5"/>
      <c r="M429" s="5">
        <v>8</v>
      </c>
      <c r="N429" s="5" t="s">
        <v>45</v>
      </c>
      <c r="O429" s="7"/>
      <c r="P429" s="5"/>
      <c r="Q429" s="5"/>
      <c r="S429" s="5"/>
      <c r="T429" s="5">
        <v>60</v>
      </c>
      <c r="V429" s="5"/>
      <c r="W429" s="5"/>
      <c r="X429" s="5"/>
      <c r="Y429" s="5"/>
      <c r="Z429" s="5"/>
      <c r="AA429" s="5"/>
      <c r="AB429" s="5"/>
      <c r="AC429" s="5"/>
      <c r="AD429" s="5">
        <v>16</v>
      </c>
      <c r="AE429" s="5">
        <v>12</v>
      </c>
      <c r="AF429" s="5">
        <v>17</v>
      </c>
      <c r="AG429" s="5">
        <v>4</v>
      </c>
      <c r="AH429" s="5">
        <v>11</v>
      </c>
      <c r="AI429" s="5">
        <v>11</v>
      </c>
      <c r="AJ429" s="5"/>
      <c r="AK429" s="5"/>
      <c r="AL429" s="5"/>
      <c r="AM429" s="5"/>
      <c r="AN429" s="5"/>
      <c r="AO429" s="5"/>
      <c r="AP429" s="5"/>
      <c r="AS429" s="5"/>
      <c r="AT429" s="5"/>
      <c r="AU429" s="5"/>
      <c r="AV429" s="5">
        <v>3</v>
      </c>
      <c r="AW429" s="5" t="s">
        <v>1565</v>
      </c>
      <c r="AX429" s="5" t="s">
        <v>1560</v>
      </c>
      <c r="BC429" s="5"/>
      <c r="BD429" s="5"/>
      <c r="BE429" s="5"/>
      <c r="BF429" s="5">
        <v>4</v>
      </c>
      <c r="BG429" s="5"/>
      <c r="BH429" s="5" t="s">
        <v>1365</v>
      </c>
      <c r="BI429" s="5" t="s">
        <v>1365</v>
      </c>
      <c r="BJ429" s="5"/>
      <c r="BK429" s="7"/>
      <c r="BL429" s="5"/>
      <c r="BM429" s="5" t="s">
        <v>1609</v>
      </c>
      <c r="BN429" s="5">
        <v>98</v>
      </c>
      <c r="BO429" s="5"/>
    </row>
    <row r="430" spans="1:67">
      <c r="A430" s="4" t="s">
        <v>1388</v>
      </c>
      <c r="B430" s="7"/>
      <c r="C430" s="5" t="s">
        <v>85</v>
      </c>
      <c r="D430" s="8" t="s">
        <v>1365</v>
      </c>
      <c r="E430" s="5" t="s">
        <v>1385</v>
      </c>
      <c r="F430" s="5">
        <v>2</v>
      </c>
      <c r="G430" s="5">
        <v>20</v>
      </c>
      <c r="H430" s="5"/>
      <c r="I430" s="5"/>
      <c r="J430" s="5"/>
      <c r="K430" s="5"/>
      <c r="L430" s="5">
        <v>90</v>
      </c>
      <c r="M430" s="5">
        <v>6</v>
      </c>
      <c r="N430" s="5" t="s">
        <v>1371</v>
      </c>
      <c r="O430" s="7"/>
      <c r="P430" s="5"/>
      <c r="Q430" s="5"/>
      <c r="S430" s="5"/>
      <c r="T430" s="5">
        <v>60</v>
      </c>
      <c r="V430" s="5"/>
      <c r="W430" s="5"/>
      <c r="X430" s="5"/>
      <c r="Y430" s="5"/>
      <c r="Z430" s="5"/>
      <c r="AA430" s="5"/>
      <c r="AB430" s="5"/>
      <c r="AC430" s="5"/>
      <c r="AD430" s="5">
        <v>14</v>
      </c>
      <c r="AE430" s="5">
        <v>10</v>
      </c>
      <c r="AF430" s="5">
        <v>13</v>
      </c>
      <c r="AG430" s="5">
        <v>4</v>
      </c>
      <c r="AH430" s="5">
        <v>11</v>
      </c>
      <c r="AI430" s="5">
        <v>11</v>
      </c>
      <c r="AJ430" s="5"/>
      <c r="AK430" s="5"/>
      <c r="AL430" s="5"/>
      <c r="AM430" s="5"/>
      <c r="AN430" s="5"/>
      <c r="AO430" s="5"/>
      <c r="AP430" s="5"/>
      <c r="AS430" s="5"/>
      <c r="AT430" s="5"/>
      <c r="AU430" s="5"/>
      <c r="AV430" s="5">
        <v>1</v>
      </c>
      <c r="AW430" s="5" t="s">
        <v>1565</v>
      </c>
      <c r="AX430" s="5" t="s">
        <v>1560</v>
      </c>
      <c r="BC430" s="5" t="s">
        <v>1681</v>
      </c>
      <c r="BD430" s="5"/>
      <c r="BE430" s="5">
        <v>5</v>
      </c>
      <c r="BF430" s="5">
        <v>1</v>
      </c>
      <c r="BG430" s="5" t="s">
        <v>1632</v>
      </c>
      <c r="BH430" s="5" t="s">
        <v>1365</v>
      </c>
      <c r="BI430" s="5" t="s">
        <v>1365</v>
      </c>
      <c r="BJ430" s="5"/>
      <c r="BK430" s="7"/>
      <c r="BL430" s="5"/>
      <c r="BM430" s="5" t="s">
        <v>1609</v>
      </c>
      <c r="BN430" s="5">
        <v>98</v>
      </c>
      <c r="BO430" s="5" t="s">
        <v>1613</v>
      </c>
    </row>
    <row r="431" spans="1:67">
      <c r="A431" s="4" t="s">
        <v>1389</v>
      </c>
      <c r="B431" s="7"/>
      <c r="C431" s="5" t="s">
        <v>519</v>
      </c>
      <c r="D431" s="8" t="s">
        <v>1241</v>
      </c>
      <c r="E431" s="5"/>
      <c r="F431" s="5">
        <v>11</v>
      </c>
      <c r="G431" s="5">
        <v>40</v>
      </c>
      <c r="H431" s="5"/>
      <c r="I431" s="5"/>
      <c r="J431" s="5"/>
      <c r="K431" s="5"/>
      <c r="L431" s="5"/>
      <c r="M431" s="5">
        <v>7</v>
      </c>
      <c r="N431" s="5" t="s">
        <v>1390</v>
      </c>
      <c r="O431" s="7"/>
      <c r="P431" s="5"/>
      <c r="Q431" s="5"/>
      <c r="S431" s="5"/>
      <c r="T431" s="5">
        <v>60</v>
      </c>
      <c r="V431" s="5"/>
      <c r="W431" s="5"/>
      <c r="X431" s="5"/>
      <c r="Y431" s="5"/>
      <c r="Z431" s="5"/>
      <c r="AA431" s="5"/>
      <c r="AB431" s="5"/>
      <c r="AC431" s="5"/>
      <c r="AD431" s="5">
        <v>30</v>
      </c>
      <c r="AE431" s="5">
        <v>10</v>
      </c>
      <c r="AF431" s="5">
        <v>21</v>
      </c>
      <c r="AG431" s="5">
        <v>2</v>
      </c>
      <c r="AH431" s="5">
        <v>13</v>
      </c>
      <c r="AI431" s="5">
        <v>7</v>
      </c>
      <c r="AJ431" s="5"/>
      <c r="AK431" s="5"/>
      <c r="AL431" s="5"/>
      <c r="AM431" s="5"/>
      <c r="AN431" s="5"/>
      <c r="AO431" s="5"/>
      <c r="AP431" s="5"/>
      <c r="AS431" s="5"/>
      <c r="AT431" s="5"/>
      <c r="AU431" s="5"/>
      <c r="AV431" s="5"/>
      <c r="AW431" s="5"/>
      <c r="AX431" s="5" t="s">
        <v>1560</v>
      </c>
      <c r="BC431" s="5"/>
      <c r="BD431" s="5"/>
      <c r="BE431" s="5"/>
      <c r="BF431" s="5">
        <v>13</v>
      </c>
      <c r="BG431" s="5"/>
      <c r="BH431" s="5"/>
      <c r="BI431" s="5"/>
      <c r="BJ431" s="5"/>
      <c r="BK431" s="7"/>
      <c r="BL431" s="5"/>
      <c r="BM431" s="5" t="s">
        <v>1609</v>
      </c>
      <c r="BN431" s="5">
        <v>272</v>
      </c>
      <c r="BO431" s="5"/>
    </row>
    <row r="432" spans="1:67">
      <c r="A432" s="4" t="s">
        <v>1391</v>
      </c>
      <c r="B432" s="7"/>
      <c r="C432" s="5" t="s">
        <v>42</v>
      </c>
      <c r="D432" s="8" t="s">
        <v>1239</v>
      </c>
      <c r="E432" s="5"/>
      <c r="F432" s="5">
        <v>2</v>
      </c>
      <c r="G432" s="5">
        <v>50</v>
      </c>
      <c r="H432" s="5"/>
      <c r="I432" s="5"/>
      <c r="J432" s="5"/>
      <c r="K432" s="5"/>
      <c r="L432" s="5"/>
      <c r="M432" s="5">
        <v>4</v>
      </c>
      <c r="N432" s="5" t="s">
        <v>1278</v>
      </c>
      <c r="O432" s="7"/>
      <c r="P432" s="5"/>
      <c r="Q432" s="5"/>
      <c r="S432" s="5" t="s">
        <v>77</v>
      </c>
      <c r="T432" s="5"/>
      <c r="V432" s="5" t="s">
        <v>1117</v>
      </c>
      <c r="W432" s="5"/>
      <c r="X432" s="5"/>
      <c r="Y432" s="5"/>
      <c r="Z432" s="5"/>
      <c r="AA432" s="5"/>
      <c r="AB432" s="5"/>
      <c r="AC432" s="5"/>
      <c r="AD432" s="5">
        <v>17</v>
      </c>
      <c r="AE432" s="5">
        <v>17</v>
      </c>
      <c r="AF432" s="5">
        <v>13</v>
      </c>
      <c r="AG432" s="5">
        <v>2</v>
      </c>
      <c r="AH432" s="5">
        <v>12</v>
      </c>
      <c r="AI432" s="5">
        <v>8</v>
      </c>
      <c r="AJ432" s="5"/>
      <c r="AK432" s="5"/>
      <c r="AL432" s="5"/>
      <c r="AM432" s="5"/>
      <c r="AN432" s="5"/>
      <c r="AO432" s="5"/>
      <c r="AP432" s="5"/>
      <c r="AS432" s="5" t="s">
        <v>1582</v>
      </c>
      <c r="AT432" s="5"/>
      <c r="AU432" s="5"/>
      <c r="AV432" s="5"/>
      <c r="AW432" s="5" t="s">
        <v>1565</v>
      </c>
      <c r="AX432" s="5" t="s">
        <v>1560</v>
      </c>
      <c r="BC432" s="5" t="s">
        <v>1682</v>
      </c>
      <c r="BD432" s="5"/>
      <c r="BE432" s="5"/>
      <c r="BF432" s="5">
        <v>1</v>
      </c>
      <c r="BG432" s="5"/>
      <c r="BH432" s="5"/>
      <c r="BI432" s="5"/>
      <c r="BJ432" s="5"/>
      <c r="BK432" s="7"/>
      <c r="BL432" s="5"/>
      <c r="BM432" s="5" t="s">
        <v>1683</v>
      </c>
      <c r="BN432" s="5">
        <v>189</v>
      </c>
      <c r="BO432" s="5"/>
    </row>
    <row r="433" spans="1:67">
      <c r="A433" s="4" t="s">
        <v>1392</v>
      </c>
      <c r="B433" s="7"/>
      <c r="C433" s="5" t="s">
        <v>85</v>
      </c>
      <c r="D433" s="8" t="s">
        <v>1239</v>
      </c>
      <c r="E433" s="5"/>
      <c r="F433" s="5">
        <v>1</v>
      </c>
      <c r="G433" s="5">
        <v>20</v>
      </c>
      <c r="H433" s="5"/>
      <c r="I433" s="5">
        <v>20</v>
      </c>
      <c r="J433" s="5">
        <v>20</v>
      </c>
      <c r="K433" s="5" t="s">
        <v>1271</v>
      </c>
      <c r="L433" s="5"/>
      <c r="M433" s="5">
        <v>3</v>
      </c>
      <c r="N433" s="5" t="s">
        <v>1278</v>
      </c>
      <c r="O433" s="7"/>
      <c r="P433" s="5"/>
      <c r="Q433" s="5"/>
      <c r="S433" s="5" t="s">
        <v>77</v>
      </c>
      <c r="T433" s="5"/>
      <c r="V433" s="5"/>
      <c r="W433" s="5"/>
      <c r="X433" s="5"/>
      <c r="Y433" s="5"/>
      <c r="Z433" s="5"/>
      <c r="AA433" s="5"/>
      <c r="AB433" s="5"/>
      <c r="AC433" s="5"/>
      <c r="AD433" s="5">
        <v>6</v>
      </c>
      <c r="AE433" s="5">
        <v>17</v>
      </c>
      <c r="AF433" s="5">
        <v>11</v>
      </c>
      <c r="AG433" s="5">
        <v>1</v>
      </c>
      <c r="AH433" s="5">
        <v>12</v>
      </c>
      <c r="AI433" s="5">
        <v>2</v>
      </c>
      <c r="AJ433" s="5"/>
      <c r="AK433" s="5"/>
      <c r="AL433" s="5"/>
      <c r="AM433" s="5"/>
      <c r="AN433" s="5"/>
      <c r="AO433" s="5"/>
      <c r="AP433" s="5"/>
      <c r="AS433" s="5" t="s">
        <v>1570</v>
      </c>
      <c r="AT433" s="5"/>
      <c r="AU433" s="5"/>
      <c r="AV433" s="5"/>
      <c r="AW433" s="5" t="s">
        <v>1565</v>
      </c>
      <c r="AX433" s="5" t="s">
        <v>1560</v>
      </c>
      <c r="BC433" s="5" t="s">
        <v>1684</v>
      </c>
      <c r="BD433" s="5"/>
      <c r="BE433" s="5">
        <v>3</v>
      </c>
      <c r="BF433" s="5"/>
      <c r="BG433" s="5" t="s">
        <v>1618</v>
      </c>
      <c r="BH433" s="5"/>
      <c r="BI433" s="5"/>
      <c r="BJ433" s="5"/>
      <c r="BK433" s="7"/>
      <c r="BL433" s="5"/>
      <c r="BM433" s="5" t="s">
        <v>1625</v>
      </c>
      <c r="BN433" s="5"/>
      <c r="BO433" s="5" t="s">
        <v>1626</v>
      </c>
    </row>
    <row r="434" spans="1:67">
      <c r="A434" s="4" t="s">
        <v>1393</v>
      </c>
      <c r="B434" s="7"/>
      <c r="C434" s="5" t="s">
        <v>85</v>
      </c>
      <c r="D434" s="8" t="s">
        <v>1239</v>
      </c>
      <c r="E434" s="5"/>
      <c r="F434" s="5">
        <v>1</v>
      </c>
      <c r="G434" s="5">
        <v>40</v>
      </c>
      <c r="H434" s="5"/>
      <c r="I434" s="5"/>
      <c r="J434" s="5"/>
      <c r="K434" s="5"/>
      <c r="L434" s="5"/>
      <c r="M434" s="5">
        <v>4</v>
      </c>
      <c r="N434" s="5" t="s">
        <v>1278</v>
      </c>
      <c r="O434" s="7"/>
      <c r="P434" s="5"/>
      <c r="Q434" s="5"/>
      <c r="S434" s="5"/>
      <c r="T434" s="5"/>
      <c r="V434" s="5" t="s">
        <v>1554</v>
      </c>
      <c r="W434" s="5"/>
      <c r="X434" s="5" t="s">
        <v>1555</v>
      </c>
      <c r="Y434" s="5"/>
      <c r="Z434" s="5"/>
      <c r="AA434" s="5"/>
      <c r="AB434" s="5"/>
      <c r="AC434" s="5"/>
      <c r="AD434" s="5">
        <v>13</v>
      </c>
      <c r="AE434" s="5">
        <v>14</v>
      </c>
      <c r="AF434" s="5">
        <v>13</v>
      </c>
      <c r="AG434" s="5">
        <v>6</v>
      </c>
      <c r="AH434" s="5">
        <v>10</v>
      </c>
      <c r="AI434" s="5">
        <v>9</v>
      </c>
      <c r="AJ434" s="5"/>
      <c r="AK434" s="5"/>
      <c r="AL434" s="5"/>
      <c r="AM434" s="5"/>
      <c r="AN434" s="5"/>
      <c r="AO434" s="5"/>
      <c r="AP434" s="5"/>
      <c r="AS434" s="5" t="s">
        <v>1583</v>
      </c>
      <c r="AT434" s="5"/>
      <c r="AU434" s="5"/>
      <c r="AV434" s="5"/>
      <c r="AW434" s="5" t="s">
        <v>1569</v>
      </c>
      <c r="AX434" s="5" t="s">
        <v>1560</v>
      </c>
      <c r="BC434" s="5" t="s">
        <v>1685</v>
      </c>
      <c r="BD434" s="5"/>
      <c r="BE434" s="5">
        <v>7</v>
      </c>
      <c r="BF434" s="5"/>
      <c r="BG434" s="5" t="s">
        <v>1618</v>
      </c>
      <c r="BH434" s="5"/>
      <c r="BI434" s="5"/>
      <c r="BJ434" s="5"/>
      <c r="BK434" s="7"/>
      <c r="BL434" s="5"/>
      <c r="BM434" s="5" t="s">
        <v>1609</v>
      </c>
      <c r="BN434" s="5">
        <v>108</v>
      </c>
      <c r="BO434" s="5"/>
    </row>
    <row r="435" spans="1:67">
      <c r="A435" s="4" t="s">
        <v>1394</v>
      </c>
      <c r="B435" s="7"/>
      <c r="C435" s="5" t="s">
        <v>85</v>
      </c>
      <c r="D435" s="8" t="s">
        <v>1241</v>
      </c>
      <c r="E435" s="5"/>
      <c r="F435" s="5">
        <v>1</v>
      </c>
      <c r="G435" s="5">
        <v>40</v>
      </c>
      <c r="H435" s="5"/>
      <c r="I435" s="5"/>
      <c r="J435" s="5"/>
      <c r="K435" s="5"/>
      <c r="L435" s="5"/>
      <c r="M435" s="5"/>
      <c r="N435" s="5" t="s">
        <v>244</v>
      </c>
      <c r="O435" s="7"/>
      <c r="P435" s="5"/>
      <c r="Q435" s="5"/>
      <c r="S435" s="5"/>
      <c r="T435" s="5"/>
      <c r="V435" s="5"/>
      <c r="W435" s="5"/>
      <c r="X435" s="5"/>
      <c r="Y435" s="5"/>
      <c r="Z435" s="5"/>
      <c r="AA435" s="5"/>
      <c r="AB435" s="5"/>
      <c r="AC435" s="5"/>
      <c r="AD435" s="5">
        <v>11</v>
      </c>
      <c r="AE435" s="5">
        <v>19</v>
      </c>
      <c r="AF435" s="5">
        <v>11</v>
      </c>
      <c r="AG435" s="5"/>
      <c r="AH435" s="5"/>
      <c r="AI435" s="5"/>
      <c r="AJ435" s="5"/>
      <c r="AK435" s="5"/>
      <c r="AL435" s="5"/>
      <c r="AM435" s="5"/>
      <c r="AN435" s="5"/>
      <c r="AO435" s="5"/>
      <c r="AP435" s="5"/>
      <c r="AS435" s="5"/>
      <c r="AT435" s="5"/>
      <c r="AU435" s="5"/>
      <c r="AV435" s="5"/>
      <c r="AW435" s="5"/>
      <c r="AX435" s="5" t="s">
        <v>1560</v>
      </c>
      <c r="BC435" s="5"/>
      <c r="BD435" s="5"/>
      <c r="BE435" s="5"/>
      <c r="BF435" s="5"/>
      <c r="BG435" s="5"/>
      <c r="BH435" s="5"/>
      <c r="BI435" s="5"/>
      <c r="BJ435" s="5"/>
      <c r="BK435" s="7"/>
      <c r="BL435" s="5"/>
      <c r="BM435" s="5" t="s">
        <v>1621</v>
      </c>
      <c r="BN435" s="5"/>
      <c r="BO435" s="5"/>
    </row>
    <row r="436" spans="1:67">
      <c r="A436" s="4" t="s">
        <v>1395</v>
      </c>
      <c r="B436" s="7"/>
      <c r="C436" s="5" t="s">
        <v>641</v>
      </c>
      <c r="D436" s="8" t="s">
        <v>1396</v>
      </c>
      <c r="E436" s="5" t="s">
        <v>1397</v>
      </c>
      <c r="F436" s="5">
        <v>1</v>
      </c>
      <c r="G436" s="5"/>
      <c r="H436" s="5"/>
      <c r="I436" s="5"/>
      <c r="J436" s="5">
        <v>10</v>
      </c>
      <c r="K436" s="5" t="s">
        <v>766</v>
      </c>
      <c r="L436" s="5"/>
      <c r="M436" s="5"/>
      <c r="N436" s="5" t="s">
        <v>45</v>
      </c>
      <c r="O436" s="7"/>
      <c r="P436" s="5"/>
      <c r="Q436" s="5"/>
      <c r="S436" s="5" t="s">
        <v>77</v>
      </c>
      <c r="T436" s="5"/>
      <c r="V436" s="6" t="s">
        <v>1556</v>
      </c>
      <c r="W436" s="5"/>
      <c r="X436" s="5"/>
      <c r="Y436" s="5"/>
      <c r="Z436" s="5"/>
      <c r="AA436" s="5"/>
      <c r="AB436" s="5"/>
      <c r="AC436" s="5"/>
      <c r="AD436" s="5" t="s">
        <v>1560</v>
      </c>
      <c r="AE436" s="5">
        <v>14</v>
      </c>
      <c r="AF436" s="5" t="s">
        <v>1560</v>
      </c>
      <c r="AG436" s="5">
        <v>12</v>
      </c>
      <c r="AH436" s="5">
        <v>9</v>
      </c>
      <c r="AI436" s="5">
        <v>16</v>
      </c>
      <c r="AJ436" s="5"/>
      <c r="AK436" s="5"/>
      <c r="AL436" s="5"/>
      <c r="AM436" s="5"/>
      <c r="AN436" s="5"/>
      <c r="AO436" s="5"/>
      <c r="AP436" s="5"/>
      <c r="AS436" s="5" t="s">
        <v>1584</v>
      </c>
      <c r="AT436" s="5"/>
      <c r="AU436" s="5"/>
      <c r="AV436" s="5"/>
      <c r="AW436" s="5" t="s">
        <v>1573</v>
      </c>
      <c r="AX436" s="5" t="s">
        <v>1560</v>
      </c>
      <c r="BC436" s="5" t="s">
        <v>1686</v>
      </c>
      <c r="BD436" s="5"/>
      <c r="BE436" s="8">
        <v>7</v>
      </c>
      <c r="BF436" s="5"/>
      <c r="BG436" s="5" t="s">
        <v>1687</v>
      </c>
      <c r="BH436" s="5"/>
      <c r="BI436" s="5"/>
      <c r="BJ436" s="5"/>
      <c r="BK436" s="7"/>
      <c r="BL436" s="5"/>
      <c r="BM436" s="5" t="s">
        <v>1688</v>
      </c>
      <c r="BN436" s="5">
        <v>221</v>
      </c>
      <c r="BO436" s="5" t="s">
        <v>1689</v>
      </c>
    </row>
    <row r="437" spans="1:67">
      <c r="A437" s="4" t="s">
        <v>1398</v>
      </c>
      <c r="B437" s="7"/>
      <c r="C437" s="5" t="s">
        <v>62</v>
      </c>
      <c r="D437" s="8" t="s">
        <v>1239</v>
      </c>
      <c r="E437" s="5"/>
      <c r="F437" s="5"/>
      <c r="G437" s="5"/>
      <c r="H437" s="5"/>
      <c r="I437" s="5"/>
      <c r="J437" s="5"/>
      <c r="K437" s="5"/>
      <c r="L437" s="5"/>
      <c r="M437" s="5"/>
      <c r="N437" s="5" t="s">
        <v>45</v>
      </c>
      <c r="O437" s="7"/>
      <c r="P437" s="5"/>
      <c r="Q437" s="5"/>
      <c r="S437" s="5"/>
      <c r="T437" s="5">
        <v>60</v>
      </c>
      <c r="V437" s="5"/>
      <c r="W437" s="5"/>
      <c r="X437" s="5"/>
      <c r="Y437" s="5"/>
      <c r="Z437" s="5"/>
      <c r="AA437" s="5"/>
      <c r="AB437" s="5"/>
      <c r="AC437" s="5"/>
      <c r="AD437" s="5"/>
      <c r="AE437" s="5"/>
      <c r="AF437" s="5"/>
      <c r="AG437" s="5"/>
      <c r="AH437" s="5"/>
      <c r="AI437" s="5"/>
      <c r="AJ437" s="5"/>
      <c r="AK437" s="5"/>
      <c r="AL437" s="5"/>
      <c r="AM437" s="5"/>
      <c r="AN437" s="5"/>
      <c r="AO437" s="5"/>
      <c r="AP437" s="5"/>
      <c r="AS437" s="5"/>
      <c r="AT437" s="5"/>
      <c r="AU437" s="5"/>
      <c r="AV437" s="5"/>
      <c r="AW437" s="5"/>
      <c r="AX437" s="5" t="s">
        <v>1560</v>
      </c>
      <c r="BC437" s="5"/>
      <c r="BD437" s="5"/>
      <c r="BE437" s="5"/>
      <c r="BF437" s="5">
        <v>10</v>
      </c>
      <c r="BG437" s="5"/>
      <c r="BH437" s="5"/>
      <c r="BI437" s="5"/>
      <c r="BJ437" s="5"/>
      <c r="BK437" s="7"/>
      <c r="BL437" s="5"/>
      <c r="BM437" s="5" t="s">
        <v>1609</v>
      </c>
      <c r="BN437" s="5">
        <v>126</v>
      </c>
      <c r="BO437" s="5"/>
    </row>
    <row r="438" spans="1:67">
      <c r="A438" s="4" t="s">
        <v>1399</v>
      </c>
      <c r="B438" s="7"/>
      <c r="C438" s="5" t="s">
        <v>62</v>
      </c>
      <c r="D438" s="5" t="s">
        <v>1239</v>
      </c>
      <c r="E438" s="5"/>
      <c r="F438" s="5"/>
      <c r="G438" s="5"/>
      <c r="H438" s="5"/>
      <c r="I438" s="5"/>
      <c r="J438" s="5"/>
      <c r="K438" s="5"/>
      <c r="L438" s="5"/>
      <c r="M438" s="5"/>
      <c r="N438" s="5" t="s">
        <v>45</v>
      </c>
      <c r="O438" s="7"/>
      <c r="P438" s="5"/>
      <c r="Q438" s="5"/>
      <c r="S438" s="5"/>
      <c r="T438" s="5"/>
      <c r="V438" s="5"/>
      <c r="W438" s="5"/>
      <c r="X438" s="5"/>
      <c r="Y438" s="5"/>
      <c r="Z438" s="5"/>
      <c r="AA438" s="5"/>
      <c r="AB438" s="5"/>
      <c r="AC438" s="5"/>
      <c r="AD438" s="5"/>
      <c r="AE438" s="5"/>
      <c r="AF438" s="5"/>
      <c r="AG438" s="5"/>
      <c r="AH438" s="5"/>
      <c r="AI438" s="5"/>
      <c r="AJ438" s="5"/>
      <c r="AK438" s="5"/>
      <c r="AL438" s="5"/>
      <c r="AM438" s="5"/>
      <c r="AN438" s="5"/>
      <c r="AO438" s="5"/>
      <c r="AP438" s="5"/>
      <c r="AS438" s="5"/>
      <c r="AT438" s="5"/>
      <c r="AU438" s="5"/>
      <c r="AV438" s="5"/>
      <c r="AW438" s="5"/>
      <c r="AX438" s="5" t="s">
        <v>1560</v>
      </c>
      <c r="BC438" s="5"/>
      <c r="BD438" s="5"/>
      <c r="BE438" s="5"/>
      <c r="BF438" s="5">
        <v>16</v>
      </c>
      <c r="BG438" s="5"/>
      <c r="BH438" s="5"/>
      <c r="BI438" s="5"/>
      <c r="BJ438" s="5"/>
      <c r="BK438" s="7"/>
      <c r="BL438" s="5"/>
      <c r="BM438" s="5" t="s">
        <v>1609</v>
      </c>
      <c r="BN438" s="5">
        <v>137</v>
      </c>
      <c r="BO438" s="5"/>
    </row>
    <row r="439" spans="1:67">
      <c r="A439" s="4" t="s">
        <v>1400</v>
      </c>
      <c r="B439" s="7"/>
      <c r="C439" s="5" t="s">
        <v>62</v>
      </c>
      <c r="D439" s="5" t="s">
        <v>1239</v>
      </c>
      <c r="E439" s="5"/>
      <c r="F439" s="5"/>
      <c r="G439" s="5"/>
      <c r="H439" s="5"/>
      <c r="I439" s="5"/>
      <c r="J439" s="5"/>
      <c r="K439" s="5"/>
      <c r="L439" s="5"/>
      <c r="M439" s="5"/>
      <c r="N439" s="5" t="s">
        <v>45</v>
      </c>
      <c r="O439" s="7"/>
      <c r="P439" s="5"/>
      <c r="Q439" s="5"/>
      <c r="S439" s="5"/>
      <c r="T439" s="5"/>
      <c r="V439" s="5"/>
      <c r="W439" s="5"/>
      <c r="X439" s="5"/>
      <c r="Y439" s="5"/>
      <c r="Z439" s="5"/>
      <c r="AA439" s="5"/>
      <c r="AB439" s="5"/>
      <c r="AC439" s="5"/>
      <c r="AD439" s="5"/>
      <c r="AE439" s="5"/>
      <c r="AF439" s="5"/>
      <c r="AG439" s="5"/>
      <c r="AH439" s="5"/>
      <c r="AI439" s="5"/>
      <c r="AJ439" s="5"/>
      <c r="AK439" s="5"/>
      <c r="AL439" s="5"/>
      <c r="AM439" s="5"/>
      <c r="AN439" s="5"/>
      <c r="AO439" s="5"/>
      <c r="AP439" s="5"/>
      <c r="AS439" s="5"/>
      <c r="AT439" s="5"/>
      <c r="AU439" s="5"/>
      <c r="AV439" s="5"/>
      <c r="AW439" s="5"/>
      <c r="AX439" s="5" t="s">
        <v>1560</v>
      </c>
      <c r="BC439" s="5"/>
      <c r="BD439" s="5"/>
      <c r="BE439" s="5"/>
      <c r="BF439" s="5">
        <v>16</v>
      </c>
      <c r="BG439" s="5"/>
      <c r="BH439" s="5"/>
      <c r="BI439" s="5"/>
      <c r="BJ439" s="5"/>
      <c r="BK439" s="7"/>
      <c r="BL439" s="5"/>
      <c r="BM439" s="5" t="s">
        <v>1609</v>
      </c>
      <c r="BN439" s="5">
        <v>138</v>
      </c>
      <c r="BO439" s="5"/>
    </row>
    <row r="440" spans="1:67">
      <c r="A440" s="4" t="s">
        <v>1401</v>
      </c>
      <c r="B440" s="7"/>
      <c r="C440" s="5" t="s">
        <v>62</v>
      </c>
      <c r="D440" s="5" t="s">
        <v>1239</v>
      </c>
      <c r="E440" s="5"/>
      <c r="F440" s="5"/>
      <c r="G440" s="5"/>
      <c r="H440" s="5"/>
      <c r="I440" s="5"/>
      <c r="J440" s="5"/>
      <c r="K440" s="5"/>
      <c r="L440" s="5"/>
      <c r="M440" s="5"/>
      <c r="N440" s="5" t="s">
        <v>45</v>
      </c>
      <c r="O440" s="7"/>
      <c r="P440" s="5"/>
      <c r="Q440" s="5"/>
      <c r="S440" s="5"/>
      <c r="T440" s="5"/>
      <c r="V440" s="5"/>
      <c r="W440" s="5"/>
      <c r="X440" s="5"/>
      <c r="Y440" s="5"/>
      <c r="Z440" s="5"/>
      <c r="AA440" s="5"/>
      <c r="AB440" s="5"/>
      <c r="AC440" s="5"/>
      <c r="AD440" s="5"/>
      <c r="AE440" s="5"/>
      <c r="AF440" s="5"/>
      <c r="AG440" s="5"/>
      <c r="AH440" s="5"/>
      <c r="AI440" s="5"/>
      <c r="AJ440" s="5"/>
      <c r="AK440" s="5"/>
      <c r="AL440" s="5"/>
      <c r="AM440" s="5"/>
      <c r="AN440" s="5"/>
      <c r="AO440" s="5"/>
      <c r="AP440" s="5"/>
      <c r="AS440" s="5"/>
      <c r="AT440" s="5"/>
      <c r="AU440" s="5"/>
      <c r="AV440" s="5"/>
      <c r="AW440" s="5"/>
      <c r="AX440" s="5" t="s">
        <v>1560</v>
      </c>
      <c r="BC440" s="5"/>
      <c r="BD440" s="5"/>
      <c r="BE440" s="5"/>
      <c r="BF440" s="5">
        <v>7</v>
      </c>
      <c r="BG440" s="5"/>
      <c r="BH440" s="5"/>
      <c r="BI440" s="5"/>
      <c r="BJ440" s="5"/>
      <c r="BK440" s="7"/>
      <c r="BL440" s="5"/>
      <c r="BM440" s="5" t="s">
        <v>1609</v>
      </c>
      <c r="BN440" s="5">
        <v>139</v>
      </c>
      <c r="BO440" s="5"/>
    </row>
    <row r="441" spans="1:67">
      <c r="A441" s="4" t="s">
        <v>1402</v>
      </c>
      <c r="B441" s="7"/>
      <c r="C441" s="5" t="s">
        <v>641</v>
      </c>
      <c r="D441" s="5" t="s">
        <v>51</v>
      </c>
      <c r="E441" s="5"/>
      <c r="F441" s="5">
        <v>0</v>
      </c>
      <c r="G441" s="5">
        <v>30</v>
      </c>
      <c r="H441" s="5">
        <v>10</v>
      </c>
      <c r="I441" s="5"/>
      <c r="J441" s="5"/>
      <c r="K441" s="5"/>
      <c r="L441" s="5"/>
      <c r="M441" s="5">
        <v>4</v>
      </c>
      <c r="N441" s="5" t="s">
        <v>1278</v>
      </c>
      <c r="O441" s="7"/>
      <c r="P441" s="5"/>
      <c r="Q441" s="5"/>
      <c r="S441" s="5"/>
      <c r="T441" s="5"/>
      <c r="V441" s="5" t="s">
        <v>1536</v>
      </c>
      <c r="W441" s="5"/>
      <c r="X441" s="5" t="s">
        <v>131</v>
      </c>
      <c r="Y441" s="5"/>
      <c r="Z441" s="5"/>
      <c r="AA441" s="5"/>
      <c r="AB441" s="5"/>
      <c r="AC441" s="5"/>
      <c r="AD441" s="5">
        <v>7</v>
      </c>
      <c r="AE441" s="5">
        <v>18</v>
      </c>
      <c r="AF441" s="5">
        <v>12</v>
      </c>
      <c r="AG441" s="5">
        <v>11</v>
      </c>
      <c r="AH441" s="5">
        <v>14</v>
      </c>
      <c r="AI441" s="5">
        <v>13</v>
      </c>
      <c r="AJ441" s="5"/>
      <c r="AK441" s="5"/>
      <c r="AL441" s="5"/>
      <c r="AM441" s="5"/>
      <c r="AN441" s="5"/>
      <c r="AO441" s="5"/>
      <c r="AP441" s="5"/>
      <c r="AS441" s="5" t="s">
        <v>1578</v>
      </c>
      <c r="AT441" s="5"/>
      <c r="AU441" s="5"/>
      <c r="AV441" s="5"/>
      <c r="AW441" s="5" t="s">
        <v>1572</v>
      </c>
      <c r="AX441" s="5" t="s">
        <v>1560</v>
      </c>
      <c r="BC441" s="5" t="s">
        <v>1690</v>
      </c>
      <c r="BD441" s="5"/>
      <c r="BE441" s="5">
        <v>7</v>
      </c>
      <c r="BF441" s="5"/>
      <c r="BG441" s="5" t="s">
        <v>81</v>
      </c>
      <c r="BH441" s="5"/>
      <c r="BI441" s="5"/>
      <c r="BJ441" s="5"/>
      <c r="BK441" s="7"/>
      <c r="BL441" s="5"/>
      <c r="BM441" s="5" t="s">
        <v>1676</v>
      </c>
      <c r="BN441" s="5">
        <v>174</v>
      </c>
      <c r="BO441" s="5"/>
    </row>
    <row r="442" spans="1:67">
      <c r="A442" s="4" t="s">
        <v>1403</v>
      </c>
      <c r="B442" s="7"/>
      <c r="C442" s="5" t="s">
        <v>641</v>
      </c>
      <c r="D442" s="5" t="s">
        <v>1241</v>
      </c>
      <c r="E442" s="5"/>
      <c r="F442" s="5">
        <v>1</v>
      </c>
      <c r="G442" s="5">
        <v>40</v>
      </c>
      <c r="H442" s="5"/>
      <c r="I442" s="5"/>
      <c r="J442" s="5"/>
      <c r="K442" s="5"/>
      <c r="L442" s="5"/>
      <c r="M442" s="5"/>
      <c r="N442" s="5" t="s">
        <v>244</v>
      </c>
      <c r="O442" s="7"/>
      <c r="P442" s="5"/>
      <c r="Q442" s="5"/>
      <c r="S442" s="5"/>
      <c r="T442" s="5"/>
      <c r="V442" s="5"/>
      <c r="W442" s="5"/>
      <c r="X442" s="5"/>
      <c r="Y442" s="5"/>
      <c r="Z442" s="5"/>
      <c r="AA442" s="5"/>
      <c r="AB442" s="5"/>
      <c r="AC442" s="5"/>
      <c r="AD442" s="5">
        <v>1</v>
      </c>
      <c r="AE442" s="5">
        <v>19</v>
      </c>
      <c r="AF442" s="5">
        <v>10</v>
      </c>
      <c r="AG442" s="5"/>
      <c r="AH442" s="5"/>
      <c r="AI442" s="5"/>
      <c r="AJ442" s="5"/>
      <c r="AK442" s="5"/>
      <c r="AL442" s="5"/>
      <c r="AM442" s="5"/>
      <c r="AN442" s="5"/>
      <c r="AO442" s="5"/>
      <c r="AP442" s="5"/>
      <c r="AS442" s="5"/>
      <c r="AT442" s="5"/>
      <c r="AU442" s="5"/>
      <c r="AV442" s="5"/>
      <c r="AW442" s="5"/>
      <c r="AX442" s="5" t="s">
        <v>1560</v>
      </c>
      <c r="BC442" s="5"/>
      <c r="BD442" s="5"/>
      <c r="BE442" s="5"/>
      <c r="BF442" s="5"/>
      <c r="BG442" s="5"/>
      <c r="BH442" s="5"/>
      <c r="BI442" s="5"/>
      <c r="BJ442" s="5"/>
      <c r="BK442" s="7"/>
      <c r="BL442" s="5"/>
      <c r="BM442" s="5" t="s">
        <v>1621</v>
      </c>
      <c r="BN442" s="5"/>
      <c r="BO442" s="5"/>
    </row>
    <row r="443" spans="1:67">
      <c r="A443" s="4" t="s">
        <v>1404</v>
      </c>
      <c r="B443" s="7"/>
      <c r="C443" s="5" t="s">
        <v>641</v>
      </c>
      <c r="D443" s="5" t="s">
        <v>1241</v>
      </c>
      <c r="E443" s="5"/>
      <c r="F443" s="5">
        <v>1</v>
      </c>
      <c r="G443" s="5">
        <v>10</v>
      </c>
      <c r="H443" s="5"/>
      <c r="I443" s="5"/>
      <c r="J443" s="5">
        <v>60</v>
      </c>
      <c r="K443" s="5" t="s">
        <v>1271</v>
      </c>
      <c r="L443" s="5"/>
      <c r="M443" s="5">
        <v>2</v>
      </c>
      <c r="N443" s="5" t="s">
        <v>1405</v>
      </c>
      <c r="O443" s="7"/>
      <c r="P443" s="5"/>
      <c r="Q443" s="5"/>
      <c r="S443" s="5"/>
      <c r="T443" s="5"/>
      <c r="V443" s="5"/>
      <c r="W443" s="5"/>
      <c r="X443" s="5"/>
      <c r="Y443" s="5"/>
      <c r="Z443" s="5"/>
      <c r="AA443" s="5"/>
      <c r="AB443" s="5"/>
      <c r="AC443" s="5"/>
      <c r="AD443" s="5">
        <v>6</v>
      </c>
      <c r="AE443" s="5">
        <v>17</v>
      </c>
      <c r="AF443" s="5">
        <v>10</v>
      </c>
      <c r="AG443" s="5">
        <v>2</v>
      </c>
      <c r="AH443" s="5">
        <v>14</v>
      </c>
      <c r="AI443" s="5">
        <v>6</v>
      </c>
      <c r="AJ443" s="5"/>
      <c r="AK443" s="5"/>
      <c r="AL443" s="5"/>
      <c r="AM443" s="5"/>
      <c r="AN443" s="5"/>
      <c r="AO443" s="5"/>
      <c r="AP443" s="5"/>
      <c r="AS443" s="5" t="s">
        <v>1567</v>
      </c>
      <c r="AT443" s="5"/>
      <c r="AU443" s="5"/>
      <c r="AV443" s="5">
        <v>0</v>
      </c>
      <c r="AW443" s="5" t="s">
        <v>1565</v>
      </c>
      <c r="AX443" s="5" t="s">
        <v>1560</v>
      </c>
      <c r="BC443" s="5" t="s">
        <v>1691</v>
      </c>
      <c r="BD443" s="5"/>
      <c r="BE443" s="5">
        <v>1</v>
      </c>
      <c r="BF443" s="5">
        <v>1</v>
      </c>
      <c r="BG443" s="5" t="s">
        <v>1616</v>
      </c>
      <c r="BH443" s="5"/>
      <c r="BI443" s="5"/>
      <c r="BJ443" s="5"/>
      <c r="BK443" s="7"/>
      <c r="BL443" s="5"/>
      <c r="BM443" s="5" t="s">
        <v>1609</v>
      </c>
      <c r="BN443" s="5">
        <v>273</v>
      </c>
      <c r="BO443" s="5"/>
    </row>
    <row r="444" spans="1:67">
      <c r="A444" s="4" t="s">
        <v>1406</v>
      </c>
      <c r="B444" s="7"/>
      <c r="C444" s="5" t="s">
        <v>42</v>
      </c>
      <c r="D444" s="8" t="s">
        <v>1239</v>
      </c>
      <c r="E444" s="5"/>
      <c r="F444" s="5">
        <v>4</v>
      </c>
      <c r="G444" s="5">
        <v>40</v>
      </c>
      <c r="H444" s="5"/>
      <c r="I444" s="5"/>
      <c r="J444" s="5"/>
      <c r="K444" s="5"/>
      <c r="L444" s="5"/>
      <c r="M444" s="5">
        <v>5</v>
      </c>
      <c r="N444" s="5" t="s">
        <v>1278</v>
      </c>
      <c r="O444" s="7"/>
      <c r="P444" s="5"/>
      <c r="Q444" s="5"/>
      <c r="S444" s="5" t="s">
        <v>77</v>
      </c>
      <c r="T444" s="5"/>
      <c r="V444" s="5" t="s">
        <v>108</v>
      </c>
      <c r="W444" s="5" t="s">
        <v>109</v>
      </c>
      <c r="X444" s="5"/>
      <c r="Y444" s="5"/>
      <c r="Z444" s="5"/>
      <c r="AA444" s="5"/>
      <c r="AB444" s="5"/>
      <c r="AC444" s="5"/>
      <c r="AD444" s="5">
        <v>13</v>
      </c>
      <c r="AE444" s="5">
        <v>13</v>
      </c>
      <c r="AF444" s="5">
        <v>13</v>
      </c>
      <c r="AG444" s="5">
        <v>6</v>
      </c>
      <c r="AH444" s="5">
        <v>10</v>
      </c>
      <c r="AI444" s="5">
        <v>6</v>
      </c>
      <c r="AJ444" s="5"/>
      <c r="AK444" s="5"/>
      <c r="AL444" s="5"/>
      <c r="AM444" s="5"/>
      <c r="AN444" s="5"/>
      <c r="AO444" s="5"/>
      <c r="AP444" s="5"/>
      <c r="AS444" s="5" t="s">
        <v>1585</v>
      </c>
      <c r="AT444" s="5"/>
      <c r="AU444" s="5"/>
      <c r="AV444" s="5"/>
      <c r="AW444" s="5" t="s">
        <v>1574</v>
      </c>
      <c r="AX444" s="5" t="s">
        <v>1560</v>
      </c>
      <c r="BC444" s="5" t="s">
        <v>1692</v>
      </c>
      <c r="BD444" s="5"/>
      <c r="BE444" s="5">
        <v>5</v>
      </c>
      <c r="BF444" s="5"/>
      <c r="BG444" s="5" t="s">
        <v>1618</v>
      </c>
      <c r="BH444" s="5"/>
      <c r="BI444" s="5"/>
      <c r="BJ444" s="5"/>
      <c r="BK444" s="7"/>
      <c r="BL444" s="5"/>
      <c r="BM444" s="5" t="s">
        <v>1609</v>
      </c>
      <c r="BN444" s="5">
        <v>151</v>
      </c>
      <c r="BO444" s="5" t="s">
        <v>1619</v>
      </c>
    </row>
    <row r="445" spans="1:67">
      <c r="A445" s="4" t="s">
        <v>1407</v>
      </c>
      <c r="B445" s="7"/>
      <c r="C445" s="5" t="s">
        <v>62</v>
      </c>
      <c r="D445" s="8" t="s">
        <v>1239</v>
      </c>
      <c r="E445" s="5"/>
      <c r="F445" s="5">
        <v>3</v>
      </c>
      <c r="G445" s="5">
        <v>50</v>
      </c>
      <c r="H445" s="5"/>
      <c r="I445" s="5"/>
      <c r="J445" s="5">
        <v>100</v>
      </c>
      <c r="K445" s="5" t="s">
        <v>1271</v>
      </c>
      <c r="L445" s="5"/>
      <c r="M445" s="5">
        <v>4</v>
      </c>
      <c r="N445" s="5" t="s">
        <v>1408</v>
      </c>
      <c r="O445" s="7"/>
      <c r="P445" s="5"/>
      <c r="Q445" s="5"/>
      <c r="S445" s="5"/>
      <c r="T445" s="5">
        <v>60</v>
      </c>
      <c r="V445" s="5"/>
      <c r="W445" s="5"/>
      <c r="X445" s="5"/>
      <c r="Y445" s="5"/>
      <c r="Z445" s="5"/>
      <c r="AA445" s="5"/>
      <c r="AB445" s="5"/>
      <c r="AC445" s="5"/>
      <c r="AD445" s="5">
        <v>18</v>
      </c>
      <c r="AE445" s="5">
        <v>15</v>
      </c>
      <c r="AF445" s="5">
        <v>16</v>
      </c>
      <c r="AG445" s="5">
        <v>2</v>
      </c>
      <c r="AH445" s="5">
        <v>13</v>
      </c>
      <c r="AI445" s="5">
        <v>8</v>
      </c>
      <c r="AJ445" s="5"/>
      <c r="AK445" s="5"/>
      <c r="AL445" s="5"/>
      <c r="AM445" s="5"/>
      <c r="AN445" s="5"/>
      <c r="AO445" s="5"/>
      <c r="AP445" s="5"/>
      <c r="AS445" s="5" t="s">
        <v>1586</v>
      </c>
      <c r="AT445" s="5"/>
      <c r="AU445" s="5"/>
      <c r="AV445" s="5"/>
      <c r="AW445" s="5" t="s">
        <v>1565</v>
      </c>
      <c r="AX445" s="5" t="s">
        <v>1560</v>
      </c>
      <c r="BC445" s="5" t="s">
        <v>1610</v>
      </c>
      <c r="BD445" s="5"/>
      <c r="BE445" s="5">
        <v>7</v>
      </c>
      <c r="BF445" s="5">
        <v>4</v>
      </c>
      <c r="BG445" s="5" t="s">
        <v>1618</v>
      </c>
      <c r="BH445" s="5"/>
      <c r="BI445" s="5"/>
      <c r="BJ445" s="5"/>
      <c r="BK445" s="7"/>
      <c r="BL445" s="5"/>
      <c r="BM445" s="5" t="s">
        <v>1609</v>
      </c>
      <c r="BN445" s="5">
        <v>152</v>
      </c>
      <c r="BO445" s="5" t="s">
        <v>1619</v>
      </c>
    </row>
    <row r="446" spans="1:67">
      <c r="A446" s="4" t="s">
        <v>1409</v>
      </c>
      <c r="B446" s="7"/>
      <c r="C446" s="5" t="s">
        <v>62</v>
      </c>
      <c r="D446" s="5" t="s">
        <v>1241</v>
      </c>
      <c r="E446" s="5"/>
      <c r="F446" s="5"/>
      <c r="G446" s="5"/>
      <c r="H446" s="5"/>
      <c r="I446" s="5"/>
      <c r="J446" s="5"/>
      <c r="K446" s="5"/>
      <c r="L446" s="5"/>
      <c r="M446" s="5"/>
      <c r="N446" s="5" t="s">
        <v>45</v>
      </c>
      <c r="O446" s="7"/>
      <c r="P446" s="5"/>
      <c r="Q446" s="5"/>
      <c r="S446" s="5" t="s">
        <v>77</v>
      </c>
      <c r="T446" s="5">
        <v>60</v>
      </c>
      <c r="V446" s="5"/>
      <c r="W446" s="5"/>
      <c r="X446" s="5"/>
      <c r="Y446" s="5"/>
      <c r="Z446" s="5"/>
      <c r="AA446" s="5"/>
      <c r="AB446" s="5"/>
      <c r="AC446" s="5"/>
      <c r="AD446" s="5"/>
      <c r="AE446" s="5"/>
      <c r="AF446" s="5"/>
      <c r="AG446" s="5"/>
      <c r="AH446" s="5"/>
      <c r="AI446" s="5"/>
      <c r="AJ446" s="5"/>
      <c r="AK446" s="5"/>
      <c r="AL446" s="5"/>
      <c r="AM446" s="5"/>
      <c r="AN446" s="5"/>
      <c r="AO446" s="5"/>
      <c r="AP446" s="5"/>
      <c r="AS446" s="5"/>
      <c r="AT446" s="5"/>
      <c r="AU446" s="5"/>
      <c r="AV446" s="5"/>
      <c r="AW446" s="5"/>
      <c r="AX446" s="5" t="s">
        <v>1560</v>
      </c>
      <c r="BC446" s="5"/>
      <c r="BD446" s="5"/>
      <c r="BE446" s="5"/>
      <c r="BF446" s="5">
        <v>1</v>
      </c>
      <c r="BG446" s="5"/>
      <c r="BH446" s="5"/>
      <c r="BI446" s="5"/>
      <c r="BJ446" s="5"/>
      <c r="BK446" s="7"/>
      <c r="BL446" s="5"/>
      <c r="BM446" s="5" t="s">
        <v>1609</v>
      </c>
      <c r="BN446" s="5">
        <v>273</v>
      </c>
      <c r="BO446" s="5"/>
    </row>
    <row r="447" spans="1:67">
      <c r="A447" s="4" t="s">
        <v>1410</v>
      </c>
      <c r="B447" s="7"/>
      <c r="C447" s="5" t="s">
        <v>62</v>
      </c>
      <c r="D447" s="5" t="s">
        <v>1241</v>
      </c>
      <c r="E447" s="5"/>
      <c r="F447" s="5"/>
      <c r="G447" s="5"/>
      <c r="H447" s="5"/>
      <c r="I447" s="5"/>
      <c r="J447" s="5"/>
      <c r="K447" s="5"/>
      <c r="L447" s="5"/>
      <c r="M447" s="5"/>
      <c r="N447" s="5" t="s">
        <v>45</v>
      </c>
      <c r="O447" s="7"/>
      <c r="P447" s="5"/>
      <c r="Q447" s="5"/>
      <c r="S447" s="5"/>
      <c r="T447" s="5"/>
      <c r="V447" s="5"/>
      <c r="W447" s="5"/>
      <c r="X447" s="5"/>
      <c r="Y447" s="5"/>
      <c r="Z447" s="5"/>
      <c r="AA447" s="5"/>
      <c r="AB447" s="5"/>
      <c r="AC447" s="5"/>
      <c r="AD447" s="5"/>
      <c r="AE447" s="5"/>
      <c r="AF447" s="5"/>
      <c r="AG447" s="5"/>
      <c r="AH447" s="5"/>
      <c r="AI447" s="5"/>
      <c r="AJ447" s="5"/>
      <c r="AK447" s="5"/>
      <c r="AL447" s="5"/>
      <c r="AM447" s="5"/>
      <c r="AN447" s="5"/>
      <c r="AO447" s="5"/>
      <c r="AP447" s="5"/>
      <c r="AS447" s="5"/>
      <c r="AT447" s="5"/>
      <c r="AU447" s="5"/>
      <c r="AV447" s="5"/>
      <c r="AW447" s="5"/>
      <c r="AX447" s="5" t="s">
        <v>1560</v>
      </c>
      <c r="BC447" s="5"/>
      <c r="BD447" s="5"/>
      <c r="BE447" s="5"/>
      <c r="BF447" s="5">
        <v>1</v>
      </c>
      <c r="BG447" s="5"/>
      <c r="BH447" s="5"/>
      <c r="BI447" s="5"/>
      <c r="BJ447" s="5"/>
      <c r="BK447" s="7"/>
      <c r="BL447" s="5"/>
      <c r="BM447" s="5" t="s">
        <v>1609</v>
      </c>
      <c r="BN447" s="5">
        <v>273</v>
      </c>
      <c r="BO447" s="5"/>
    </row>
    <row r="448" spans="1:67">
      <c r="A448" s="4" t="s">
        <v>1411</v>
      </c>
      <c r="B448" s="7"/>
      <c r="C448" s="5" t="s">
        <v>62</v>
      </c>
      <c r="D448" s="8" t="s">
        <v>1239</v>
      </c>
      <c r="E448" s="5"/>
      <c r="F448" s="5">
        <v>6</v>
      </c>
      <c r="G448" s="5">
        <v>60</v>
      </c>
      <c r="H448" s="5"/>
      <c r="I448" s="5"/>
      <c r="J448" s="5"/>
      <c r="K448" s="5"/>
      <c r="L448" s="5"/>
      <c r="M448" s="5">
        <v>5</v>
      </c>
      <c r="N448" s="5" t="s">
        <v>1412</v>
      </c>
      <c r="O448" s="7"/>
      <c r="P448" s="5"/>
      <c r="Q448" s="5"/>
      <c r="S448" s="5"/>
      <c r="T448" s="5"/>
      <c r="V448" s="5"/>
      <c r="W448" s="5"/>
      <c r="X448" s="5"/>
      <c r="Y448" s="5"/>
      <c r="Z448" s="5"/>
      <c r="AA448" s="5"/>
      <c r="AB448" s="5"/>
      <c r="AC448" s="5"/>
      <c r="AD448" s="5">
        <v>21</v>
      </c>
      <c r="AE448" s="5">
        <v>17</v>
      </c>
      <c r="AF448" s="5">
        <v>15</v>
      </c>
      <c r="AG448" s="5">
        <v>6</v>
      </c>
      <c r="AH448" s="5">
        <v>14</v>
      </c>
      <c r="AI448" s="5">
        <v>8</v>
      </c>
      <c r="AJ448" s="5"/>
      <c r="AK448" s="5"/>
      <c r="AL448" s="5"/>
      <c r="AM448" s="5"/>
      <c r="AN448" s="5"/>
      <c r="AO448" s="5"/>
      <c r="AP448" s="5"/>
      <c r="AS448" s="5" t="s">
        <v>1587</v>
      </c>
      <c r="AT448" s="5"/>
      <c r="AU448" s="5"/>
      <c r="AV448" s="5"/>
      <c r="AW448" s="5" t="s">
        <v>1573</v>
      </c>
      <c r="AX448" s="5" t="s">
        <v>1560</v>
      </c>
      <c r="BC448" s="5" t="s">
        <v>1693</v>
      </c>
      <c r="BD448" s="5"/>
      <c r="BE448" s="5">
        <v>7</v>
      </c>
      <c r="BF448" s="5"/>
      <c r="BG448" s="5" t="s">
        <v>1618</v>
      </c>
      <c r="BH448" s="5"/>
      <c r="BI448" s="5"/>
      <c r="BJ448" s="5"/>
      <c r="BK448" s="7"/>
      <c r="BL448" s="5"/>
      <c r="BM448" s="5" t="s">
        <v>1609</v>
      </c>
      <c r="BN448" s="5">
        <v>154</v>
      </c>
      <c r="BO448" s="5" t="s">
        <v>1619</v>
      </c>
    </row>
    <row r="449" spans="1:67">
      <c r="A449" s="4" t="s">
        <v>1413</v>
      </c>
      <c r="B449" s="7"/>
      <c r="C449" s="5" t="s">
        <v>641</v>
      </c>
      <c r="D449" s="8" t="s">
        <v>51</v>
      </c>
      <c r="E449" s="5"/>
      <c r="F449" s="5">
        <v>3</v>
      </c>
      <c r="G449" s="5">
        <v>20</v>
      </c>
      <c r="H449" s="5"/>
      <c r="I449" s="5"/>
      <c r="J449" s="5">
        <v>50</v>
      </c>
      <c r="K449" s="5" t="s">
        <v>766</v>
      </c>
      <c r="L449" s="5"/>
      <c r="M449" s="5">
        <v>5</v>
      </c>
      <c r="N449" s="5" t="s">
        <v>1267</v>
      </c>
      <c r="O449" s="7"/>
      <c r="P449" s="5"/>
      <c r="Q449" s="5"/>
      <c r="S449" s="5"/>
      <c r="T449" s="5">
        <v>60</v>
      </c>
      <c r="V449" s="5" t="s">
        <v>782</v>
      </c>
      <c r="W449" s="5"/>
      <c r="X449" s="5" t="s">
        <v>165</v>
      </c>
      <c r="Y449" s="5"/>
      <c r="Z449" s="5" t="s">
        <v>1557</v>
      </c>
      <c r="AA449" s="5">
        <v>2</v>
      </c>
      <c r="AB449" s="5"/>
      <c r="AC449" s="5"/>
      <c r="AD449" s="5">
        <v>10</v>
      </c>
      <c r="AE449" s="5">
        <v>17</v>
      </c>
      <c r="AF449" s="5">
        <v>10</v>
      </c>
      <c r="AG449" s="5">
        <v>10</v>
      </c>
      <c r="AH449" s="5">
        <v>12</v>
      </c>
      <c r="AI449" s="5">
        <v>14</v>
      </c>
      <c r="AJ449" s="5"/>
      <c r="AK449" s="5"/>
      <c r="AL449" s="5"/>
      <c r="AM449" s="5"/>
      <c r="AN449" s="5"/>
      <c r="AO449" s="5"/>
      <c r="AP449" s="5"/>
      <c r="AS449" s="5" t="s">
        <v>1588</v>
      </c>
      <c r="AT449" s="5"/>
      <c r="AU449" s="5"/>
      <c r="AV449" s="5"/>
      <c r="AW449" s="5" t="s">
        <v>1574</v>
      </c>
      <c r="AX449" s="5" t="s">
        <v>1560</v>
      </c>
      <c r="BC449" s="5" t="s">
        <v>1694</v>
      </c>
      <c r="BD449" s="5"/>
      <c r="BE449" s="5">
        <v>7</v>
      </c>
      <c r="BF449" s="5"/>
      <c r="BG449" s="5" t="s">
        <v>1695</v>
      </c>
      <c r="BH449" s="5"/>
      <c r="BI449" s="5"/>
      <c r="BJ449" s="5"/>
      <c r="BK449" s="7"/>
      <c r="BL449" s="5"/>
      <c r="BM449" s="5" t="s">
        <v>1609</v>
      </c>
      <c r="BN449" s="5">
        <v>56</v>
      </c>
      <c r="BO449" s="5" t="s">
        <v>1613</v>
      </c>
    </row>
    <row r="450" spans="1:67">
      <c r="A450" s="4" t="s">
        <v>1414</v>
      </c>
      <c r="B450" s="7"/>
      <c r="C450" s="5" t="s">
        <v>42</v>
      </c>
      <c r="D450" s="8" t="s">
        <v>1239</v>
      </c>
      <c r="E450" s="5"/>
      <c r="F450" s="5">
        <v>2</v>
      </c>
      <c r="G450" s="5">
        <v>40</v>
      </c>
      <c r="H450" s="5"/>
      <c r="I450" s="5"/>
      <c r="J450" s="5"/>
      <c r="K450" s="5"/>
      <c r="L450" s="5"/>
      <c r="M450" s="5">
        <v>3</v>
      </c>
      <c r="N450" s="5" t="s">
        <v>1415</v>
      </c>
      <c r="O450" s="7"/>
      <c r="P450" s="5"/>
      <c r="Q450" s="5"/>
      <c r="S450" s="5"/>
      <c r="T450" s="5">
        <v>60</v>
      </c>
      <c r="V450" s="5"/>
      <c r="W450" s="5"/>
      <c r="X450" s="5"/>
      <c r="Y450" s="5"/>
      <c r="Z450" s="5"/>
      <c r="AA450" s="5"/>
      <c r="AB450" s="5"/>
      <c r="AC450" s="5"/>
      <c r="AD450" s="5">
        <v>11</v>
      </c>
      <c r="AE450" s="5">
        <v>14</v>
      </c>
      <c r="AF450" s="5">
        <v>11</v>
      </c>
      <c r="AG450" s="5">
        <v>6</v>
      </c>
      <c r="AH450" s="5">
        <v>12</v>
      </c>
      <c r="AI450" s="5">
        <v>13</v>
      </c>
      <c r="AJ450" s="5"/>
      <c r="AK450" s="5"/>
      <c r="AL450" s="5"/>
      <c r="AM450" s="5"/>
      <c r="AN450" s="5"/>
      <c r="AO450" s="5"/>
      <c r="AP450" s="5"/>
      <c r="AS450" s="5" t="s">
        <v>1589</v>
      </c>
      <c r="AT450" s="5"/>
      <c r="AU450" s="5"/>
      <c r="AV450" s="5"/>
      <c r="AW450" s="5" t="s">
        <v>1565</v>
      </c>
      <c r="AX450" s="5" t="s">
        <v>1560</v>
      </c>
      <c r="BC450" s="5" t="s">
        <v>1696</v>
      </c>
      <c r="BD450" s="5"/>
      <c r="BE450" s="5">
        <v>3</v>
      </c>
      <c r="BF450" s="5"/>
      <c r="BG450" s="5" t="s">
        <v>1618</v>
      </c>
      <c r="BH450" s="5"/>
      <c r="BI450" s="5"/>
      <c r="BJ450" s="5"/>
      <c r="BK450" s="7"/>
      <c r="BL450" s="5"/>
      <c r="BM450" s="5" t="s">
        <v>1609</v>
      </c>
      <c r="BN450" s="5">
        <v>163</v>
      </c>
      <c r="BO450" s="5" t="s">
        <v>1619</v>
      </c>
    </row>
    <row r="451" spans="1:67">
      <c r="A451" s="4" t="s">
        <v>1416</v>
      </c>
      <c r="B451" s="7"/>
      <c r="C451" s="5" t="s">
        <v>42</v>
      </c>
      <c r="D451" s="5" t="s">
        <v>1241</v>
      </c>
      <c r="E451" s="5"/>
      <c r="F451" s="5">
        <v>3</v>
      </c>
      <c r="G451" s="5">
        <v>40</v>
      </c>
      <c r="H451" s="5"/>
      <c r="I451" s="5">
        <v>20</v>
      </c>
      <c r="J451" s="5"/>
      <c r="K451" s="5"/>
      <c r="L451" s="5"/>
      <c r="M451" s="5">
        <v>1</v>
      </c>
      <c r="N451" s="5" t="s">
        <v>1417</v>
      </c>
      <c r="O451" s="7"/>
      <c r="P451" s="5"/>
      <c r="Q451" s="5"/>
      <c r="S451" s="5" t="s">
        <v>77</v>
      </c>
      <c r="T451" s="5">
        <v>60</v>
      </c>
      <c r="V451" s="5"/>
      <c r="W451" s="5"/>
      <c r="X451" s="5"/>
      <c r="Y451" s="5"/>
      <c r="Z451" s="5"/>
      <c r="AA451" s="5"/>
      <c r="AB451" s="5"/>
      <c r="AC451" s="5"/>
      <c r="AD451" s="5">
        <v>16</v>
      </c>
      <c r="AE451" s="5">
        <v>19</v>
      </c>
      <c r="AF451" s="5">
        <v>15</v>
      </c>
      <c r="AG451" s="5">
        <v>2</v>
      </c>
      <c r="AH451" s="5">
        <v>12</v>
      </c>
      <c r="AI451" s="5">
        <v>6</v>
      </c>
      <c r="AJ451" s="5"/>
      <c r="AK451" s="5"/>
      <c r="AL451" s="5"/>
      <c r="AM451" s="5"/>
      <c r="AN451" s="5"/>
      <c r="AO451" s="5"/>
      <c r="AP451" s="5"/>
      <c r="AS451" s="5"/>
      <c r="AT451" s="5"/>
      <c r="AU451" s="5"/>
      <c r="AV451" s="5"/>
      <c r="AW451" s="5"/>
      <c r="AX451" s="5" t="s">
        <v>1560</v>
      </c>
      <c r="BC451" s="5"/>
      <c r="BD451" s="5"/>
      <c r="BE451" s="5"/>
      <c r="BF451" s="5">
        <v>4</v>
      </c>
      <c r="BG451" s="5"/>
      <c r="BH451" s="5"/>
      <c r="BI451" s="5"/>
      <c r="BJ451" s="5"/>
      <c r="BK451" s="7"/>
      <c r="BL451" s="5"/>
      <c r="BM451" s="5" t="s">
        <v>1609</v>
      </c>
      <c r="BN451" s="5">
        <v>274</v>
      </c>
      <c r="BO451" s="5"/>
    </row>
    <row r="452" spans="1:67">
      <c r="A452" s="4" t="s">
        <v>1418</v>
      </c>
      <c r="B452" s="7"/>
      <c r="C452" s="5" t="s">
        <v>62</v>
      </c>
      <c r="D452" s="5" t="s">
        <v>1241</v>
      </c>
      <c r="E452" s="5"/>
      <c r="F452" s="5">
        <v>5</v>
      </c>
      <c r="G452" s="5">
        <v>40</v>
      </c>
      <c r="H452" s="5"/>
      <c r="I452" s="5"/>
      <c r="J452" s="5"/>
      <c r="K452" s="5"/>
      <c r="L452" s="5"/>
      <c r="M452" s="5">
        <v>3</v>
      </c>
      <c r="N452" s="5" t="s">
        <v>1419</v>
      </c>
      <c r="O452" s="7"/>
      <c r="P452" s="5"/>
      <c r="Q452" s="5"/>
      <c r="S452" s="5" t="s">
        <v>77</v>
      </c>
      <c r="T452" s="5"/>
      <c r="V452" s="5"/>
      <c r="W452" s="5"/>
      <c r="X452" s="5"/>
      <c r="Y452" s="5"/>
      <c r="Z452" s="5"/>
      <c r="AA452" s="5"/>
      <c r="AB452" s="5"/>
      <c r="AC452" s="5"/>
      <c r="AD452" s="5">
        <v>21</v>
      </c>
      <c r="AE452" s="5">
        <v>17</v>
      </c>
      <c r="AF452" s="5">
        <v>15</v>
      </c>
      <c r="AG452" s="5">
        <v>2</v>
      </c>
      <c r="AH452" s="5">
        <v>12</v>
      </c>
      <c r="AI452" s="5">
        <v>6</v>
      </c>
      <c r="AJ452" s="5"/>
      <c r="AK452" s="5"/>
      <c r="AL452" s="5"/>
      <c r="AM452" s="5"/>
      <c r="AN452" s="5"/>
      <c r="AO452" s="5"/>
      <c r="AP452" s="5"/>
      <c r="AS452" s="5"/>
      <c r="AT452" s="5"/>
      <c r="AU452" s="5"/>
      <c r="AV452" s="5"/>
      <c r="AW452" s="5"/>
      <c r="AX452" s="5" t="s">
        <v>1560</v>
      </c>
      <c r="BC452" s="5"/>
      <c r="BD452" s="5"/>
      <c r="BE452" s="5"/>
      <c r="BF452" s="5">
        <v>7</v>
      </c>
      <c r="BG452" s="5"/>
      <c r="BH452" s="5"/>
      <c r="BI452" s="5"/>
      <c r="BJ452" s="5"/>
      <c r="BK452" s="7"/>
      <c r="BL452" s="5"/>
      <c r="BM452" s="5" t="s">
        <v>1609</v>
      </c>
      <c r="BN452" s="5">
        <v>274</v>
      </c>
      <c r="BO452" s="5"/>
    </row>
    <row r="453" spans="1:67">
      <c r="A453" s="4" t="s">
        <v>1420</v>
      </c>
      <c r="B453" s="7"/>
      <c r="C453" s="5" t="s">
        <v>641</v>
      </c>
      <c r="D453" s="5" t="s">
        <v>1241</v>
      </c>
      <c r="E453" s="5"/>
      <c r="F453" s="5">
        <v>0.5</v>
      </c>
      <c r="G453" s="5">
        <v>20</v>
      </c>
      <c r="H453" s="5"/>
      <c r="I453" s="5">
        <v>20</v>
      </c>
      <c r="J453" s="5"/>
      <c r="K453" s="5"/>
      <c r="L453" s="5"/>
      <c r="M453" s="5">
        <v>0</v>
      </c>
      <c r="N453" s="5" t="s">
        <v>1421</v>
      </c>
      <c r="O453" s="7"/>
      <c r="P453" s="5"/>
      <c r="Q453" s="5"/>
      <c r="S453" s="5" t="s">
        <v>77</v>
      </c>
      <c r="T453" s="5"/>
      <c r="V453" s="5"/>
      <c r="W453" s="5"/>
      <c r="X453" s="5"/>
      <c r="Y453" s="5"/>
      <c r="Z453" s="5"/>
      <c r="AA453" s="5"/>
      <c r="AB453" s="5"/>
      <c r="AC453" s="5"/>
      <c r="AD453" s="5">
        <v>3</v>
      </c>
      <c r="AE453" s="5">
        <v>15</v>
      </c>
      <c r="AF453" s="5">
        <v>10</v>
      </c>
      <c r="AG453" s="5">
        <v>1</v>
      </c>
      <c r="AH453" s="5">
        <v>12</v>
      </c>
      <c r="AI453" s="5">
        <v>2</v>
      </c>
      <c r="AJ453" s="5"/>
      <c r="AK453" s="5"/>
      <c r="AL453" s="5"/>
      <c r="AM453" s="5"/>
      <c r="AN453" s="5"/>
      <c r="AO453" s="5"/>
      <c r="AP453" s="5"/>
      <c r="AS453" s="5" t="s">
        <v>1567</v>
      </c>
      <c r="AT453" s="5"/>
      <c r="AU453" s="5"/>
      <c r="AV453" s="5">
        <v>0</v>
      </c>
      <c r="AW453" s="5" t="s">
        <v>1565</v>
      </c>
      <c r="AX453" s="5" t="s">
        <v>1560</v>
      </c>
      <c r="BC453" s="5"/>
      <c r="BD453" s="5"/>
      <c r="BE453" s="5">
        <v>1</v>
      </c>
      <c r="BF453" s="5"/>
      <c r="BG453" s="5" t="s">
        <v>1616</v>
      </c>
      <c r="BH453" s="5"/>
      <c r="BI453" s="5"/>
      <c r="BJ453" s="5"/>
      <c r="BK453" s="7"/>
      <c r="BL453" s="5"/>
      <c r="BM453" s="5" t="s">
        <v>1609</v>
      </c>
      <c r="BN453" s="5">
        <v>275</v>
      </c>
      <c r="BO453" s="5" t="s">
        <v>1749</v>
      </c>
    </row>
    <row r="454" spans="1:67">
      <c r="A454" s="4" t="s">
        <v>1422</v>
      </c>
      <c r="B454" s="7"/>
      <c r="C454" s="5" t="s">
        <v>42</v>
      </c>
      <c r="D454" s="5" t="s">
        <v>1241</v>
      </c>
      <c r="E454" s="5"/>
      <c r="F454" s="5">
        <v>3</v>
      </c>
      <c r="G454" s="5">
        <v>30</v>
      </c>
      <c r="H454" s="5"/>
      <c r="I454" s="5"/>
      <c r="J454" s="5"/>
      <c r="K454" s="5"/>
      <c r="L454" s="5">
        <v>30</v>
      </c>
      <c r="M454" s="5">
        <v>3</v>
      </c>
      <c r="N454" s="5" t="s">
        <v>1421</v>
      </c>
      <c r="O454" s="7"/>
      <c r="P454" s="5"/>
      <c r="Q454" s="5"/>
      <c r="S454" s="5" t="s">
        <v>77</v>
      </c>
      <c r="T454" s="5"/>
      <c r="V454" s="5"/>
      <c r="W454" s="5"/>
      <c r="X454" s="5"/>
      <c r="Y454" s="5"/>
      <c r="Z454" s="5"/>
      <c r="AA454" s="5"/>
      <c r="AB454" s="5"/>
      <c r="AC454" s="5"/>
      <c r="AD454" s="5">
        <v>17</v>
      </c>
      <c r="AE454" s="5">
        <v>15</v>
      </c>
      <c r="AF454" s="5">
        <v>17</v>
      </c>
      <c r="AG454" s="5">
        <v>1</v>
      </c>
      <c r="AH454" s="5">
        <v>12</v>
      </c>
      <c r="AI454" s="5">
        <v>2</v>
      </c>
      <c r="AJ454" s="5"/>
      <c r="AK454" s="5"/>
      <c r="AL454" s="5"/>
      <c r="AM454" s="5"/>
      <c r="AN454" s="5"/>
      <c r="AO454" s="5"/>
      <c r="AP454" s="5"/>
      <c r="AS454" s="5"/>
      <c r="AT454" s="5"/>
      <c r="AU454" s="5"/>
      <c r="AV454" s="5"/>
      <c r="AW454" s="5"/>
      <c r="AX454" s="5" t="s">
        <v>1560</v>
      </c>
      <c r="BC454" s="5"/>
      <c r="BD454" s="5"/>
      <c r="BE454" s="5"/>
      <c r="BF454" s="5">
        <v>4</v>
      </c>
      <c r="BG454" s="5"/>
      <c r="BH454" s="5"/>
      <c r="BI454" s="5"/>
      <c r="BJ454" s="5"/>
      <c r="BK454" s="7"/>
      <c r="BL454" s="5"/>
      <c r="BM454" s="5" t="s">
        <v>1609</v>
      </c>
      <c r="BN454" s="5">
        <v>275</v>
      </c>
      <c r="BO454" s="5"/>
    </row>
    <row r="455" spans="1:67">
      <c r="A455" s="4" t="s">
        <v>1423</v>
      </c>
      <c r="B455" s="7"/>
      <c r="C455" s="5" t="s">
        <v>641</v>
      </c>
      <c r="D455" s="8" t="s">
        <v>1241</v>
      </c>
      <c r="E455" s="5"/>
      <c r="F455" s="5">
        <v>0.5</v>
      </c>
      <c r="G455" s="5">
        <v>20</v>
      </c>
      <c r="H455" s="5"/>
      <c r="I455" s="5">
        <v>20</v>
      </c>
      <c r="J455" s="5"/>
      <c r="K455" s="5"/>
      <c r="L455" s="5"/>
      <c r="M455" s="5">
        <v>0</v>
      </c>
      <c r="N455" s="5" t="s">
        <v>1278</v>
      </c>
      <c r="O455" s="7"/>
      <c r="P455" s="5"/>
      <c r="Q455" s="5"/>
      <c r="S455" s="5" t="s">
        <v>77</v>
      </c>
      <c r="T455" s="5"/>
      <c r="V455" s="5"/>
      <c r="W455" s="5"/>
      <c r="X455" s="5"/>
      <c r="Y455" s="5"/>
      <c r="Z455" s="5"/>
      <c r="AA455" s="5"/>
      <c r="AB455" s="5"/>
      <c r="AC455" s="5"/>
      <c r="AD455" s="5">
        <v>3</v>
      </c>
      <c r="AE455" s="5">
        <v>15</v>
      </c>
      <c r="AF455" s="5">
        <v>10</v>
      </c>
      <c r="AG455" s="5">
        <v>2</v>
      </c>
      <c r="AH455" s="5">
        <v>12</v>
      </c>
      <c r="AI455" s="5">
        <v>2</v>
      </c>
      <c r="AJ455" s="5"/>
      <c r="AK455" s="5"/>
      <c r="AL455" s="5"/>
      <c r="AM455" s="5"/>
      <c r="AN455" s="5"/>
      <c r="AO455" s="5"/>
      <c r="AP455" s="5"/>
      <c r="AS455" s="5" t="s">
        <v>1578</v>
      </c>
      <c r="AT455" s="5"/>
      <c r="AU455" s="5"/>
      <c r="AV455" s="5"/>
      <c r="AW455" s="5" t="s">
        <v>1565</v>
      </c>
      <c r="AX455" s="5" t="s">
        <v>1560</v>
      </c>
      <c r="BC455" s="5" t="s">
        <v>1697</v>
      </c>
      <c r="BD455" s="5"/>
      <c r="BE455" s="5">
        <v>3</v>
      </c>
      <c r="BF455" s="5"/>
      <c r="BG455" s="5" t="s">
        <v>1618</v>
      </c>
      <c r="BH455" s="5"/>
      <c r="BI455" s="5"/>
      <c r="BJ455" s="5"/>
      <c r="BK455" s="7"/>
      <c r="BL455" s="5"/>
      <c r="BM455" s="5" t="s">
        <v>1698</v>
      </c>
      <c r="BN455" s="5">
        <v>308</v>
      </c>
      <c r="BO455" s="5" t="s">
        <v>1626</v>
      </c>
    </row>
    <row r="456" spans="1:67">
      <c r="A456" s="4" t="s">
        <v>1424</v>
      </c>
      <c r="B456" s="7"/>
      <c r="C456" s="5" t="s">
        <v>85</v>
      </c>
      <c r="D456" s="8" t="s">
        <v>1241</v>
      </c>
      <c r="E456" s="5"/>
      <c r="F456" s="5">
        <v>1</v>
      </c>
      <c r="G456" s="5">
        <v>40</v>
      </c>
      <c r="H456" s="5"/>
      <c r="I456" s="5"/>
      <c r="J456" s="5"/>
      <c r="K456" s="5"/>
      <c r="L456" s="5"/>
      <c r="M456" s="5">
        <v>0</v>
      </c>
      <c r="N456" s="5" t="s">
        <v>1415</v>
      </c>
      <c r="O456" s="7"/>
      <c r="P456" s="5"/>
      <c r="Q456" s="5"/>
      <c r="S456" s="5"/>
      <c r="T456" s="5"/>
      <c r="V456" s="5"/>
      <c r="W456" s="5"/>
      <c r="X456" s="5"/>
      <c r="Y456" s="5"/>
      <c r="Z456" s="5"/>
      <c r="AA456" s="5"/>
      <c r="AB456" s="5"/>
      <c r="AC456" s="5"/>
      <c r="AD456" s="5">
        <v>7</v>
      </c>
      <c r="AE456" s="5">
        <v>17</v>
      </c>
      <c r="AF456" s="5">
        <v>12</v>
      </c>
      <c r="AG456" s="5">
        <v>2</v>
      </c>
      <c r="AH456" s="5">
        <v>12</v>
      </c>
      <c r="AI456" s="5">
        <v>7</v>
      </c>
      <c r="AJ456" s="5"/>
      <c r="AK456" s="5"/>
      <c r="AL456" s="5"/>
      <c r="AM456" s="5"/>
      <c r="AN456" s="5"/>
      <c r="AO456" s="5"/>
      <c r="AP456" s="5"/>
      <c r="AS456" s="5" t="s">
        <v>1570</v>
      </c>
      <c r="AT456" s="5"/>
      <c r="AU456" s="5"/>
      <c r="AV456" s="5"/>
      <c r="AW456" s="5" t="s">
        <v>1565</v>
      </c>
      <c r="AX456" s="5" t="s">
        <v>1560</v>
      </c>
      <c r="BC456" s="5" t="s">
        <v>1699</v>
      </c>
      <c r="BD456" s="5"/>
      <c r="BE456" s="5">
        <v>3</v>
      </c>
      <c r="BF456" s="5"/>
      <c r="BG456" s="5" t="s">
        <v>1618</v>
      </c>
      <c r="BH456" s="5"/>
      <c r="BI456" s="5"/>
      <c r="BJ456" s="5"/>
      <c r="BK456" s="7"/>
      <c r="BL456" s="5"/>
      <c r="BM456" s="5" t="s">
        <v>1625</v>
      </c>
      <c r="BN456" s="5"/>
      <c r="BO456" s="5" t="s">
        <v>1626</v>
      </c>
    </row>
    <row r="457" spans="1:67">
      <c r="A457" s="4" t="s">
        <v>1425</v>
      </c>
      <c r="B457" s="7"/>
      <c r="C457" s="5" t="s">
        <v>62</v>
      </c>
      <c r="D457" s="5" t="s">
        <v>1241</v>
      </c>
      <c r="E457" s="5"/>
      <c r="F457" s="5">
        <v>8</v>
      </c>
      <c r="G457" s="5">
        <v>60</v>
      </c>
      <c r="H457" s="5"/>
      <c r="I457" s="5"/>
      <c r="J457" s="5"/>
      <c r="K457" s="5"/>
      <c r="L457" s="5"/>
      <c r="M457" s="5">
        <v>6</v>
      </c>
      <c r="N457" s="5" t="s">
        <v>1426</v>
      </c>
      <c r="O457" s="7"/>
      <c r="P457" s="5"/>
      <c r="Q457" s="5"/>
      <c r="S457" s="5"/>
      <c r="T457" s="5"/>
      <c r="V457" s="5"/>
      <c r="W457" s="5"/>
      <c r="X457" s="5"/>
      <c r="Y457" s="5"/>
      <c r="Z457" s="5"/>
      <c r="AA457" s="5"/>
      <c r="AB457" s="5"/>
      <c r="AC457" s="5"/>
      <c r="AD457" s="5">
        <v>21</v>
      </c>
      <c r="AE457" s="5">
        <v>15</v>
      </c>
      <c r="AF457" s="5">
        <v>21</v>
      </c>
      <c r="AG457" s="5">
        <v>2</v>
      </c>
      <c r="AH457" s="5">
        <v>15</v>
      </c>
      <c r="AI457" s="5">
        <v>10</v>
      </c>
      <c r="AJ457" s="5"/>
      <c r="AK457" s="5"/>
      <c r="AL457" s="5"/>
      <c r="AM457" s="5"/>
      <c r="AN457" s="5"/>
      <c r="AO457" s="5"/>
      <c r="AP457" s="5"/>
      <c r="AS457" s="5"/>
      <c r="AT457" s="5"/>
      <c r="AU457" s="5"/>
      <c r="AV457" s="5"/>
      <c r="AW457" s="5"/>
      <c r="AX457" s="5" t="s">
        <v>1560</v>
      </c>
      <c r="BC457" s="5"/>
      <c r="BD457" s="5"/>
      <c r="BE457" s="5"/>
      <c r="BF457" s="5">
        <v>10</v>
      </c>
      <c r="BG457" s="5"/>
      <c r="BH457" s="5"/>
      <c r="BI457" s="5"/>
      <c r="BJ457" s="5"/>
      <c r="BK457" s="7"/>
      <c r="BL457" s="5" t="s">
        <v>1627</v>
      </c>
      <c r="BM457" s="5" t="s">
        <v>1609</v>
      </c>
      <c r="BN457" s="5">
        <v>60</v>
      </c>
      <c r="BO457" s="5"/>
    </row>
    <row r="458" spans="1:67">
      <c r="A458" s="4" t="s">
        <v>1427</v>
      </c>
      <c r="B458" s="7"/>
      <c r="C458" s="5" t="s">
        <v>85</v>
      </c>
      <c r="D458" s="5" t="s">
        <v>51</v>
      </c>
      <c r="E458" s="5"/>
      <c r="F458" s="5">
        <v>3</v>
      </c>
      <c r="G458" s="5">
        <v>30</v>
      </c>
      <c r="H458" s="5"/>
      <c r="I458" s="5"/>
      <c r="J458" s="5">
        <v>50</v>
      </c>
      <c r="K458" s="5" t="s">
        <v>766</v>
      </c>
      <c r="L458" s="5"/>
      <c r="M458" s="5">
        <v>3</v>
      </c>
      <c r="N458" s="5" t="s">
        <v>1428</v>
      </c>
      <c r="O458" s="7"/>
      <c r="P458" s="5"/>
      <c r="Q458" s="5"/>
      <c r="S458" s="5"/>
      <c r="T458" s="5"/>
      <c r="V458" s="5"/>
      <c r="W458" s="5"/>
      <c r="X458" s="5"/>
      <c r="Y458" s="5"/>
      <c r="Z458" s="5" t="s">
        <v>65</v>
      </c>
      <c r="AA458" s="5">
        <v>2</v>
      </c>
      <c r="AB458" s="5"/>
      <c r="AC458" s="5"/>
      <c r="AD458" s="5">
        <v>10</v>
      </c>
      <c r="AE458" s="5">
        <v>17</v>
      </c>
      <c r="AF458" s="5">
        <v>10</v>
      </c>
      <c r="AG458" s="5">
        <v>6</v>
      </c>
      <c r="AH458" s="5">
        <v>11</v>
      </c>
      <c r="AI458" s="5">
        <v>15</v>
      </c>
      <c r="AJ458" s="5"/>
      <c r="AK458" s="5"/>
      <c r="AL458" s="5"/>
      <c r="AM458" s="5"/>
      <c r="AN458" s="5"/>
      <c r="AO458" s="5"/>
      <c r="AP458" s="5"/>
      <c r="AS458" s="5" t="s">
        <v>1590</v>
      </c>
      <c r="AT458" s="5"/>
      <c r="AU458" s="5"/>
      <c r="AV458" s="5"/>
      <c r="AW458" s="5" t="s">
        <v>1565</v>
      </c>
      <c r="AX458" s="5" t="s">
        <v>1560</v>
      </c>
      <c r="BC458" s="5" t="s">
        <v>1700</v>
      </c>
      <c r="BD458" s="5"/>
      <c r="BE458" s="5">
        <v>7</v>
      </c>
      <c r="BF458" s="5"/>
      <c r="BG458" s="5" t="s">
        <v>1632</v>
      </c>
      <c r="BH458" s="5"/>
      <c r="BI458" s="5"/>
      <c r="BJ458" s="5"/>
      <c r="BK458" s="7"/>
      <c r="BL458" s="5"/>
      <c r="BM458" s="5" t="s">
        <v>1609</v>
      </c>
      <c r="BN458" s="5">
        <v>181</v>
      </c>
      <c r="BO458" s="5" t="s">
        <v>1613</v>
      </c>
    </row>
    <row r="459" spans="1:67">
      <c r="A459" s="4" t="s">
        <v>1429</v>
      </c>
      <c r="B459" s="7"/>
      <c r="C459" s="5" t="s">
        <v>85</v>
      </c>
      <c r="D459" s="5" t="s">
        <v>51</v>
      </c>
      <c r="E459" s="5"/>
      <c r="F459" s="5">
        <v>3</v>
      </c>
      <c r="G459" s="5">
        <v>30</v>
      </c>
      <c r="H459" s="5"/>
      <c r="I459" s="5"/>
      <c r="J459" s="5">
        <v>40</v>
      </c>
      <c r="K459" s="5" t="s">
        <v>766</v>
      </c>
      <c r="L459" s="5"/>
      <c r="M459" s="5">
        <v>3</v>
      </c>
      <c r="N459" s="5" t="s">
        <v>1428</v>
      </c>
      <c r="O459" s="7"/>
      <c r="P459" s="5"/>
      <c r="Q459" s="5"/>
      <c r="S459" s="5"/>
      <c r="T459" s="5">
        <v>60</v>
      </c>
      <c r="V459" s="5"/>
      <c r="W459" s="5"/>
      <c r="X459" s="5"/>
      <c r="Y459" s="5"/>
      <c r="Z459" s="5" t="s">
        <v>65</v>
      </c>
      <c r="AA459" s="5">
        <v>2</v>
      </c>
      <c r="AB459" s="5"/>
      <c r="AC459" s="5"/>
      <c r="AD459" s="5">
        <v>10</v>
      </c>
      <c r="AE459" s="5">
        <v>17</v>
      </c>
      <c r="AF459" s="5">
        <v>10</v>
      </c>
      <c r="AG459" s="5">
        <v>6</v>
      </c>
      <c r="AH459" s="5">
        <v>11</v>
      </c>
      <c r="AI459" s="5">
        <v>15</v>
      </c>
      <c r="AJ459" s="5"/>
      <c r="AK459" s="5"/>
      <c r="AL459" s="5"/>
      <c r="AM459" s="5"/>
      <c r="AN459" s="5"/>
      <c r="AO459" s="5"/>
      <c r="AP459" s="5"/>
      <c r="AS459" s="5" t="s">
        <v>1590</v>
      </c>
      <c r="AT459" s="5"/>
      <c r="AU459" s="5"/>
      <c r="AV459" s="5"/>
      <c r="AW459" s="5" t="s">
        <v>1565</v>
      </c>
      <c r="AX459" s="5" t="s">
        <v>1560</v>
      </c>
      <c r="BC459" s="5" t="s">
        <v>1700</v>
      </c>
      <c r="BD459" s="5"/>
      <c r="BE459" s="5">
        <v>7</v>
      </c>
      <c r="BF459" s="5"/>
      <c r="BG459" s="5" t="s">
        <v>1632</v>
      </c>
      <c r="BH459" s="5"/>
      <c r="BI459" s="5"/>
      <c r="BJ459" s="5"/>
      <c r="BK459" s="7"/>
      <c r="BL459" s="5"/>
      <c r="BM459" s="5" t="s">
        <v>1609</v>
      </c>
      <c r="BN459" s="5">
        <v>181</v>
      </c>
      <c r="BO459" s="5" t="s">
        <v>1613</v>
      </c>
    </row>
    <row r="460" spans="1:67">
      <c r="A460" s="4" t="s">
        <v>1430</v>
      </c>
      <c r="B460" s="7"/>
      <c r="C460" s="5" t="s">
        <v>85</v>
      </c>
      <c r="D460" s="5" t="s">
        <v>51</v>
      </c>
      <c r="E460" s="5"/>
      <c r="F460" s="5">
        <v>3</v>
      </c>
      <c r="G460" s="5">
        <v>30</v>
      </c>
      <c r="H460" s="5"/>
      <c r="I460" s="5"/>
      <c r="J460" s="5">
        <v>50</v>
      </c>
      <c r="K460" s="5" t="s">
        <v>1271</v>
      </c>
      <c r="L460" s="5"/>
      <c r="M460" s="5">
        <v>6</v>
      </c>
      <c r="N460" s="5" t="s">
        <v>1428</v>
      </c>
      <c r="O460" s="7"/>
      <c r="P460" s="5"/>
      <c r="Q460" s="5"/>
      <c r="S460" s="5"/>
      <c r="T460" s="5">
        <v>60</v>
      </c>
      <c r="V460" s="5"/>
      <c r="W460" s="5"/>
      <c r="X460" s="5"/>
      <c r="Y460" s="5"/>
      <c r="Z460" s="5" t="s">
        <v>65</v>
      </c>
      <c r="AA460" s="5">
        <v>2</v>
      </c>
      <c r="AB460" s="5"/>
      <c r="AC460" s="5"/>
      <c r="AD460" s="5">
        <v>17</v>
      </c>
      <c r="AE460" s="5">
        <v>8</v>
      </c>
      <c r="AF460" s="5">
        <v>13</v>
      </c>
      <c r="AG460" s="5">
        <v>6</v>
      </c>
      <c r="AH460" s="5">
        <v>11</v>
      </c>
      <c r="AI460" s="5">
        <v>15</v>
      </c>
      <c r="AJ460" s="5"/>
      <c r="AK460" s="5"/>
      <c r="AL460" s="5"/>
      <c r="AM460" s="5"/>
      <c r="AN460" s="5"/>
      <c r="AO460" s="5"/>
      <c r="AP460" s="5"/>
      <c r="AS460" s="5" t="s">
        <v>1591</v>
      </c>
      <c r="AT460" s="5"/>
      <c r="AU460" s="5"/>
      <c r="AV460" s="5"/>
      <c r="AW460" s="5" t="s">
        <v>1565</v>
      </c>
      <c r="AX460" s="5" t="s">
        <v>1560</v>
      </c>
      <c r="BC460" s="5" t="s">
        <v>1701</v>
      </c>
      <c r="BD460" s="5"/>
      <c r="BE460" s="5">
        <v>7</v>
      </c>
      <c r="BF460" s="5"/>
      <c r="BG460" s="5" t="s">
        <v>1632</v>
      </c>
      <c r="BH460" s="5"/>
      <c r="BI460" s="5"/>
      <c r="BJ460" s="5"/>
      <c r="BK460" s="7"/>
      <c r="BL460" s="5"/>
      <c r="BM460" s="5" t="s">
        <v>1609</v>
      </c>
      <c r="BN460" s="5">
        <v>182</v>
      </c>
      <c r="BO460" s="5" t="s">
        <v>1613</v>
      </c>
    </row>
    <row r="461" spans="1:67">
      <c r="A461" s="4" t="s">
        <v>1431</v>
      </c>
      <c r="B461" s="7"/>
      <c r="C461" s="5" t="s">
        <v>85</v>
      </c>
      <c r="D461" s="5" t="s">
        <v>51</v>
      </c>
      <c r="E461" s="5"/>
      <c r="F461" s="5">
        <v>3</v>
      </c>
      <c r="G461" s="5">
        <v>30</v>
      </c>
      <c r="H461" s="5"/>
      <c r="I461" s="5"/>
      <c r="J461" s="5">
        <v>50</v>
      </c>
      <c r="K461" s="5" t="s">
        <v>1271</v>
      </c>
      <c r="L461" s="5"/>
      <c r="M461" s="5">
        <v>4</v>
      </c>
      <c r="N461" s="5" t="s">
        <v>1428</v>
      </c>
      <c r="O461" s="7"/>
      <c r="P461" s="5"/>
      <c r="Q461" s="5"/>
      <c r="S461" s="5"/>
      <c r="T461" s="5">
        <v>60</v>
      </c>
      <c r="V461" s="5" t="s">
        <v>108</v>
      </c>
      <c r="W461" s="5" t="s">
        <v>109</v>
      </c>
      <c r="X461" s="5"/>
      <c r="Y461" s="5"/>
      <c r="Z461" s="5" t="s">
        <v>65</v>
      </c>
      <c r="AA461" s="5">
        <v>2</v>
      </c>
      <c r="AB461" s="5"/>
      <c r="AC461" s="5"/>
      <c r="AD461" s="5">
        <v>10</v>
      </c>
      <c r="AE461" s="5">
        <v>13</v>
      </c>
      <c r="AF461" s="5">
        <v>10</v>
      </c>
      <c r="AG461" s="5">
        <v>6</v>
      </c>
      <c r="AH461" s="5">
        <v>11</v>
      </c>
      <c r="AI461" s="5">
        <v>15</v>
      </c>
      <c r="AJ461" s="5"/>
      <c r="AK461" s="5"/>
      <c r="AL461" s="5"/>
      <c r="AM461" s="5"/>
      <c r="AN461" s="5"/>
      <c r="AO461" s="5"/>
      <c r="AP461" s="5"/>
      <c r="AS461" s="5" t="s">
        <v>1590</v>
      </c>
      <c r="AT461" s="5"/>
      <c r="AU461" s="5"/>
      <c r="AV461" s="5"/>
      <c r="AW461" s="5" t="s">
        <v>1565</v>
      </c>
      <c r="AX461" s="5" t="s">
        <v>1560</v>
      </c>
      <c r="BC461" s="5" t="s">
        <v>1700</v>
      </c>
      <c r="BD461" s="5"/>
      <c r="BE461" s="5">
        <v>7</v>
      </c>
      <c r="BF461" s="5"/>
      <c r="BG461" s="5" t="s">
        <v>1632</v>
      </c>
      <c r="BH461" s="5"/>
      <c r="BI461" s="5"/>
      <c r="BJ461" s="5"/>
      <c r="BK461" s="7"/>
      <c r="BL461" s="5"/>
      <c r="BM461" s="5" t="s">
        <v>1609</v>
      </c>
      <c r="BN461" s="5">
        <v>182</v>
      </c>
      <c r="BO461" s="5" t="s">
        <v>1613</v>
      </c>
    </row>
    <row r="462" spans="1:67">
      <c r="A462" s="4" t="s">
        <v>1432</v>
      </c>
      <c r="B462" s="7"/>
      <c r="C462" s="5" t="s">
        <v>85</v>
      </c>
      <c r="D462" s="5" t="s">
        <v>51</v>
      </c>
      <c r="E462" s="5"/>
      <c r="F462" s="5">
        <v>3</v>
      </c>
      <c r="G462" s="5">
        <v>30</v>
      </c>
      <c r="H462" s="5"/>
      <c r="I462" s="5"/>
      <c r="J462" s="5">
        <v>50</v>
      </c>
      <c r="K462" s="5" t="s">
        <v>766</v>
      </c>
      <c r="L462" s="5"/>
      <c r="M462" s="5">
        <v>4</v>
      </c>
      <c r="N462" s="5" t="s">
        <v>1428</v>
      </c>
      <c r="O462" s="7"/>
      <c r="P462" s="5"/>
      <c r="Q462" s="5"/>
      <c r="S462" s="5"/>
      <c r="T462" s="5">
        <v>60</v>
      </c>
      <c r="V462" s="5" t="s">
        <v>109</v>
      </c>
      <c r="W462" s="5" t="s">
        <v>108</v>
      </c>
      <c r="X462" s="5"/>
      <c r="Y462" s="5"/>
      <c r="Z462" s="5" t="s">
        <v>65</v>
      </c>
      <c r="AA462" s="5">
        <v>2</v>
      </c>
      <c r="AB462" s="5"/>
      <c r="AC462" s="5"/>
      <c r="AD462" s="5">
        <v>10</v>
      </c>
      <c r="AE462" s="5">
        <v>17</v>
      </c>
      <c r="AF462" s="5">
        <v>10</v>
      </c>
      <c r="AG462" s="5">
        <v>6</v>
      </c>
      <c r="AH462" s="5">
        <v>11</v>
      </c>
      <c r="AI462" s="5">
        <v>15</v>
      </c>
      <c r="AJ462" s="5"/>
      <c r="AK462" s="5"/>
      <c r="AL462" s="5"/>
      <c r="AM462" s="5"/>
      <c r="AN462" s="5"/>
      <c r="AO462" s="5"/>
      <c r="AP462" s="5"/>
      <c r="AS462" s="5" t="s">
        <v>1590</v>
      </c>
      <c r="AT462" s="5"/>
      <c r="AU462" s="5"/>
      <c r="AV462" s="5"/>
      <c r="AW462" s="5" t="s">
        <v>1565</v>
      </c>
      <c r="AX462" s="5" t="s">
        <v>1560</v>
      </c>
      <c r="BC462" s="5" t="s">
        <v>1700</v>
      </c>
      <c r="BD462" s="5"/>
      <c r="BE462" s="5">
        <v>7</v>
      </c>
      <c r="BF462" s="5"/>
      <c r="BG462" s="5" t="s">
        <v>1632</v>
      </c>
      <c r="BH462" s="5"/>
      <c r="BI462" s="5"/>
      <c r="BJ462" s="5"/>
      <c r="BK462" s="7"/>
      <c r="BL462" s="5"/>
      <c r="BM462" s="5" t="s">
        <v>1609</v>
      </c>
      <c r="BN462" s="5">
        <v>182</v>
      </c>
      <c r="BO462" s="5" t="s">
        <v>1613</v>
      </c>
    </row>
    <row r="463" spans="1:67">
      <c r="A463" s="4" t="s">
        <v>1433</v>
      </c>
      <c r="B463" s="7"/>
      <c r="C463" s="5" t="s">
        <v>85</v>
      </c>
      <c r="D463" s="5" t="s">
        <v>51</v>
      </c>
      <c r="E463" s="5"/>
      <c r="F463" s="5">
        <v>3</v>
      </c>
      <c r="G463" s="5">
        <v>30</v>
      </c>
      <c r="H463" s="5"/>
      <c r="I463" s="5"/>
      <c r="J463" s="5">
        <v>50</v>
      </c>
      <c r="K463" s="5" t="s">
        <v>1271</v>
      </c>
      <c r="L463" s="5"/>
      <c r="M463" s="5">
        <v>4</v>
      </c>
      <c r="N463" s="5" t="s">
        <v>1428</v>
      </c>
      <c r="O463" s="7"/>
      <c r="P463" s="5"/>
      <c r="Q463" s="5"/>
      <c r="S463" s="5"/>
      <c r="T463" s="5">
        <v>60</v>
      </c>
      <c r="V463" s="5" t="s">
        <v>108</v>
      </c>
      <c r="W463" s="5" t="s">
        <v>109</v>
      </c>
      <c r="X463" s="5"/>
      <c r="Y463" s="5"/>
      <c r="Z463" s="5" t="s">
        <v>65</v>
      </c>
      <c r="AA463" s="5">
        <v>2</v>
      </c>
      <c r="AB463" s="5"/>
      <c r="AC463" s="5"/>
      <c r="AD463" s="5">
        <v>10</v>
      </c>
      <c r="AE463" s="5">
        <v>13</v>
      </c>
      <c r="AF463" s="5">
        <v>10</v>
      </c>
      <c r="AG463" s="5">
        <v>6</v>
      </c>
      <c r="AH463" s="5">
        <v>11</v>
      </c>
      <c r="AI463" s="5">
        <v>15</v>
      </c>
      <c r="AJ463" s="5"/>
      <c r="AK463" s="5"/>
      <c r="AL463" s="5"/>
      <c r="AM463" s="5"/>
      <c r="AN463" s="5"/>
      <c r="AO463" s="5"/>
      <c r="AP463" s="5"/>
      <c r="AS463" s="5" t="s">
        <v>1590</v>
      </c>
      <c r="AT463" s="5"/>
      <c r="AU463" s="5"/>
      <c r="AV463" s="5"/>
      <c r="AW463" s="5" t="s">
        <v>1565</v>
      </c>
      <c r="AX463" s="5" t="s">
        <v>1560</v>
      </c>
      <c r="BC463" s="5" t="s">
        <v>1700</v>
      </c>
      <c r="BD463" s="5"/>
      <c r="BE463" s="5">
        <v>7</v>
      </c>
      <c r="BF463" s="5"/>
      <c r="BG463" s="5" t="s">
        <v>1632</v>
      </c>
      <c r="BH463" s="5"/>
      <c r="BI463" s="5"/>
      <c r="BJ463" s="5"/>
      <c r="BK463" s="7"/>
      <c r="BL463" s="5"/>
      <c r="BM463" s="5" t="s">
        <v>1609</v>
      </c>
      <c r="BN463" s="5">
        <v>183</v>
      </c>
      <c r="BO463" s="5" t="s">
        <v>1613</v>
      </c>
    </row>
    <row r="464" spans="1:67">
      <c r="A464" s="4" t="s">
        <v>1434</v>
      </c>
      <c r="B464" s="7"/>
      <c r="C464" s="5" t="s">
        <v>85</v>
      </c>
      <c r="D464" s="5" t="s">
        <v>51</v>
      </c>
      <c r="E464" s="5"/>
      <c r="F464" s="5">
        <v>3</v>
      </c>
      <c r="G464" s="5">
        <v>30</v>
      </c>
      <c r="H464" s="5"/>
      <c r="I464" s="5"/>
      <c r="J464" s="5">
        <v>40</v>
      </c>
      <c r="K464" s="5" t="s">
        <v>1271</v>
      </c>
      <c r="L464" s="5">
        <v>30</v>
      </c>
      <c r="M464" s="5">
        <v>5</v>
      </c>
      <c r="N464" s="5" t="s">
        <v>1428</v>
      </c>
      <c r="O464" s="7"/>
      <c r="P464" s="5"/>
      <c r="Q464" s="5"/>
      <c r="S464" s="5"/>
      <c r="T464" s="5">
        <v>60</v>
      </c>
      <c r="V464" s="5"/>
      <c r="W464" s="5"/>
      <c r="X464" s="5"/>
      <c r="Y464" s="5"/>
      <c r="Z464" s="5" t="s">
        <v>65</v>
      </c>
      <c r="AA464" s="5">
        <v>2</v>
      </c>
      <c r="AB464" s="5"/>
      <c r="AC464" s="5"/>
      <c r="AD464" s="5">
        <v>14</v>
      </c>
      <c r="AE464" s="5">
        <v>10</v>
      </c>
      <c r="AF464" s="5">
        <v>13</v>
      </c>
      <c r="AG464" s="5">
        <v>6</v>
      </c>
      <c r="AH464" s="5">
        <v>11</v>
      </c>
      <c r="AI464" s="5">
        <v>15</v>
      </c>
      <c r="AJ464" s="5"/>
      <c r="AK464" s="5"/>
      <c r="AL464" s="5"/>
      <c r="AM464" s="5"/>
      <c r="AN464" s="5"/>
      <c r="AO464" s="5"/>
      <c r="AP464" s="5"/>
      <c r="AS464" s="5" t="s">
        <v>1591</v>
      </c>
      <c r="AT464" s="5"/>
      <c r="AU464" s="5"/>
      <c r="AV464" s="5"/>
      <c r="AW464" s="5" t="s">
        <v>1565</v>
      </c>
      <c r="AX464" s="5" t="s">
        <v>1560</v>
      </c>
      <c r="BC464" s="5" t="s">
        <v>1700</v>
      </c>
      <c r="BD464" s="5"/>
      <c r="BE464" s="5">
        <v>7</v>
      </c>
      <c r="BF464" s="5"/>
      <c r="BG464" s="5" t="s">
        <v>1632</v>
      </c>
      <c r="BH464" s="5"/>
      <c r="BI464" s="5"/>
      <c r="BJ464" s="5"/>
      <c r="BK464" s="7"/>
      <c r="BL464" s="5"/>
      <c r="BM464" s="5" t="s">
        <v>1609</v>
      </c>
      <c r="BN464" s="5">
        <v>183</v>
      </c>
      <c r="BO464" s="5" t="s">
        <v>1613</v>
      </c>
    </row>
    <row r="465" spans="1:67">
      <c r="A465" s="4" t="s">
        <v>1435</v>
      </c>
      <c r="B465" s="7"/>
      <c r="C465" s="5" t="s">
        <v>85</v>
      </c>
      <c r="D465" s="5" t="s">
        <v>51</v>
      </c>
      <c r="E465" s="5"/>
      <c r="F465" s="5">
        <v>3</v>
      </c>
      <c r="G465" s="5">
        <v>30</v>
      </c>
      <c r="H465" s="5"/>
      <c r="I465" s="5"/>
      <c r="J465" s="5">
        <v>40</v>
      </c>
      <c r="K465" s="5" t="s">
        <v>1271</v>
      </c>
      <c r="L465" s="5"/>
      <c r="M465" s="5">
        <v>6</v>
      </c>
      <c r="N465" s="5" t="s">
        <v>1428</v>
      </c>
      <c r="O465" s="7"/>
      <c r="P465" s="5"/>
      <c r="Q465" s="5"/>
      <c r="S465" s="5"/>
      <c r="T465" s="5">
        <v>60</v>
      </c>
      <c r="V465" s="5"/>
      <c r="W465" s="5"/>
      <c r="X465" s="5"/>
      <c r="Y465" s="5"/>
      <c r="Z465" s="5" t="s">
        <v>65</v>
      </c>
      <c r="AA465" s="5">
        <v>2</v>
      </c>
      <c r="AB465" s="5"/>
      <c r="AC465" s="5"/>
      <c r="AD465" s="5">
        <v>17</v>
      </c>
      <c r="AE465" s="5">
        <v>8</v>
      </c>
      <c r="AF465" s="5">
        <v>13</v>
      </c>
      <c r="AG465" s="5">
        <v>6</v>
      </c>
      <c r="AH465" s="5">
        <v>11</v>
      </c>
      <c r="AI465" s="5">
        <v>15</v>
      </c>
      <c r="AJ465" s="5"/>
      <c r="AK465" s="5"/>
      <c r="AL465" s="5"/>
      <c r="AM465" s="5"/>
      <c r="AN465" s="5"/>
      <c r="AO465" s="5"/>
      <c r="AP465" s="5"/>
      <c r="AS465" s="5" t="s">
        <v>1591</v>
      </c>
      <c r="AT465" s="5"/>
      <c r="AU465" s="5"/>
      <c r="AV465" s="5"/>
      <c r="AW465" s="5" t="s">
        <v>1565</v>
      </c>
      <c r="AX465" s="5" t="s">
        <v>1560</v>
      </c>
      <c r="BC465" s="5" t="s">
        <v>1700</v>
      </c>
      <c r="BD465" s="5"/>
      <c r="BE465" s="5">
        <v>7</v>
      </c>
      <c r="BF465" s="5"/>
      <c r="BG465" s="5" t="s">
        <v>1632</v>
      </c>
      <c r="BH465" s="5"/>
      <c r="BI465" s="5"/>
      <c r="BJ465" s="5"/>
      <c r="BK465" s="7"/>
      <c r="BL465" s="5"/>
      <c r="BM465" s="5" t="s">
        <v>1609</v>
      </c>
      <c r="BN465" s="5">
        <v>184</v>
      </c>
      <c r="BO465" s="5" t="s">
        <v>1613</v>
      </c>
    </row>
    <row r="466" spans="1:67">
      <c r="A466" s="4" t="s">
        <v>1436</v>
      </c>
      <c r="B466" s="7"/>
      <c r="C466" s="5" t="s">
        <v>85</v>
      </c>
      <c r="D466" s="5" t="s">
        <v>51</v>
      </c>
      <c r="E466" s="5"/>
      <c r="F466" s="5">
        <v>3</v>
      </c>
      <c r="G466" s="5">
        <v>30</v>
      </c>
      <c r="H466" s="5"/>
      <c r="I466" s="5"/>
      <c r="J466" s="5">
        <v>50</v>
      </c>
      <c r="K466" s="5" t="s">
        <v>1271</v>
      </c>
      <c r="L466" s="5"/>
      <c r="M466" s="5">
        <v>4</v>
      </c>
      <c r="N466" s="5" t="s">
        <v>1428</v>
      </c>
      <c r="O466" s="7"/>
      <c r="P466" s="5"/>
      <c r="Q466" s="5"/>
      <c r="S466" s="5"/>
      <c r="T466" s="5">
        <v>60</v>
      </c>
      <c r="V466" s="5" t="s">
        <v>108</v>
      </c>
      <c r="W466" s="5" t="s">
        <v>109</v>
      </c>
      <c r="X466" s="5"/>
      <c r="Y466" s="5"/>
      <c r="Z466" s="5" t="s">
        <v>65</v>
      </c>
      <c r="AA466" s="5">
        <v>2</v>
      </c>
      <c r="AB466" s="5"/>
      <c r="AC466" s="5"/>
      <c r="AD466" s="5">
        <v>10</v>
      </c>
      <c r="AE466" s="5">
        <v>13</v>
      </c>
      <c r="AF466" s="5">
        <v>10</v>
      </c>
      <c r="AG466" s="5">
        <v>6</v>
      </c>
      <c r="AH466" s="5">
        <v>11</v>
      </c>
      <c r="AI466" s="5">
        <v>15</v>
      </c>
      <c r="AJ466" s="5"/>
      <c r="AK466" s="5"/>
      <c r="AL466" s="5"/>
      <c r="AM466" s="5"/>
      <c r="AN466" s="5"/>
      <c r="AO466" s="5"/>
      <c r="AP466" s="5"/>
      <c r="AS466" s="5" t="s">
        <v>1590</v>
      </c>
      <c r="AT466" s="5"/>
      <c r="AU466" s="5"/>
      <c r="AV466" s="5"/>
      <c r="AW466" s="5" t="s">
        <v>1565</v>
      </c>
      <c r="AX466" s="5" t="s">
        <v>1560</v>
      </c>
      <c r="BC466" s="5" t="s">
        <v>1700</v>
      </c>
      <c r="BD466" s="5"/>
      <c r="BE466" s="5">
        <v>7</v>
      </c>
      <c r="BF466" s="5"/>
      <c r="BG466" s="5" t="s">
        <v>1632</v>
      </c>
      <c r="BH466" s="5"/>
      <c r="BI466" s="5"/>
      <c r="BJ466" s="5"/>
      <c r="BK466" s="7"/>
      <c r="BL466" s="5"/>
      <c r="BM466" s="5" t="s">
        <v>1609</v>
      </c>
      <c r="BN466" s="5">
        <v>184</v>
      </c>
      <c r="BO466" s="5" t="s">
        <v>1613</v>
      </c>
    </row>
    <row r="467" spans="1:67">
      <c r="A467" s="4" t="s">
        <v>1437</v>
      </c>
      <c r="B467" s="7"/>
      <c r="C467" s="5" t="s">
        <v>85</v>
      </c>
      <c r="D467" s="5" t="s">
        <v>51</v>
      </c>
      <c r="E467" s="5"/>
      <c r="F467" s="5">
        <v>3</v>
      </c>
      <c r="G467" s="5">
        <v>30</v>
      </c>
      <c r="H467" s="5"/>
      <c r="I467" s="5"/>
      <c r="J467" s="5">
        <v>40</v>
      </c>
      <c r="K467" s="5" t="s">
        <v>1271</v>
      </c>
      <c r="L467" s="5">
        <v>30</v>
      </c>
      <c r="M467" s="5">
        <v>5</v>
      </c>
      <c r="N467" s="5" t="s">
        <v>1428</v>
      </c>
      <c r="O467" s="7"/>
      <c r="P467" s="5"/>
      <c r="Q467" s="5"/>
      <c r="S467" s="5"/>
      <c r="T467" s="5">
        <v>60</v>
      </c>
      <c r="V467" s="5"/>
      <c r="W467" s="5"/>
      <c r="X467" s="5"/>
      <c r="Y467" s="5"/>
      <c r="Z467" s="5" t="s">
        <v>65</v>
      </c>
      <c r="AA467" s="5">
        <v>2</v>
      </c>
      <c r="AB467" s="5"/>
      <c r="AC467" s="5"/>
      <c r="AD467" s="5">
        <v>14</v>
      </c>
      <c r="AE467" s="5">
        <v>10</v>
      </c>
      <c r="AF467" s="5">
        <v>13</v>
      </c>
      <c r="AG467" s="5">
        <v>6</v>
      </c>
      <c r="AH467" s="5">
        <v>11</v>
      </c>
      <c r="AI467" s="5">
        <v>15</v>
      </c>
      <c r="AJ467" s="5"/>
      <c r="AK467" s="5"/>
      <c r="AL467" s="5"/>
      <c r="AM467" s="5"/>
      <c r="AN467" s="5"/>
      <c r="AO467" s="5"/>
      <c r="AP467" s="5"/>
      <c r="AS467" s="5" t="s">
        <v>1591</v>
      </c>
      <c r="AT467" s="5"/>
      <c r="AU467" s="5"/>
      <c r="AV467" s="5"/>
      <c r="AW467" s="5" t="s">
        <v>1565</v>
      </c>
      <c r="AX467" s="5" t="s">
        <v>1560</v>
      </c>
      <c r="BC467" s="5" t="s">
        <v>1700</v>
      </c>
      <c r="BD467" s="5"/>
      <c r="BE467" s="5">
        <v>7</v>
      </c>
      <c r="BF467" s="5"/>
      <c r="BG467" s="5" t="s">
        <v>1632</v>
      </c>
      <c r="BH467" s="5"/>
      <c r="BI467" s="5"/>
      <c r="BJ467" s="5"/>
      <c r="BK467" s="7"/>
      <c r="BL467" s="5"/>
      <c r="BM467" s="5" t="s">
        <v>1609</v>
      </c>
      <c r="BN467" s="5">
        <v>185</v>
      </c>
      <c r="BO467" s="5" t="s">
        <v>1613</v>
      </c>
    </row>
    <row r="468" spans="1:67">
      <c r="A468" s="4" t="s">
        <v>1438</v>
      </c>
      <c r="B468" s="7"/>
      <c r="C468" s="5" t="s">
        <v>641</v>
      </c>
      <c r="D468" s="5" t="s">
        <v>1241</v>
      </c>
      <c r="E468" s="5"/>
      <c r="F468" s="5">
        <v>1</v>
      </c>
      <c r="G468" s="5">
        <v>30</v>
      </c>
      <c r="H468" s="5"/>
      <c r="I468" s="5">
        <v>30</v>
      </c>
      <c r="J468" s="5"/>
      <c r="K468" s="5"/>
      <c r="L468" s="5"/>
      <c r="M468" s="5"/>
      <c r="N468" s="5" t="s">
        <v>244</v>
      </c>
      <c r="O468" s="7"/>
      <c r="P468" s="5"/>
      <c r="Q468" s="5"/>
      <c r="S468" s="5"/>
      <c r="T468" s="5">
        <v>60</v>
      </c>
      <c r="V468" s="5"/>
      <c r="W468" s="5"/>
      <c r="X468" s="5"/>
      <c r="Y468" s="5"/>
      <c r="Z468" s="5"/>
      <c r="AA468" s="5"/>
      <c r="AB468" s="5"/>
      <c r="AC468" s="5"/>
      <c r="AD468" s="5">
        <v>3</v>
      </c>
      <c r="AE468" s="5">
        <v>15</v>
      </c>
      <c r="AF468" s="5">
        <v>10</v>
      </c>
      <c r="AG468" s="5"/>
      <c r="AH468" s="5"/>
      <c r="AI468" s="5"/>
      <c r="AJ468" s="5"/>
      <c r="AK468" s="5"/>
      <c r="AL468" s="5"/>
      <c r="AM468" s="5"/>
      <c r="AN468" s="5"/>
      <c r="AO468" s="5"/>
      <c r="AP468" s="5"/>
      <c r="AS468" s="5"/>
      <c r="AT468" s="5"/>
      <c r="AU468" s="5"/>
      <c r="AV468" s="5"/>
      <c r="AW468" s="5"/>
      <c r="AX468" s="5" t="s">
        <v>1560</v>
      </c>
      <c r="BC468" s="5"/>
      <c r="BD468" s="5"/>
      <c r="BE468" s="5"/>
      <c r="BF468" s="5"/>
      <c r="BG468" s="5"/>
      <c r="BH468" s="5"/>
      <c r="BI468" s="5"/>
      <c r="BJ468" s="5"/>
      <c r="BK468" s="7"/>
      <c r="BL468" s="5"/>
      <c r="BM468" s="5" t="s">
        <v>1621</v>
      </c>
      <c r="BN468" s="5"/>
      <c r="BO468" s="5"/>
    </row>
    <row r="469" spans="1:67">
      <c r="A469" s="4" t="s">
        <v>1439</v>
      </c>
      <c r="B469" s="7"/>
      <c r="C469" s="5" t="s">
        <v>62</v>
      </c>
      <c r="D469" s="5" t="s">
        <v>1241</v>
      </c>
      <c r="E469" s="5" t="s">
        <v>100</v>
      </c>
      <c r="F469" s="5">
        <v>8</v>
      </c>
      <c r="G469" s="5">
        <v>20</v>
      </c>
      <c r="H469" s="5"/>
      <c r="I469" s="5"/>
      <c r="J469" s="5"/>
      <c r="K469" s="5"/>
      <c r="L469" s="5">
        <v>30</v>
      </c>
      <c r="M469" s="5">
        <v>7</v>
      </c>
      <c r="N469" s="5" t="s">
        <v>1440</v>
      </c>
      <c r="O469" s="7"/>
      <c r="P469" s="5"/>
      <c r="Q469" s="5"/>
      <c r="S469" s="5" t="s">
        <v>77</v>
      </c>
      <c r="T469" s="5"/>
      <c r="V469" s="5"/>
      <c r="W469" s="5"/>
      <c r="X469" s="5"/>
      <c r="Y469" s="5"/>
      <c r="Z469" s="5"/>
      <c r="AA469" s="5"/>
      <c r="AB469" s="5"/>
      <c r="AC469" s="5"/>
      <c r="AD469" s="5">
        <v>20</v>
      </c>
      <c r="AE469" s="5">
        <v>15</v>
      </c>
      <c r="AF469" s="5">
        <v>13</v>
      </c>
      <c r="AG469" s="5">
        <v>2</v>
      </c>
      <c r="AH469" s="5">
        <v>12</v>
      </c>
      <c r="AI469" s="5">
        <v>3</v>
      </c>
      <c r="AJ469" s="5"/>
      <c r="AK469" s="5"/>
      <c r="AL469" s="5"/>
      <c r="AM469" s="5"/>
      <c r="AN469" s="5"/>
      <c r="AO469" s="5"/>
      <c r="AP469" s="5"/>
      <c r="AS469" s="5"/>
      <c r="AT469" s="5"/>
      <c r="AU469" s="5"/>
      <c r="AV469" s="5"/>
      <c r="AW469" s="5"/>
      <c r="AX469" s="5" t="s">
        <v>1560</v>
      </c>
      <c r="BC469" s="5"/>
      <c r="BD469" s="5"/>
      <c r="BE469" s="5"/>
      <c r="BF469" s="5">
        <v>13</v>
      </c>
      <c r="BG469" s="5"/>
      <c r="BH469" s="5"/>
      <c r="BI469" s="5"/>
      <c r="BJ469" s="5"/>
      <c r="BK469" s="7"/>
      <c r="BL469" s="5"/>
      <c r="BM469" s="5" t="s">
        <v>1609</v>
      </c>
      <c r="BN469" s="5">
        <v>276</v>
      </c>
      <c r="BO469" s="5"/>
    </row>
    <row r="470" spans="1:67">
      <c r="A470" s="4" t="s">
        <v>1441</v>
      </c>
      <c r="B470" s="7"/>
      <c r="C470" s="5" t="s">
        <v>85</v>
      </c>
      <c r="D470" s="8" t="s">
        <v>1239</v>
      </c>
      <c r="E470" s="5"/>
      <c r="F470" s="5">
        <v>1</v>
      </c>
      <c r="G470" s="5">
        <v>40</v>
      </c>
      <c r="H470" s="5">
        <v>5</v>
      </c>
      <c r="I470" s="5"/>
      <c r="J470" s="5"/>
      <c r="K470" s="5"/>
      <c r="L470" s="5"/>
      <c r="M470" s="5">
        <v>3</v>
      </c>
      <c r="N470" s="5" t="s">
        <v>1278</v>
      </c>
      <c r="O470" s="7"/>
      <c r="P470" s="5"/>
      <c r="Q470" s="5"/>
      <c r="S470" s="5" t="s">
        <v>77</v>
      </c>
      <c r="T470" s="5"/>
      <c r="V470" s="5"/>
      <c r="W470" s="5"/>
      <c r="X470" s="5"/>
      <c r="Y470" s="5"/>
      <c r="Z470" s="5"/>
      <c r="AA470" s="5"/>
      <c r="AB470" s="5"/>
      <c r="AC470" s="5"/>
      <c r="AD470" s="5">
        <v>14</v>
      </c>
      <c r="AE470" s="5">
        <v>13</v>
      </c>
      <c r="AF470" s="5">
        <v>19</v>
      </c>
      <c r="AG470" s="5">
        <v>2</v>
      </c>
      <c r="AH470" s="5">
        <v>12</v>
      </c>
      <c r="AI470" s="5">
        <v>2</v>
      </c>
      <c r="AJ470" s="5"/>
      <c r="AK470" s="5"/>
      <c r="AL470" s="5"/>
      <c r="AM470" s="5"/>
      <c r="AN470" s="5"/>
      <c r="AO470" s="5"/>
      <c r="AP470" s="5"/>
      <c r="AS470" s="5" t="s">
        <v>1592</v>
      </c>
      <c r="AT470" s="5"/>
      <c r="AU470" s="5"/>
      <c r="AV470" s="5"/>
      <c r="AW470" s="5" t="s">
        <v>1571</v>
      </c>
      <c r="AX470" s="5" t="s">
        <v>1560</v>
      </c>
      <c r="BC470" s="5" t="s">
        <v>1610</v>
      </c>
      <c r="BD470" s="5"/>
      <c r="BE470" s="5">
        <v>5</v>
      </c>
      <c r="BF470" s="5"/>
      <c r="BG470" s="5" t="s">
        <v>1618</v>
      </c>
      <c r="BH470" s="5"/>
      <c r="BI470" s="5"/>
      <c r="BJ470" s="5"/>
      <c r="BK470" s="7"/>
      <c r="BL470" s="5"/>
      <c r="BM470" s="5" t="s">
        <v>1625</v>
      </c>
      <c r="BN470" s="5"/>
      <c r="BO470" s="5" t="s">
        <v>1626</v>
      </c>
    </row>
    <row r="471" spans="1:67">
      <c r="A471" s="4" t="s">
        <v>1442</v>
      </c>
      <c r="B471" s="7"/>
      <c r="C471" s="5" t="s">
        <v>641</v>
      </c>
      <c r="D471" s="5" t="s">
        <v>1241</v>
      </c>
      <c r="E471" s="5"/>
      <c r="F471" s="5">
        <v>1</v>
      </c>
      <c r="G471" s="5">
        <v>10</v>
      </c>
      <c r="H471" s="5"/>
      <c r="I471" s="5"/>
      <c r="J471" s="5">
        <v>40</v>
      </c>
      <c r="K471" s="5" t="s">
        <v>1271</v>
      </c>
      <c r="L471" s="5"/>
      <c r="M471" s="5">
        <v>2</v>
      </c>
      <c r="N471" s="5" t="s">
        <v>1405</v>
      </c>
      <c r="O471" s="7"/>
      <c r="P471" s="5"/>
      <c r="Q471" s="5"/>
      <c r="S471" s="5"/>
      <c r="T471" s="5"/>
      <c r="V471" s="5"/>
      <c r="W471" s="5"/>
      <c r="X471" s="5"/>
      <c r="Y471" s="5"/>
      <c r="Z471" s="5"/>
      <c r="AA471" s="5"/>
      <c r="AB471" s="5"/>
      <c r="AC471" s="5"/>
      <c r="AD471" s="5">
        <v>4</v>
      </c>
      <c r="AE471" s="5">
        <v>17</v>
      </c>
      <c r="AF471" s="5">
        <v>10</v>
      </c>
      <c r="AG471" s="5">
        <v>2</v>
      </c>
      <c r="AH471" s="5">
        <v>14</v>
      </c>
      <c r="AI471" s="5">
        <v>4</v>
      </c>
      <c r="AJ471" s="5"/>
      <c r="AK471" s="5"/>
      <c r="AL471" s="5"/>
      <c r="AM471" s="5"/>
      <c r="AN471" s="5"/>
      <c r="AO471" s="5"/>
      <c r="AP471" s="5" t="s">
        <v>1815</v>
      </c>
      <c r="AS471" s="5" t="s">
        <v>1567</v>
      </c>
      <c r="AT471" s="5"/>
      <c r="AU471" s="5"/>
      <c r="AV471" s="5">
        <v>0</v>
      </c>
      <c r="AW471" s="5" t="s">
        <v>1565</v>
      </c>
      <c r="AX471" s="5" t="s">
        <v>1560</v>
      </c>
      <c r="BC471" s="5" t="s">
        <v>1702</v>
      </c>
      <c r="BD471" s="5"/>
      <c r="BE471" s="5">
        <v>1</v>
      </c>
      <c r="BF471" s="5">
        <v>1</v>
      </c>
      <c r="BG471" s="5" t="s">
        <v>1616</v>
      </c>
      <c r="BH471" s="5"/>
      <c r="BI471" s="5"/>
      <c r="BJ471" s="5"/>
      <c r="BK471" s="7"/>
      <c r="BL471" s="5"/>
      <c r="BM471" s="5" t="s">
        <v>1609</v>
      </c>
      <c r="BN471" s="5">
        <v>277</v>
      </c>
      <c r="BO471" s="5"/>
    </row>
    <row r="472" spans="1:67">
      <c r="A472" s="4" t="s">
        <v>1443</v>
      </c>
      <c r="B472" s="7"/>
      <c r="C472" s="5" t="s">
        <v>62</v>
      </c>
      <c r="D472" s="5" t="s">
        <v>1239</v>
      </c>
      <c r="E472" s="5"/>
      <c r="F472" s="5">
        <v>4</v>
      </c>
      <c r="G472" s="5">
        <v>10</v>
      </c>
      <c r="H472" s="5"/>
      <c r="I472" s="5"/>
      <c r="J472" s="5">
        <v>70</v>
      </c>
      <c r="K472" s="5" t="s">
        <v>1271</v>
      </c>
      <c r="L472" s="5"/>
      <c r="M472" s="5">
        <v>3</v>
      </c>
      <c r="N472" s="5" t="s">
        <v>660</v>
      </c>
      <c r="O472" s="7"/>
      <c r="P472" s="5"/>
      <c r="Q472" s="5"/>
      <c r="S472" s="5" t="s">
        <v>77</v>
      </c>
      <c r="T472" s="5"/>
      <c r="V472" s="5"/>
      <c r="W472" s="5"/>
      <c r="X472" s="5"/>
      <c r="Y472" s="5"/>
      <c r="Z472" s="5"/>
      <c r="AA472" s="5"/>
      <c r="AB472" s="5"/>
      <c r="AC472" s="5"/>
      <c r="AD472" s="5">
        <v>18</v>
      </c>
      <c r="AE472" s="5">
        <v>17</v>
      </c>
      <c r="AF472" s="5">
        <v>12</v>
      </c>
      <c r="AG472" s="5">
        <v>10</v>
      </c>
      <c r="AH472" s="5">
        <v>14</v>
      </c>
      <c r="AI472" s="5">
        <v>10</v>
      </c>
      <c r="AJ472" s="5"/>
      <c r="AK472" s="5"/>
      <c r="AL472" s="5"/>
      <c r="AM472" s="5"/>
      <c r="AN472" s="5"/>
      <c r="AO472" s="5"/>
      <c r="AP472" s="5"/>
      <c r="AS472" s="5"/>
      <c r="AT472" s="5"/>
      <c r="AU472" s="5"/>
      <c r="AV472" s="5"/>
      <c r="AW472" s="5"/>
      <c r="AX472" s="5" t="s">
        <v>1560</v>
      </c>
      <c r="BC472" s="5"/>
      <c r="BD472" s="5"/>
      <c r="BE472" s="5"/>
      <c r="BF472" s="5">
        <v>7</v>
      </c>
      <c r="BG472" s="5"/>
      <c r="BH472" s="5" t="s">
        <v>1813</v>
      </c>
      <c r="BI472" s="5" t="s">
        <v>1813</v>
      </c>
      <c r="BJ472" s="5"/>
      <c r="BK472" s="7"/>
      <c r="BL472" s="5"/>
      <c r="BM472" s="5" t="s">
        <v>1609</v>
      </c>
      <c r="BN472" s="5">
        <v>205</v>
      </c>
      <c r="BO472" s="5"/>
    </row>
    <row r="473" spans="1:67">
      <c r="A473" s="4" t="s">
        <v>1444</v>
      </c>
      <c r="B473" s="7"/>
      <c r="C473" s="5" t="s">
        <v>62</v>
      </c>
      <c r="D473" s="5" t="s">
        <v>1239</v>
      </c>
      <c r="E473" s="5"/>
      <c r="F473" s="5">
        <v>5</v>
      </c>
      <c r="G473" s="5">
        <v>30</v>
      </c>
      <c r="H473" s="5"/>
      <c r="I473" s="5"/>
      <c r="J473" s="5"/>
      <c r="K473" s="5"/>
      <c r="L473" s="5"/>
      <c r="M473" s="5">
        <v>5</v>
      </c>
      <c r="N473" s="5" t="s">
        <v>660</v>
      </c>
      <c r="O473" s="7"/>
      <c r="P473" s="5"/>
      <c r="Q473" s="5"/>
      <c r="S473" s="5"/>
      <c r="T473" s="5"/>
      <c r="V473" s="5"/>
      <c r="W473" s="5"/>
      <c r="X473" s="5"/>
      <c r="Y473" s="5"/>
      <c r="Z473" s="5"/>
      <c r="AA473" s="5"/>
      <c r="AB473" s="5"/>
      <c r="AC473" s="5"/>
      <c r="AD473" s="5">
        <v>21</v>
      </c>
      <c r="AE473" s="5">
        <v>12</v>
      </c>
      <c r="AF473" s="5">
        <v>21</v>
      </c>
      <c r="AG473" s="5">
        <v>2</v>
      </c>
      <c r="AH473" s="5">
        <v>12</v>
      </c>
      <c r="AI473" s="5">
        <v>10</v>
      </c>
      <c r="AJ473" s="5"/>
      <c r="AK473" s="5"/>
      <c r="AL473" s="5"/>
      <c r="AM473" s="5"/>
      <c r="AN473" s="5"/>
      <c r="AO473" s="5"/>
      <c r="AP473" s="5"/>
      <c r="AS473" s="5"/>
      <c r="AT473" s="5"/>
      <c r="AU473" s="5"/>
      <c r="AV473" s="5"/>
      <c r="AW473" s="5"/>
      <c r="AX473" s="5" t="s">
        <v>1560</v>
      </c>
      <c r="BC473" s="5"/>
      <c r="BD473" s="5"/>
      <c r="BE473" s="5"/>
      <c r="BF473" s="5">
        <v>7</v>
      </c>
      <c r="BG473" s="5"/>
      <c r="BH473" s="5"/>
      <c r="BI473" s="5"/>
      <c r="BJ473" s="5"/>
      <c r="BK473" s="7"/>
      <c r="BL473" s="5"/>
      <c r="BM473" s="5" t="s">
        <v>1609</v>
      </c>
      <c r="BN473" s="5">
        <v>206</v>
      </c>
      <c r="BO473" s="5"/>
    </row>
    <row r="474" spans="1:67">
      <c r="A474" s="4" t="s">
        <v>1445</v>
      </c>
      <c r="B474" s="7"/>
      <c r="C474" s="5" t="s">
        <v>62</v>
      </c>
      <c r="D474" s="5" t="s">
        <v>1239</v>
      </c>
      <c r="E474" s="5"/>
      <c r="F474" s="5">
        <v>4</v>
      </c>
      <c r="G474" s="5">
        <v>60</v>
      </c>
      <c r="H474" s="5"/>
      <c r="I474" s="5"/>
      <c r="J474" s="5">
        <v>120</v>
      </c>
      <c r="K474" s="5" t="s">
        <v>1271</v>
      </c>
      <c r="L474" s="5"/>
      <c r="M474" s="5">
        <v>3</v>
      </c>
      <c r="N474" s="5" t="s">
        <v>1446</v>
      </c>
      <c r="O474" s="7"/>
      <c r="P474" s="5" t="s">
        <v>1535</v>
      </c>
      <c r="Q474" s="5"/>
      <c r="S474" s="5"/>
      <c r="T474" s="5"/>
      <c r="V474" s="5"/>
      <c r="W474" s="5"/>
      <c r="X474" s="5"/>
      <c r="Y474" s="5"/>
      <c r="Z474" s="5"/>
      <c r="AA474" s="5"/>
      <c r="AB474" s="5"/>
      <c r="AC474" s="5"/>
      <c r="AD474" s="5">
        <v>18</v>
      </c>
      <c r="AE474" s="5">
        <v>15</v>
      </c>
      <c r="AF474" s="5">
        <v>16</v>
      </c>
      <c r="AG474" s="5">
        <v>10</v>
      </c>
      <c r="AH474" s="5">
        <v>13</v>
      </c>
      <c r="AI474" s="5">
        <v>13</v>
      </c>
      <c r="AJ474" s="5"/>
      <c r="AK474" s="5"/>
      <c r="AL474" s="5"/>
      <c r="AM474" s="5"/>
      <c r="AN474" s="5"/>
      <c r="AO474" s="5"/>
      <c r="AP474" s="5"/>
      <c r="AS474" s="5"/>
      <c r="AT474" s="5"/>
      <c r="AU474" s="5"/>
      <c r="AV474" s="5"/>
      <c r="AW474" s="5"/>
      <c r="AX474" s="5" t="s">
        <v>1560</v>
      </c>
      <c r="BC474" s="5"/>
      <c r="BD474" s="5"/>
      <c r="BE474" s="5"/>
      <c r="BF474" s="5">
        <v>7</v>
      </c>
      <c r="BG474" s="5"/>
      <c r="BH474" s="5" t="s">
        <v>1813</v>
      </c>
      <c r="BI474" s="5" t="s">
        <v>1813</v>
      </c>
      <c r="BJ474" s="5"/>
      <c r="BK474" s="7"/>
      <c r="BL474" s="5"/>
      <c r="BM474" s="5" t="s">
        <v>1609</v>
      </c>
      <c r="BN474" s="5">
        <v>206</v>
      </c>
      <c r="BO474" s="5"/>
    </row>
    <row r="475" spans="1:67">
      <c r="A475" s="4" t="s">
        <v>1447</v>
      </c>
      <c r="B475" s="7"/>
      <c r="C475" s="5" t="s">
        <v>42</v>
      </c>
      <c r="D475" s="5" t="s">
        <v>1241</v>
      </c>
      <c r="E475" s="5"/>
      <c r="F475" s="5">
        <v>2</v>
      </c>
      <c r="G475" s="5">
        <v>40</v>
      </c>
      <c r="H475" s="5"/>
      <c r="I475" s="5"/>
      <c r="J475" s="5"/>
      <c r="K475" s="5"/>
      <c r="L475" s="5"/>
      <c r="M475" s="5">
        <v>2</v>
      </c>
      <c r="N475" s="5" t="s">
        <v>1448</v>
      </c>
      <c r="O475" s="7"/>
      <c r="P475" s="5"/>
      <c r="Q475" s="5"/>
      <c r="S475" s="5" t="s">
        <v>77</v>
      </c>
      <c r="T475" s="5">
        <v>60</v>
      </c>
      <c r="V475" s="5"/>
      <c r="W475" s="5"/>
      <c r="X475" s="5"/>
      <c r="Y475" s="5"/>
      <c r="Z475" s="5"/>
      <c r="AA475" s="5"/>
      <c r="AB475" s="5"/>
      <c r="AC475" s="5"/>
      <c r="AD475" s="5">
        <v>13</v>
      </c>
      <c r="AE475" s="5">
        <v>13</v>
      </c>
      <c r="AF475" s="5">
        <v>12</v>
      </c>
      <c r="AG475" s="5">
        <v>2</v>
      </c>
      <c r="AH475" s="5">
        <v>11</v>
      </c>
      <c r="AI475" s="5">
        <v>4</v>
      </c>
      <c r="AJ475" s="5"/>
      <c r="AK475" s="5"/>
      <c r="AL475" s="5"/>
      <c r="AM475" s="5"/>
      <c r="AN475" s="5"/>
      <c r="AO475" s="5"/>
      <c r="AP475" s="5"/>
      <c r="AS475" s="5"/>
      <c r="AT475" s="5"/>
      <c r="AU475" s="5"/>
      <c r="AV475" s="5"/>
      <c r="AW475" s="5"/>
      <c r="AX475" s="5" t="s">
        <v>1560</v>
      </c>
      <c r="BC475" s="5"/>
      <c r="BD475" s="5"/>
      <c r="BE475" s="5"/>
      <c r="BF475" s="5">
        <v>1</v>
      </c>
      <c r="BG475" s="5"/>
      <c r="BH475" s="5"/>
      <c r="BI475" s="5"/>
      <c r="BJ475" s="5"/>
      <c r="BK475" s="7"/>
      <c r="BL475" s="5"/>
      <c r="BM475" s="5" t="s">
        <v>1609</v>
      </c>
      <c r="BN475" s="5">
        <v>277</v>
      </c>
      <c r="BO475" s="5"/>
    </row>
    <row r="476" spans="1:67">
      <c r="A476" s="4" t="s">
        <v>1449</v>
      </c>
      <c r="B476" s="7"/>
      <c r="C476" s="5" t="s">
        <v>42</v>
      </c>
      <c r="D476" s="5" t="s">
        <v>1241</v>
      </c>
      <c r="E476" s="5"/>
      <c r="F476" s="5">
        <v>2</v>
      </c>
      <c r="G476" s="5"/>
      <c r="H476" s="5"/>
      <c r="I476" s="5"/>
      <c r="J476" s="5"/>
      <c r="K476" s="5"/>
      <c r="L476" s="5">
        <v>80</v>
      </c>
      <c r="M476" s="5">
        <v>2</v>
      </c>
      <c r="N476" s="5" t="s">
        <v>1450</v>
      </c>
      <c r="O476" s="7"/>
      <c r="P476" s="5"/>
      <c r="Q476" s="5"/>
      <c r="S476" s="5" t="s">
        <v>77</v>
      </c>
      <c r="T476" s="5"/>
      <c r="V476" s="5"/>
      <c r="W476" s="5"/>
      <c r="X476" s="5"/>
      <c r="Y476" s="5"/>
      <c r="Z476" s="5"/>
      <c r="AA476" s="5"/>
      <c r="AB476" s="5"/>
      <c r="AC476" s="5"/>
      <c r="AD476" s="5">
        <v>11</v>
      </c>
      <c r="AE476" s="5">
        <v>17</v>
      </c>
      <c r="AF476" s="5">
        <v>13</v>
      </c>
      <c r="AG476" s="5">
        <v>3</v>
      </c>
      <c r="AH476" s="5">
        <v>12</v>
      </c>
      <c r="AI476" s="5">
        <v>6</v>
      </c>
      <c r="AJ476" s="5"/>
      <c r="AK476" s="5"/>
      <c r="AL476" s="5"/>
      <c r="AM476" s="5"/>
      <c r="AN476" s="5"/>
      <c r="AO476" s="5"/>
      <c r="AP476" s="5"/>
      <c r="AS476" s="5"/>
      <c r="AT476" s="5"/>
      <c r="AU476" s="5"/>
      <c r="AV476" s="5"/>
      <c r="AW476" s="5"/>
      <c r="AX476" s="5" t="s">
        <v>1560</v>
      </c>
      <c r="BC476" s="5"/>
      <c r="BD476" s="5"/>
      <c r="BE476" s="5"/>
      <c r="BF476" s="5">
        <v>1</v>
      </c>
      <c r="BG476" s="5"/>
      <c r="BH476" s="5"/>
      <c r="BI476" s="5"/>
      <c r="BJ476" s="5"/>
      <c r="BK476" s="7"/>
      <c r="BL476" s="5"/>
      <c r="BM476" s="5" t="s">
        <v>1609</v>
      </c>
      <c r="BN476" s="5">
        <v>278</v>
      </c>
      <c r="BO476" s="5"/>
    </row>
    <row r="477" spans="1:67">
      <c r="A477" s="4" t="s">
        <v>1451</v>
      </c>
      <c r="B477" s="7"/>
      <c r="C477" s="5" t="s">
        <v>641</v>
      </c>
      <c r="D477" s="8" t="s">
        <v>286</v>
      </c>
      <c r="E477" s="5"/>
      <c r="F477" s="5">
        <v>2</v>
      </c>
      <c r="G477" s="5">
        <v>15</v>
      </c>
      <c r="H477" s="5"/>
      <c r="I477" s="5"/>
      <c r="J477" s="5">
        <v>60</v>
      </c>
      <c r="K477" s="5" t="s">
        <v>472</v>
      </c>
      <c r="L477" s="5"/>
      <c r="M477" s="5">
        <v>4</v>
      </c>
      <c r="N477" s="5" t="s">
        <v>1452</v>
      </c>
      <c r="O477" s="7"/>
      <c r="P477" s="5"/>
      <c r="Q477" s="5"/>
      <c r="S477" s="5" t="s">
        <v>77</v>
      </c>
      <c r="T477" s="5"/>
      <c r="V477" s="5" t="s">
        <v>1558</v>
      </c>
      <c r="W477" s="5"/>
      <c r="X477" s="5"/>
      <c r="Y477" s="5">
        <v>19</v>
      </c>
      <c r="Z477" s="5"/>
      <c r="AA477" s="5"/>
      <c r="AB477" s="5"/>
      <c r="AC477" s="5"/>
      <c r="AD477" s="5">
        <v>6</v>
      </c>
      <c r="AE477" s="5">
        <v>15</v>
      </c>
      <c r="AF477" s="5">
        <v>13</v>
      </c>
      <c r="AG477" s="5">
        <v>10</v>
      </c>
      <c r="AH477" s="5">
        <v>12</v>
      </c>
      <c r="AI477" s="5">
        <v>10</v>
      </c>
      <c r="AJ477" s="5"/>
      <c r="AK477" s="5"/>
      <c r="AL477" s="5"/>
      <c r="AM477" s="5"/>
      <c r="AN477" s="5"/>
      <c r="AO477" s="5"/>
      <c r="AP477" s="5"/>
      <c r="AS477" s="5" t="s">
        <v>1593</v>
      </c>
      <c r="AT477" s="5"/>
      <c r="AU477" s="5"/>
      <c r="AV477" s="5"/>
      <c r="AW477" s="5" t="s">
        <v>1572</v>
      </c>
      <c r="AX477" s="5" t="s">
        <v>1560</v>
      </c>
      <c r="BC477" s="5" t="s">
        <v>1703</v>
      </c>
      <c r="BD477" s="5"/>
      <c r="BE477" s="5">
        <v>7</v>
      </c>
      <c r="BF477" s="5"/>
      <c r="BG477" s="5" t="s">
        <v>1618</v>
      </c>
      <c r="BH477" s="5"/>
      <c r="BI477" s="5"/>
      <c r="BJ477" s="5"/>
      <c r="BK477" s="7"/>
      <c r="BL477" s="5"/>
      <c r="BM477" s="5" t="s">
        <v>1609</v>
      </c>
      <c r="BN477" s="5">
        <v>210</v>
      </c>
      <c r="BO477" s="5" t="s">
        <v>1613</v>
      </c>
    </row>
    <row r="478" spans="1:67">
      <c r="A478" s="4" t="s">
        <v>1453</v>
      </c>
      <c r="B478" s="7"/>
      <c r="C478" s="5" t="s">
        <v>641</v>
      </c>
      <c r="D478" s="8" t="s">
        <v>51</v>
      </c>
      <c r="E478" s="5"/>
      <c r="F478" s="5">
        <v>3</v>
      </c>
      <c r="G478" s="5">
        <v>20</v>
      </c>
      <c r="H478" s="5"/>
      <c r="I478" s="5"/>
      <c r="J478" s="5">
        <v>50</v>
      </c>
      <c r="K478" s="5" t="s">
        <v>766</v>
      </c>
      <c r="L478" s="5"/>
      <c r="M478" s="5">
        <v>3</v>
      </c>
      <c r="N478" s="5" t="s">
        <v>1454</v>
      </c>
      <c r="O478" s="7"/>
      <c r="P478" s="5"/>
      <c r="Q478" s="5"/>
      <c r="S478" s="5" t="s">
        <v>77</v>
      </c>
      <c r="T478" s="5">
        <v>60</v>
      </c>
      <c r="V478" s="5" t="s">
        <v>782</v>
      </c>
      <c r="W478" s="5"/>
      <c r="X478" s="5" t="s">
        <v>1064</v>
      </c>
      <c r="Y478" s="5"/>
      <c r="Z478" s="5" t="s">
        <v>1559</v>
      </c>
      <c r="AA478" s="5">
        <v>2</v>
      </c>
      <c r="AB478" s="5"/>
      <c r="AC478" s="5"/>
      <c r="AD478" s="5">
        <v>8</v>
      </c>
      <c r="AE478" s="5">
        <v>17</v>
      </c>
      <c r="AF478" s="5">
        <v>10</v>
      </c>
      <c r="AG478" s="5">
        <v>10</v>
      </c>
      <c r="AH478" s="5">
        <v>12</v>
      </c>
      <c r="AI478" s="5">
        <v>10</v>
      </c>
      <c r="AJ478" s="5"/>
      <c r="AK478" s="5"/>
      <c r="AL478" s="5"/>
      <c r="AM478" s="5"/>
      <c r="AN478" s="5"/>
      <c r="AO478" s="5"/>
      <c r="AP478" s="5"/>
      <c r="AS478" s="5" t="s">
        <v>1594</v>
      </c>
      <c r="AT478" s="5"/>
      <c r="AU478" s="5"/>
      <c r="AV478" s="5"/>
      <c r="AW478" s="5" t="s">
        <v>1573</v>
      </c>
      <c r="AX478" s="5" t="s">
        <v>1560</v>
      </c>
      <c r="BC478" s="5" t="s">
        <v>1694</v>
      </c>
      <c r="BD478" s="5"/>
      <c r="BE478" s="5">
        <v>7</v>
      </c>
      <c r="BF478" s="5"/>
      <c r="BG478" s="5" t="s">
        <v>1695</v>
      </c>
      <c r="BH478" s="5"/>
      <c r="BI478" s="5"/>
      <c r="BJ478" s="5"/>
      <c r="BK478" s="7"/>
      <c r="BL478" s="5"/>
      <c r="BM478" s="5" t="s">
        <v>1609</v>
      </c>
      <c r="BN478" s="5">
        <v>46</v>
      </c>
      <c r="BO478" s="5"/>
    </row>
    <row r="479" spans="1:67">
      <c r="A479" s="4" t="s">
        <v>1455</v>
      </c>
      <c r="B479" s="7"/>
      <c r="C479" s="5" t="s">
        <v>85</v>
      </c>
      <c r="D479" s="8" t="s">
        <v>1241</v>
      </c>
      <c r="E479" s="5"/>
      <c r="F479" s="5">
        <v>1</v>
      </c>
      <c r="G479" s="5">
        <v>30</v>
      </c>
      <c r="H479" s="5"/>
      <c r="I479" s="5"/>
      <c r="J479" s="5"/>
      <c r="K479" s="5"/>
      <c r="L479" s="5"/>
      <c r="M479" s="5"/>
      <c r="N479" s="5" t="s">
        <v>244</v>
      </c>
      <c r="O479" s="7"/>
      <c r="P479" s="5"/>
      <c r="Q479" s="5"/>
      <c r="S479" s="5"/>
      <c r="T479" s="5">
        <v>60</v>
      </c>
      <c r="V479" s="5"/>
      <c r="W479" s="5"/>
      <c r="X479" s="5"/>
      <c r="Y479" s="5"/>
      <c r="Z479" s="5"/>
      <c r="AA479" s="5"/>
      <c r="AB479" s="5"/>
      <c r="AC479" s="5"/>
      <c r="AD479" s="5">
        <v>12</v>
      </c>
      <c r="AE479" s="5">
        <v>13</v>
      </c>
      <c r="AF479" s="5">
        <v>12</v>
      </c>
      <c r="AG479" s="5"/>
      <c r="AH479" s="5"/>
      <c r="AI479" s="5"/>
      <c r="AJ479" s="5"/>
      <c r="AK479" s="5"/>
      <c r="AL479" s="5"/>
      <c r="AM479" s="5"/>
      <c r="AN479" s="5"/>
      <c r="AO479" s="5"/>
      <c r="AP479" s="5"/>
      <c r="AS479" s="5"/>
      <c r="AT479" s="5"/>
      <c r="AU479" s="5"/>
      <c r="AV479" s="5"/>
      <c r="AW479" s="5"/>
      <c r="AX479" s="5" t="s">
        <v>1560</v>
      </c>
      <c r="BC479" s="5"/>
      <c r="BD479" s="5"/>
      <c r="BE479" s="5"/>
      <c r="BF479" s="5"/>
      <c r="BG479" s="5"/>
      <c r="BH479" s="5"/>
      <c r="BI479" s="5"/>
      <c r="BJ479" s="5"/>
      <c r="BK479" s="7"/>
      <c r="BL479" s="5"/>
      <c r="BM479" s="5" t="s">
        <v>1621</v>
      </c>
      <c r="BN479" s="5"/>
      <c r="BO479" s="5"/>
    </row>
    <row r="480" spans="1:67">
      <c r="A480" s="4" t="s">
        <v>1456</v>
      </c>
      <c r="B480" s="7"/>
      <c r="C480" s="5" t="s">
        <v>42</v>
      </c>
      <c r="D480" s="5" t="s">
        <v>1241</v>
      </c>
      <c r="E480" s="5"/>
      <c r="F480" s="5"/>
      <c r="G480" s="5"/>
      <c r="H480" s="5"/>
      <c r="I480" s="5"/>
      <c r="J480" s="5"/>
      <c r="K480" s="5"/>
      <c r="L480" s="5"/>
      <c r="M480" s="5"/>
      <c r="N480" s="5" t="s">
        <v>45</v>
      </c>
      <c r="O480" s="7"/>
      <c r="P480" s="5"/>
      <c r="Q480" s="5"/>
      <c r="S480" s="5" t="s">
        <v>77</v>
      </c>
      <c r="T480" s="5"/>
      <c r="V480" s="5"/>
      <c r="W480" s="5"/>
      <c r="X480" s="5"/>
      <c r="Y480" s="5"/>
      <c r="Z480" s="5"/>
      <c r="AA480" s="5"/>
      <c r="AB480" s="5"/>
      <c r="AC480" s="5"/>
      <c r="AD480" s="5"/>
      <c r="AE480" s="5"/>
      <c r="AF480" s="5"/>
      <c r="AG480" s="5"/>
      <c r="AH480" s="5"/>
      <c r="AI480" s="5"/>
      <c r="AJ480" s="5"/>
      <c r="AK480" s="5"/>
      <c r="AL480" s="5"/>
      <c r="AM480" s="5"/>
      <c r="AN480" s="5"/>
      <c r="AO480" s="5"/>
      <c r="AP480" s="5"/>
      <c r="AS480" s="5"/>
      <c r="AT480" s="5"/>
      <c r="AU480" s="5"/>
      <c r="AV480" s="5"/>
      <c r="AW480" s="5"/>
      <c r="AX480" s="5" t="s">
        <v>1560</v>
      </c>
      <c r="BC480" s="5"/>
      <c r="BD480" s="5"/>
      <c r="BE480" s="5"/>
      <c r="BF480" s="5">
        <v>1</v>
      </c>
      <c r="BG480" s="5"/>
      <c r="BH480" s="5"/>
      <c r="BI480" s="5"/>
      <c r="BJ480" s="5"/>
      <c r="BK480" s="7"/>
      <c r="BL480" s="5"/>
      <c r="BM480" s="5" t="s">
        <v>1620</v>
      </c>
      <c r="BN480" s="5"/>
      <c r="BO480" s="5"/>
    </row>
    <row r="481" spans="1:67">
      <c r="A481" s="4" t="s">
        <v>1457</v>
      </c>
      <c r="B481" s="7"/>
      <c r="C481" s="5" t="s">
        <v>641</v>
      </c>
      <c r="D481" s="5" t="s">
        <v>1241</v>
      </c>
      <c r="E481" s="5"/>
      <c r="F481" s="5">
        <v>0.125</v>
      </c>
      <c r="G481" s="5">
        <v>15</v>
      </c>
      <c r="H481" s="5"/>
      <c r="I481" s="5">
        <v>15</v>
      </c>
      <c r="J481" s="5"/>
      <c r="K481" s="5"/>
      <c r="L481" s="5">
        <v>15</v>
      </c>
      <c r="M481" s="5">
        <v>0</v>
      </c>
      <c r="N481" s="5" t="s">
        <v>244</v>
      </c>
      <c r="O481" s="7"/>
      <c r="P481" s="5"/>
      <c r="Q481" s="5"/>
      <c r="S481" s="5"/>
      <c r="T481" s="5"/>
      <c r="V481" s="5"/>
      <c r="W481" s="5"/>
      <c r="X481" s="5"/>
      <c r="Y481" s="5"/>
      <c r="Z481" s="5"/>
      <c r="AA481" s="5"/>
      <c r="AB481" s="5"/>
      <c r="AC481" s="5"/>
      <c r="AD481" s="5">
        <v>2</v>
      </c>
      <c r="AE481" s="5">
        <v>15</v>
      </c>
      <c r="AF481" s="5">
        <v>10</v>
      </c>
      <c r="AG481" s="5">
        <v>2</v>
      </c>
      <c r="AH481" s="5">
        <v>12</v>
      </c>
      <c r="AI481" s="5">
        <v>2</v>
      </c>
      <c r="AJ481" s="5"/>
      <c r="AK481" s="5"/>
      <c r="AL481" s="5"/>
      <c r="AM481" s="5"/>
      <c r="AN481" s="5"/>
      <c r="AO481" s="5"/>
      <c r="AP481" s="5"/>
      <c r="AS481" s="5" t="s">
        <v>1567</v>
      </c>
      <c r="AT481" s="5"/>
      <c r="AU481" s="5"/>
      <c r="AV481" s="5">
        <v>0</v>
      </c>
      <c r="AW481" s="5" t="s">
        <v>1565</v>
      </c>
      <c r="AX481" s="5" t="s">
        <v>1560</v>
      </c>
      <c r="BC481" s="5" t="s">
        <v>1610</v>
      </c>
      <c r="BD481" s="5"/>
      <c r="BE481" s="5">
        <v>1</v>
      </c>
      <c r="BF481" s="5"/>
      <c r="BG481" s="5" t="s">
        <v>1616</v>
      </c>
      <c r="BH481" s="5"/>
      <c r="BI481" s="5"/>
      <c r="BJ481" s="5"/>
      <c r="BK481" s="7"/>
      <c r="BL481" s="5"/>
      <c r="BM481" s="5" t="s">
        <v>1609</v>
      </c>
      <c r="BN481" s="5">
        <v>278</v>
      </c>
      <c r="BO481" s="5"/>
    </row>
    <row r="482" spans="1:67">
      <c r="A482" s="4" t="s">
        <v>1458</v>
      </c>
      <c r="B482" s="7"/>
      <c r="C482" s="5" t="s">
        <v>641</v>
      </c>
      <c r="D482" s="5" t="s">
        <v>1241</v>
      </c>
      <c r="E482" s="5"/>
      <c r="F482" s="5">
        <v>0.25</v>
      </c>
      <c r="G482" s="5">
        <v>10</v>
      </c>
      <c r="H482" s="5"/>
      <c r="I482" s="5"/>
      <c r="J482" s="5">
        <v>40</v>
      </c>
      <c r="K482" s="5" t="s">
        <v>1271</v>
      </c>
      <c r="L482" s="5"/>
      <c r="M482" s="5">
        <v>0</v>
      </c>
      <c r="N482" s="5" t="s">
        <v>1459</v>
      </c>
      <c r="O482" s="7"/>
      <c r="P482" s="5"/>
      <c r="Q482" s="5"/>
      <c r="S482" s="5" t="s">
        <v>77</v>
      </c>
      <c r="T482" s="5"/>
      <c r="V482" s="5"/>
      <c r="W482" s="5"/>
      <c r="X482" s="5"/>
      <c r="Y482" s="5"/>
      <c r="Z482" s="5"/>
      <c r="AA482" s="5"/>
      <c r="AB482" s="5"/>
      <c r="AC482" s="5"/>
      <c r="AD482" s="5">
        <v>1</v>
      </c>
      <c r="AE482" s="5">
        <v>15</v>
      </c>
      <c r="AF482" s="5">
        <v>10</v>
      </c>
      <c r="AG482" s="5">
        <v>2</v>
      </c>
      <c r="AH482" s="5">
        <v>14</v>
      </c>
      <c r="AI482" s="5">
        <v>6</v>
      </c>
      <c r="AJ482" s="5"/>
      <c r="AK482" s="5"/>
      <c r="AL482" s="5"/>
      <c r="AM482" s="5"/>
      <c r="AN482" s="5"/>
      <c r="AO482" s="5"/>
      <c r="AP482" s="5"/>
      <c r="AS482" s="5" t="s">
        <v>1567</v>
      </c>
      <c r="AT482" s="5"/>
      <c r="AU482" s="5"/>
      <c r="AV482" s="5">
        <v>0</v>
      </c>
      <c r="AW482" s="5" t="s">
        <v>1565</v>
      </c>
      <c r="AX482" s="5" t="s">
        <v>1560</v>
      </c>
      <c r="BC482" s="5"/>
      <c r="BD482" s="5"/>
      <c r="BE482" s="5">
        <v>1</v>
      </c>
      <c r="BF482" s="5"/>
      <c r="BG482" s="5" t="s">
        <v>1616</v>
      </c>
      <c r="BH482" s="5"/>
      <c r="BI482" s="5"/>
      <c r="BJ482" s="5"/>
      <c r="BK482" s="7"/>
      <c r="BL482" s="5"/>
      <c r="BM482" s="5" t="s">
        <v>1609</v>
      </c>
      <c r="BN482" s="5">
        <v>278</v>
      </c>
      <c r="BO482" s="5"/>
    </row>
    <row r="483" spans="1:67">
      <c r="A483" s="4" t="s">
        <v>1460</v>
      </c>
      <c r="B483" s="7"/>
      <c r="C483" s="5" t="s">
        <v>519</v>
      </c>
      <c r="D483" s="5" t="s">
        <v>1239</v>
      </c>
      <c r="E483" s="5"/>
      <c r="F483" s="5"/>
      <c r="G483" s="5"/>
      <c r="H483" s="5"/>
      <c r="I483" s="5"/>
      <c r="J483" s="5"/>
      <c r="K483" s="5"/>
      <c r="L483" s="5"/>
      <c r="M483" s="5"/>
      <c r="N483" s="5" t="s">
        <v>45</v>
      </c>
      <c r="O483" s="7"/>
      <c r="P483" s="5"/>
      <c r="Q483" s="5"/>
      <c r="S483" s="5" t="s">
        <v>77</v>
      </c>
      <c r="T483" s="5"/>
      <c r="V483" s="5"/>
      <c r="W483" s="5"/>
      <c r="X483" s="5"/>
      <c r="Y483" s="5"/>
      <c r="Z483" s="5"/>
      <c r="AA483" s="5"/>
      <c r="AB483" s="5"/>
      <c r="AC483" s="5"/>
      <c r="AD483" s="5"/>
      <c r="AE483" s="5"/>
      <c r="AF483" s="5"/>
      <c r="AG483" s="5"/>
      <c r="AH483" s="5"/>
      <c r="AI483" s="5"/>
      <c r="AJ483" s="5"/>
      <c r="AK483" s="5"/>
      <c r="AL483" s="5"/>
      <c r="AM483" s="5"/>
      <c r="AN483" s="5"/>
      <c r="AO483" s="5"/>
      <c r="AP483" s="5"/>
      <c r="AS483" s="5"/>
      <c r="AT483" s="5"/>
      <c r="AU483" s="5"/>
      <c r="AV483" s="5"/>
      <c r="AW483" s="5"/>
      <c r="AX483" s="5" t="s">
        <v>1560</v>
      </c>
      <c r="BC483" s="5"/>
      <c r="BD483" s="5"/>
      <c r="BE483" s="5"/>
      <c r="BF483" s="5">
        <v>13</v>
      </c>
      <c r="BG483" s="5"/>
      <c r="BH483" s="5"/>
      <c r="BI483" s="5"/>
      <c r="BJ483" s="5"/>
      <c r="BK483" s="7"/>
      <c r="BL483" s="5"/>
      <c r="BM483" s="5" t="s">
        <v>1609</v>
      </c>
      <c r="BN483" s="5">
        <v>214</v>
      </c>
      <c r="BO483" s="5"/>
    </row>
    <row r="484" spans="1:67">
      <c r="A484" s="4" t="s">
        <v>1461</v>
      </c>
      <c r="B484" s="7"/>
      <c r="C484" s="5" t="s">
        <v>62</v>
      </c>
      <c r="D484" s="5" t="s">
        <v>1241</v>
      </c>
      <c r="E484" s="5"/>
      <c r="F484" s="5">
        <v>8</v>
      </c>
      <c r="G484" s="5">
        <v>30</v>
      </c>
      <c r="H484" s="5"/>
      <c r="I484" s="5"/>
      <c r="J484" s="5"/>
      <c r="K484" s="5"/>
      <c r="L484" s="5"/>
      <c r="M484" s="5">
        <v>7</v>
      </c>
      <c r="N484" s="5" t="s">
        <v>1258</v>
      </c>
      <c r="O484" s="7"/>
      <c r="P484" s="5"/>
      <c r="Q484" s="5"/>
      <c r="S484" s="5"/>
      <c r="T484" s="5"/>
      <c r="V484" s="5"/>
      <c r="W484" s="5"/>
      <c r="X484" s="5"/>
      <c r="Y484" s="5"/>
      <c r="Z484" s="5"/>
      <c r="AA484" s="5"/>
      <c r="AB484" s="5"/>
      <c r="AC484" s="5"/>
      <c r="AD484" s="5">
        <v>26</v>
      </c>
      <c r="AE484" s="5">
        <v>10</v>
      </c>
      <c r="AF484" s="5">
        <v>21</v>
      </c>
      <c r="AG484" s="5">
        <v>2</v>
      </c>
      <c r="AH484" s="5">
        <v>13</v>
      </c>
      <c r="AI484" s="5">
        <v>2</v>
      </c>
      <c r="AJ484" s="5"/>
      <c r="AK484" s="5"/>
      <c r="AL484" s="5"/>
      <c r="AM484" s="5"/>
      <c r="AN484" s="5"/>
      <c r="AO484" s="5"/>
      <c r="AP484" s="5"/>
      <c r="AS484" s="5"/>
      <c r="AT484" s="5"/>
      <c r="AU484" s="5"/>
      <c r="AV484" s="5"/>
      <c r="AW484" s="5"/>
      <c r="AX484" s="5" t="s">
        <v>1560</v>
      </c>
      <c r="BC484" s="5"/>
      <c r="BD484" s="5"/>
      <c r="BE484" s="5"/>
      <c r="BF484" s="5">
        <v>7</v>
      </c>
      <c r="BG484" s="5"/>
      <c r="BH484" s="5"/>
      <c r="BI484" s="5"/>
      <c r="BJ484" s="5"/>
      <c r="BK484" s="7"/>
      <c r="BL484" s="5"/>
      <c r="BM484" s="5" t="s">
        <v>1609</v>
      </c>
      <c r="BN484" s="5">
        <v>278</v>
      </c>
      <c r="BO484" s="5"/>
    </row>
    <row r="485" spans="1:67">
      <c r="A485" s="4" t="s">
        <v>1462</v>
      </c>
      <c r="B485" s="7"/>
      <c r="C485" s="5" t="s">
        <v>42</v>
      </c>
      <c r="D485" s="8" t="s">
        <v>1239</v>
      </c>
      <c r="E485" s="5"/>
      <c r="F485" s="5">
        <v>3</v>
      </c>
      <c r="G485" s="5">
        <v>20</v>
      </c>
      <c r="H485" s="5"/>
      <c r="I485" s="5"/>
      <c r="J485" s="5">
        <v>30</v>
      </c>
      <c r="K485" s="5" t="s">
        <v>1463</v>
      </c>
      <c r="L485" s="5"/>
      <c r="M485" s="5">
        <v>2</v>
      </c>
      <c r="N485" s="5" t="s">
        <v>1278</v>
      </c>
      <c r="O485" s="7"/>
      <c r="P485" s="5"/>
      <c r="Q485" s="5"/>
      <c r="S485" s="5" t="s">
        <v>77</v>
      </c>
      <c r="T485" s="5"/>
      <c r="V485" s="5"/>
      <c r="W485" s="5"/>
      <c r="X485" s="5"/>
      <c r="Y485" s="5"/>
      <c r="Z485" s="5"/>
      <c r="AA485" s="5"/>
      <c r="AB485" s="5"/>
      <c r="AC485" s="5"/>
      <c r="AD485" s="5">
        <v>14</v>
      </c>
      <c r="AE485" s="5">
        <v>17</v>
      </c>
      <c r="AF485" s="5">
        <v>15</v>
      </c>
      <c r="AG485" s="5">
        <v>1</v>
      </c>
      <c r="AH485" s="5">
        <v>12</v>
      </c>
      <c r="AI485" s="5">
        <v>10</v>
      </c>
      <c r="AJ485" s="5"/>
      <c r="AK485" s="5"/>
      <c r="AL485" s="5"/>
      <c r="AM485" s="5"/>
      <c r="AN485" s="5"/>
      <c r="AO485" s="5"/>
      <c r="AP485" s="5"/>
      <c r="AS485" s="5" t="s">
        <v>1595</v>
      </c>
      <c r="AT485" s="5"/>
      <c r="AU485" s="5"/>
      <c r="AV485" s="5"/>
      <c r="AW485" s="5" t="s">
        <v>1565</v>
      </c>
      <c r="AX485" s="5" t="s">
        <v>1560</v>
      </c>
      <c r="BC485" s="5" t="s">
        <v>1704</v>
      </c>
      <c r="BD485" s="5"/>
      <c r="BE485" s="5">
        <v>5</v>
      </c>
      <c r="BF485" s="5"/>
      <c r="BG485" s="5" t="s">
        <v>1618</v>
      </c>
      <c r="BH485" s="5"/>
      <c r="BI485" s="5"/>
      <c r="BJ485" s="5"/>
      <c r="BK485" s="7"/>
      <c r="BL485" s="5"/>
      <c r="BM485" s="5" t="s">
        <v>1623</v>
      </c>
      <c r="BN485" s="5"/>
      <c r="BO485" s="5"/>
    </row>
    <row r="486" spans="1:67">
      <c r="A486" s="4" t="s">
        <v>1464</v>
      </c>
      <c r="B486" s="7"/>
      <c r="C486" s="5" t="s">
        <v>62</v>
      </c>
      <c r="D486" s="5" t="s">
        <v>1239</v>
      </c>
      <c r="E486" s="5"/>
      <c r="F486" s="5"/>
      <c r="G486" s="5"/>
      <c r="H486" s="5"/>
      <c r="I486" s="5"/>
      <c r="J486" s="5"/>
      <c r="K486" s="5"/>
      <c r="L486" s="5"/>
      <c r="M486" s="5"/>
      <c r="N486" s="5" t="s">
        <v>45</v>
      </c>
      <c r="O486" s="7"/>
      <c r="P486" s="5"/>
      <c r="Q486" s="5"/>
      <c r="S486" s="5" t="s">
        <v>77</v>
      </c>
      <c r="T486" s="5"/>
      <c r="V486" s="5"/>
      <c r="W486" s="5"/>
      <c r="X486" s="5"/>
      <c r="Y486" s="5"/>
      <c r="Z486" s="5"/>
      <c r="AA486" s="5"/>
      <c r="AB486" s="5"/>
      <c r="AC486" s="5"/>
      <c r="AD486" s="5"/>
      <c r="AE486" s="5"/>
      <c r="AF486" s="5"/>
      <c r="AG486" s="5"/>
      <c r="AH486" s="5"/>
      <c r="AI486" s="5"/>
      <c r="AJ486" s="5"/>
      <c r="AK486" s="5"/>
      <c r="AL486" s="5"/>
      <c r="AM486" s="5"/>
      <c r="AN486" s="5"/>
      <c r="AO486" s="5"/>
      <c r="AP486" s="5"/>
      <c r="AS486" s="5"/>
      <c r="AT486" s="5"/>
      <c r="AU486" s="5"/>
      <c r="AV486" s="5"/>
      <c r="AW486" s="5"/>
      <c r="AX486" s="5" t="s">
        <v>1560</v>
      </c>
      <c r="BC486" s="5"/>
      <c r="BD486" s="5"/>
      <c r="BE486" s="5"/>
      <c r="BF486" s="5">
        <v>7</v>
      </c>
      <c r="BG486" s="5"/>
      <c r="BH486" s="5"/>
      <c r="BI486" s="5"/>
      <c r="BJ486" s="5"/>
      <c r="BK486" s="7"/>
      <c r="BL486" s="5"/>
      <c r="BM486" s="5" t="s">
        <v>1609</v>
      </c>
      <c r="BN486" s="5">
        <v>220</v>
      </c>
      <c r="BO486" s="5"/>
    </row>
    <row r="487" spans="1:67">
      <c r="A487" s="4" t="s">
        <v>1465</v>
      </c>
      <c r="B487" s="7"/>
      <c r="C487" s="5" t="s">
        <v>519</v>
      </c>
      <c r="D487" s="5" t="s">
        <v>1241</v>
      </c>
      <c r="E487" s="5" t="s">
        <v>100</v>
      </c>
      <c r="F487" s="5">
        <v>10</v>
      </c>
      <c r="G487" s="5"/>
      <c r="H487" s="5"/>
      <c r="I487" s="5"/>
      <c r="J487" s="5"/>
      <c r="K487" s="5"/>
      <c r="L487" s="5">
        <v>60</v>
      </c>
      <c r="M487" s="5">
        <v>5</v>
      </c>
      <c r="N487" s="5" t="s">
        <v>244</v>
      </c>
      <c r="O487" s="7"/>
      <c r="P487" s="5"/>
      <c r="Q487" s="5"/>
      <c r="S487" s="5"/>
      <c r="T487" s="5"/>
      <c r="V487" s="5"/>
      <c r="W487" s="5"/>
      <c r="X487" s="5"/>
      <c r="Y487" s="5"/>
      <c r="Z487" s="5"/>
      <c r="AA487" s="5"/>
      <c r="AB487" s="5"/>
      <c r="AC487" s="5"/>
      <c r="AD487" s="5">
        <v>21</v>
      </c>
      <c r="AE487" s="5">
        <v>15</v>
      </c>
      <c r="AF487" s="5">
        <v>15</v>
      </c>
      <c r="AG487" s="5">
        <v>1</v>
      </c>
      <c r="AH487" s="5">
        <v>12</v>
      </c>
      <c r="AI487" s="5">
        <v>2</v>
      </c>
      <c r="AJ487" s="5"/>
      <c r="AK487" s="5"/>
      <c r="AL487" s="5"/>
      <c r="AM487" s="5"/>
      <c r="AN487" s="5"/>
      <c r="AO487" s="5"/>
      <c r="AP487" s="5"/>
      <c r="AS487" s="5"/>
      <c r="AT487" s="5"/>
      <c r="AU487" s="5"/>
      <c r="AV487" s="5"/>
      <c r="AW487" s="5"/>
      <c r="AX487" s="5" t="s">
        <v>1560</v>
      </c>
      <c r="BC487" s="5"/>
      <c r="BD487" s="5"/>
      <c r="BE487" s="5"/>
      <c r="BF487" s="5">
        <v>10</v>
      </c>
      <c r="BG487" s="5"/>
      <c r="BH487" s="5"/>
      <c r="BI487" s="5"/>
      <c r="BJ487" s="5"/>
      <c r="BK487" s="7"/>
      <c r="BL487" s="5"/>
      <c r="BM487" s="5" t="s">
        <v>1609</v>
      </c>
      <c r="BN487" s="5">
        <v>279</v>
      </c>
      <c r="BO487" s="5"/>
    </row>
    <row r="488" spans="1:67">
      <c r="A488" s="4" t="s">
        <v>1466</v>
      </c>
      <c r="B488" s="7"/>
      <c r="C488" s="5" t="s">
        <v>62</v>
      </c>
      <c r="D488" s="5" t="s">
        <v>1241</v>
      </c>
      <c r="E488" s="5" t="s">
        <v>100</v>
      </c>
      <c r="F488" s="5">
        <v>7</v>
      </c>
      <c r="G488" s="5"/>
      <c r="H488" s="5"/>
      <c r="I488" s="5"/>
      <c r="J488" s="5"/>
      <c r="K488" s="5"/>
      <c r="L488" s="5">
        <v>60</v>
      </c>
      <c r="M488" s="5">
        <v>4</v>
      </c>
      <c r="N488" s="5" t="s">
        <v>244</v>
      </c>
      <c r="O488" s="7"/>
      <c r="P488" s="5"/>
      <c r="Q488" s="5"/>
      <c r="S488" s="5" t="s">
        <v>77</v>
      </c>
      <c r="T488" s="5"/>
      <c r="V488" s="5"/>
      <c r="W488" s="5"/>
      <c r="X488" s="5"/>
      <c r="Y488" s="5"/>
      <c r="Z488" s="5"/>
      <c r="AA488" s="5"/>
      <c r="AB488" s="5"/>
      <c r="AC488" s="5"/>
      <c r="AD488" s="5">
        <v>17</v>
      </c>
      <c r="AE488" s="5">
        <v>15</v>
      </c>
      <c r="AF488" s="5">
        <v>13</v>
      </c>
      <c r="AG488" s="5">
        <v>1</v>
      </c>
      <c r="AH488" s="5">
        <v>12</v>
      </c>
      <c r="AI488" s="5">
        <v>2</v>
      </c>
      <c r="AJ488" s="5"/>
      <c r="AK488" s="5"/>
      <c r="AL488" s="5"/>
      <c r="AM488" s="5"/>
      <c r="AN488" s="5"/>
      <c r="AO488" s="5"/>
      <c r="AP488" s="5"/>
      <c r="AS488" s="5"/>
      <c r="AT488" s="5"/>
      <c r="AU488" s="5"/>
      <c r="AV488" s="5"/>
      <c r="AW488" s="5"/>
      <c r="AX488" s="5" t="s">
        <v>1560</v>
      </c>
      <c r="BC488" s="5"/>
      <c r="BD488" s="5"/>
      <c r="BE488" s="5"/>
      <c r="BF488" s="5">
        <v>4</v>
      </c>
      <c r="BG488" s="5"/>
      <c r="BH488" s="5"/>
      <c r="BI488" s="5"/>
      <c r="BJ488" s="5"/>
      <c r="BK488" s="7"/>
      <c r="BL488" s="5"/>
      <c r="BM488" s="5" t="s">
        <v>1609</v>
      </c>
      <c r="BN488" s="5">
        <v>279</v>
      </c>
      <c r="BO488" s="5"/>
    </row>
    <row r="489" spans="1:67">
      <c r="A489" s="4" t="s">
        <v>1467</v>
      </c>
      <c r="B489" s="7"/>
      <c r="C489" s="5" t="s">
        <v>42</v>
      </c>
      <c r="D489" s="5" t="s">
        <v>1241</v>
      </c>
      <c r="E489" s="5" t="s">
        <v>100</v>
      </c>
      <c r="F489" s="5">
        <v>3</v>
      </c>
      <c r="G489" s="5"/>
      <c r="H489" s="5"/>
      <c r="I489" s="5"/>
      <c r="J489" s="5"/>
      <c r="K489" s="5"/>
      <c r="L489" s="5">
        <v>60</v>
      </c>
      <c r="M489" s="5">
        <v>3</v>
      </c>
      <c r="N489" s="5" t="s">
        <v>244</v>
      </c>
      <c r="O489" s="7"/>
      <c r="P489" s="5"/>
      <c r="Q489" s="5"/>
      <c r="S489" s="5" t="s">
        <v>77</v>
      </c>
      <c r="T489" s="5"/>
      <c r="V489" s="5"/>
      <c r="W489" s="5"/>
      <c r="X489" s="5"/>
      <c r="Y489" s="5"/>
      <c r="Z489" s="5"/>
      <c r="AA489" s="5"/>
      <c r="AB489" s="5"/>
      <c r="AC489" s="5"/>
      <c r="AD489" s="5">
        <v>13</v>
      </c>
      <c r="AE489" s="5">
        <v>15</v>
      </c>
      <c r="AF489" s="5">
        <v>13</v>
      </c>
      <c r="AG489" s="5">
        <v>1</v>
      </c>
      <c r="AH489" s="5">
        <v>12</v>
      </c>
      <c r="AI489" s="5">
        <v>2</v>
      </c>
      <c r="AJ489" s="5"/>
      <c r="AK489" s="5"/>
      <c r="AL489" s="5"/>
      <c r="AM489" s="5"/>
      <c r="AN489" s="5"/>
      <c r="AO489" s="5"/>
      <c r="AP489" s="5"/>
      <c r="AS489" s="5"/>
      <c r="AT489" s="5"/>
      <c r="AU489" s="5"/>
      <c r="AV489" s="5"/>
      <c r="AW489" s="5"/>
      <c r="AX489" s="5" t="s">
        <v>1560</v>
      </c>
      <c r="BC489" s="5"/>
      <c r="BD489" s="5"/>
      <c r="BE489" s="5"/>
      <c r="BF489" s="5">
        <v>1</v>
      </c>
      <c r="BG489" s="5"/>
      <c r="BH489" s="5"/>
      <c r="BI489" s="5"/>
      <c r="BJ489" s="5"/>
      <c r="BK489" s="7"/>
      <c r="BL489" s="5"/>
      <c r="BM489" s="5" t="s">
        <v>1609</v>
      </c>
      <c r="BN489" s="5">
        <v>279</v>
      </c>
      <c r="BO489" s="5"/>
    </row>
    <row r="490" spans="1:67">
      <c r="A490" s="4" t="s">
        <v>1468</v>
      </c>
      <c r="B490" s="7"/>
      <c r="C490" s="5" t="s">
        <v>85</v>
      </c>
      <c r="D490" s="8" t="s">
        <v>1239</v>
      </c>
      <c r="E490" s="5"/>
      <c r="F490" s="5">
        <v>2</v>
      </c>
      <c r="G490" s="5">
        <v>40</v>
      </c>
      <c r="H490" s="5"/>
      <c r="I490" s="5">
        <v>20</v>
      </c>
      <c r="J490" s="5"/>
      <c r="K490" s="5"/>
      <c r="L490" s="5">
        <v>20</v>
      </c>
      <c r="M490" s="5">
        <v>3</v>
      </c>
      <c r="N490" s="5" t="s">
        <v>1278</v>
      </c>
      <c r="O490" s="7"/>
      <c r="P490" s="5"/>
      <c r="Q490" s="5"/>
      <c r="S490" s="5" t="s">
        <v>77</v>
      </c>
      <c r="T490" s="5"/>
      <c r="V490" s="5" t="s">
        <v>1538</v>
      </c>
      <c r="W490" s="5"/>
      <c r="X490" s="5"/>
      <c r="Y490" s="5"/>
      <c r="Z490" s="5"/>
      <c r="AA490" s="5"/>
      <c r="AB490" s="5"/>
      <c r="AC490" s="5"/>
      <c r="AD490" s="5">
        <v>10</v>
      </c>
      <c r="AE490" s="5">
        <v>15</v>
      </c>
      <c r="AF490" s="5">
        <v>13</v>
      </c>
      <c r="AG490" s="5">
        <v>2</v>
      </c>
      <c r="AH490" s="5">
        <v>12</v>
      </c>
      <c r="AI490" s="5">
        <v>6</v>
      </c>
      <c r="AJ490" s="5"/>
      <c r="AK490" s="5"/>
      <c r="AL490" s="5"/>
      <c r="AM490" s="5"/>
      <c r="AN490" s="5"/>
      <c r="AO490" s="5"/>
      <c r="AP490" s="5"/>
      <c r="AS490" s="5" t="s">
        <v>1596</v>
      </c>
      <c r="AT490" s="5"/>
      <c r="AU490" s="5"/>
      <c r="AV490" s="5"/>
      <c r="AW490" s="5" t="s">
        <v>1565</v>
      </c>
      <c r="AX490" s="5" t="s">
        <v>1560</v>
      </c>
      <c r="BC490" s="5" t="s">
        <v>1705</v>
      </c>
      <c r="BD490" s="5"/>
      <c r="BE490" s="5">
        <v>5</v>
      </c>
      <c r="BF490" s="5">
        <v>4</v>
      </c>
      <c r="BG490" s="5" t="s">
        <v>1618</v>
      </c>
      <c r="BH490" s="5"/>
      <c r="BI490" s="5"/>
      <c r="BJ490" s="5"/>
      <c r="BK490" s="7"/>
      <c r="BL490" s="5"/>
      <c r="BM490" s="5" t="s">
        <v>1609</v>
      </c>
      <c r="BN490" s="5">
        <v>224</v>
      </c>
      <c r="BO490" s="5"/>
    </row>
    <row r="491" spans="1:67">
      <c r="A491" s="4" t="s">
        <v>1469</v>
      </c>
      <c r="B491" s="7"/>
      <c r="C491" s="5" t="s">
        <v>42</v>
      </c>
      <c r="D491" s="5" t="s">
        <v>1241</v>
      </c>
      <c r="E491" s="5"/>
      <c r="F491" s="5">
        <v>3</v>
      </c>
      <c r="G491" s="5">
        <v>20</v>
      </c>
      <c r="H491" s="5"/>
      <c r="I491" s="5">
        <v>20</v>
      </c>
      <c r="J491" s="5"/>
      <c r="K491" s="5"/>
      <c r="L491" s="5">
        <v>20</v>
      </c>
      <c r="M491" s="5">
        <v>2</v>
      </c>
      <c r="N491" s="5" t="s">
        <v>1470</v>
      </c>
      <c r="O491" s="7"/>
      <c r="P491" s="5"/>
      <c r="Q491" s="5"/>
      <c r="S491" s="5" t="s">
        <v>77</v>
      </c>
      <c r="T491" s="5">
        <v>60</v>
      </c>
      <c r="V491" s="5"/>
      <c r="W491" s="5"/>
      <c r="X491" s="5"/>
      <c r="Y491" s="5"/>
      <c r="Z491" s="5"/>
      <c r="AA491" s="5"/>
      <c r="AB491" s="5"/>
      <c r="AC491" s="5"/>
      <c r="AD491" s="5">
        <v>17</v>
      </c>
      <c r="AE491" s="5">
        <v>17</v>
      </c>
      <c r="AF491" s="5">
        <v>13</v>
      </c>
      <c r="AG491" s="5">
        <v>1</v>
      </c>
      <c r="AH491" s="5">
        <v>12</v>
      </c>
      <c r="AI491" s="5">
        <v>2</v>
      </c>
      <c r="AJ491" s="5"/>
      <c r="AK491" s="5"/>
      <c r="AL491" s="5"/>
      <c r="AM491" s="5"/>
      <c r="AN491" s="5"/>
      <c r="AO491" s="5"/>
      <c r="AP491" s="5"/>
      <c r="AS491" s="5"/>
      <c r="AT491" s="5"/>
      <c r="AU491" s="5"/>
      <c r="AV491" s="5"/>
      <c r="AW491" s="5"/>
      <c r="AX491" s="5" t="s">
        <v>1560</v>
      </c>
      <c r="BC491" s="5"/>
      <c r="BD491" s="5"/>
      <c r="BE491" s="5"/>
      <c r="BF491" s="5">
        <v>4</v>
      </c>
      <c r="BG491" s="5"/>
      <c r="BH491" s="5"/>
      <c r="BI491" s="5"/>
      <c r="BJ491" s="5"/>
      <c r="BK491" s="7"/>
      <c r="BL491" s="5"/>
      <c r="BM491" s="5" t="s">
        <v>1609</v>
      </c>
      <c r="BN491" s="5">
        <v>279</v>
      </c>
      <c r="BO491" s="5"/>
    </row>
    <row r="492" spans="1:67">
      <c r="A492" s="4" t="s">
        <v>1471</v>
      </c>
      <c r="B492" s="7"/>
      <c r="C492" s="5" t="s">
        <v>519</v>
      </c>
      <c r="D492" s="5" t="s">
        <v>1241</v>
      </c>
      <c r="E492" s="5"/>
      <c r="F492" s="5">
        <v>11</v>
      </c>
      <c r="G492" s="5">
        <v>20</v>
      </c>
      <c r="H492" s="5"/>
      <c r="I492" s="5">
        <v>20</v>
      </c>
      <c r="J492" s="5"/>
      <c r="K492" s="5"/>
      <c r="L492" s="5">
        <v>20</v>
      </c>
      <c r="M492" s="5">
        <v>4</v>
      </c>
      <c r="N492" s="5" t="s">
        <v>1472</v>
      </c>
      <c r="O492" s="7"/>
      <c r="P492" s="5"/>
      <c r="Q492" s="5"/>
      <c r="S492" s="5" t="s">
        <v>77</v>
      </c>
      <c r="T492" s="5"/>
      <c r="V492" s="5"/>
      <c r="W492" s="5"/>
      <c r="X492" s="5"/>
      <c r="Y492" s="5"/>
      <c r="Z492" s="5"/>
      <c r="AA492" s="5"/>
      <c r="AB492" s="5"/>
      <c r="AC492" s="5"/>
      <c r="AD492" s="5">
        <v>25</v>
      </c>
      <c r="AE492" s="5">
        <v>17</v>
      </c>
      <c r="AF492" s="5">
        <v>13</v>
      </c>
      <c r="AG492" s="5">
        <v>1</v>
      </c>
      <c r="AH492" s="5">
        <v>12</v>
      </c>
      <c r="AI492" s="5">
        <v>2</v>
      </c>
      <c r="AJ492" s="5"/>
      <c r="AK492" s="5"/>
      <c r="AL492" s="5"/>
      <c r="AM492" s="5"/>
      <c r="AN492" s="5"/>
      <c r="AO492" s="5"/>
      <c r="AP492" s="5"/>
      <c r="AS492" s="5"/>
      <c r="AT492" s="5"/>
      <c r="AU492" s="5"/>
      <c r="AV492" s="5"/>
      <c r="AW492" s="5"/>
      <c r="AX492" s="5" t="s">
        <v>1560</v>
      </c>
      <c r="BC492" s="5"/>
      <c r="BD492" s="5"/>
      <c r="BE492" s="5"/>
      <c r="BF492" s="5">
        <v>10</v>
      </c>
      <c r="BG492" s="5"/>
      <c r="BH492" s="5"/>
      <c r="BI492" s="5"/>
      <c r="BJ492" s="5"/>
      <c r="BK492" s="7"/>
      <c r="BL492" s="5"/>
      <c r="BM492" s="5" t="s">
        <v>1609</v>
      </c>
      <c r="BN492" s="5">
        <v>280</v>
      </c>
      <c r="BO492" s="5"/>
    </row>
    <row r="493" spans="1:67">
      <c r="A493" s="4" t="s">
        <v>1473</v>
      </c>
      <c r="B493" s="7"/>
      <c r="C493" s="5" t="s">
        <v>519</v>
      </c>
      <c r="D493" s="5" t="s">
        <v>1241</v>
      </c>
      <c r="E493" s="5"/>
      <c r="F493" s="5">
        <v>6</v>
      </c>
      <c r="G493" s="5">
        <v>20</v>
      </c>
      <c r="H493" s="5"/>
      <c r="I493" s="5">
        <v>20</v>
      </c>
      <c r="J493" s="5"/>
      <c r="K493" s="5"/>
      <c r="L493" s="5">
        <v>20</v>
      </c>
      <c r="M493" s="5">
        <v>5</v>
      </c>
      <c r="N493" s="5" t="s">
        <v>1470</v>
      </c>
      <c r="O493" s="7"/>
      <c r="P493" s="5"/>
      <c r="Q493" s="5"/>
      <c r="S493" s="5" t="s">
        <v>77</v>
      </c>
      <c r="T493" s="5"/>
      <c r="V493" s="5"/>
      <c r="W493" s="5"/>
      <c r="X493" s="5"/>
      <c r="Y493" s="5"/>
      <c r="Z493" s="5"/>
      <c r="AA493" s="5"/>
      <c r="AB493" s="5"/>
      <c r="AC493" s="5"/>
      <c r="AD493" s="5">
        <v>16</v>
      </c>
      <c r="AE493" s="5">
        <v>15</v>
      </c>
      <c r="AF493" s="5">
        <v>13</v>
      </c>
      <c r="AG493" s="5">
        <v>1</v>
      </c>
      <c r="AH493" s="5">
        <v>12</v>
      </c>
      <c r="AI493" s="5">
        <v>2</v>
      </c>
      <c r="AJ493" s="5"/>
      <c r="AK493" s="5"/>
      <c r="AL493" s="5"/>
      <c r="AM493" s="5"/>
      <c r="AN493" s="5"/>
      <c r="AO493" s="5"/>
      <c r="AP493" s="5"/>
      <c r="AS493" s="5"/>
      <c r="AT493" s="5"/>
      <c r="AU493" s="5"/>
      <c r="AV493" s="5"/>
      <c r="AW493" s="5"/>
      <c r="AX493" s="5" t="s">
        <v>1560</v>
      </c>
      <c r="BC493" s="5"/>
      <c r="BD493" s="5"/>
      <c r="BE493" s="5"/>
      <c r="BF493" s="5">
        <v>7</v>
      </c>
      <c r="BG493" s="5"/>
      <c r="BH493" s="5"/>
      <c r="BI493" s="5"/>
      <c r="BJ493" s="5"/>
      <c r="BK493" s="7"/>
      <c r="BL493" s="5"/>
      <c r="BM493" s="5" t="s">
        <v>1609</v>
      </c>
      <c r="BN493" s="5">
        <v>280</v>
      </c>
      <c r="BO493" s="5"/>
    </row>
    <row r="494" spans="1:67">
      <c r="A494" s="4" t="s">
        <v>1474</v>
      </c>
      <c r="B494" s="7"/>
      <c r="C494" s="5" t="s">
        <v>62</v>
      </c>
      <c r="D494" s="5" t="s">
        <v>1241</v>
      </c>
      <c r="E494" s="5"/>
      <c r="F494" s="5">
        <v>3</v>
      </c>
      <c r="G494" s="5">
        <v>20</v>
      </c>
      <c r="H494" s="5"/>
      <c r="I494" s="5">
        <v>20</v>
      </c>
      <c r="J494" s="5"/>
      <c r="K494" s="5"/>
      <c r="L494" s="5">
        <v>20</v>
      </c>
      <c r="M494" s="5">
        <v>3</v>
      </c>
      <c r="N494" s="5" t="s">
        <v>1470</v>
      </c>
      <c r="O494" s="7"/>
      <c r="P494" s="5"/>
      <c r="Q494" s="5"/>
      <c r="S494" s="5" t="s">
        <v>77</v>
      </c>
      <c r="T494" s="5"/>
      <c r="V494" s="5"/>
      <c r="W494" s="5"/>
      <c r="X494" s="5"/>
      <c r="Y494" s="5"/>
      <c r="Z494" s="5"/>
      <c r="AA494" s="5"/>
      <c r="AB494" s="5"/>
      <c r="AC494" s="5"/>
      <c r="AD494" s="5">
        <v>10</v>
      </c>
      <c r="AE494" s="5">
        <v>17</v>
      </c>
      <c r="AF494" s="5">
        <v>11</v>
      </c>
      <c r="AG494" s="5">
        <v>1</v>
      </c>
      <c r="AH494" s="5">
        <v>12</v>
      </c>
      <c r="AI494" s="5">
        <v>2</v>
      </c>
      <c r="AJ494" s="5"/>
      <c r="AK494" s="5"/>
      <c r="AL494" s="5"/>
      <c r="AM494" s="5"/>
      <c r="AN494" s="5"/>
      <c r="AO494" s="5"/>
      <c r="AP494" s="5"/>
      <c r="AS494" s="5"/>
      <c r="AT494" s="5"/>
      <c r="AU494" s="5"/>
      <c r="AV494" s="5"/>
      <c r="AW494" s="5"/>
      <c r="AX494" s="5" t="s">
        <v>1560</v>
      </c>
      <c r="BC494" s="5"/>
      <c r="BD494" s="5"/>
      <c r="BE494" s="5"/>
      <c r="BF494" s="5">
        <v>4</v>
      </c>
      <c r="BG494" s="5"/>
      <c r="BH494" s="5"/>
      <c r="BI494" s="5"/>
      <c r="BJ494" s="5"/>
      <c r="BK494" s="7"/>
      <c r="BL494" s="5"/>
      <c r="BM494" s="5" t="s">
        <v>1609</v>
      </c>
      <c r="BN494" s="5">
        <v>281</v>
      </c>
      <c r="BO494" s="5"/>
    </row>
    <row r="495" spans="1:67">
      <c r="A495" s="4" t="s">
        <v>1475</v>
      </c>
      <c r="B495" s="7"/>
      <c r="C495" s="5" t="s">
        <v>42</v>
      </c>
      <c r="D495" s="5" t="s">
        <v>1241</v>
      </c>
      <c r="E495" s="5"/>
      <c r="F495" s="5">
        <v>2</v>
      </c>
      <c r="G495" s="5">
        <v>20</v>
      </c>
      <c r="H495" s="5"/>
      <c r="I495" s="5">
        <v>20</v>
      </c>
      <c r="J495" s="5"/>
      <c r="K495" s="5"/>
      <c r="L495" s="5">
        <v>20</v>
      </c>
      <c r="M495" s="5">
        <v>3</v>
      </c>
      <c r="N495" s="5" t="s">
        <v>1472</v>
      </c>
      <c r="O495" s="7"/>
      <c r="P495" s="5"/>
      <c r="Q495" s="5"/>
      <c r="S495" s="5" t="s">
        <v>77</v>
      </c>
      <c r="T495" s="5"/>
      <c r="V495" s="5"/>
      <c r="W495" s="5"/>
      <c r="X495" s="5"/>
      <c r="Y495" s="5"/>
      <c r="Z495" s="5"/>
      <c r="AA495" s="5"/>
      <c r="AB495" s="5"/>
      <c r="AC495" s="5"/>
      <c r="AD495" s="5">
        <v>8</v>
      </c>
      <c r="AE495" s="5">
        <v>17</v>
      </c>
      <c r="AF495" s="5">
        <v>11</v>
      </c>
      <c r="AG495" s="5">
        <v>1</v>
      </c>
      <c r="AH495" s="5">
        <v>12</v>
      </c>
      <c r="AI495" s="5">
        <v>2</v>
      </c>
      <c r="AJ495" s="5"/>
      <c r="AK495" s="5"/>
      <c r="AL495" s="5"/>
      <c r="AM495" s="5"/>
      <c r="AN495" s="5"/>
      <c r="AO495" s="5"/>
      <c r="AP495" s="5"/>
      <c r="AS495" s="5"/>
      <c r="AT495" s="5"/>
      <c r="AU495" s="5"/>
      <c r="AV495" s="5"/>
      <c r="AW495" s="5"/>
      <c r="AX495" s="5" t="s">
        <v>1560</v>
      </c>
      <c r="BC495" s="5"/>
      <c r="BD495" s="5"/>
      <c r="BE495" s="5"/>
      <c r="BF495" s="5">
        <v>1</v>
      </c>
      <c r="BG495" s="5"/>
      <c r="BH495" s="5"/>
      <c r="BI495" s="5"/>
      <c r="BJ495" s="5"/>
      <c r="BK495" s="7"/>
      <c r="BL495" s="5"/>
      <c r="BM495" s="5" t="s">
        <v>1609</v>
      </c>
      <c r="BN495" s="5">
        <v>282</v>
      </c>
      <c r="BO495" s="5"/>
    </row>
    <row r="496" spans="1:67">
      <c r="A496" s="4" t="s">
        <v>1476</v>
      </c>
      <c r="B496" s="7"/>
      <c r="C496" s="5" t="s">
        <v>85</v>
      </c>
      <c r="D496" s="5" t="s">
        <v>1241</v>
      </c>
      <c r="E496" s="5"/>
      <c r="F496" s="5">
        <v>1</v>
      </c>
      <c r="G496" s="5">
        <v>20</v>
      </c>
      <c r="H496" s="5"/>
      <c r="I496" s="5">
        <v>20</v>
      </c>
      <c r="J496" s="5"/>
      <c r="K496" s="5"/>
      <c r="L496" s="5">
        <v>20</v>
      </c>
      <c r="M496" s="5">
        <v>3</v>
      </c>
      <c r="N496" s="5" t="s">
        <v>1470</v>
      </c>
      <c r="O496" s="7"/>
      <c r="P496" s="5"/>
      <c r="Q496" s="5"/>
      <c r="S496" s="5" t="s">
        <v>77</v>
      </c>
      <c r="T496" s="5"/>
      <c r="V496" s="5"/>
      <c r="W496" s="5"/>
      <c r="X496" s="5"/>
      <c r="Y496" s="5"/>
      <c r="Z496" s="5"/>
      <c r="AA496" s="5"/>
      <c r="AB496" s="5"/>
      <c r="AC496" s="5"/>
      <c r="AD496" s="5">
        <v>6</v>
      </c>
      <c r="AE496" s="5">
        <v>17</v>
      </c>
      <c r="AF496" s="5">
        <v>11</v>
      </c>
      <c r="AG496" s="5">
        <v>1</v>
      </c>
      <c r="AH496" s="5">
        <v>12</v>
      </c>
      <c r="AI496" s="5">
        <v>2</v>
      </c>
      <c r="AJ496" s="5"/>
      <c r="AK496" s="5"/>
      <c r="AL496" s="5"/>
      <c r="AM496" s="5"/>
      <c r="AN496" s="5"/>
      <c r="AO496" s="5"/>
      <c r="AP496" s="5"/>
      <c r="AS496" s="5"/>
      <c r="AT496" s="5"/>
      <c r="AU496" s="5"/>
      <c r="AV496" s="5"/>
      <c r="AW496" s="5"/>
      <c r="AX496" s="5" t="s">
        <v>1560</v>
      </c>
      <c r="BC496" s="5"/>
      <c r="BD496" s="5"/>
      <c r="BE496" s="5"/>
      <c r="BF496" s="5">
        <v>1</v>
      </c>
      <c r="BG496" s="5"/>
      <c r="BH496" s="5"/>
      <c r="BI496" s="5"/>
      <c r="BJ496" s="5"/>
      <c r="BK496" s="7"/>
      <c r="BL496" s="5"/>
      <c r="BM496" s="5" t="s">
        <v>1609</v>
      </c>
      <c r="BN496" s="5">
        <v>283</v>
      </c>
      <c r="BO496" s="5"/>
    </row>
    <row r="497" spans="1:67">
      <c r="A497" s="4" t="s">
        <v>1477</v>
      </c>
      <c r="B497" s="7"/>
      <c r="C497" s="5" t="s">
        <v>641</v>
      </c>
      <c r="D497" s="5" t="s">
        <v>1241</v>
      </c>
      <c r="E497" s="5"/>
      <c r="F497" s="5">
        <v>0.25</v>
      </c>
      <c r="G497" s="5">
        <v>15</v>
      </c>
      <c r="H497" s="5"/>
      <c r="I497" s="5">
        <v>15</v>
      </c>
      <c r="J497" s="5"/>
      <c r="K497" s="5"/>
      <c r="L497" s="5">
        <v>15</v>
      </c>
      <c r="M497" s="5">
        <v>2</v>
      </c>
      <c r="N497" s="5" t="s">
        <v>1470</v>
      </c>
      <c r="O497" s="7"/>
      <c r="P497" s="5"/>
      <c r="Q497" s="5"/>
      <c r="S497" s="5" t="s">
        <v>77</v>
      </c>
      <c r="T497" s="5"/>
      <c r="V497" s="5"/>
      <c r="W497" s="5"/>
      <c r="X497" s="5"/>
      <c r="Y497" s="5"/>
      <c r="Z497" s="5"/>
      <c r="AA497" s="5"/>
      <c r="AB497" s="5"/>
      <c r="AC497" s="5"/>
      <c r="AD497" s="5">
        <v>4</v>
      </c>
      <c r="AE497" s="5">
        <v>17</v>
      </c>
      <c r="AF497" s="5">
        <v>11</v>
      </c>
      <c r="AG497" s="5">
        <v>1</v>
      </c>
      <c r="AH497" s="5">
        <v>12</v>
      </c>
      <c r="AI497" s="5">
        <v>2</v>
      </c>
      <c r="AJ497" s="5"/>
      <c r="AK497" s="5"/>
      <c r="AL497" s="5"/>
      <c r="AM497" s="5"/>
      <c r="AN497" s="5"/>
      <c r="AO497" s="5"/>
      <c r="AP497" s="5"/>
      <c r="AS497" s="5" t="s">
        <v>1567</v>
      </c>
      <c r="AT497" s="5"/>
      <c r="AU497" s="5"/>
      <c r="AV497" s="5">
        <v>0</v>
      </c>
      <c r="AW497" s="5" t="s">
        <v>1565</v>
      </c>
      <c r="AX497" s="5" t="s">
        <v>1560</v>
      </c>
      <c r="BC497" s="5" t="s">
        <v>1706</v>
      </c>
      <c r="BD497" s="5"/>
      <c r="BE497" s="5">
        <v>1</v>
      </c>
      <c r="BF497" s="5"/>
      <c r="BG497" s="5" t="s">
        <v>1616</v>
      </c>
      <c r="BH497" s="5"/>
      <c r="BI497" s="5"/>
      <c r="BJ497" s="5"/>
      <c r="BK497" s="7"/>
      <c r="BL497" s="5"/>
      <c r="BM497" s="5" t="s">
        <v>1609</v>
      </c>
      <c r="BN497" s="5">
        <v>280</v>
      </c>
      <c r="BO497" s="5"/>
    </row>
    <row r="498" spans="1:67">
      <c r="A498" s="4" t="s">
        <v>1478</v>
      </c>
      <c r="B498" s="7"/>
      <c r="C498" s="5" t="s">
        <v>1479</v>
      </c>
      <c r="D498" s="5" t="s">
        <v>1241</v>
      </c>
      <c r="E498" s="5"/>
      <c r="F498" s="5">
        <v>1</v>
      </c>
      <c r="G498" s="5">
        <v>1</v>
      </c>
      <c r="H498" s="5"/>
      <c r="I498" s="5"/>
      <c r="J498" s="5">
        <v>50</v>
      </c>
      <c r="K498" s="5" t="s">
        <v>1271</v>
      </c>
      <c r="L498" s="5"/>
      <c r="M498" s="5"/>
      <c r="N498" s="5"/>
      <c r="O498" s="7"/>
      <c r="P498" s="5"/>
      <c r="Q498" s="5"/>
      <c r="S498" s="5" t="s">
        <v>77</v>
      </c>
      <c r="T498" s="5"/>
      <c r="V498" s="5"/>
      <c r="W498" s="5"/>
      <c r="X498" s="5"/>
      <c r="Y498" s="5"/>
      <c r="Z498" s="5"/>
      <c r="AA498" s="5"/>
      <c r="AB498" s="5"/>
      <c r="AC498" s="5"/>
      <c r="AD498" s="5">
        <v>1</v>
      </c>
      <c r="AE498" s="5">
        <v>23</v>
      </c>
      <c r="AF498" s="5">
        <v>10</v>
      </c>
      <c r="AG498" s="5"/>
      <c r="AH498" s="5"/>
      <c r="AI498" s="5"/>
      <c r="AJ498" s="5"/>
      <c r="AK498" s="5"/>
      <c r="AL498" s="5"/>
      <c r="AM498" s="5"/>
      <c r="AN498" s="5"/>
      <c r="AO498" s="5"/>
      <c r="AP498" s="5"/>
      <c r="AS498" s="5"/>
      <c r="AT498" s="5"/>
      <c r="AU498" s="5"/>
      <c r="AV498" s="5"/>
      <c r="AW498" s="5"/>
      <c r="AX498" s="5" t="s">
        <v>1560</v>
      </c>
      <c r="BC498" s="5"/>
      <c r="BD498" s="5"/>
      <c r="BE498" s="5"/>
      <c r="BF498" s="5"/>
      <c r="BG498" s="5"/>
      <c r="BH498" s="5"/>
      <c r="BI498" s="5"/>
      <c r="BJ498" s="5"/>
      <c r="BK498" s="7"/>
      <c r="BL498" s="5"/>
      <c r="BM498" s="5" t="s">
        <v>1621</v>
      </c>
      <c r="BN498" s="5"/>
      <c r="BO498" s="5"/>
    </row>
    <row r="499" spans="1:67">
      <c r="A499" s="4" t="s">
        <v>1480</v>
      </c>
      <c r="B499" s="7"/>
      <c r="C499" s="5" t="s">
        <v>62</v>
      </c>
      <c r="D499" s="5" t="s">
        <v>1239</v>
      </c>
      <c r="E499" s="5"/>
      <c r="F499" s="5"/>
      <c r="G499" s="5"/>
      <c r="H499" s="5"/>
      <c r="I499" s="5"/>
      <c r="J499" s="5"/>
      <c r="K499" s="5"/>
      <c r="L499" s="5"/>
      <c r="M499" s="5"/>
      <c r="N499" s="5" t="s">
        <v>45</v>
      </c>
      <c r="O499" s="7"/>
      <c r="P499" s="5"/>
      <c r="Q499" s="5"/>
      <c r="S499" s="5" t="s">
        <v>77</v>
      </c>
      <c r="T499" s="5"/>
      <c r="V499" s="5"/>
      <c r="W499" s="5"/>
      <c r="X499" s="5"/>
      <c r="Y499" s="5"/>
      <c r="Z499" s="5"/>
      <c r="AA499" s="5"/>
      <c r="AB499" s="5"/>
      <c r="AC499" s="5"/>
      <c r="AD499" s="5"/>
      <c r="AE499" s="5"/>
      <c r="AF499" s="5"/>
      <c r="AG499" s="5"/>
      <c r="AH499" s="5"/>
      <c r="AI499" s="5"/>
      <c r="AJ499" s="5"/>
      <c r="AK499" s="5"/>
      <c r="AL499" s="5"/>
      <c r="AM499" s="5"/>
      <c r="AN499" s="5"/>
      <c r="AO499" s="5"/>
      <c r="AP499" s="5"/>
      <c r="AS499" s="5"/>
      <c r="AT499" s="5"/>
      <c r="AU499" s="5"/>
      <c r="AV499" s="5"/>
      <c r="AW499" s="5"/>
      <c r="AX499" s="5" t="s">
        <v>1560</v>
      </c>
      <c r="BC499" s="5"/>
      <c r="BD499" s="5"/>
      <c r="BE499" s="5"/>
      <c r="BF499" s="5">
        <v>10</v>
      </c>
      <c r="BG499" s="5"/>
      <c r="BH499" s="5"/>
      <c r="BI499" s="5"/>
      <c r="BJ499" s="5"/>
      <c r="BK499" s="7"/>
      <c r="BL499" s="5"/>
      <c r="BM499" s="5" t="s">
        <v>1609</v>
      </c>
      <c r="BN499" s="5">
        <v>234</v>
      </c>
      <c r="BO499" s="5"/>
    </row>
    <row r="500" spans="1:67">
      <c r="A500" s="4" t="s">
        <v>1481</v>
      </c>
      <c r="B500" s="7"/>
      <c r="C500" s="5" t="s">
        <v>1479</v>
      </c>
      <c r="D500" s="8" t="s">
        <v>1482</v>
      </c>
      <c r="E500" s="5"/>
      <c r="F500" s="5">
        <v>0.125</v>
      </c>
      <c r="G500" s="5">
        <v>20</v>
      </c>
      <c r="H500" s="5"/>
      <c r="I500" s="5">
        <v>10</v>
      </c>
      <c r="J500" s="5"/>
      <c r="K500" s="5"/>
      <c r="L500" s="5"/>
      <c r="M500" s="5"/>
      <c r="N500" s="5" t="s">
        <v>1278</v>
      </c>
      <c r="O500" s="7"/>
      <c r="P500" s="5"/>
      <c r="Q500" s="5"/>
      <c r="S500" s="5"/>
      <c r="T500" s="5"/>
      <c r="V500" s="5" t="s">
        <v>782</v>
      </c>
      <c r="W500" s="5"/>
      <c r="X500" s="5"/>
      <c r="Y500" s="5"/>
      <c r="Z500" s="5"/>
      <c r="AA500" s="5"/>
      <c r="AB500" s="5"/>
      <c r="AC500" s="5"/>
      <c r="AD500" s="5">
        <v>1</v>
      </c>
      <c r="AE500" s="5">
        <v>14</v>
      </c>
      <c r="AF500" s="5">
        <v>10</v>
      </c>
      <c r="AG500" s="5" t="s">
        <v>1560</v>
      </c>
      <c r="AH500" s="5">
        <v>10</v>
      </c>
      <c r="AI500" s="5">
        <v>2</v>
      </c>
      <c r="AJ500" s="5"/>
      <c r="AK500" s="5"/>
      <c r="AL500" s="5"/>
      <c r="AM500" s="5"/>
      <c r="AN500" s="5"/>
      <c r="AO500" s="5"/>
      <c r="AP500" s="5"/>
      <c r="AS500" s="5"/>
      <c r="AT500" s="5"/>
      <c r="AU500" s="5"/>
      <c r="AV500" s="5"/>
      <c r="AW500" s="5" t="s">
        <v>1565</v>
      </c>
      <c r="AX500" s="5" t="s">
        <v>1560</v>
      </c>
      <c r="BC500" s="5" t="s">
        <v>1707</v>
      </c>
      <c r="BD500" s="5"/>
      <c r="BE500" s="8">
        <v>1</v>
      </c>
      <c r="BF500" s="5"/>
      <c r="BG500" s="5" t="s">
        <v>1618</v>
      </c>
      <c r="BH500" s="5"/>
      <c r="BI500" s="5"/>
      <c r="BJ500" s="5"/>
      <c r="BK500" s="7"/>
      <c r="BL500" s="5"/>
      <c r="BM500" s="5" t="s">
        <v>1698</v>
      </c>
      <c r="BN500" s="5">
        <v>79</v>
      </c>
      <c r="BO500" s="5"/>
    </row>
    <row r="501" spans="1:67">
      <c r="A501" s="4" t="s">
        <v>1483</v>
      </c>
      <c r="B501" s="7"/>
      <c r="C501" s="5" t="s">
        <v>42</v>
      </c>
      <c r="D501" s="5" t="s">
        <v>1241</v>
      </c>
      <c r="E501" s="5"/>
      <c r="F501" s="5"/>
      <c r="G501" s="5"/>
      <c r="H501" s="5"/>
      <c r="I501" s="5"/>
      <c r="J501" s="5"/>
      <c r="K501" s="5"/>
      <c r="L501" s="5"/>
      <c r="M501" s="5"/>
      <c r="N501" s="5" t="s">
        <v>45</v>
      </c>
      <c r="O501" s="7"/>
      <c r="P501" s="5"/>
      <c r="Q501" s="5"/>
      <c r="S501" s="5"/>
      <c r="T501" s="5">
        <v>60</v>
      </c>
      <c r="V501" s="5"/>
      <c r="W501" s="5"/>
      <c r="X501" s="5"/>
      <c r="Y501" s="5"/>
      <c r="Z501" s="5"/>
      <c r="AA501" s="5"/>
      <c r="AB501" s="5"/>
      <c r="AC501" s="5"/>
      <c r="AD501" s="5"/>
      <c r="AE501" s="5"/>
      <c r="AF501" s="5"/>
      <c r="AG501" s="5"/>
      <c r="AH501" s="5"/>
      <c r="AI501" s="5"/>
      <c r="AJ501" s="5"/>
      <c r="AK501" s="5"/>
      <c r="AL501" s="5"/>
      <c r="AM501" s="5"/>
      <c r="AN501" s="5"/>
      <c r="AO501" s="5"/>
      <c r="AP501" s="5"/>
      <c r="AS501" s="5"/>
      <c r="AT501" s="5"/>
      <c r="AU501" s="5"/>
      <c r="AV501" s="5"/>
      <c r="AW501" s="5"/>
      <c r="AX501" s="5" t="s">
        <v>1560</v>
      </c>
      <c r="BC501" s="5"/>
      <c r="BD501" s="5"/>
      <c r="BE501" s="5"/>
      <c r="BF501" s="5">
        <v>1</v>
      </c>
      <c r="BG501" s="5"/>
      <c r="BH501" s="5"/>
      <c r="BI501" s="5"/>
      <c r="BJ501" s="5"/>
      <c r="BK501" s="7"/>
      <c r="BL501" s="5"/>
      <c r="BM501" s="5" t="s">
        <v>1609</v>
      </c>
      <c r="BN501" s="5">
        <v>281</v>
      </c>
      <c r="BO501" s="5"/>
    </row>
    <row r="502" spans="1:67">
      <c r="A502" s="4" t="s">
        <v>1484</v>
      </c>
      <c r="B502" s="7"/>
      <c r="C502" s="5" t="s">
        <v>519</v>
      </c>
      <c r="D502" s="5" t="s">
        <v>1241</v>
      </c>
      <c r="E502" s="5" t="s">
        <v>100</v>
      </c>
      <c r="F502" s="5">
        <v>12</v>
      </c>
      <c r="G502" s="5"/>
      <c r="H502" s="5"/>
      <c r="I502" s="5"/>
      <c r="J502" s="5"/>
      <c r="K502" s="5"/>
      <c r="L502" s="5">
        <v>80</v>
      </c>
      <c r="M502" s="5">
        <v>6</v>
      </c>
      <c r="N502" s="5" t="s">
        <v>1485</v>
      </c>
      <c r="O502" s="7"/>
      <c r="P502" s="5"/>
      <c r="Q502" s="5"/>
      <c r="S502" s="5"/>
      <c r="T502" s="5"/>
      <c r="V502" s="5"/>
      <c r="W502" s="5"/>
      <c r="X502" s="5"/>
      <c r="Y502" s="5"/>
      <c r="Z502" s="5"/>
      <c r="AA502" s="5"/>
      <c r="AB502" s="5"/>
      <c r="AC502" s="5"/>
      <c r="AD502" s="5">
        <v>26</v>
      </c>
      <c r="AE502" s="5">
        <v>17</v>
      </c>
      <c r="AF502" s="5">
        <v>13</v>
      </c>
      <c r="AG502" s="5">
        <v>1</v>
      </c>
      <c r="AH502" s="5">
        <v>12</v>
      </c>
      <c r="AI502" s="5">
        <v>2</v>
      </c>
      <c r="AJ502" s="5"/>
      <c r="AK502" s="5"/>
      <c r="AL502" s="5"/>
      <c r="AM502" s="5"/>
      <c r="AN502" s="5"/>
      <c r="AO502" s="5"/>
      <c r="AP502" s="5"/>
      <c r="AS502" s="5"/>
      <c r="AT502" s="5"/>
      <c r="AU502" s="5"/>
      <c r="AV502" s="5"/>
      <c r="AW502" s="5"/>
      <c r="AX502" s="5" t="s">
        <v>1560</v>
      </c>
      <c r="BC502" s="5"/>
      <c r="BD502" s="5"/>
      <c r="BE502" s="5"/>
      <c r="BF502" s="5">
        <v>16</v>
      </c>
      <c r="BG502" s="5"/>
      <c r="BH502" s="5"/>
      <c r="BI502" s="5"/>
      <c r="BJ502" s="5"/>
      <c r="BK502" s="7"/>
      <c r="BL502" s="5"/>
      <c r="BM502" s="5" t="s">
        <v>1609</v>
      </c>
      <c r="BN502" s="5">
        <v>281</v>
      </c>
      <c r="BO502" s="5"/>
    </row>
    <row r="503" spans="1:67">
      <c r="A503" s="4" t="s">
        <v>1486</v>
      </c>
      <c r="B503" s="7"/>
      <c r="C503" s="5" t="s">
        <v>641</v>
      </c>
      <c r="D503" s="8" t="s">
        <v>1239</v>
      </c>
      <c r="E503" s="5"/>
      <c r="F503" s="5">
        <v>1</v>
      </c>
      <c r="G503" s="5">
        <v>10</v>
      </c>
      <c r="H503" s="5"/>
      <c r="I503" s="5"/>
      <c r="J503" s="5">
        <v>40</v>
      </c>
      <c r="K503" s="5" t="s">
        <v>1271</v>
      </c>
      <c r="L503" s="5"/>
      <c r="M503" s="5">
        <v>0</v>
      </c>
      <c r="N503" s="5" t="s">
        <v>1487</v>
      </c>
      <c r="O503" s="7"/>
      <c r="P503" s="5"/>
      <c r="Q503" s="5"/>
      <c r="S503" s="5" t="s">
        <v>77</v>
      </c>
      <c r="T503" s="5"/>
      <c r="V503" s="5"/>
      <c r="W503" s="5"/>
      <c r="X503" s="5"/>
      <c r="Y503" s="5"/>
      <c r="Z503" s="5"/>
      <c r="AA503" s="5"/>
      <c r="AB503" s="5"/>
      <c r="AC503" s="5"/>
      <c r="AD503" s="5">
        <v>3</v>
      </c>
      <c r="AE503" s="5">
        <v>19</v>
      </c>
      <c r="AF503" s="5">
        <v>10</v>
      </c>
      <c r="AG503" s="5">
        <v>1</v>
      </c>
      <c r="AH503" s="5">
        <v>12</v>
      </c>
      <c r="AI503" s="5">
        <v>6</v>
      </c>
      <c r="AJ503" s="5"/>
      <c r="AK503" s="5"/>
      <c r="AL503" s="5"/>
      <c r="AM503" s="5"/>
      <c r="AN503" s="5"/>
      <c r="AO503" s="5"/>
      <c r="AP503" s="5"/>
      <c r="AS503" s="5" t="s">
        <v>1570</v>
      </c>
      <c r="AT503" s="5"/>
      <c r="AU503" s="5"/>
      <c r="AV503" s="5"/>
      <c r="AW503" s="5" t="s">
        <v>1565</v>
      </c>
      <c r="AX503" s="5" t="s">
        <v>1560</v>
      </c>
      <c r="BC503" s="5" t="s">
        <v>1708</v>
      </c>
      <c r="BD503" s="5"/>
      <c r="BE503" s="5">
        <v>5</v>
      </c>
      <c r="BF503" s="5">
        <v>1</v>
      </c>
      <c r="BG503" s="5" t="s">
        <v>1618</v>
      </c>
      <c r="BH503" s="5"/>
      <c r="BI503" s="5"/>
      <c r="BJ503" s="5"/>
      <c r="BK503" s="7"/>
      <c r="BL503" s="5"/>
      <c r="BM503" s="5" t="s">
        <v>1609</v>
      </c>
      <c r="BN503" s="5">
        <v>236</v>
      </c>
      <c r="BO503" s="5"/>
    </row>
    <row r="504" spans="1:67">
      <c r="A504" s="4" t="s">
        <v>1488</v>
      </c>
      <c r="B504" s="7"/>
      <c r="C504" s="5" t="s">
        <v>62</v>
      </c>
      <c r="D504" s="5" t="s">
        <v>1241</v>
      </c>
      <c r="E504" s="5"/>
      <c r="F504" s="5">
        <v>6</v>
      </c>
      <c r="G504" s="5">
        <v>40</v>
      </c>
      <c r="H504" s="5"/>
      <c r="I504" s="5"/>
      <c r="J504" s="5"/>
      <c r="K504" s="5"/>
      <c r="L504" s="5"/>
      <c r="M504" s="5">
        <v>3</v>
      </c>
      <c r="N504" s="5" t="s">
        <v>1489</v>
      </c>
      <c r="O504" s="7"/>
      <c r="P504" s="5"/>
      <c r="Q504" s="5"/>
      <c r="S504" s="5" t="s">
        <v>77</v>
      </c>
      <c r="T504" s="5">
        <v>60</v>
      </c>
      <c r="V504" s="5"/>
      <c r="W504" s="5"/>
      <c r="X504" s="5"/>
      <c r="Y504" s="5"/>
      <c r="Z504" s="5"/>
      <c r="AA504" s="5"/>
      <c r="AB504" s="5"/>
      <c r="AC504" s="5"/>
      <c r="AD504" s="5">
        <v>23</v>
      </c>
      <c r="AE504" s="5">
        <v>15</v>
      </c>
      <c r="AF504" s="5">
        <v>17</v>
      </c>
      <c r="AG504" s="5">
        <v>2</v>
      </c>
      <c r="AH504" s="5">
        <v>12</v>
      </c>
      <c r="AI504" s="5">
        <v>6</v>
      </c>
      <c r="AJ504" s="5"/>
      <c r="AK504" s="5"/>
      <c r="AL504" s="5"/>
      <c r="AM504" s="5"/>
      <c r="AN504" s="5"/>
      <c r="AO504" s="5"/>
      <c r="AP504" s="5"/>
      <c r="AS504" s="5"/>
      <c r="AT504" s="5"/>
      <c r="AU504" s="5"/>
      <c r="AV504" s="5">
        <v>4</v>
      </c>
      <c r="AW504" s="5" t="s">
        <v>1565</v>
      </c>
      <c r="AX504" s="5" t="s">
        <v>1560</v>
      </c>
      <c r="BC504" s="5"/>
      <c r="BD504" s="5"/>
      <c r="BE504" s="5"/>
      <c r="BF504" s="5">
        <v>7</v>
      </c>
      <c r="BG504" s="5"/>
      <c r="BH504" s="5"/>
      <c r="BI504" s="5"/>
      <c r="BJ504" s="5"/>
      <c r="BK504" s="7"/>
      <c r="BL504" s="5"/>
      <c r="BM504" s="5" t="s">
        <v>1609</v>
      </c>
      <c r="BN504" s="5">
        <v>281</v>
      </c>
      <c r="BO504" s="5"/>
    </row>
    <row r="505" spans="1:67">
      <c r="A505" s="4" t="s">
        <v>1490</v>
      </c>
      <c r="B505" s="7"/>
      <c r="C505" s="5" t="s">
        <v>1249</v>
      </c>
      <c r="D505" s="5" t="s">
        <v>1241</v>
      </c>
      <c r="E505" s="5"/>
      <c r="F505" s="5">
        <v>0.25</v>
      </c>
      <c r="G505" s="5">
        <v>5</v>
      </c>
      <c r="H505" s="5"/>
      <c r="I505" s="5"/>
      <c r="J505" s="5"/>
      <c r="K505" s="5"/>
      <c r="L505" s="5"/>
      <c r="M505" s="5">
        <v>0</v>
      </c>
      <c r="N505" s="5" t="s">
        <v>1491</v>
      </c>
      <c r="O505" s="7"/>
      <c r="P505" s="5"/>
      <c r="Q505" s="5"/>
      <c r="S505" s="5" t="s">
        <v>77</v>
      </c>
      <c r="T505" s="5"/>
      <c r="V505" s="5"/>
      <c r="W505" s="5"/>
      <c r="X505" s="5"/>
      <c r="Y505" s="5"/>
      <c r="Z505" s="5"/>
      <c r="AA505" s="5"/>
      <c r="AB505" s="5"/>
      <c r="AC505" s="5"/>
      <c r="AD505" s="5">
        <v>1</v>
      </c>
      <c r="AE505" s="5">
        <v>12</v>
      </c>
      <c r="AF505" s="5">
        <v>11</v>
      </c>
      <c r="AG505" s="5">
        <v>1</v>
      </c>
      <c r="AH505" s="5">
        <v>14</v>
      </c>
      <c r="AI505" s="5">
        <v>4</v>
      </c>
      <c r="AJ505" s="5"/>
      <c r="AK505" s="5"/>
      <c r="AL505" s="5"/>
      <c r="AM505" s="5"/>
      <c r="AN505" s="5"/>
      <c r="AO505" s="5"/>
      <c r="AP505" s="5"/>
      <c r="AS505" s="5" t="s">
        <v>341</v>
      </c>
      <c r="AT505" s="5"/>
      <c r="AU505" s="5"/>
      <c r="AV505" s="5">
        <v>0</v>
      </c>
      <c r="AW505" s="5" t="s">
        <v>1565</v>
      </c>
      <c r="AX505" s="5" t="s">
        <v>1560</v>
      </c>
      <c r="BC505" s="5" t="s">
        <v>1709</v>
      </c>
      <c r="BD505" s="5"/>
      <c r="BE505" s="5">
        <v>1</v>
      </c>
      <c r="BF505" s="5"/>
      <c r="BG505" s="5" t="s">
        <v>1616</v>
      </c>
      <c r="BH505" s="5"/>
      <c r="BI505" s="5"/>
      <c r="BJ505" s="5"/>
      <c r="BK505" s="7"/>
      <c r="BL505" s="5"/>
      <c r="BM505" s="5" t="s">
        <v>1609</v>
      </c>
      <c r="BN505" s="5">
        <v>282</v>
      </c>
      <c r="BO505" s="5"/>
    </row>
    <row r="506" spans="1:67">
      <c r="A506" s="4" t="s">
        <v>1492</v>
      </c>
      <c r="B506" s="7"/>
      <c r="C506" s="5" t="s">
        <v>641</v>
      </c>
      <c r="D506" s="8" t="s">
        <v>1239</v>
      </c>
      <c r="E506" s="5"/>
      <c r="F506" s="5">
        <v>0.5</v>
      </c>
      <c r="G506" s="5">
        <v>30</v>
      </c>
      <c r="H506" s="5"/>
      <c r="I506" s="5"/>
      <c r="J506" s="5">
        <v>50</v>
      </c>
      <c r="K506" s="5" t="s">
        <v>472</v>
      </c>
      <c r="L506" s="5"/>
      <c r="M506" s="5">
        <v>0</v>
      </c>
      <c r="N506" s="5" t="s">
        <v>1493</v>
      </c>
      <c r="O506" s="7"/>
      <c r="P506" s="5"/>
      <c r="Q506" s="5"/>
      <c r="S506" s="5" t="s">
        <v>77</v>
      </c>
      <c r="T506" s="5"/>
      <c r="V506" s="5" t="s">
        <v>782</v>
      </c>
      <c r="W506" s="5"/>
      <c r="X506" s="5"/>
      <c r="Y506" s="5"/>
      <c r="Z506" s="5"/>
      <c r="AA506" s="5"/>
      <c r="AB506" s="5"/>
      <c r="AC506" s="5"/>
      <c r="AD506" s="5">
        <v>3</v>
      </c>
      <c r="AE506" s="5">
        <v>15</v>
      </c>
      <c r="AF506" s="5">
        <v>10</v>
      </c>
      <c r="AG506" s="5">
        <v>12</v>
      </c>
      <c r="AH506" s="5">
        <v>12</v>
      </c>
      <c r="AI506" s="5">
        <v>13</v>
      </c>
      <c r="AJ506" s="5"/>
      <c r="AK506" s="5"/>
      <c r="AL506" s="5"/>
      <c r="AM506" s="5"/>
      <c r="AN506" s="5"/>
      <c r="AO506" s="5"/>
      <c r="AP506" s="5"/>
      <c r="AS506" s="5" t="s">
        <v>1578</v>
      </c>
      <c r="AT506" s="5"/>
      <c r="AU506" s="5"/>
      <c r="AV506" s="5"/>
      <c r="AW506" s="5" t="s">
        <v>1572</v>
      </c>
      <c r="AX506" s="5" t="s">
        <v>1560</v>
      </c>
      <c r="BC506" s="5" t="s">
        <v>1610</v>
      </c>
      <c r="BD506" s="5"/>
      <c r="BE506" s="5">
        <v>5</v>
      </c>
      <c r="BF506" s="5"/>
      <c r="BG506" s="5" t="s">
        <v>1618</v>
      </c>
      <c r="BH506" s="5"/>
      <c r="BI506" s="5"/>
      <c r="BJ506" s="5"/>
      <c r="BK506" s="7"/>
      <c r="BL506" s="5"/>
      <c r="BM506" s="5" t="s">
        <v>1698</v>
      </c>
      <c r="BN506" s="5">
        <v>309</v>
      </c>
      <c r="BO506" s="5" t="s">
        <v>1626</v>
      </c>
    </row>
    <row r="507" spans="1:67">
      <c r="A507" s="4" t="s">
        <v>1494</v>
      </c>
      <c r="B507" s="7"/>
      <c r="C507" s="5" t="s">
        <v>519</v>
      </c>
      <c r="D507" s="5" t="s">
        <v>1241</v>
      </c>
      <c r="E507" s="5"/>
      <c r="F507" s="5">
        <v>16</v>
      </c>
      <c r="G507" s="5">
        <v>30</v>
      </c>
      <c r="H507" s="5"/>
      <c r="I507" s="5"/>
      <c r="J507" s="5"/>
      <c r="K507" s="5"/>
      <c r="L507" s="5"/>
      <c r="M507" s="5">
        <v>11</v>
      </c>
      <c r="N507" s="5" t="s">
        <v>1495</v>
      </c>
      <c r="O507" s="7"/>
      <c r="P507" s="5"/>
      <c r="Q507" s="5"/>
      <c r="S507" s="5"/>
      <c r="T507" s="5"/>
      <c r="V507" s="5"/>
      <c r="W507" s="5"/>
      <c r="X507" s="5"/>
      <c r="Y507" s="5"/>
      <c r="Z507" s="5"/>
      <c r="AA507" s="5"/>
      <c r="AB507" s="5"/>
      <c r="AC507" s="5"/>
      <c r="AD507" s="5">
        <v>30</v>
      </c>
      <c r="AE507" s="5">
        <v>9</v>
      </c>
      <c r="AF507" s="5">
        <v>25</v>
      </c>
      <c r="AG507" s="5">
        <v>1</v>
      </c>
      <c r="AH507" s="5">
        <v>12</v>
      </c>
      <c r="AI507" s="5">
        <v>7</v>
      </c>
      <c r="AJ507" s="5"/>
      <c r="AK507" s="5"/>
      <c r="AL507" s="5"/>
      <c r="AM507" s="5"/>
      <c r="AN507" s="5"/>
      <c r="AO507" s="5"/>
      <c r="AP507" s="5"/>
      <c r="AS507" s="5"/>
      <c r="AT507" s="5"/>
      <c r="AU507" s="5"/>
      <c r="AV507" s="5"/>
      <c r="AW507" s="5"/>
      <c r="AX507" s="5" t="s">
        <v>1560</v>
      </c>
      <c r="BC507" s="5"/>
      <c r="BD507" s="5"/>
      <c r="BE507" s="5"/>
      <c r="BF507" s="5">
        <v>16</v>
      </c>
      <c r="BG507" s="5"/>
      <c r="BH507" s="5"/>
      <c r="BI507" s="5"/>
      <c r="BJ507" s="5"/>
      <c r="BK507" s="7"/>
      <c r="BL507" s="5" t="s">
        <v>1627</v>
      </c>
      <c r="BM507" s="5" t="s">
        <v>1609</v>
      </c>
      <c r="BN507" s="5">
        <v>61</v>
      </c>
      <c r="BO507" s="5"/>
    </row>
    <row r="508" spans="1:67">
      <c r="A508" s="4" t="s">
        <v>1496</v>
      </c>
      <c r="B508" s="7"/>
      <c r="C508" s="5" t="s">
        <v>519</v>
      </c>
      <c r="D508" s="5" t="s">
        <v>1241</v>
      </c>
      <c r="E508" s="5"/>
      <c r="F508" s="5">
        <v>18</v>
      </c>
      <c r="G508" s="5">
        <v>40</v>
      </c>
      <c r="H508" s="5"/>
      <c r="I508" s="5"/>
      <c r="J508" s="5"/>
      <c r="K508" s="5"/>
      <c r="L508" s="5"/>
      <c r="M508" s="5">
        <v>5</v>
      </c>
      <c r="N508" s="5" t="s">
        <v>1421</v>
      </c>
      <c r="O508" s="7"/>
      <c r="P508" s="5"/>
      <c r="Q508" s="5"/>
      <c r="S508" s="5" t="s">
        <v>77</v>
      </c>
      <c r="T508" s="5"/>
      <c r="V508" s="5"/>
      <c r="W508" s="5"/>
      <c r="X508" s="5"/>
      <c r="Y508" s="5"/>
      <c r="Z508" s="5"/>
      <c r="AA508" s="5"/>
      <c r="AB508" s="5"/>
      <c r="AC508" s="5"/>
      <c r="AD508" s="5">
        <v>28</v>
      </c>
      <c r="AE508" s="5">
        <v>12</v>
      </c>
      <c r="AF508" s="5">
        <v>21</v>
      </c>
      <c r="AG508" s="5">
        <v>2</v>
      </c>
      <c r="AH508" s="5">
        <v>15</v>
      </c>
      <c r="AI508" s="5">
        <v>10</v>
      </c>
      <c r="AJ508" s="5"/>
      <c r="AK508" s="5"/>
      <c r="AL508" s="5"/>
      <c r="AM508" s="5"/>
      <c r="AN508" s="5"/>
      <c r="AO508" s="5"/>
      <c r="AP508" s="5"/>
      <c r="AS508" s="5"/>
      <c r="AT508" s="5"/>
      <c r="AU508" s="5"/>
      <c r="AV508" s="5"/>
      <c r="AW508" s="5"/>
      <c r="AX508" s="5" t="s">
        <v>1560</v>
      </c>
      <c r="BC508" s="5"/>
      <c r="BD508" s="5"/>
      <c r="BE508" s="5"/>
      <c r="BF508" s="5">
        <v>16</v>
      </c>
      <c r="BG508" s="5"/>
      <c r="BH508" s="5"/>
      <c r="BI508" s="5"/>
      <c r="BJ508" s="5"/>
      <c r="BK508" s="7"/>
      <c r="BL508" s="5" t="s">
        <v>1627</v>
      </c>
      <c r="BM508" s="5" t="s">
        <v>1609</v>
      </c>
      <c r="BN508" s="5">
        <v>61</v>
      </c>
      <c r="BO508" s="5"/>
    </row>
    <row r="509" spans="1:67">
      <c r="A509" s="4" t="s">
        <v>1497</v>
      </c>
      <c r="B509" s="7"/>
      <c r="C509" s="5" t="s">
        <v>62</v>
      </c>
      <c r="D509" s="5" t="s">
        <v>1239</v>
      </c>
      <c r="E509" s="5"/>
      <c r="F509" s="5">
        <v>4</v>
      </c>
      <c r="G509" s="5">
        <v>60</v>
      </c>
      <c r="H509" s="5"/>
      <c r="I509" s="5"/>
      <c r="J509" s="5"/>
      <c r="K509" s="5"/>
      <c r="L509" s="5"/>
      <c r="M509" s="5">
        <v>6</v>
      </c>
      <c r="N509" s="5" t="s">
        <v>1498</v>
      </c>
      <c r="O509" s="7"/>
      <c r="P509" s="5"/>
      <c r="Q509" s="5"/>
      <c r="S509" s="5" t="s">
        <v>77</v>
      </c>
      <c r="T509" s="5"/>
      <c r="V509" s="5"/>
      <c r="W509" s="5"/>
      <c r="X509" s="5"/>
      <c r="Y509" s="5"/>
      <c r="Z509" s="5"/>
      <c r="AA509" s="5"/>
      <c r="AB509" s="5"/>
      <c r="AC509" s="5"/>
      <c r="AD509" s="5">
        <v>20</v>
      </c>
      <c r="AE509" s="5">
        <v>17</v>
      </c>
      <c r="AF509" s="5">
        <v>21</v>
      </c>
      <c r="AG509" s="5">
        <v>10</v>
      </c>
      <c r="AH509" s="5">
        <v>21</v>
      </c>
      <c r="AI509" s="5">
        <v>24</v>
      </c>
      <c r="AJ509" s="5"/>
      <c r="AK509" s="5"/>
      <c r="AL509" s="5"/>
      <c r="AM509" s="5"/>
      <c r="AN509" s="5"/>
      <c r="AO509" s="5"/>
      <c r="AP509" s="5"/>
      <c r="AS509" s="5"/>
      <c r="AT509" s="5"/>
      <c r="AU509" s="5"/>
      <c r="AV509" s="5"/>
      <c r="AW509" s="5" t="s">
        <v>1575</v>
      </c>
      <c r="AX509" s="5" t="s">
        <v>1560</v>
      </c>
      <c r="BC509" s="5"/>
      <c r="BD509" s="5"/>
      <c r="BE509" s="5"/>
      <c r="BF509" s="5">
        <v>7</v>
      </c>
      <c r="BG509" s="5"/>
      <c r="BH509" s="5" t="s">
        <v>1813</v>
      </c>
      <c r="BI509" s="5" t="s">
        <v>1813</v>
      </c>
      <c r="BJ509" s="5"/>
      <c r="BK509" s="7"/>
      <c r="BL509" s="5"/>
      <c r="BM509" s="5" t="s">
        <v>1609</v>
      </c>
      <c r="BN509" s="5">
        <v>249</v>
      </c>
      <c r="BO509" s="5"/>
    </row>
    <row r="510" spans="1:67">
      <c r="A510" s="4" t="s">
        <v>1499</v>
      </c>
      <c r="B510" s="7"/>
      <c r="C510" s="5" t="s">
        <v>85</v>
      </c>
      <c r="D510" s="8" t="s">
        <v>1239</v>
      </c>
      <c r="E510" s="5"/>
      <c r="F510" s="5">
        <v>1</v>
      </c>
      <c r="G510" s="5"/>
      <c r="H510" s="5"/>
      <c r="I510" s="5"/>
      <c r="J510" s="5">
        <v>30</v>
      </c>
      <c r="K510" s="5" t="s">
        <v>472</v>
      </c>
      <c r="L510" s="5"/>
      <c r="M510" s="5">
        <v>0</v>
      </c>
      <c r="N510" s="5" t="s">
        <v>244</v>
      </c>
      <c r="O510" s="7"/>
      <c r="P510" s="5"/>
      <c r="Q510" s="5"/>
      <c r="S510" s="5"/>
      <c r="T510" s="5"/>
      <c r="V510" s="5"/>
      <c r="W510" s="5"/>
      <c r="X510" s="5"/>
      <c r="Y510" s="5"/>
      <c r="Z510" s="5"/>
      <c r="AA510" s="5"/>
      <c r="AB510" s="5"/>
      <c r="AC510" s="5"/>
      <c r="AD510" s="5">
        <v>10</v>
      </c>
      <c r="AE510" s="5">
        <v>13</v>
      </c>
      <c r="AF510" s="5">
        <v>12</v>
      </c>
      <c r="AG510" s="5">
        <v>5</v>
      </c>
      <c r="AH510" s="5">
        <v>12</v>
      </c>
      <c r="AI510" s="5">
        <v>8</v>
      </c>
      <c r="AJ510" s="5"/>
      <c r="AK510" s="5"/>
      <c r="AL510" s="5"/>
      <c r="AM510" s="5"/>
      <c r="AN510" s="5"/>
      <c r="AO510" s="5"/>
      <c r="AP510" s="5"/>
      <c r="AS510" s="5" t="s">
        <v>1578</v>
      </c>
      <c r="AT510" s="5"/>
      <c r="AU510" s="5"/>
      <c r="AV510" s="5"/>
      <c r="AW510" s="5" t="s">
        <v>1571</v>
      </c>
      <c r="AX510" s="5" t="s">
        <v>1560</v>
      </c>
      <c r="BC510" s="5" t="s">
        <v>1710</v>
      </c>
      <c r="BD510" s="5"/>
      <c r="BE510" s="5">
        <v>7</v>
      </c>
      <c r="BF510" s="5"/>
      <c r="BG510" s="5" t="s">
        <v>1618</v>
      </c>
      <c r="BH510" s="5"/>
      <c r="BI510" s="5"/>
      <c r="BJ510" s="5"/>
      <c r="BK510" s="7"/>
      <c r="BL510" s="5"/>
      <c r="BM510" s="5" t="s">
        <v>1609</v>
      </c>
      <c r="BN510" s="5"/>
      <c r="BO510" s="5"/>
    </row>
    <row r="511" spans="1:67">
      <c r="A511" s="4" t="s">
        <v>1500</v>
      </c>
      <c r="B511" s="7"/>
      <c r="C511" s="5" t="s">
        <v>641</v>
      </c>
      <c r="D511" s="5" t="s">
        <v>1241</v>
      </c>
      <c r="E511" s="5"/>
      <c r="F511" s="5">
        <v>0.5</v>
      </c>
      <c r="G511" s="5">
        <v>20</v>
      </c>
      <c r="H511" s="5"/>
      <c r="I511" s="5">
        <v>20</v>
      </c>
      <c r="J511" s="5"/>
      <c r="K511" s="5"/>
      <c r="L511" s="5"/>
      <c r="M511" s="5">
        <v>0</v>
      </c>
      <c r="N511" s="5" t="s">
        <v>244</v>
      </c>
      <c r="O511" s="7"/>
      <c r="P511" s="5"/>
      <c r="Q511" s="5"/>
      <c r="S511" s="5"/>
      <c r="T511" s="5">
        <v>60</v>
      </c>
      <c r="V511" s="5"/>
      <c r="W511" s="5"/>
      <c r="X511" s="5"/>
      <c r="Y511" s="5"/>
      <c r="Z511" s="5"/>
      <c r="AA511" s="5"/>
      <c r="AB511" s="5"/>
      <c r="AC511" s="5"/>
      <c r="AD511" s="5">
        <v>3</v>
      </c>
      <c r="AE511" s="5">
        <v>15</v>
      </c>
      <c r="AF511" s="5">
        <v>10</v>
      </c>
      <c r="AG511" s="5">
        <v>2</v>
      </c>
      <c r="AH511" s="5">
        <v>12</v>
      </c>
      <c r="AI511" s="5">
        <v>5</v>
      </c>
      <c r="AJ511" s="5"/>
      <c r="AK511" s="5"/>
      <c r="AL511" s="5"/>
      <c r="AM511" s="5"/>
      <c r="AN511" s="5"/>
      <c r="AO511" s="5"/>
      <c r="AP511" s="5"/>
      <c r="AS511" s="5" t="s">
        <v>1567</v>
      </c>
      <c r="AT511" s="5"/>
      <c r="AU511" s="5"/>
      <c r="AV511" s="5">
        <v>0</v>
      </c>
      <c r="AW511" s="5" t="s">
        <v>1565</v>
      </c>
      <c r="AX511" s="5" t="s">
        <v>1560</v>
      </c>
      <c r="BC511" s="5" t="s">
        <v>1610</v>
      </c>
      <c r="BD511" s="5"/>
      <c r="BE511" s="5">
        <v>1</v>
      </c>
      <c r="BF511" s="5"/>
      <c r="BG511" s="5" t="s">
        <v>1616</v>
      </c>
      <c r="BH511" s="5"/>
      <c r="BI511" s="5"/>
      <c r="BJ511" s="5"/>
      <c r="BK511" s="7"/>
      <c r="BL511" s="5"/>
      <c r="BM511" s="5" t="s">
        <v>1609</v>
      </c>
      <c r="BN511" s="5">
        <v>282</v>
      </c>
      <c r="BO511" s="5"/>
    </row>
    <row r="512" spans="1:67">
      <c r="A512" s="4" t="s">
        <v>1501</v>
      </c>
      <c r="B512" s="7"/>
      <c r="C512" s="5" t="s">
        <v>519</v>
      </c>
      <c r="D512" s="5" t="s">
        <v>1241</v>
      </c>
      <c r="E512" s="5"/>
      <c r="F512" s="5"/>
      <c r="G512" s="5"/>
      <c r="H512" s="5"/>
      <c r="I512" s="5"/>
      <c r="J512" s="5"/>
      <c r="K512" s="5"/>
      <c r="L512" s="5"/>
      <c r="M512" s="5"/>
      <c r="N512" s="5" t="s">
        <v>45</v>
      </c>
      <c r="O512" s="7"/>
      <c r="P512" s="5"/>
      <c r="Q512" s="5"/>
      <c r="S512" s="5" t="s">
        <v>77</v>
      </c>
      <c r="T512" s="5"/>
      <c r="V512" s="5"/>
      <c r="W512" s="5"/>
      <c r="X512" s="5"/>
      <c r="Y512" s="5"/>
      <c r="Z512" s="5"/>
      <c r="AA512" s="5"/>
      <c r="AB512" s="5"/>
      <c r="AC512" s="5"/>
      <c r="AD512" s="5"/>
      <c r="AE512" s="5"/>
      <c r="AF512" s="5"/>
      <c r="AG512" s="5"/>
      <c r="AH512" s="5"/>
      <c r="AI512" s="5"/>
      <c r="AJ512" s="5"/>
      <c r="AK512" s="5"/>
      <c r="AL512" s="5"/>
      <c r="AM512" s="5"/>
      <c r="AN512" s="5"/>
      <c r="AO512" s="5"/>
      <c r="AP512" s="5"/>
      <c r="AS512" s="5"/>
      <c r="AT512" s="5"/>
      <c r="AU512" s="5"/>
      <c r="AV512" s="5"/>
      <c r="AW512" s="5"/>
      <c r="AX512" s="5" t="s">
        <v>1560</v>
      </c>
      <c r="BC512" s="5"/>
      <c r="BD512" s="5"/>
      <c r="BE512" s="5"/>
      <c r="BF512" s="5">
        <v>10</v>
      </c>
      <c r="BG512" s="5"/>
      <c r="BH512" s="5"/>
      <c r="BI512" s="5"/>
      <c r="BJ512" s="5"/>
      <c r="BK512" s="7"/>
      <c r="BL512" s="5"/>
      <c r="BM512" s="5" t="s">
        <v>1609</v>
      </c>
      <c r="BN512" s="5">
        <v>283</v>
      </c>
      <c r="BO512" s="5"/>
    </row>
    <row r="513" spans="1:67">
      <c r="A513" s="4" t="s">
        <v>1502</v>
      </c>
      <c r="B513" s="7"/>
      <c r="C513" s="5" t="s">
        <v>62</v>
      </c>
      <c r="D513" s="8" t="s">
        <v>1239</v>
      </c>
      <c r="E513" s="5"/>
      <c r="F513" s="5">
        <v>6</v>
      </c>
      <c r="G513" s="5">
        <v>50</v>
      </c>
      <c r="H513" s="5"/>
      <c r="I513" s="5"/>
      <c r="J513" s="5"/>
      <c r="K513" s="5"/>
      <c r="L513" s="5"/>
      <c r="M513" s="5">
        <v>5</v>
      </c>
      <c r="N513" s="5" t="s">
        <v>244</v>
      </c>
      <c r="O513" s="7"/>
      <c r="P513" s="5"/>
      <c r="Q513" s="5"/>
      <c r="S513" s="5"/>
      <c r="T513" s="5"/>
      <c r="V513" s="5" t="s">
        <v>109</v>
      </c>
      <c r="W513" s="5" t="s">
        <v>108</v>
      </c>
      <c r="X513" s="5"/>
      <c r="Y513" s="5"/>
      <c r="Z513" s="5"/>
      <c r="AA513" s="5"/>
      <c r="AB513" s="5"/>
      <c r="AC513" s="5"/>
      <c r="AD513" s="5">
        <v>18</v>
      </c>
      <c r="AE513" s="5">
        <v>13</v>
      </c>
      <c r="AF513" s="5">
        <v>16</v>
      </c>
      <c r="AG513" s="5">
        <v>9</v>
      </c>
      <c r="AH513" s="5">
        <v>13</v>
      </c>
      <c r="AI513" s="5">
        <v>10</v>
      </c>
      <c r="AJ513" s="5"/>
      <c r="AK513" s="5"/>
      <c r="AL513" s="5"/>
      <c r="AM513" s="5"/>
      <c r="AN513" s="5"/>
      <c r="AO513" s="5"/>
      <c r="AP513" s="5"/>
      <c r="AS513" s="5" t="s">
        <v>1597</v>
      </c>
      <c r="AT513" s="5"/>
      <c r="AU513" s="5"/>
      <c r="AV513" s="5"/>
      <c r="AW513" s="5" t="s">
        <v>1571</v>
      </c>
      <c r="AX513" s="5" t="s">
        <v>1560</v>
      </c>
      <c r="BC513" s="5" t="s">
        <v>1711</v>
      </c>
      <c r="BD513" s="5"/>
      <c r="BE513" s="5">
        <v>7</v>
      </c>
      <c r="BF513" s="5"/>
      <c r="BG513" s="5" t="s">
        <v>1618</v>
      </c>
      <c r="BH513" s="5"/>
      <c r="BI513" s="5"/>
      <c r="BJ513" s="5"/>
      <c r="BK513" s="7"/>
      <c r="BL513" s="5"/>
      <c r="BM513" s="5" t="s">
        <v>1609</v>
      </c>
      <c r="BN513" s="5">
        <v>256</v>
      </c>
      <c r="BO513" s="5" t="s">
        <v>1619</v>
      </c>
    </row>
    <row r="514" spans="1:67">
      <c r="A514" s="4" t="s">
        <v>1503</v>
      </c>
      <c r="B514" s="7"/>
      <c r="C514" s="5" t="s">
        <v>42</v>
      </c>
      <c r="D514" s="5" t="s">
        <v>1241</v>
      </c>
      <c r="E514" s="5"/>
      <c r="F514" s="5">
        <v>2</v>
      </c>
      <c r="G514" s="5">
        <v>50</v>
      </c>
      <c r="H514" s="5"/>
      <c r="I514" s="5"/>
      <c r="J514" s="5"/>
      <c r="K514" s="5"/>
      <c r="L514" s="5"/>
      <c r="M514" s="5">
        <f>2+IF(IsLycanthropeAlternate, MAX(2,RaceNA),0)</f>
        <v>2</v>
      </c>
      <c r="N514" s="5" t="s">
        <v>244</v>
      </c>
      <c r="O514" s="7"/>
      <c r="P514" s="5"/>
      <c r="Q514" s="5"/>
      <c r="S514" s="5" t="s">
        <v>77</v>
      </c>
      <c r="T514" s="5">
        <v>60</v>
      </c>
      <c r="V514" s="5"/>
      <c r="W514" s="5"/>
      <c r="X514" s="5"/>
      <c r="Y514" s="5"/>
      <c r="Z514" s="5"/>
      <c r="AA514" s="5"/>
      <c r="AB514" s="5"/>
      <c r="AC514" s="5"/>
      <c r="AD514" s="5">
        <v>13</v>
      </c>
      <c r="AE514" s="5">
        <v>15</v>
      </c>
      <c r="AF514" s="5">
        <v>15</v>
      </c>
      <c r="AG514" s="5">
        <v>2</v>
      </c>
      <c r="AH514" s="5">
        <v>12</v>
      </c>
      <c r="AI514" s="5">
        <v>6</v>
      </c>
      <c r="AJ514" s="5"/>
      <c r="AK514" s="5"/>
      <c r="AL514" s="5"/>
      <c r="AM514" s="5"/>
      <c r="AN514" s="5"/>
      <c r="AO514" s="5"/>
      <c r="AP514" s="5"/>
      <c r="AS514" s="5"/>
      <c r="AT514" s="5"/>
      <c r="AU514" s="5"/>
      <c r="AV514" s="5">
        <v>2</v>
      </c>
      <c r="AW514" s="5" t="s">
        <v>1573</v>
      </c>
      <c r="AX514" s="5" t="s">
        <v>1560</v>
      </c>
      <c r="BC514" s="5"/>
      <c r="BD514" s="5"/>
      <c r="BE514" s="5"/>
      <c r="BF514" s="5">
        <v>1</v>
      </c>
      <c r="BG514" s="5"/>
      <c r="BH514" s="5"/>
      <c r="BI514" s="5"/>
      <c r="BJ514" s="5"/>
      <c r="BK514" s="7"/>
      <c r="BL514" s="5"/>
      <c r="BM514" s="5" t="s">
        <v>1609</v>
      </c>
      <c r="BN514" s="5">
        <v>283</v>
      </c>
      <c r="BO514" s="5"/>
    </row>
    <row r="515" spans="1:67">
      <c r="A515" s="4" t="s">
        <v>1504</v>
      </c>
      <c r="B515" s="7"/>
      <c r="C515" s="5" t="s">
        <v>42</v>
      </c>
      <c r="D515" s="5" t="s">
        <v>1241</v>
      </c>
      <c r="E515" s="5"/>
      <c r="F515" s="5"/>
      <c r="G515" s="5"/>
      <c r="H515" s="5"/>
      <c r="I515" s="5"/>
      <c r="J515" s="5"/>
      <c r="K515" s="5"/>
      <c r="L515" s="5"/>
      <c r="M515" s="5"/>
      <c r="N515" s="5" t="s">
        <v>45</v>
      </c>
      <c r="O515" s="7"/>
      <c r="P515" s="5"/>
      <c r="Q515" s="5"/>
      <c r="S515" s="5"/>
      <c r="T515" s="5"/>
      <c r="V515" s="5"/>
      <c r="W515" s="5"/>
      <c r="X515" s="5"/>
      <c r="Y515" s="5"/>
      <c r="Z515" s="5"/>
      <c r="AA515" s="5"/>
      <c r="AB515" s="5"/>
      <c r="AC515" s="5"/>
      <c r="AD515" s="5"/>
      <c r="AE515" s="5"/>
      <c r="AF515" s="5"/>
      <c r="AG515" s="5"/>
      <c r="AH515" s="5"/>
      <c r="AI515" s="5"/>
      <c r="AJ515" s="5"/>
      <c r="AK515" s="5"/>
      <c r="AL515" s="5"/>
      <c r="AM515" s="5"/>
      <c r="AN515" s="5"/>
      <c r="AO515" s="5"/>
      <c r="AP515" s="5"/>
      <c r="AS515" s="5"/>
      <c r="AT515" s="5"/>
      <c r="AU515" s="5"/>
      <c r="AV515" s="5"/>
      <c r="AW515" s="5"/>
      <c r="AX515" s="5" t="s">
        <v>1560</v>
      </c>
      <c r="BC515" s="5"/>
      <c r="BD515" s="5"/>
      <c r="BE515" s="5"/>
      <c r="BF515" s="5">
        <v>4</v>
      </c>
      <c r="BG515" s="5"/>
      <c r="BH515" s="5"/>
      <c r="BI515" s="5"/>
      <c r="BJ515" s="5"/>
      <c r="BK515" s="7"/>
      <c r="BL515" s="5"/>
      <c r="BM515" s="5" t="s">
        <v>1609</v>
      </c>
      <c r="BN515" s="5">
        <v>283</v>
      </c>
      <c r="BO515" s="5"/>
    </row>
    <row r="516" spans="1:67">
      <c r="A516" s="4" t="s">
        <v>1505</v>
      </c>
      <c r="B516" s="7"/>
      <c r="C516" s="5" t="s">
        <v>42</v>
      </c>
      <c r="D516" s="8" t="s">
        <v>1239</v>
      </c>
      <c r="E516" s="5"/>
      <c r="F516" s="5">
        <v>4</v>
      </c>
      <c r="G516" s="5">
        <v>50</v>
      </c>
      <c r="H516" s="5"/>
      <c r="I516" s="5"/>
      <c r="J516" s="5"/>
      <c r="K516" s="5"/>
      <c r="L516" s="5"/>
      <c r="M516" s="5">
        <v>2</v>
      </c>
      <c r="N516" s="5" t="s">
        <v>244</v>
      </c>
      <c r="O516" s="7"/>
      <c r="P516" s="5"/>
      <c r="Q516" s="5"/>
      <c r="S516" s="5"/>
      <c r="T516" s="5"/>
      <c r="V516" s="5"/>
      <c r="W516" s="5"/>
      <c r="X516" s="5"/>
      <c r="Y516" s="5"/>
      <c r="Z516" s="5"/>
      <c r="AA516" s="5"/>
      <c r="AB516" s="5"/>
      <c r="AC516" s="5"/>
      <c r="AD516" s="5">
        <v>17</v>
      </c>
      <c r="AE516" s="5">
        <v>15</v>
      </c>
      <c r="AF516" s="5">
        <v>15</v>
      </c>
      <c r="AG516" s="5">
        <v>6</v>
      </c>
      <c r="AH516" s="5">
        <v>14</v>
      </c>
      <c r="AI516" s="5">
        <v>10</v>
      </c>
      <c r="AJ516" s="5"/>
      <c r="AK516" s="5"/>
      <c r="AL516" s="5"/>
      <c r="AM516" s="5"/>
      <c r="AN516" s="5"/>
      <c r="AO516" s="5"/>
      <c r="AP516" s="5"/>
      <c r="AS516" s="5" t="s">
        <v>1598</v>
      </c>
      <c r="AT516" s="5"/>
      <c r="AU516" s="5"/>
      <c r="AV516" s="5"/>
      <c r="AW516" s="5" t="s">
        <v>1571</v>
      </c>
      <c r="AX516" s="5" t="s">
        <v>1560</v>
      </c>
      <c r="BC516" s="5" t="s">
        <v>1712</v>
      </c>
      <c r="BD516" s="5"/>
      <c r="BE516" s="5">
        <v>3</v>
      </c>
      <c r="BF516" s="5"/>
      <c r="BG516" s="5" t="s">
        <v>1618</v>
      </c>
      <c r="BH516" s="5"/>
      <c r="BI516" s="5"/>
      <c r="BJ516" s="5"/>
      <c r="BK516" s="7"/>
      <c r="BL516" s="5"/>
      <c r="BM516" s="5" t="s">
        <v>1609</v>
      </c>
      <c r="BN516" s="5">
        <v>256</v>
      </c>
      <c r="BO516" s="5" t="s">
        <v>1619</v>
      </c>
    </row>
    <row r="517" spans="1:67">
      <c r="A517" s="4" t="str">
        <f>IF('[1]Custom Familiar'!B320="","Custom Familiar",'[1]Custom Familiar'!B320)</f>
        <v>Custom Familiar</v>
      </c>
      <c r="B517" s="7"/>
      <c r="C517" s="5" t="str">
        <f>IF('[1]Custom Familiar'!B325="","",'[1]Custom Familiar'!B325)</f>
        <v/>
      </c>
      <c r="D517" s="8" t="s">
        <v>1239</v>
      </c>
      <c r="E517" s="5"/>
      <c r="F517" s="5">
        <f>IF('[1]Custom Familiar'!B324="",0,'[1]Custom Familiar'!B324)</f>
        <v>0</v>
      </c>
      <c r="G517" s="5">
        <f>IF('[1]Custom Familiar'!B337="",0,'[1]Custom Familiar'!B337)</f>
        <v>0</v>
      </c>
      <c r="H517" s="5">
        <f>IF('[1]Custom Familiar'!B338="",0,'[1]Custom Familiar'!B338)</f>
        <v>0</v>
      </c>
      <c r="I517" s="5">
        <f>IF('[1]Custom Familiar'!B339="",0,'[1]Custom Familiar'!B339)</f>
        <v>0</v>
      </c>
      <c r="J517" s="5">
        <f>IF('[1]Custom Familiar'!B341="",0,'[1]Custom Familiar'!B341)</f>
        <v>0</v>
      </c>
      <c r="K517" s="5" t="str">
        <f>IF('[1]Custom Familiar'!B342="","",'[1]Custom Familiar'!B342)</f>
        <v/>
      </c>
      <c r="L517" s="5">
        <f>IF('[1]Custom Familiar'!$B$22="",0,'[1]Custom Familiar'!$B$22)</f>
        <v>0</v>
      </c>
      <c r="M517" s="5">
        <f>IF('[1]Custom Familiar'!$B$16="",0,'[1]Custom Familiar'!$B$16)</f>
        <v>0</v>
      </c>
      <c r="N517" s="5" t="str">
        <f>IF('[1]Custom Familiar'!$M$31="","",'[1]Custom Familiar'!$M$31&amp;",")&amp;IF('[1]Custom Familiar'!$M$34="","",'[1]Custom Familiar'!$M$34&amp;",")&amp;IF('[1]Custom Familiar'!$M$37="","",'[1]Custom Familiar'!$M$37&amp;",")</f>
        <v/>
      </c>
      <c r="S517" s="5" t="s">
        <v>77</v>
      </c>
      <c r="T517" s="5">
        <v>60</v>
      </c>
      <c r="V517" s="5"/>
      <c r="W517" s="5"/>
      <c r="X517" s="5"/>
      <c r="Y517" s="5" t="str">
        <f>IF('[1]Custom Familiar'!$B$18="","",'[1]Custom Familiar'!$B$18)</f>
        <v/>
      </c>
      <c r="Z517" s="5" t="str">
        <f>IF('[1]Custom Familiar'!$B$17="","",'[1]Custom Familiar'!$B$17)</f>
        <v/>
      </c>
      <c r="AA517" s="5"/>
      <c r="AB517" s="5"/>
      <c r="AC517" s="5"/>
      <c r="AD517" s="5">
        <f>'[1]Custom Familiar'!$B$9</f>
        <v>0</v>
      </c>
      <c r="AE517" s="5">
        <f>'[1]Custom Familiar'!$B$10</f>
        <v>0</v>
      </c>
      <c r="AF517" s="5">
        <f>'[1]Custom Familiar'!$B$11</f>
        <v>0</v>
      </c>
      <c r="AG517" s="5">
        <f>'[1]Custom Familiar'!$B$12</f>
        <v>0</v>
      </c>
      <c r="AH517" s="5">
        <f>'[1]Custom Familiar'!$B$13</f>
        <v>0</v>
      </c>
      <c r="AI517" s="5">
        <f>'[1]Custom Familiar'!$B$14</f>
        <v>0</v>
      </c>
      <c r="AJ517" s="5"/>
      <c r="AK517" s="5"/>
      <c r="AL517" s="5"/>
      <c r="AM517" s="5"/>
      <c r="AN517" s="5"/>
      <c r="AO517" s="5"/>
      <c r="AP517" s="5"/>
      <c r="AS517" s="5" t="e">
        <f>IF('[1]Custom Familiar'!#REF!="","",'[1]Custom Familiar'!#REF!)</f>
        <v>#REF!</v>
      </c>
      <c r="AT517" s="5"/>
      <c r="AU517" s="5"/>
      <c r="AV517" s="5"/>
      <c r="AW517" s="5" t="e">
        <f>IF('[1]Custom Familiar'!#REF!="","",'[1]Custom Familiar'!#REF!)</f>
        <v>#REF!</v>
      </c>
      <c r="AX517" s="5" t="s">
        <v>1560</v>
      </c>
      <c r="BC517" s="5" t="e">
        <f>IF('[1]Custom Familiar'!#REF!="","",'[1]Custom Familiar'!#REF!)</f>
        <v>#REF!</v>
      </c>
      <c r="BD517" s="5"/>
      <c r="BE517" s="5">
        <v>1</v>
      </c>
      <c r="BF517" s="5"/>
      <c r="BG517" s="5"/>
      <c r="BH517" s="5"/>
      <c r="BI517" s="5"/>
      <c r="BJ517" s="5"/>
      <c r="BK517" s="7"/>
      <c r="BL517" s="5"/>
      <c r="BM517" s="5" t="s">
        <v>1713</v>
      </c>
      <c r="BN517" s="5"/>
      <c r="BO517" s="5"/>
    </row>
    <row r="518" spans="1:67">
      <c r="O518" s="7"/>
      <c r="P518" s="5"/>
      <c r="Q518" s="5"/>
      <c r="S518" s="5"/>
      <c r="T518" s="5"/>
    </row>
  </sheetData>
  <conditionalFormatting sqref="A1:Z1 AD1:BB1">
    <cfRule type="expression" dxfId="3" priority="5" stopIfTrue="1">
      <formula>RIGHT(A$3,1)="*"</formula>
    </cfRule>
    <cfRule type="expression" dxfId="2" priority="6" stopIfTrue="1">
      <formula>TRUE</formula>
    </cfRule>
  </conditionalFormatting>
  <conditionalFormatting sqref="AA1:AC1">
    <cfRule type="expression" dxfId="1" priority="1" stopIfTrue="1">
      <formula>RIGHT(AA$3,1)="*"</formula>
    </cfRule>
    <cfRule type="expression" dxfId="0" priority="2" stopIfTrue="1">
      <formula>TRUE</formula>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4</vt:i4>
      </vt:variant>
    </vt:vector>
  </HeadingPairs>
  <TitlesOfParts>
    <vt:vector size="5" baseType="lpstr">
      <vt:lpstr>Sheet1</vt:lpstr>
      <vt:lpstr>IsLycanthropeAlternate</vt:lpstr>
      <vt:lpstr>MonType</vt:lpstr>
      <vt:lpstr>Subrace</vt:lpstr>
      <vt:lpstr>TblRaceInfo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Tamsin Coton</dc:creator>
  <cp:lastModifiedBy>RCNET</cp:lastModifiedBy>
  <dcterms:created xsi:type="dcterms:W3CDTF">2015-07-11T19:45:51Z</dcterms:created>
  <dcterms:modified xsi:type="dcterms:W3CDTF">2016-08-17T15:03:19Z</dcterms:modified>
</cp:coreProperties>
</file>