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52526717e76396/Desktop/financial models/"/>
    </mc:Choice>
  </mc:AlternateContent>
  <xr:revisionPtr revIDLastSave="937" documentId="8_{385BC38D-01E9-41A8-A07E-38C60CB997C0}" xr6:coauthVersionLast="47" xr6:coauthVersionMax="47" xr10:uidLastSave="{4B078211-1477-4C41-9ACC-7C96D36B2472}"/>
  <bookViews>
    <workbookView xWindow="-108" yWindow="-108" windowWidth="23256" windowHeight="12456" xr2:uid="{C09536F3-E082-46CD-A23B-B39543A5D8AF}"/>
  </bookViews>
  <sheets>
    <sheet name="DCF" sheetId="4" r:id="rId1"/>
    <sheet name="Income Statement" sheetId="1" r:id="rId2"/>
    <sheet name="Balance Sheet" sheetId="2" r:id="rId3"/>
    <sheet name="Cash Flo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K70" i="4"/>
  <c r="L70" i="4" s="1"/>
  <c r="M70" i="4" s="1"/>
  <c r="N70" i="4" s="1"/>
  <c r="L69" i="4"/>
  <c r="M69" i="4" s="1"/>
  <c r="N69" i="4" s="1"/>
  <c r="E91" i="4"/>
  <c r="D12" i="4"/>
  <c r="E94" i="4"/>
  <c r="E90" i="4" s="1"/>
  <c r="E84" i="4"/>
  <c r="E34" i="4"/>
  <c r="E35" i="4" s="1"/>
  <c r="E64" i="4"/>
  <c r="I64" i="4"/>
  <c r="H64" i="4"/>
  <c r="J64" i="4"/>
  <c r="G64" i="4"/>
  <c r="F64" i="4"/>
  <c r="J61" i="4"/>
  <c r="I61" i="4"/>
  <c r="H61" i="4"/>
  <c r="G61" i="4"/>
  <c r="F61" i="4"/>
  <c r="E61" i="4"/>
  <c r="J58" i="4"/>
  <c r="I58" i="4"/>
  <c r="H58" i="4"/>
  <c r="G58" i="4"/>
  <c r="F58" i="4"/>
  <c r="E58" i="4"/>
  <c r="N23" i="4"/>
  <c r="K23" i="4"/>
  <c r="J52" i="4"/>
  <c r="I52" i="4"/>
  <c r="H52" i="4"/>
  <c r="G52" i="4"/>
  <c r="F52" i="4"/>
  <c r="E52" i="4"/>
  <c r="N46" i="4"/>
  <c r="M46" i="4"/>
  <c r="L46" i="4"/>
  <c r="K46" i="4"/>
  <c r="N40" i="4"/>
  <c r="M40" i="4"/>
  <c r="K40" i="4"/>
  <c r="K39" i="4" s="1"/>
  <c r="K57" i="4" s="1"/>
  <c r="L40" i="4"/>
  <c r="J46" i="4"/>
  <c r="I46" i="4"/>
  <c r="H46" i="4"/>
  <c r="G46" i="4"/>
  <c r="F46" i="4"/>
  <c r="E46" i="4"/>
  <c r="K17" i="4"/>
  <c r="K32" i="4" s="1"/>
  <c r="J40" i="4"/>
  <c r="I40" i="4"/>
  <c r="H40" i="4"/>
  <c r="G40" i="4"/>
  <c r="F40" i="4"/>
  <c r="N32" i="4"/>
  <c r="M32" i="4"/>
  <c r="L32" i="4"/>
  <c r="J32" i="4"/>
  <c r="I32" i="4"/>
  <c r="H32" i="4"/>
  <c r="G32" i="4"/>
  <c r="F32" i="4"/>
  <c r="E32" i="4"/>
  <c r="N29" i="4"/>
  <c r="M29" i="4"/>
  <c r="L29" i="4"/>
  <c r="K29" i="4"/>
  <c r="N28" i="4"/>
  <c r="M28" i="4"/>
  <c r="L28" i="4"/>
  <c r="J29" i="4"/>
  <c r="I29" i="4"/>
  <c r="H29" i="4"/>
  <c r="G29" i="4"/>
  <c r="F29" i="4"/>
  <c r="E29" i="4"/>
  <c r="J28" i="4"/>
  <c r="I28" i="4"/>
  <c r="H28" i="4"/>
  <c r="G28" i="4"/>
  <c r="F28" i="4"/>
  <c r="E28" i="4"/>
  <c r="J34" i="4"/>
  <c r="J36" i="4" s="1"/>
  <c r="I34" i="4"/>
  <c r="I35" i="4" s="1"/>
  <c r="H34" i="4"/>
  <c r="H35" i="4" s="1"/>
  <c r="G34" i="4"/>
  <c r="G35" i="4" s="1"/>
  <c r="F34" i="4"/>
  <c r="F35" i="4" s="1"/>
  <c r="M23" i="4"/>
  <c r="L23" i="4"/>
  <c r="J24" i="4"/>
  <c r="I24" i="4"/>
  <c r="H24" i="4"/>
  <c r="G24" i="4"/>
  <c r="F24" i="4"/>
  <c r="E24" i="4"/>
  <c r="N21" i="4"/>
  <c r="M21" i="4"/>
  <c r="L21" i="4"/>
  <c r="J21" i="4"/>
  <c r="I21" i="4"/>
  <c r="H21" i="4"/>
  <c r="G21" i="4"/>
  <c r="F21" i="4"/>
  <c r="E21" i="4"/>
  <c r="N18" i="4"/>
  <c r="M18" i="4"/>
  <c r="J18" i="4"/>
  <c r="I18" i="4"/>
  <c r="H18" i="4"/>
  <c r="G18" i="4"/>
  <c r="F18" i="4"/>
  <c r="F38" i="4"/>
  <c r="G38" i="4" s="1"/>
  <c r="H38" i="4" s="1"/>
  <c r="I38" i="4" s="1"/>
  <c r="J38" i="4" s="1"/>
  <c r="K38" i="4" s="1"/>
  <c r="L38" i="4" s="1"/>
  <c r="M38" i="4" s="1"/>
  <c r="N38" i="4" s="1"/>
  <c r="F26" i="4"/>
  <c r="G26" i="4" s="1"/>
  <c r="H26" i="4" s="1"/>
  <c r="I26" i="4" s="1"/>
  <c r="J26" i="4" s="1"/>
  <c r="K26" i="4" s="1"/>
  <c r="L26" i="4" s="1"/>
  <c r="M26" i="4" s="1"/>
  <c r="N26" i="4" s="1"/>
  <c r="F16" i="4"/>
  <c r="G16" i="4" s="1"/>
  <c r="H16" i="4" s="1"/>
  <c r="I16" i="4" s="1"/>
  <c r="J16" i="4" s="1"/>
  <c r="K16" i="4" s="1"/>
  <c r="L16" i="4" s="1"/>
  <c r="K64" i="4" l="1"/>
  <c r="L64" i="4" s="1"/>
  <c r="M64" i="4" s="1"/>
  <c r="E83" i="4"/>
  <c r="K60" i="4"/>
  <c r="K45" i="4"/>
  <c r="L39" i="4"/>
  <c r="K28" i="4"/>
  <c r="L18" i="4"/>
  <c r="K21" i="4"/>
  <c r="K18" i="4"/>
  <c r="M16" i="4"/>
  <c r="N16" i="4" s="1"/>
  <c r="J35" i="4"/>
  <c r="F36" i="4"/>
  <c r="G36" i="4"/>
  <c r="H36" i="4"/>
  <c r="I36" i="4"/>
  <c r="K63" i="4" l="1"/>
  <c r="N64" i="4"/>
  <c r="K52" i="4"/>
  <c r="E92" i="4"/>
  <c r="E96" i="4" s="1"/>
  <c r="L60" i="4"/>
  <c r="L63" i="4"/>
  <c r="M39" i="4"/>
  <c r="L57" i="4"/>
  <c r="K55" i="4"/>
  <c r="L45" i="4"/>
  <c r="K66" i="4" l="1"/>
  <c r="K67" i="4" s="1"/>
  <c r="M60" i="4"/>
  <c r="M63" i="4"/>
  <c r="N39" i="4"/>
  <c r="M57" i="4"/>
  <c r="M45" i="4"/>
  <c r="M52" i="4" s="1"/>
  <c r="L52" i="4"/>
  <c r="L55" i="4"/>
  <c r="L66" i="4" s="1"/>
  <c r="L67" i="4" s="1"/>
  <c r="N60" i="4" l="1"/>
  <c r="N63" i="4"/>
  <c r="N45" i="4"/>
  <c r="N57" i="4"/>
  <c r="M55" i="4"/>
  <c r="M66" i="4" s="1"/>
  <c r="M67" i="4" s="1"/>
  <c r="N55" i="4" l="1"/>
  <c r="N52" i="4"/>
  <c r="N66" i="4" l="1"/>
  <c r="N72" i="4" s="1"/>
  <c r="N73" i="4" s="1"/>
  <c r="N67" i="4" l="1"/>
  <c r="N74" i="4" s="1"/>
  <c r="N77" i="4" s="1"/>
  <c r="N79" i="4" l="1"/>
</calcChain>
</file>

<file path=xl/sharedStrings.xml><?xml version="1.0" encoding="utf-8"?>
<sst xmlns="http://schemas.openxmlformats.org/spreadsheetml/2006/main" count="255" uniqueCount="190">
  <si>
    <t>Revenue and Other Income:</t>
  </si>
  <si>
    <t>CONSOLIDATED STATEMENTS OF INCOME</t>
  </si>
  <si>
    <t>2021</t>
  </si>
  <si>
    <t>2020</t>
  </si>
  <si>
    <t>2019</t>
  </si>
  <si>
    <t>Coal Revenue</t>
  </si>
  <si>
    <t>Terminal Revenue</t>
  </si>
  <si>
    <t>Freight Revenue</t>
  </si>
  <si>
    <t>Unrealized Loss on Commodity Derivative Instruments (Note 21)</t>
  </si>
  <si>
    <t>—</t>
  </si>
  <si>
    <t>Miscellaneous Other Income (Note 4)</t>
  </si>
  <si>
    <t>Gain on Sale of Assets</t>
  </si>
  <si>
    <t>Total Revenue and Other Income</t>
  </si>
  <si>
    <t>Costs and Expenses:</t>
  </si>
  <si>
    <t>Operating and Other Costs</t>
  </si>
  <si>
    <t>Depreciation, Depletion and Amortization</t>
  </si>
  <si>
    <t>Freight Expense</t>
  </si>
  <si>
    <t>Selling, General and Administrative Costs</t>
  </si>
  <si>
    <t>(Gain) Loss on Debt Extinguishment</t>
  </si>
  <si>
    <t>Interest Expense, net</t>
  </si>
  <si>
    <t>Total Costs and Expenses</t>
  </si>
  <si>
    <t>Earnings (Loss) Before Income Tax</t>
  </si>
  <si>
    <t>Income Tax Expense (Note 6)</t>
  </si>
  <si>
    <t>Net Income (Loss)</t>
  </si>
  <si>
    <t>Less: Net (Loss) Income Attributable to Noncontrolling Interest</t>
  </si>
  <si>
    <t>Net Income (Loss) Attributable to CONSOL Energy Inc. Stockholders</t>
  </si>
  <si>
    <t>Earnings (Loss) per Share:</t>
  </si>
  <si>
    <t>Total Basic Earnings (Loss) per Share</t>
  </si>
  <si>
    <t>Total Dilutive Earnings (Loss) per Share</t>
  </si>
  <si>
    <t>CONSOLIDATED BALANCE SHEETS</t>
  </si>
  <si>
    <t>ASSETS</t>
  </si>
  <si>
    <t>Current Assets:</t>
  </si>
  <si>
    <t>Cash and Cash Equivalents</t>
  </si>
  <si>
    <t>Restricted Cash - Current</t>
  </si>
  <si>
    <t>Accounts and Notes Receivable</t>
  </si>
  <si>
    <t>Trade Receivables, net</t>
  </si>
  <si>
    <t>Other Receivables, net</t>
  </si>
  <si>
    <t>Inventories (Note 9)</t>
  </si>
  <si>
    <t>Prepaid Expenses and Other Assets</t>
  </si>
  <si>
    <t>Total Current Assets</t>
  </si>
  <si>
    <t>Property, Plant and Equipment (Note 10):</t>
  </si>
  <si>
    <t>Property, Plant and Equipment</t>
  </si>
  <si>
    <t>Less—Accumulated Depreciation, Depletion and Amortization</t>
  </si>
  <si>
    <t>Total Property, Plant and Equipment—Net</t>
  </si>
  <si>
    <t>Other Assets:</t>
  </si>
  <si>
    <t>Deferred Income Taxes (Note 6)</t>
  </si>
  <si>
    <t>Right of Use Asset - Operating Leases (Note 14)</t>
  </si>
  <si>
    <t>Restricted Cash - Non-current</t>
  </si>
  <si>
    <t>Salary Retirement (Note 15)</t>
  </si>
  <si>
    <t>Other, net</t>
  </si>
  <si>
    <t>Total Other Assets</t>
  </si>
  <si>
    <t>TOTAL ASSETS</t>
  </si>
  <si>
    <t>LIABILITIES AND EQUITY</t>
  </si>
  <si>
    <t>Current Liabilities:</t>
  </si>
  <si>
    <t>Accounts Payable</t>
  </si>
  <si>
    <t>Current Portion of Long-Term Debt (Note 13)</t>
  </si>
  <si>
    <t>Operating Lease Liability (Note 14)</t>
  </si>
  <si>
    <t>Other Accrued Liabilities (Note 12)</t>
  </si>
  <si>
    <t>Total Current Liabilities</t>
  </si>
  <si>
    <t>Long-Term Debt:</t>
  </si>
  <si>
    <t>Long-Term Debt (Note 13)</t>
  </si>
  <si>
    <t>Finance Lease Obligations (Note 14)</t>
  </si>
  <si>
    <t>Total Long-Term Debt</t>
  </si>
  <si>
    <t>Deferred Credits and Other Liabilities:</t>
  </si>
  <si>
    <t>Postretirement Benefits Other Than Pensions (Note 15)</t>
  </si>
  <si>
    <t>Pneumoconiosis Benefits (Note 16)</t>
  </si>
  <si>
    <t>Asset Retirement Obligations (Note 8)</t>
  </si>
  <si>
    <t>Workers’ Compensation (Note 16)</t>
  </si>
  <si>
    <t>Other</t>
  </si>
  <si>
    <t>Total Deferred Credits and Other Liabilities</t>
  </si>
  <si>
    <t>TOTAL LIABILITIES</t>
  </si>
  <si>
    <t>Stockholders’ Equity:</t>
  </si>
  <si>
    <t>Common Stock,  $0.01  Par Value;  62,500,000  Shares Authorized,  34,480,181  Shares Issued and Outstanding at December 31, 2021;  34,031,374  Shares Issued and Outstanding at December 31, 2020</t>
  </si>
  <si>
    <t>Capital in Excess of Par Value</t>
  </si>
  <si>
    <t>Retained Earnings</t>
  </si>
  <si>
    <t>Accumulated Other Comprehensive Loss</t>
  </si>
  <si>
    <t>TOTAL EQUITY</t>
  </si>
  <si>
    <t>TOTAL LIABILITIES AND EQUITY</t>
  </si>
  <si>
    <t>CONSOLIDATED STATEMENTS OF CASH FLOWS</t>
  </si>
  <si>
    <t>Cash Flows from Operating Activities:</t>
  </si>
  <si>
    <t>Adjustments to Reconcile Net Income (Loss) to Net Cash Provided by Operating Activities:</t>
  </si>
  <si>
    <t>Stock/Unit-Based Compensation</t>
  </si>
  <si>
    <t>Amortization of Debt Issuance Costs</t>
  </si>
  <si>
    <t>Loss on Commodity Derivative Instruments</t>
  </si>
  <si>
    <t>Deferred Income Taxes</t>
  </si>
  <si>
    <t>Equity in Earnings of Affiliates</t>
  </si>
  <si>
    <t>Changes in Operating Assets:</t>
  </si>
  <si>
    <t>Trade and Other Receivables</t>
  </si>
  <si>
    <t>Inventories</t>
  </si>
  <si>
    <t>Changes in Other Assets</t>
  </si>
  <si>
    <t>Changes in Operating Liabilities:</t>
  </si>
  <si>
    <t>Other Operating Liabilities</t>
  </si>
  <si>
    <t>Changes in Other Liabilities</t>
  </si>
  <si>
    <t>Net Cash Provided by Operating Activities</t>
  </si>
  <si>
    <t>Cash Flows from Investing Activities:</t>
  </si>
  <si>
    <t>Capital Expenditures</t>
  </si>
  <si>
    <t>Proceeds from Sales of Assets</t>
  </si>
  <si>
    <t>Other Investing Activity</t>
  </si>
  <si>
    <t>Net Cash Used in Investing Activities</t>
  </si>
  <si>
    <t>Cash Flows from Financing Activities:</t>
  </si>
  <si>
    <t>Proceeds from Finance Lease Obligations</t>
  </si>
  <si>
    <t>Payments on Finance Lease Obligations</t>
  </si>
  <si>
    <t>Proceeds from Term Loan A</t>
  </si>
  <si>
    <t>Payments on Term Loan A</t>
  </si>
  <si>
    <t>Payments on Term Loan B</t>
  </si>
  <si>
    <t>Payments on Second Lien Notes</t>
  </si>
  <si>
    <t>Proceeds from Long-Term Debt</t>
  </si>
  <si>
    <t>Proceeds from Asset-Backed Financing</t>
  </si>
  <si>
    <t>Payments on Asset-Backed Financing</t>
  </si>
  <si>
    <t>Distributions to Noncontrolling Interest</t>
  </si>
  <si>
    <t>Shares/Units Withheld for Taxes</t>
  </si>
  <si>
    <t>Repurchases of Common Stock</t>
  </si>
  <si>
    <t>Purchases of CCR Units</t>
  </si>
  <si>
    <t>Debt Issuance and Financing Fees</t>
  </si>
  <si>
    <t>Net Cash Used in Financing Activities</t>
  </si>
  <si>
    <t>Net Increase (Decrease) in Cash and Cash Equivalents and Restricted Cash</t>
  </si>
  <si>
    <t>Cash and Cash Equivalents and Restricted Cash at Beginning of Period</t>
  </si>
  <si>
    <t>Cash and Cash Equivalents and Restricted Cash at End of Period</t>
  </si>
  <si>
    <t>SUPPLEMENTAL CASH FLOW INFORMATION:</t>
  </si>
  <si>
    <t>Cash Paid For:</t>
  </si>
  <si>
    <t>Interest (net of amounts capitalized)</t>
  </si>
  <si>
    <t>Income taxes (net of refunds received)</t>
  </si>
  <si>
    <t>Table 19.4: Projected PAMC Capital Expenditures</t>
  </si>
  <si>
    <t>Period</t>
  </si>
  <si>
    <t>$ (millions)</t>
  </si>
  <si>
    <t>2022–2026</t>
  </si>
  <si>
    <t>2027–2031</t>
  </si>
  <si>
    <t>2032–2041</t>
  </si>
  <si>
    <t>2042–2051</t>
  </si>
  <si>
    <t>2052–2061</t>
  </si>
  <si>
    <t>2062–2071</t>
  </si>
  <si>
    <t>2071–2078</t>
  </si>
  <si>
    <t>Total</t>
  </si>
  <si>
    <t>12 Months Ended</t>
  </si>
  <si>
    <t>Income Statement</t>
  </si>
  <si>
    <t>Revenue</t>
  </si>
  <si>
    <t>%Growth</t>
  </si>
  <si>
    <t>EBIT</t>
  </si>
  <si>
    <t>% of Sales</t>
  </si>
  <si>
    <t>Taxes</t>
  </si>
  <si>
    <t>% of EBIT</t>
  </si>
  <si>
    <t>Cash Flow</t>
  </si>
  <si>
    <t>D&amp;A</t>
  </si>
  <si>
    <t>% of CapEx</t>
  </si>
  <si>
    <t>CapEx</t>
  </si>
  <si>
    <t>%of sales</t>
  </si>
  <si>
    <t>Change in NWC</t>
  </si>
  <si>
    <t>%change in sales</t>
  </si>
  <si>
    <t>DCF</t>
  </si>
  <si>
    <t>%of EBIT</t>
  </si>
  <si>
    <t>EBIAT</t>
  </si>
  <si>
    <t>pessimistic</t>
  </si>
  <si>
    <t>base</t>
  </si>
  <si>
    <t>optimistic</t>
  </si>
  <si>
    <t>Consol DCF</t>
  </si>
  <si>
    <t>Ticker</t>
  </si>
  <si>
    <t>Date</t>
  </si>
  <si>
    <t>CEIX</t>
  </si>
  <si>
    <t xml:space="preserve">Assumptions </t>
  </si>
  <si>
    <t>Switches</t>
  </si>
  <si>
    <t>WACC</t>
  </si>
  <si>
    <t>TGR</t>
  </si>
  <si>
    <t>Base</t>
  </si>
  <si>
    <t>Optimistic</t>
  </si>
  <si>
    <t>Pessimistic</t>
  </si>
  <si>
    <t>Revenue 2025</t>
  </si>
  <si>
    <t>Revenue 2023</t>
  </si>
  <si>
    <t>Present Valu of FCF</t>
  </si>
  <si>
    <t>UFCF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</si>
  <si>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</si>
  <si>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</si>
  <si>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</si>
  <si>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</si>
  <si>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</si>
  <si>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</si>
  <si>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</si>
  <si>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</si>
  <si>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</si>
  <si>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</si>
  <si>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 xml:space="preserve"> Total</t>
  </si>
  <si>
    <t>Unchanged Discount Period</t>
  </si>
  <si>
    <t>Terminal Value</t>
  </si>
  <si>
    <t>Present Value of TV</t>
  </si>
  <si>
    <t>EV</t>
  </si>
  <si>
    <t>(+) cash</t>
  </si>
  <si>
    <t>(-) debt</t>
  </si>
  <si>
    <t>Equity Value</t>
  </si>
  <si>
    <t>Shares</t>
  </si>
  <si>
    <t>Implied Share Price</t>
  </si>
  <si>
    <t>Discount Period (Mid-year convention)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</si>
</sst>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\$* #,##0_);_(\$* \(#,##0\);_(\$* &quot;-&quot;_);_(@_)"/>
    <numFmt numFmtId="165" formatCode="\(#,##0_);[Red]\(#,##0\)"/>
    <numFmt numFmtId="166" formatCode="_(&quot;$ &quot;#,##0_);_(&quot;$ &quot;\(#,##0\)"/>
    <numFmt numFmtId="167" formatCode="_(&quot;$ &quot;#,##0.00_);_(&quot;$ &quot;\(#,##0.00\)"/>
    <numFmt numFmtId="168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3" fontId="0" fillId="0" borderId="0" xfId="0" applyNumberFormat="1"/>
    <xf numFmtId="165" fontId="0" fillId="0" borderId="0" xfId="0" applyNumberFormat="1"/>
    <xf numFmtId="166" fontId="5" fillId="0" borderId="0" xfId="0" applyNumberFormat="1" applyFont="1" applyAlignment="1">
      <alignment horizontal="right" vertical="top"/>
    </xf>
    <xf numFmtId="37" fontId="5" fillId="0" borderId="0" xfId="0" applyNumberFormat="1" applyFont="1" applyAlignment="1">
      <alignment horizontal="right" vertical="top"/>
    </xf>
    <xf numFmtId="167" fontId="5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2" borderId="0" xfId="0" applyFont="1" applyFill="1"/>
    <xf numFmtId="0" fontId="7" fillId="2" borderId="0" xfId="0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right" vertical="top"/>
    </xf>
    <xf numFmtId="37" fontId="6" fillId="0" borderId="0" xfId="0" applyNumberFormat="1" applyFont="1" applyAlignment="1">
      <alignment horizontal="right" vertical="top"/>
    </xf>
    <xf numFmtId="3" fontId="2" fillId="2" borderId="0" xfId="0" applyNumberFormat="1" applyFont="1" applyFill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9" fontId="0" fillId="0" borderId="0" xfId="1" applyFont="1"/>
    <xf numFmtId="166" fontId="9" fillId="0" borderId="0" xfId="0" applyNumberFormat="1" applyFont="1" applyAlignment="1">
      <alignment horizontal="right" vertical="top"/>
    </xf>
    <xf numFmtId="37" fontId="9" fillId="0" borderId="0" xfId="0" applyNumberFormat="1" applyFont="1" applyAlignment="1">
      <alignment horizontal="right" vertical="top"/>
    </xf>
    <xf numFmtId="3" fontId="10" fillId="0" borderId="0" xfId="0" applyNumberFormat="1" applyFont="1"/>
    <xf numFmtId="0" fontId="10" fillId="0" borderId="0" xfId="0" applyFont="1"/>
    <xf numFmtId="37" fontId="11" fillId="0" borderId="0" xfId="0" applyNumberFormat="1" applyFont="1" applyAlignment="1">
      <alignment horizontal="right" vertical="top"/>
    </xf>
    <xf numFmtId="3" fontId="12" fillId="0" borderId="0" xfId="0" applyNumberFormat="1" applyFont="1"/>
    <xf numFmtId="37" fontId="0" fillId="0" borderId="0" xfId="0" applyNumberFormat="1"/>
    <xf numFmtId="9" fontId="0" fillId="4" borderId="0" xfId="0" applyNumberFormat="1" applyFill="1"/>
    <xf numFmtId="0" fontId="14" fillId="0" borderId="1" xfId="0" applyFont="1" applyBorder="1"/>
    <xf numFmtId="0" fontId="0" fillId="0" borderId="1" xfId="0" applyBorder="1"/>
    <xf numFmtId="0" fontId="0" fillId="4" borderId="0" xfId="0" applyFill="1"/>
    <xf numFmtId="14" fontId="0" fillId="4" borderId="0" xfId="0" applyNumberFormat="1" applyFill="1"/>
    <xf numFmtId="0" fontId="0" fillId="2" borderId="0" xfId="0" applyFill="1"/>
    <xf numFmtId="0" fontId="3" fillId="2" borderId="0" xfId="0" applyFont="1" applyFill="1"/>
    <xf numFmtId="0" fontId="15" fillId="0" borderId="0" xfId="0" applyFont="1"/>
    <xf numFmtId="9" fontId="0" fillId="0" borderId="0" xfId="0" applyNumberFormat="1"/>
    <xf numFmtId="0" fontId="0" fillId="5" borderId="0" xfId="0" applyFill="1"/>
    <xf numFmtId="0" fontId="2" fillId="5" borderId="0" xfId="0" applyFont="1" applyFill="1"/>
    <xf numFmtId="10" fontId="0" fillId="0" borderId="0" xfId="0" applyNumberFormat="1"/>
    <xf numFmtId="10" fontId="0" fillId="4" borderId="0" xfId="0" applyNumberFormat="1" applyFill="1"/>
    <xf numFmtId="9" fontId="0" fillId="4" borderId="0" xfId="1" applyFont="1" applyFill="1"/>
    <xf numFmtId="2" fontId="0" fillId="0" borderId="0" xfId="1" applyNumberFormat="1" applyFont="1"/>
    <xf numFmtId="168" fontId="0" fillId="4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AA96-6263-4C77-9EB3-B40705905DBB}">
  <dimension ref="A1:P96"/>
  <sheetViews>
    <sheetView tabSelected="1" workbookViewId="0">
      <selection activeCell="D8" sqref="D8"/>
    </sheetView>
  </sheetViews>
  <sheetFormatPr defaultRowHeight="14.4"/>
  <cols>
    <col min="3" max="3" width="10.33203125" bestFit="1" customWidth="1"/>
    <col min="5" max="8" width="11.44140625" bestFit="1" customWidth="1"/>
    <col min="9" max="9" width="10" bestFit="1" customWidth="1"/>
    <col min="10" max="10" width="12.44140625" bestFit="1" customWidth="1"/>
    <col min="11" max="14" width="11.44140625" bestFit="1" customWidth="1"/>
  </cols>
  <sheetData>
    <row r="1" spans="1:16" s="27" customFormat="1" ht="23.4">
      <c r="B1" s="26" t="s">
        <v>154</v>
      </c>
    </row>
    <row r="2" spans="1:16">
      <c r="B2" t="s">
        <v>155</v>
      </c>
      <c r="C2" s="28" t="s">
        <v>157</v>
      </c>
    </row>
    <row r="3" spans="1:16">
      <c r="B3" t="s">
        <v>156</v>
      </c>
      <c r="C3" s="29">
        <v>44801</v>
      </c>
    </row>
    <row r="5" spans="1:16" s="30" customFormat="1">
      <c r="A5"/>
      <c r="B5" s="31" t="s">
        <v>158</v>
      </c>
    </row>
    <row r="6" spans="1:16">
      <c r="B6" s="32" t="s">
        <v>159</v>
      </c>
      <c r="F6" s="32" t="s">
        <v>164</v>
      </c>
      <c r="J6" s="32" t="s">
        <v>162</v>
      </c>
      <c r="N6" s="32" t="s">
        <v>163</v>
      </c>
    </row>
    <row r="7" spans="1:16">
      <c r="B7" t="s">
        <v>135</v>
      </c>
      <c r="D7" s="28">
        <v>0</v>
      </c>
      <c r="F7" t="s">
        <v>166</v>
      </c>
      <c r="H7" s="25">
        <v>0.9</v>
      </c>
      <c r="N7" t="s">
        <v>166</v>
      </c>
      <c r="P7" s="25">
        <v>1.1000000000000001</v>
      </c>
    </row>
    <row r="8" spans="1:16">
      <c r="B8" t="s">
        <v>137</v>
      </c>
      <c r="D8" s="28">
        <v>1</v>
      </c>
      <c r="F8" t="s">
        <v>165</v>
      </c>
      <c r="H8" s="25">
        <v>0.02</v>
      </c>
      <c r="J8" t="s">
        <v>165</v>
      </c>
      <c r="L8" s="25">
        <v>0.05</v>
      </c>
      <c r="N8" t="s">
        <v>165</v>
      </c>
      <c r="P8" s="25">
        <v>0.08</v>
      </c>
    </row>
    <row r="9" spans="1:16">
      <c r="B9" t="s">
        <v>160</v>
      </c>
      <c r="D9" s="28">
        <v>3</v>
      </c>
      <c r="F9" t="s">
        <v>160</v>
      </c>
      <c r="H9" s="25">
        <v>0.14000000000000001</v>
      </c>
      <c r="J9" t="s">
        <v>160</v>
      </c>
      <c r="L9" s="37">
        <v>0.13009999999999999</v>
      </c>
      <c r="N9" t="s">
        <v>160</v>
      </c>
      <c r="P9" s="25">
        <v>0.1</v>
      </c>
    </row>
    <row r="10" spans="1:16">
      <c r="B10" t="s">
        <v>161</v>
      </c>
      <c r="D10" s="28">
        <v>2</v>
      </c>
      <c r="F10" t="s">
        <v>161</v>
      </c>
      <c r="H10" s="25">
        <v>0.02</v>
      </c>
      <c r="J10" t="s">
        <v>161</v>
      </c>
      <c r="L10" s="37">
        <v>2.5000000000000001E-2</v>
      </c>
      <c r="N10" t="s">
        <v>161</v>
      </c>
      <c r="P10" s="25">
        <v>0.03</v>
      </c>
    </row>
    <row r="12" spans="1:16">
      <c r="B12" t="s">
        <v>160</v>
      </c>
      <c r="D12" s="38">
        <f>CHOOSE(D9,H9,L9,P9)</f>
        <v>0.1</v>
      </c>
    </row>
    <row r="13" spans="1:16">
      <c r="B13" t="s">
        <v>161</v>
      </c>
      <c r="D13" s="40">
        <f>CHOOSE(D10,H10,L10,P10)</f>
        <v>2.5000000000000001E-2</v>
      </c>
    </row>
    <row r="15" spans="1:16" ht="13.2" customHeight="1"/>
    <row r="16" spans="1:16">
      <c r="B16" s="15" t="s">
        <v>134</v>
      </c>
      <c r="C16" s="15"/>
      <c r="D16" s="15"/>
      <c r="E16" s="15">
        <v>2016</v>
      </c>
      <c r="F16" s="15">
        <f t="shared" ref="F16:N16" si="0">E16+1</f>
        <v>2017</v>
      </c>
      <c r="G16" s="15">
        <f t="shared" si="0"/>
        <v>2018</v>
      </c>
      <c r="H16" s="15">
        <f t="shared" si="0"/>
        <v>2019</v>
      </c>
      <c r="I16" s="15">
        <f t="shared" si="0"/>
        <v>2020</v>
      </c>
      <c r="J16" s="15">
        <f t="shared" si="0"/>
        <v>2021</v>
      </c>
      <c r="K16" s="15">
        <f t="shared" si="0"/>
        <v>2022</v>
      </c>
      <c r="L16" s="15">
        <f t="shared" si="0"/>
        <v>2023</v>
      </c>
      <c r="M16" s="15">
        <f t="shared" si="0"/>
        <v>2024</v>
      </c>
      <c r="N16" s="15">
        <f t="shared" si="0"/>
        <v>2025</v>
      </c>
    </row>
    <row r="17" spans="2:14">
      <c r="B17" t="s">
        <v>135</v>
      </c>
      <c r="E17" s="18">
        <v>1143514</v>
      </c>
      <c r="F17" s="18">
        <v>1321412</v>
      </c>
      <c r="G17" s="18">
        <v>1472790</v>
      </c>
      <c r="H17" s="18">
        <v>1288529</v>
      </c>
      <c r="I17" s="18">
        <v>772662</v>
      </c>
      <c r="J17" s="18">
        <v>1092022</v>
      </c>
      <c r="K17" s="18">
        <f>J17*H7</f>
        <v>982819.8</v>
      </c>
      <c r="L17" s="18">
        <v>968000</v>
      </c>
      <c r="M17" s="18">
        <v>1001250</v>
      </c>
      <c r="N17" s="18">
        <v>1035000</v>
      </c>
    </row>
    <row r="18" spans="2:14">
      <c r="B18" t="s">
        <v>136</v>
      </c>
      <c r="F18" s="17">
        <f t="shared" ref="F18:N18" si="1">F17/E17-1</f>
        <v>0.15557133537499324</v>
      </c>
      <c r="G18" s="17">
        <f t="shared" si="1"/>
        <v>0.11455776094056969</v>
      </c>
      <c r="H18" s="17">
        <f t="shared" si="1"/>
        <v>-0.12511016506087091</v>
      </c>
      <c r="I18" s="17">
        <f t="shared" si="1"/>
        <v>-0.40035342627135284</v>
      </c>
      <c r="J18" s="17">
        <f t="shared" si="1"/>
        <v>0.41332432551361387</v>
      </c>
      <c r="K18" s="17">
        <f t="shared" si="1"/>
        <v>-9.9999999999999978E-2</v>
      </c>
      <c r="L18" s="17">
        <f t="shared" si="1"/>
        <v>-1.5078857792649281E-2</v>
      </c>
      <c r="M18" s="17">
        <f t="shared" si="1"/>
        <v>3.4349173553718915E-2</v>
      </c>
      <c r="N18" s="17">
        <f t="shared" si="1"/>
        <v>3.3707865168539408E-2</v>
      </c>
    </row>
    <row r="20" spans="2:14">
      <c r="B20" t="s">
        <v>137</v>
      </c>
      <c r="E20" s="19">
        <v>65015</v>
      </c>
      <c r="F20" s="19">
        <v>169797</v>
      </c>
      <c r="G20" s="19">
        <v>271461</v>
      </c>
      <c r="H20" s="20">
        <v>164561</v>
      </c>
      <c r="I20" s="20">
        <v>51944</v>
      </c>
      <c r="J20" s="20">
        <v>98749</v>
      </c>
      <c r="K20" s="20">
        <v>103000</v>
      </c>
      <c r="L20" s="20">
        <v>181000</v>
      </c>
      <c r="M20" s="20">
        <v>109000</v>
      </c>
      <c r="N20" s="20">
        <v>165000</v>
      </c>
    </row>
    <row r="21" spans="2:14">
      <c r="B21" t="s">
        <v>138</v>
      </c>
      <c r="E21" s="17">
        <f>E20/E17</f>
        <v>5.6855447331646138E-2</v>
      </c>
      <c r="F21" s="17">
        <f t="shared" ref="F21:N21" si="2">F20/F17</f>
        <v>0.12849663844433076</v>
      </c>
      <c r="G21" s="17">
        <f t="shared" si="2"/>
        <v>0.18431751980934144</v>
      </c>
      <c r="H21" s="17">
        <f t="shared" si="2"/>
        <v>0.12771229828742697</v>
      </c>
      <c r="I21" s="17">
        <f t="shared" si="2"/>
        <v>6.7227325790578552E-2</v>
      </c>
      <c r="J21" s="17">
        <f t="shared" si="2"/>
        <v>9.0427665376704866E-2</v>
      </c>
      <c r="K21" s="17">
        <f t="shared" si="2"/>
        <v>0.1048004934373524</v>
      </c>
      <c r="L21" s="17">
        <f t="shared" si="2"/>
        <v>0.18698347107438015</v>
      </c>
      <c r="M21" s="17">
        <f t="shared" si="2"/>
        <v>0.10886392009987515</v>
      </c>
      <c r="N21" s="17">
        <f t="shared" si="2"/>
        <v>0.15942028985507245</v>
      </c>
    </row>
    <row r="23" spans="2:14">
      <c r="B23" t="s">
        <v>139</v>
      </c>
      <c r="E23" s="19">
        <v>14565</v>
      </c>
      <c r="F23" s="19">
        <v>87228</v>
      </c>
      <c r="G23" s="19">
        <v>8828</v>
      </c>
      <c r="H23" s="20">
        <v>4539</v>
      </c>
      <c r="I23" s="20">
        <v>3972</v>
      </c>
      <c r="J23" s="20">
        <v>1297</v>
      </c>
      <c r="K23" s="21">
        <f>K24*K20</f>
        <v>6180</v>
      </c>
      <c r="L23" s="21">
        <f>L24*L20</f>
        <v>9050</v>
      </c>
      <c r="M23" s="21">
        <f>M24*M20</f>
        <v>5450</v>
      </c>
      <c r="N23" s="21">
        <f>N24*N20</f>
        <v>6600</v>
      </c>
    </row>
    <row r="24" spans="2:14">
      <c r="B24" t="s">
        <v>140</v>
      </c>
      <c r="E24" s="17">
        <f t="shared" ref="E24:J24" si="3">E23/E20</f>
        <v>0.22402522494808891</v>
      </c>
      <c r="F24" s="17">
        <f t="shared" si="3"/>
        <v>0.51371932366296225</v>
      </c>
      <c r="G24" s="17">
        <f t="shared" si="3"/>
        <v>3.2520325203252036E-2</v>
      </c>
      <c r="H24" s="17">
        <f t="shared" si="3"/>
        <v>2.7582477014602487E-2</v>
      </c>
      <c r="I24" s="17">
        <f t="shared" si="3"/>
        <v>7.6466964423225009E-2</v>
      </c>
      <c r="J24" s="17">
        <f t="shared" si="3"/>
        <v>1.3134310220862996E-2</v>
      </c>
      <c r="K24" s="17">
        <v>0.06</v>
      </c>
      <c r="L24" s="17">
        <v>0.05</v>
      </c>
      <c r="M24" s="17">
        <v>0.05</v>
      </c>
      <c r="N24" s="17">
        <v>0.04</v>
      </c>
    </row>
    <row r="26" spans="2:14">
      <c r="B26" s="15" t="s">
        <v>141</v>
      </c>
      <c r="C26" s="16"/>
      <c r="D26" s="16"/>
      <c r="E26" s="15">
        <v>2016</v>
      </c>
      <c r="F26" s="15">
        <f t="shared" ref="F26:N26" si="4">E26+1</f>
        <v>2017</v>
      </c>
      <c r="G26" s="15">
        <f t="shared" si="4"/>
        <v>2018</v>
      </c>
      <c r="H26" s="15">
        <f t="shared" si="4"/>
        <v>2019</v>
      </c>
      <c r="I26" s="15">
        <f t="shared" si="4"/>
        <v>2020</v>
      </c>
      <c r="J26" s="15">
        <f t="shared" si="4"/>
        <v>2021</v>
      </c>
      <c r="K26" s="15">
        <f t="shared" si="4"/>
        <v>2022</v>
      </c>
      <c r="L26" s="15">
        <f t="shared" si="4"/>
        <v>2023</v>
      </c>
      <c r="M26" s="15">
        <f t="shared" si="4"/>
        <v>2024</v>
      </c>
      <c r="N26" s="15">
        <f t="shared" si="4"/>
        <v>2025</v>
      </c>
    </row>
    <row r="27" spans="2:14">
      <c r="B27" t="s">
        <v>142</v>
      </c>
      <c r="E27" s="22">
        <v>178122</v>
      </c>
      <c r="F27" s="22">
        <v>172002</v>
      </c>
      <c r="G27" s="22">
        <v>201264</v>
      </c>
      <c r="H27" s="23">
        <v>207097</v>
      </c>
      <c r="I27" s="23">
        <v>210760</v>
      </c>
      <c r="J27" s="23">
        <v>224583</v>
      </c>
      <c r="K27" s="23">
        <v>229000</v>
      </c>
      <c r="L27" s="23">
        <v>237000</v>
      </c>
      <c r="M27" s="23">
        <v>243000</v>
      </c>
      <c r="N27" s="23">
        <v>250000</v>
      </c>
    </row>
    <row r="28" spans="2:14">
      <c r="B28" t="s">
        <v>138</v>
      </c>
      <c r="E28" s="17">
        <f t="shared" ref="E28:N28" si="5">E27/E17</f>
        <v>0.1557672227887022</v>
      </c>
      <c r="F28" s="17">
        <f t="shared" si="5"/>
        <v>0.13016530801899787</v>
      </c>
      <c r="G28" s="17">
        <f t="shared" si="5"/>
        <v>0.13665492025339662</v>
      </c>
      <c r="H28" s="17">
        <f t="shared" si="5"/>
        <v>0.16072358480096297</v>
      </c>
      <c r="I28" s="17">
        <f t="shared" si="5"/>
        <v>0.27277127644429261</v>
      </c>
      <c r="J28" s="17">
        <f t="shared" si="5"/>
        <v>0.20565794462016332</v>
      </c>
      <c r="K28" s="17">
        <f t="shared" si="5"/>
        <v>0.23300303880731746</v>
      </c>
      <c r="L28" s="17">
        <f t="shared" si="5"/>
        <v>0.24483471074380164</v>
      </c>
      <c r="M28" s="17">
        <f t="shared" si="5"/>
        <v>0.24269662921348314</v>
      </c>
      <c r="N28" s="17">
        <f t="shared" si="5"/>
        <v>0.24154589371980675</v>
      </c>
    </row>
    <row r="29" spans="2:14">
      <c r="B29" t="s">
        <v>143</v>
      </c>
      <c r="E29" s="17">
        <f t="shared" ref="E29:N29" si="6">E27/E31</f>
        <v>3.3231716417910446</v>
      </c>
      <c r="F29" s="17">
        <f t="shared" si="6"/>
        <v>2.1127092724749117</v>
      </c>
      <c r="G29" s="17">
        <f t="shared" si="6"/>
        <v>1.3808945515921207</v>
      </c>
      <c r="H29" s="17">
        <f t="shared" si="6"/>
        <v>1.2200908453566948</v>
      </c>
      <c r="I29" s="17">
        <f t="shared" si="6"/>
        <v>2.4505836937816845</v>
      </c>
      <c r="J29" s="17">
        <f t="shared" si="6"/>
        <v>1.6917485235627334</v>
      </c>
      <c r="K29" s="17">
        <f t="shared" si="6"/>
        <v>2.2019230769230771</v>
      </c>
      <c r="L29" s="17">
        <f t="shared" si="6"/>
        <v>2.2788461538461537</v>
      </c>
      <c r="M29" s="17">
        <f t="shared" si="6"/>
        <v>2.3365384615384617</v>
      </c>
      <c r="N29" s="17">
        <f t="shared" si="6"/>
        <v>2.3364485981308412</v>
      </c>
    </row>
    <row r="31" spans="2:14">
      <c r="B31" t="s">
        <v>144</v>
      </c>
      <c r="E31" s="12">
        <v>53600</v>
      </c>
      <c r="F31" s="12">
        <v>81413</v>
      </c>
      <c r="G31" s="12">
        <v>145749</v>
      </c>
      <c r="H31" s="2">
        <v>169739</v>
      </c>
      <c r="I31" s="2">
        <v>86004</v>
      </c>
      <c r="J31" s="2">
        <v>132752</v>
      </c>
      <c r="K31" s="2">
        <v>104000</v>
      </c>
      <c r="L31" s="2">
        <v>104000</v>
      </c>
      <c r="M31" s="2">
        <v>104000</v>
      </c>
      <c r="N31" s="2">
        <v>107000</v>
      </c>
    </row>
    <row r="32" spans="2:14">
      <c r="B32" t="s">
        <v>145</v>
      </c>
      <c r="E32" s="17">
        <f t="shared" ref="E32:N32" si="7">E31/E17</f>
        <v>4.687305970893229E-2</v>
      </c>
      <c r="F32" s="17">
        <f t="shared" si="7"/>
        <v>6.1610610468196145E-2</v>
      </c>
      <c r="G32" s="17">
        <f t="shared" si="7"/>
        <v>9.8961155358197703E-2</v>
      </c>
      <c r="H32" s="17">
        <f t="shared" si="7"/>
        <v>0.13173083415274317</v>
      </c>
      <c r="I32" s="17">
        <f t="shared" si="7"/>
        <v>0.11130869642871009</v>
      </c>
      <c r="J32" s="17">
        <f t="shared" si="7"/>
        <v>0.1215653164496686</v>
      </c>
      <c r="K32" s="17">
        <f t="shared" si="7"/>
        <v>0.10581797395616165</v>
      </c>
      <c r="L32" s="17">
        <f t="shared" si="7"/>
        <v>0.10743801652892562</v>
      </c>
      <c r="M32" s="17">
        <f t="shared" si="7"/>
        <v>0.10387016229712859</v>
      </c>
      <c r="N32" s="17">
        <f t="shared" si="7"/>
        <v>0.10338164251207729</v>
      </c>
    </row>
    <row r="34" spans="2:14">
      <c r="B34" t="s">
        <v>146</v>
      </c>
      <c r="E34" s="24">
        <f>'Cash Flow'!B20+'Cash Flow'!B24</f>
        <v>-21261</v>
      </c>
      <c r="F34" s="24">
        <f>'Cash Flow'!C20+'Cash Flow'!C24</f>
        <v>-34715</v>
      </c>
      <c r="G34" s="24">
        <f>'Cash Flow'!D20+'Cash Flow'!D24</f>
        <v>-4356</v>
      </c>
      <c r="H34" s="24">
        <f>'Cash Flow'!E20+'Cash Flow'!E24</f>
        <v>-6760</v>
      </c>
      <c r="I34" s="24">
        <f>'Cash Flow'!F20+'Cash Flow'!F24</f>
        <v>-46491</v>
      </c>
      <c r="J34" s="24">
        <f>'Cash Flow'!G20+'Cash Flow'!G24</f>
        <v>-71210</v>
      </c>
    </row>
    <row r="35" spans="2:14">
      <c r="B35" t="s">
        <v>138</v>
      </c>
      <c r="E35" s="17">
        <f t="shared" ref="E35:J35" si="8">E34/E17</f>
        <v>-1.8592688852082265E-2</v>
      </c>
      <c r="F35" s="17">
        <f t="shared" si="8"/>
        <v>-2.6271140265110352E-2</v>
      </c>
      <c r="G35" s="17">
        <f t="shared" si="8"/>
        <v>-2.9576518037194711E-3</v>
      </c>
      <c r="H35" s="17">
        <f t="shared" si="8"/>
        <v>-5.2462924777013165E-3</v>
      </c>
      <c r="I35" s="17">
        <f t="shared" si="8"/>
        <v>-6.0169906116775508E-2</v>
      </c>
      <c r="J35" s="17">
        <f t="shared" si="8"/>
        <v>-6.520930896996581E-2</v>
      </c>
    </row>
    <row r="36" spans="2:14">
      <c r="B36" t="s">
        <v>147</v>
      </c>
      <c r="F36" s="17">
        <f>F34/(F27-E27)</f>
        <v>5.6723856209150325</v>
      </c>
      <c r="G36" s="17">
        <f>G34/(G27-F27)</f>
        <v>-0.14886200533114619</v>
      </c>
      <c r="H36" s="17">
        <f>H34/(H27-G27)</f>
        <v>-1.1589233670495458</v>
      </c>
      <c r="I36" s="17">
        <f>I34/(I27-H27)</f>
        <v>-12.692055692055693</v>
      </c>
      <c r="J36" s="17">
        <f>J34/(J27-I27)</f>
        <v>-5.1515589958764378</v>
      </c>
    </row>
    <row r="38" spans="2:14">
      <c r="B38" s="15" t="s">
        <v>148</v>
      </c>
      <c r="C38" s="16"/>
      <c r="D38" s="16"/>
      <c r="E38" s="15">
        <v>2016</v>
      </c>
      <c r="F38" s="15">
        <f t="shared" ref="F38:N38" si="9">E38+1</f>
        <v>2017</v>
      </c>
      <c r="G38" s="15">
        <f t="shared" si="9"/>
        <v>2018</v>
      </c>
      <c r="H38" s="15">
        <f t="shared" si="9"/>
        <v>2019</v>
      </c>
      <c r="I38" s="15">
        <f t="shared" si="9"/>
        <v>2020</v>
      </c>
      <c r="J38" s="15">
        <f t="shared" si="9"/>
        <v>2021</v>
      </c>
      <c r="K38" s="15">
        <f t="shared" si="9"/>
        <v>2022</v>
      </c>
      <c r="L38" s="15">
        <f t="shared" si="9"/>
        <v>2023</v>
      </c>
      <c r="M38" s="15">
        <f t="shared" si="9"/>
        <v>2024</v>
      </c>
      <c r="N38" s="15">
        <f t="shared" si="9"/>
        <v>2025</v>
      </c>
    </row>
    <row r="39" spans="2:14">
      <c r="B39" t="s">
        <v>135</v>
      </c>
      <c r="E39" s="18">
        <v>1143514</v>
      </c>
      <c r="F39" s="18">
        <v>1321412</v>
      </c>
      <c r="G39" s="18">
        <v>1472790</v>
      </c>
      <c r="H39" s="18">
        <v>1288529</v>
      </c>
      <c r="I39" s="18">
        <v>772662</v>
      </c>
      <c r="J39" s="18">
        <v>1092022</v>
      </c>
      <c r="K39" s="18">
        <f ca="1">J39*(1+K40)</f>
        <v>1146623.1000000001</v>
      </c>
      <c r="L39" s="18">
        <f t="shared" ref="L39:N39" ca="1" si="10">K39*(1+L40)</f>
        <v>1192488.0240000002</v>
      </c>
      <c r="M39" s="18">
        <f t="shared" ca="1" si="10"/>
        <v>1228262.6647200002</v>
      </c>
      <c r="N39" s="18">
        <f t="shared" ca="1" si="10"/>
        <v>1252827.9180144002</v>
      </c>
    </row>
    <row r="40" spans="2:14">
      <c r="B40" t="s">
        <v>136</v>
      </c>
      <c r="F40" s="17">
        <f t="shared" ref="F40" si="11">F39/E39-1</f>
        <v>0.15557133537499324</v>
      </c>
      <c r="G40" s="17">
        <f t="shared" ref="G40" si="12">G39/F39-1</f>
        <v>0.11455776094056969</v>
      </c>
      <c r="H40" s="17">
        <f t="shared" ref="H40" si="13">H39/G39-1</f>
        <v>-0.12511016506087091</v>
      </c>
      <c r="I40" s="17">
        <f t="shared" ref="I40" si="14">I39/H39-1</f>
        <v>-0.40035342627135284</v>
      </c>
      <c r="J40" s="17">
        <f t="shared" ref="J40" si="15">J39/I39-1</f>
        <v>0.41332432551361387</v>
      </c>
      <c r="K40" s="17">
        <f ca="1">OFFSET(K41,D7,0)</f>
        <v>0.05</v>
      </c>
      <c r="L40" s="17">
        <f ca="1">OFFSET(L41,D7,0)</f>
        <v>0.04</v>
      </c>
      <c r="M40" s="17">
        <f ca="1">OFFSET(M41,D7,0)</f>
        <v>0.03</v>
      </c>
      <c r="N40" s="17">
        <f ca="1">OFFSET(N41,D7,0)</f>
        <v>0.02</v>
      </c>
    </row>
    <row r="41" spans="2:14">
      <c r="B41" t="s">
        <v>151</v>
      </c>
      <c r="K41" s="25">
        <v>0.05</v>
      </c>
      <c r="L41" s="25">
        <v>0.04</v>
      </c>
      <c r="M41" s="25">
        <v>0.03</v>
      </c>
      <c r="N41" s="25">
        <v>0.02</v>
      </c>
    </row>
    <row r="42" spans="2:14">
      <c r="B42" t="s">
        <v>152</v>
      </c>
      <c r="K42" s="25">
        <v>0.1</v>
      </c>
      <c r="L42" s="25">
        <v>0.08</v>
      </c>
      <c r="M42" s="25">
        <v>0.06</v>
      </c>
      <c r="N42" s="25">
        <v>0.05</v>
      </c>
    </row>
    <row r="43" spans="2:14">
      <c r="B43" t="s">
        <v>153</v>
      </c>
      <c r="K43" s="25">
        <v>0.12</v>
      </c>
      <c r="L43" s="25">
        <v>0.1</v>
      </c>
      <c r="M43" s="25">
        <v>0.09</v>
      </c>
      <c r="N43" s="25">
        <v>0.08</v>
      </c>
    </row>
    <row r="45" spans="2:14">
      <c r="B45" t="s">
        <v>137</v>
      </c>
      <c r="E45" s="19">
        <v>65015</v>
      </c>
      <c r="F45" s="19">
        <v>169797</v>
      </c>
      <c r="G45" s="19">
        <v>271461</v>
      </c>
      <c r="H45" s="20">
        <v>164561</v>
      </c>
      <c r="I45" s="20">
        <v>51944</v>
      </c>
      <c r="J45" s="20">
        <v>98749</v>
      </c>
      <c r="K45" s="20">
        <f ca="1">K46*K39</f>
        <v>114662.31000000001</v>
      </c>
      <c r="L45" s="20">
        <f t="shared" ref="L45:N45" ca="1" si="16">L46*L39</f>
        <v>143098.56288000001</v>
      </c>
      <c r="M45" s="20">
        <f t="shared" ca="1" si="16"/>
        <v>171956.77306080004</v>
      </c>
      <c r="N45" s="20">
        <f t="shared" ca="1" si="16"/>
        <v>200452.46688230403</v>
      </c>
    </row>
    <row r="46" spans="2:14">
      <c r="B46" t="s">
        <v>138</v>
      </c>
      <c r="E46" s="17">
        <f>E45/E39</f>
        <v>5.6855447331646138E-2</v>
      </c>
      <c r="F46" s="17">
        <f t="shared" ref="F46:J46" si="17">F45/F39</f>
        <v>0.12849663844433076</v>
      </c>
      <c r="G46" s="17">
        <f t="shared" si="17"/>
        <v>0.18431751980934144</v>
      </c>
      <c r="H46" s="17">
        <f t="shared" si="17"/>
        <v>0.12771229828742697</v>
      </c>
      <c r="I46" s="17">
        <f t="shared" si="17"/>
        <v>6.7227325790578552E-2</v>
      </c>
      <c r="J46" s="17">
        <f t="shared" si="17"/>
        <v>9.0427665376704866E-2</v>
      </c>
      <c r="K46" s="17">
        <f ca="1">OFFSET(K47,D8,0)</f>
        <v>0.1</v>
      </c>
      <c r="L46" s="17">
        <f ca="1">OFFSET(L47,D8,0)</f>
        <v>0.12</v>
      </c>
      <c r="M46" s="17">
        <f ca="1">OFFSET(M47,D8,0)</f>
        <v>0.14000000000000001</v>
      </c>
      <c r="N46" s="17">
        <f ca="1">OFFSET(N47,D8,0)</f>
        <v>0.16</v>
      </c>
    </row>
    <row r="47" spans="2:14">
      <c r="B47" t="s">
        <v>151</v>
      </c>
      <c r="K47" s="25">
        <v>0.1</v>
      </c>
      <c r="L47" s="25">
        <v>0.11</v>
      </c>
      <c r="M47" s="25">
        <v>0.11</v>
      </c>
      <c r="N47" s="25">
        <v>0.12</v>
      </c>
    </row>
    <row r="48" spans="2:14">
      <c r="B48" t="s">
        <v>152</v>
      </c>
      <c r="K48" s="25">
        <v>0.1</v>
      </c>
      <c r="L48" s="25">
        <v>0.12</v>
      </c>
      <c r="M48" s="25">
        <v>0.14000000000000001</v>
      </c>
      <c r="N48" s="25">
        <v>0.16</v>
      </c>
    </row>
    <row r="49" spans="2:14">
      <c r="B49" t="s">
        <v>153</v>
      </c>
      <c r="K49" s="25">
        <v>0.1</v>
      </c>
      <c r="L49" s="25">
        <v>0.13</v>
      </c>
      <c r="M49" s="25">
        <v>0.16</v>
      </c>
      <c r="N49" s="25">
        <v>0.19</v>
      </c>
    </row>
    <row r="51" spans="2:14">
      <c r="B51" t="s">
        <v>139</v>
      </c>
      <c r="E51" s="19">
        <v>14565</v>
      </c>
      <c r="F51" s="19">
        <v>87228</v>
      </c>
      <c r="G51" s="19">
        <v>8828</v>
      </c>
      <c r="H51" s="20">
        <v>4539</v>
      </c>
      <c r="I51" s="20">
        <v>3972</v>
      </c>
      <c r="J51" s="20">
        <v>1297</v>
      </c>
      <c r="K51" s="21">
        <v>6180</v>
      </c>
      <c r="L51" s="21">
        <v>9050</v>
      </c>
      <c r="M51" s="21">
        <v>5450</v>
      </c>
      <c r="N51" s="21">
        <v>6600</v>
      </c>
    </row>
    <row r="52" spans="2:14">
      <c r="B52" t="s">
        <v>149</v>
      </c>
      <c r="E52" s="17">
        <f>E51/E45</f>
        <v>0.22402522494808891</v>
      </c>
      <c r="F52" s="17">
        <f t="shared" ref="F52:J52" si="18">F51/F45</f>
        <v>0.51371932366296225</v>
      </c>
      <c r="G52" s="17">
        <f t="shared" si="18"/>
        <v>3.2520325203252036E-2</v>
      </c>
      <c r="H52" s="17">
        <f t="shared" si="18"/>
        <v>2.7582477014602487E-2</v>
      </c>
      <c r="I52" s="17">
        <f t="shared" si="18"/>
        <v>7.6466964423225009E-2</v>
      </c>
      <c r="J52" s="17">
        <f t="shared" si="18"/>
        <v>1.3134310220862996E-2</v>
      </c>
      <c r="K52" s="17">
        <f ca="1">K51/K45</f>
        <v>5.3897396624924085E-2</v>
      </c>
      <c r="L52" s="17">
        <f t="shared" ref="L52" ca="1" si="19">L51/L45</f>
        <v>6.3243122906756058E-2</v>
      </c>
      <c r="M52" s="17">
        <f t="shared" ref="M52" ca="1" si="20">M51/M45</f>
        <v>3.1694011832107377E-2</v>
      </c>
      <c r="N52" s="17">
        <f t="shared" ref="N52" ca="1" si="21">N51/N45</f>
        <v>3.2925511482356562E-2</v>
      </c>
    </row>
    <row r="55" spans="2:14">
      <c r="B55" t="s">
        <v>150</v>
      </c>
      <c r="K55" s="2">
        <f ca="1">K45-K51</f>
        <v>108482.31000000001</v>
      </c>
      <c r="L55" s="2">
        <f t="shared" ref="L55:N55" ca="1" si="22">L45-L51</f>
        <v>134048.56288000001</v>
      </c>
      <c r="M55" s="2">
        <f t="shared" ca="1" si="22"/>
        <v>166506.77306080004</v>
      </c>
      <c r="N55" s="2">
        <f t="shared" ca="1" si="22"/>
        <v>193852.46688230403</v>
      </c>
    </row>
    <row r="57" spans="2:14">
      <c r="B57" t="s">
        <v>142</v>
      </c>
      <c r="E57" s="22">
        <v>178122</v>
      </c>
      <c r="F57" s="22">
        <v>172002</v>
      </c>
      <c r="G57" s="22">
        <v>201264</v>
      </c>
      <c r="H57" s="23">
        <v>207097</v>
      </c>
      <c r="I57" s="23">
        <v>210760</v>
      </c>
      <c r="J57" s="23">
        <v>224583</v>
      </c>
      <c r="K57" s="23">
        <f ca="1">K58*K39</f>
        <v>183459.69600000003</v>
      </c>
      <c r="L57" s="23">
        <f t="shared" ref="L57:N57" ca="1" si="23">L58*L39</f>
        <v>190798.08384000004</v>
      </c>
      <c r="M57" s="23">
        <f t="shared" ca="1" si="23"/>
        <v>196522.02635520004</v>
      </c>
      <c r="N57" s="23">
        <f t="shared" ca="1" si="23"/>
        <v>200452.46688230403</v>
      </c>
    </row>
    <row r="58" spans="2:14">
      <c r="B58" t="s">
        <v>138</v>
      </c>
      <c r="E58" s="17">
        <f>E57/E39</f>
        <v>0.1557672227887022</v>
      </c>
      <c r="F58" s="17">
        <f t="shared" ref="F58:J58" si="24">F57/F39</f>
        <v>0.13016530801899787</v>
      </c>
      <c r="G58" s="17">
        <f t="shared" si="24"/>
        <v>0.13665492025339662</v>
      </c>
      <c r="H58" s="17">
        <f t="shared" si="24"/>
        <v>0.16072358480096297</v>
      </c>
      <c r="I58" s="17">
        <f t="shared" si="24"/>
        <v>0.27277127644429261</v>
      </c>
      <c r="J58" s="17">
        <f t="shared" si="24"/>
        <v>0.20565794462016332</v>
      </c>
      <c r="K58" s="17">
        <v>0.16</v>
      </c>
      <c r="L58" s="17">
        <v>0.16</v>
      </c>
      <c r="M58" s="17">
        <v>0.16</v>
      </c>
      <c r="N58" s="17">
        <v>0.16</v>
      </c>
    </row>
    <row r="60" spans="2:14">
      <c r="B60" t="s">
        <v>144</v>
      </c>
      <c r="E60" s="12">
        <v>53600</v>
      </c>
      <c r="F60" s="12">
        <v>81413</v>
      </c>
      <c r="G60" s="12">
        <v>145749</v>
      </c>
      <c r="H60" s="2">
        <v>169739</v>
      </c>
      <c r="I60" s="2">
        <v>86004</v>
      </c>
      <c r="J60" s="2">
        <v>132752</v>
      </c>
      <c r="K60" s="2">
        <f ca="1">K61*K39</f>
        <v>126128.54100000001</v>
      </c>
      <c r="L60" s="2">
        <f t="shared" ref="L60:N60" ca="1" si="25">L61*L39</f>
        <v>131173.68264000001</v>
      </c>
      <c r="M60" s="2">
        <f t="shared" ca="1" si="25"/>
        <v>135108.89311920002</v>
      </c>
      <c r="N60" s="2">
        <f t="shared" ca="1" si="25"/>
        <v>137811.07098158402</v>
      </c>
    </row>
    <row r="61" spans="2:14">
      <c r="B61" t="s">
        <v>145</v>
      </c>
      <c r="E61" s="17">
        <f>E60/E39</f>
        <v>4.687305970893229E-2</v>
      </c>
      <c r="F61" s="17">
        <f t="shared" ref="F61:J61" si="26">F60/F39</f>
        <v>6.1610610468196145E-2</v>
      </c>
      <c r="G61" s="17">
        <f t="shared" si="26"/>
        <v>9.8961155358197703E-2</v>
      </c>
      <c r="H61" s="17">
        <f t="shared" si="26"/>
        <v>0.13173083415274317</v>
      </c>
      <c r="I61" s="17">
        <f t="shared" si="26"/>
        <v>0.11130869642871009</v>
      </c>
      <c r="J61" s="17">
        <f t="shared" si="26"/>
        <v>0.1215653164496686</v>
      </c>
      <c r="K61" s="17">
        <v>0.11</v>
      </c>
      <c r="L61" s="17">
        <v>0.11</v>
      </c>
      <c r="M61" s="17">
        <v>0.11</v>
      </c>
      <c r="N61" s="17">
        <v>0.11</v>
      </c>
    </row>
    <row r="63" spans="2:14">
      <c r="B63" t="s">
        <v>146</v>
      </c>
      <c r="E63" s="24">
        <v>-21261</v>
      </c>
      <c r="F63" s="24">
        <v>-34715</v>
      </c>
      <c r="G63" s="24">
        <v>-4356</v>
      </c>
      <c r="H63" s="24">
        <v>-6760</v>
      </c>
      <c r="I63" s="24">
        <v>-46491</v>
      </c>
      <c r="J63" s="24">
        <v>-71210</v>
      </c>
      <c r="K63" s="24">
        <f ca="1">K64*K39</f>
        <v>-34101.906520456963</v>
      </c>
      <c r="L63" s="24">
        <f t="shared" ref="L63:N63" ca="1" si="27">L64*L39</f>
        <v>-37681.720113143376</v>
      </c>
      <c r="M63" s="24">
        <f t="shared" ca="1" si="27"/>
        <v>-39902.890211417733</v>
      </c>
      <c r="N63" s="24">
        <f t="shared" ca="1" si="27"/>
        <v>-46866.867893009534</v>
      </c>
    </row>
    <row r="64" spans="2:14">
      <c r="B64" t="s">
        <v>138</v>
      </c>
      <c r="E64" s="17">
        <f>E63/E39</f>
        <v>-1.8592688852082265E-2</v>
      </c>
      <c r="F64" s="17">
        <f t="shared" ref="F64:J64" si="28">F63/F39</f>
        <v>-2.6271140265110352E-2</v>
      </c>
      <c r="G64" s="17">
        <f t="shared" si="28"/>
        <v>-2.9576518037194711E-3</v>
      </c>
      <c r="H64" s="17">
        <f t="shared" si="28"/>
        <v>-5.2462924777013165E-3</v>
      </c>
      <c r="I64" s="17">
        <f t="shared" si="28"/>
        <v>-6.0169906116775508E-2</v>
      </c>
      <c r="J64" s="17">
        <f t="shared" si="28"/>
        <v>-6.520930896996581E-2</v>
      </c>
      <c r="K64" s="33">
        <f>AVERAGE(E64:J64)</f>
        <v>-2.9741164747559123E-2</v>
      </c>
      <c r="L64" s="33">
        <f>AVERAGE(F64:K64)</f>
        <v>-3.1599244063471928E-2</v>
      </c>
      <c r="M64" s="33">
        <f>AVERAGE(G64:L64)</f>
        <v>-3.2487261363198856E-2</v>
      </c>
      <c r="N64" s="33">
        <f>AVERAGE(H64:M64)</f>
        <v>-3.7408862956445417E-2</v>
      </c>
    </row>
    <row r="66" spans="2:14">
      <c r="B66" t="s">
        <v>168</v>
      </c>
      <c r="K66" s="2">
        <f ca="1">K55+K57-K60-K63</f>
        <v>199915.37152045697</v>
      </c>
      <c r="L66" s="2">
        <f t="shared" ref="L66:N66" ca="1" si="29">L55+L57-L60-L63</f>
        <v>231354.68419314345</v>
      </c>
      <c r="M66" s="2">
        <f t="shared" ca="1" si="29"/>
        <v>267822.79650821781</v>
      </c>
      <c r="N66" s="2">
        <f ca="1">N55+N57-N60-N63</f>
        <v>303360.73067603353</v>
      </c>
    </row>
    <row r="67" spans="2:14">
      <c r="B67" t="s">
        <v>167</v>
      </c>
      <c r="K67" s="2">
        <f ca="1">K66/(1+D12)^K70</f>
        <v>196807.62086642551</v>
      </c>
      <c r="L67" s="2">
        <f ca="1">L66/(1+D12)^L70</f>
        <v>213783.11479313817</v>
      </c>
      <c r="M67" s="2">
        <f ca="1">M66/(1+D12)^M70</f>
        <v>224983.13220522157</v>
      </c>
      <c r="N67" s="2">
        <f ca="1">N66/(1+D12)^N70</f>
        <v>231669.62452036649</v>
      </c>
    </row>
    <row r="69" spans="2:14">
      <c r="B69" t="s">
        <v>180</v>
      </c>
      <c r="K69">
        <v>1</v>
      </c>
      <c r="L69">
        <f>K69+1</f>
        <v>2</v>
      </c>
      <c r="M69">
        <f t="shared" ref="M69:N69" si="30">L69+1</f>
        <v>3</v>
      </c>
      <c r="N69">
        <f t="shared" si="30"/>
        <v>4</v>
      </c>
    </row>
    <row r="70" spans="2:14">
      <c r="B70" t="s">
        <v>189</v>
      </c>
      <c r="K70" s="39">
        <f>(120/365)/2</f>
        <v>0.16438356164383561</v>
      </c>
      <c r="L70" s="39">
        <f>K70*2+0.5</f>
        <v>0.82876712328767121</v>
      </c>
      <c r="M70" s="39">
        <f>L70+1</f>
        <v>1.8287671232876712</v>
      </c>
      <c r="N70" s="39">
        <f t="shared" ref="N70" si="31">M70+1</f>
        <v>2.8287671232876712</v>
      </c>
    </row>
    <row r="71" spans="2:14">
      <c r="K71" s="39"/>
      <c r="L71" s="39"/>
      <c r="M71" s="39"/>
      <c r="N71" s="39"/>
    </row>
    <row r="72" spans="2:14">
      <c r="B72" t="s">
        <v>181</v>
      </c>
      <c r="K72" s="39"/>
      <c r="L72" s="39"/>
      <c r="M72" s="39"/>
      <c r="N72" s="2">
        <f ca="1">(N66*(1+D13))/(D12-D13)</f>
        <v>4145929.9859057902</v>
      </c>
    </row>
    <row r="73" spans="2:14">
      <c r="B73" t="s">
        <v>182</v>
      </c>
      <c r="K73" s="39"/>
      <c r="L73" s="39"/>
      <c r="M73" s="39"/>
      <c r="N73" s="2">
        <f ca="1">N72/(1+D12)^N70</f>
        <v>3166151.5351116741</v>
      </c>
    </row>
    <row r="74" spans="2:14">
      <c r="B74" t="s">
        <v>183</v>
      </c>
      <c r="K74" s="39"/>
      <c r="L74" s="39"/>
      <c r="M74" s="39"/>
      <c r="N74" s="2">
        <f ca="1">SUM(K67:N67,N73)</f>
        <v>4033395.0274968259</v>
      </c>
    </row>
    <row r="75" spans="2:14">
      <c r="B75" t="s">
        <v>184</v>
      </c>
      <c r="K75" s="39"/>
      <c r="L75" s="39"/>
      <c r="M75" s="39"/>
      <c r="N75" s="2">
        <v>149913</v>
      </c>
    </row>
    <row r="76" spans="2:14">
      <c r="B76" t="s">
        <v>185</v>
      </c>
      <c r="K76" s="39"/>
      <c r="L76" s="39"/>
      <c r="M76" s="39"/>
      <c r="N76" s="2">
        <v>479226</v>
      </c>
    </row>
    <row r="77" spans="2:14">
      <c r="B77" t="s">
        <v>186</v>
      </c>
      <c r="K77" s="39"/>
      <c r="L77" s="39"/>
      <c r="M77" s="39"/>
      <c r="N77" s="2">
        <f ca="1">N74+N75-N76</f>
        <v>3704082.0274968259</v>
      </c>
    </row>
    <row r="78" spans="2:14">
      <c r="B78" t="s">
        <v>187</v>
      </c>
      <c r="K78" s="39"/>
      <c r="L78" s="39"/>
      <c r="M78" s="39"/>
      <c r="N78" s="2">
        <v>34480</v>
      </c>
    </row>
    <row r="79" spans="2:14">
      <c r="B79" t="s">
        <v>188</v>
      </c>
      <c r="K79" s="39"/>
      <c r="L79" s="39"/>
      <c r="M79" s="39"/>
      <c r="N79" s="39">
        <f ca="1">N77/N78</f>
        <v>107.42697295524437</v>
      </c>
    </row>
    <row r="80" spans="2:14">
      <c r="K80" s="39"/>
      <c r="L80" s="39"/>
      <c r="M80" s="39"/>
      <c r="N80" s="39"/>
    </row>
    <row r="81" spans="2:16">
      <c r="B81" s="35" t="s">
        <v>160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2:16">
      <c r="B82" t="s">
        <v>169</v>
      </c>
      <c r="E82">
        <v>2460000</v>
      </c>
    </row>
    <row r="83" spans="2:16">
      <c r="B83" t="s">
        <v>170</v>
      </c>
      <c r="E83" s="33">
        <f>E82/E94</f>
        <v>0.8369550351010776</v>
      </c>
    </row>
    <row r="84" spans="2:16">
      <c r="B84" t="s">
        <v>171</v>
      </c>
      <c r="E84" s="36">
        <f>(E86*E87)+E85</f>
        <v>0.13577400000000001</v>
      </c>
    </row>
    <row r="85" spans="2:16">
      <c r="B85" t="s">
        <v>172</v>
      </c>
      <c r="E85" s="36">
        <v>3.1099999999999999E-2</v>
      </c>
    </row>
    <row r="86" spans="2:16">
      <c r="B86" t="s">
        <v>173</v>
      </c>
      <c r="E86">
        <v>1.99</v>
      </c>
    </row>
    <row r="87" spans="2:16">
      <c r="B87" t="s">
        <v>174</v>
      </c>
      <c r="E87" s="36">
        <v>5.2600000000000001E-2</v>
      </c>
    </row>
    <row r="89" spans="2:16">
      <c r="B89" t="s">
        <v>175</v>
      </c>
      <c r="E89">
        <v>479226</v>
      </c>
    </row>
    <row r="90" spans="2:16">
      <c r="B90" t="s">
        <v>176</v>
      </c>
      <c r="E90" s="17">
        <f>E89/E94</f>
        <v>0.16304496489892237</v>
      </c>
    </row>
    <row r="91" spans="2:16">
      <c r="B91" t="s">
        <v>177</v>
      </c>
      <c r="E91" s="17">
        <f>63342/594650</f>
        <v>0.10651980156394518</v>
      </c>
    </row>
    <row r="92" spans="2:16">
      <c r="B92" t="s">
        <v>178</v>
      </c>
      <c r="E92" s="17">
        <f ca="1">K51/K45</f>
        <v>5.3897396624924085E-2</v>
      </c>
    </row>
    <row r="94" spans="2:16">
      <c r="B94" t="s">
        <v>179</v>
      </c>
      <c r="E94">
        <f>E82+E89</f>
        <v>2939226</v>
      </c>
    </row>
    <row r="96" spans="2:16">
      <c r="B96" t="s">
        <v>160</v>
      </c>
      <c r="E96" s="36">
        <f ca="1">(E83*E84)+(E90*E91*(1-E92))</f>
        <v>0.13006818627415992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C48F-EC49-48CA-A151-86576A97571A}">
  <dimension ref="A1:G37"/>
  <sheetViews>
    <sheetView topLeftCell="A7" workbookViewId="0">
      <selection activeCell="B22" sqref="B22:G22"/>
    </sheetView>
  </sheetViews>
  <sheetFormatPr defaultRowHeight="14.4"/>
  <cols>
    <col min="1" max="1" width="58.77734375" bestFit="1" customWidth="1"/>
    <col min="2" max="4" width="11.44140625" bestFit="1" customWidth="1"/>
    <col min="5" max="7" width="12" bestFit="1" customWidth="1"/>
  </cols>
  <sheetData>
    <row r="1" spans="1:7" ht="14.4" customHeight="1">
      <c r="A1" s="43" t="s">
        <v>1</v>
      </c>
      <c r="B1" s="43"/>
    </row>
    <row r="3" spans="1:7">
      <c r="B3" s="44"/>
      <c r="C3" s="44"/>
      <c r="D3" s="44"/>
      <c r="E3" s="41" t="s">
        <v>133</v>
      </c>
      <c r="F3" s="42"/>
      <c r="G3" s="42"/>
    </row>
    <row r="4" spans="1:7" ht="14.4" customHeight="1">
      <c r="A4" s="9"/>
      <c r="B4" s="10">
        <v>2016</v>
      </c>
      <c r="C4" s="10">
        <v>2017</v>
      </c>
      <c r="D4" s="10">
        <v>2018</v>
      </c>
      <c r="E4" s="10" t="s">
        <v>4</v>
      </c>
      <c r="F4" s="10" t="s">
        <v>3</v>
      </c>
      <c r="G4" s="10" t="s">
        <v>2</v>
      </c>
    </row>
    <row r="5" spans="1:7">
      <c r="A5" s="1" t="s">
        <v>0</v>
      </c>
    </row>
    <row r="6" spans="1:7">
      <c r="A6" t="s">
        <v>5</v>
      </c>
      <c r="B6" s="4">
        <v>1143514</v>
      </c>
      <c r="C6" s="4">
        <v>1321412</v>
      </c>
      <c r="D6" s="4">
        <v>1472790</v>
      </c>
      <c r="E6" s="4">
        <v>1288529</v>
      </c>
      <c r="F6" s="4">
        <v>772662</v>
      </c>
      <c r="G6" s="4">
        <v>1092022</v>
      </c>
    </row>
    <row r="7" spans="1:7">
      <c r="A7" t="s">
        <v>6</v>
      </c>
      <c r="E7" s="2">
        <v>67363</v>
      </c>
      <c r="F7" s="2">
        <v>66810</v>
      </c>
      <c r="G7" s="2">
        <v>65193</v>
      </c>
    </row>
    <row r="8" spans="1:7">
      <c r="A8" t="s">
        <v>7</v>
      </c>
      <c r="E8" s="2">
        <v>19667</v>
      </c>
      <c r="F8" s="2">
        <v>39990</v>
      </c>
      <c r="G8" s="2">
        <v>103819</v>
      </c>
    </row>
    <row r="9" spans="1:7">
      <c r="A9" t="s">
        <v>8</v>
      </c>
      <c r="E9" t="s">
        <v>9</v>
      </c>
      <c r="F9" t="s">
        <v>9</v>
      </c>
      <c r="G9" s="3">
        <v>-52204</v>
      </c>
    </row>
    <row r="10" spans="1:7">
      <c r="A10" t="s">
        <v>10</v>
      </c>
      <c r="B10" s="5">
        <v>82120</v>
      </c>
      <c r="C10" s="5">
        <v>73279</v>
      </c>
      <c r="D10" s="5">
        <v>58660</v>
      </c>
      <c r="E10" s="2">
        <v>53349</v>
      </c>
      <c r="F10" s="2">
        <v>126886</v>
      </c>
      <c r="G10" s="2">
        <v>38394</v>
      </c>
    </row>
    <row r="11" spans="1:7">
      <c r="A11" t="s">
        <v>11</v>
      </c>
      <c r="B11" s="5">
        <v>5228</v>
      </c>
      <c r="C11" s="5">
        <v>17212</v>
      </c>
      <c r="D11" s="5">
        <v>565</v>
      </c>
      <c r="E11" s="2">
        <v>1995</v>
      </c>
      <c r="F11" s="2">
        <v>15295</v>
      </c>
      <c r="G11" s="2">
        <v>11723</v>
      </c>
    </row>
    <row r="12" spans="1:7">
      <c r="A12" s="1" t="s">
        <v>12</v>
      </c>
      <c r="B12" s="5">
        <v>1230862</v>
      </c>
      <c r="C12" s="5">
        <v>1411903</v>
      </c>
      <c r="D12" s="5">
        <v>1532015</v>
      </c>
      <c r="E12" s="2">
        <v>1430903</v>
      </c>
      <c r="F12" s="2">
        <v>1021643</v>
      </c>
      <c r="G12" s="2">
        <v>1258947</v>
      </c>
    </row>
    <row r="13" spans="1:7">
      <c r="A13" s="1" t="s">
        <v>13</v>
      </c>
    </row>
    <row r="14" spans="1:7">
      <c r="A14" t="s">
        <v>14</v>
      </c>
      <c r="B14" s="5">
        <v>877177</v>
      </c>
      <c r="C14" s="5">
        <v>886709</v>
      </c>
      <c r="D14" s="5">
        <v>946450</v>
      </c>
      <c r="E14" s="2">
        <v>948012</v>
      </c>
      <c r="F14" s="2">
        <v>667595</v>
      </c>
      <c r="G14" s="2">
        <v>743340</v>
      </c>
    </row>
    <row r="15" spans="1:7">
      <c r="A15" t="s">
        <v>15</v>
      </c>
      <c r="B15" s="5">
        <v>178122</v>
      </c>
      <c r="C15" s="5">
        <v>172002</v>
      </c>
      <c r="D15" s="5">
        <v>201264</v>
      </c>
      <c r="E15" s="2">
        <v>207097</v>
      </c>
      <c r="F15" s="2">
        <v>210760</v>
      </c>
      <c r="G15" s="2">
        <v>224583</v>
      </c>
    </row>
    <row r="16" spans="1:7">
      <c r="A16" t="s">
        <v>16</v>
      </c>
      <c r="B16" s="5">
        <v>46468</v>
      </c>
      <c r="C16" s="5">
        <v>73692</v>
      </c>
      <c r="D16" s="5">
        <v>43572</v>
      </c>
      <c r="E16" s="2">
        <v>19667</v>
      </c>
      <c r="F16" s="2">
        <v>39990</v>
      </c>
      <c r="G16" s="2">
        <v>103819</v>
      </c>
    </row>
    <row r="17" spans="1:7">
      <c r="A17" t="s">
        <v>17</v>
      </c>
      <c r="B17" s="5">
        <v>50027</v>
      </c>
      <c r="C17" s="5">
        <v>83605</v>
      </c>
      <c r="D17" s="5">
        <v>65346</v>
      </c>
      <c r="E17" s="2">
        <v>67111</v>
      </c>
      <c r="F17" s="2">
        <v>72706</v>
      </c>
      <c r="G17" s="2">
        <v>89113</v>
      </c>
    </row>
    <row r="18" spans="1:7">
      <c r="A18" t="s">
        <v>18</v>
      </c>
      <c r="B18" s="5">
        <v>0</v>
      </c>
      <c r="C18" s="5">
        <v>0</v>
      </c>
      <c r="D18" s="5">
        <v>3922</v>
      </c>
      <c r="E18" s="2">
        <v>24455</v>
      </c>
      <c r="F18" s="3">
        <v>-21352</v>
      </c>
      <c r="G18" s="3">
        <v>-657</v>
      </c>
    </row>
    <row r="19" spans="1:7">
      <c r="A19" t="s">
        <v>19</v>
      </c>
      <c r="B19" s="5">
        <v>14053</v>
      </c>
      <c r="C19" s="5">
        <v>26098</v>
      </c>
      <c r="D19" s="5">
        <v>83848</v>
      </c>
      <c r="E19" s="2">
        <v>66464</v>
      </c>
      <c r="F19" s="2">
        <v>61186</v>
      </c>
      <c r="G19" s="2">
        <v>63342</v>
      </c>
    </row>
    <row r="20" spans="1:7">
      <c r="A20" s="1" t="s">
        <v>20</v>
      </c>
      <c r="B20" s="5">
        <v>1165847</v>
      </c>
      <c r="C20" s="5">
        <v>1242106</v>
      </c>
      <c r="D20" s="5">
        <v>1344402</v>
      </c>
      <c r="E20" s="2">
        <v>1332806</v>
      </c>
      <c r="F20" s="2">
        <v>1030885</v>
      </c>
      <c r="G20" s="2">
        <v>1223540</v>
      </c>
    </row>
    <row r="21" spans="1:7">
      <c r="A21" s="1" t="s">
        <v>21</v>
      </c>
      <c r="B21" s="5">
        <v>65015</v>
      </c>
      <c r="C21" s="5">
        <v>169797</v>
      </c>
      <c r="D21" s="5">
        <v>187613</v>
      </c>
      <c r="E21" s="2">
        <v>98097</v>
      </c>
      <c r="F21" s="3">
        <v>-9242</v>
      </c>
      <c r="G21" s="2">
        <v>35407</v>
      </c>
    </row>
    <row r="22" spans="1:7">
      <c r="A22" t="s">
        <v>22</v>
      </c>
      <c r="B22" s="5">
        <v>14565</v>
      </c>
      <c r="C22" s="5">
        <v>87228</v>
      </c>
      <c r="D22" s="5">
        <v>8828</v>
      </c>
      <c r="E22" s="2">
        <v>4539</v>
      </c>
      <c r="F22" s="2">
        <v>3972</v>
      </c>
      <c r="G22" s="2">
        <v>1297</v>
      </c>
    </row>
    <row r="23" spans="1:7">
      <c r="A23" s="1" t="s">
        <v>23</v>
      </c>
      <c r="B23" s="5">
        <v>50450</v>
      </c>
      <c r="C23" s="5">
        <v>82569</v>
      </c>
      <c r="D23" s="5">
        <v>178785</v>
      </c>
      <c r="E23" s="2">
        <v>93558</v>
      </c>
      <c r="F23" s="3">
        <v>-13214</v>
      </c>
      <c r="G23" s="2">
        <v>34110</v>
      </c>
    </row>
    <row r="24" spans="1:7">
      <c r="A24" t="s">
        <v>24</v>
      </c>
      <c r="B24" s="5">
        <v>8954</v>
      </c>
      <c r="C24" s="5">
        <v>14940</v>
      </c>
      <c r="D24" s="5">
        <v>25809</v>
      </c>
      <c r="E24" s="2">
        <v>17557</v>
      </c>
      <c r="F24" s="3">
        <v>-3459</v>
      </c>
      <c r="G24" t="s">
        <v>9</v>
      </c>
    </row>
    <row r="25" spans="1:7">
      <c r="A25" s="1" t="s">
        <v>25</v>
      </c>
      <c r="B25" s="4">
        <v>41496</v>
      </c>
      <c r="C25" s="4">
        <v>67629</v>
      </c>
      <c r="D25" s="4">
        <v>152976</v>
      </c>
      <c r="E25" s="4">
        <v>76001</v>
      </c>
      <c r="F25" s="4">
        <v>-9755</v>
      </c>
      <c r="G25" s="4">
        <v>34110</v>
      </c>
    </row>
    <row r="26" spans="1:7">
      <c r="E26" s="4"/>
      <c r="F26" s="4"/>
      <c r="G26" s="4"/>
    </row>
    <row r="27" spans="1:7">
      <c r="A27" s="1" t="s">
        <v>26</v>
      </c>
      <c r="E27" s="4"/>
      <c r="F27" s="4"/>
      <c r="G27" s="4"/>
    </row>
    <row r="28" spans="1:7">
      <c r="A28" s="1" t="s">
        <v>27</v>
      </c>
      <c r="B28" s="6">
        <v>1.48</v>
      </c>
      <c r="C28" s="6">
        <v>2.42</v>
      </c>
      <c r="D28" s="6">
        <v>5.48</v>
      </c>
      <c r="E28" s="4">
        <v>2.82</v>
      </c>
      <c r="F28" s="4">
        <v>-0.37</v>
      </c>
      <c r="G28" s="4">
        <v>0.99</v>
      </c>
    </row>
    <row r="29" spans="1:7">
      <c r="A29" s="1" t="s">
        <v>28</v>
      </c>
      <c r="B29" s="6">
        <v>1.48</v>
      </c>
      <c r="C29" s="6">
        <v>2.4</v>
      </c>
      <c r="D29" s="6">
        <v>5.38</v>
      </c>
      <c r="E29" s="4">
        <v>2.81</v>
      </c>
      <c r="F29" s="4">
        <v>-0.37</v>
      </c>
      <c r="G29" s="4">
        <v>0.96</v>
      </c>
    </row>
    <row r="31" spans="1:7">
      <c r="E31" s="4">
        <v>1364292</v>
      </c>
      <c r="F31" s="4">
        <v>1187654</v>
      </c>
      <c r="G31" s="4">
        <v>1065582</v>
      </c>
    </row>
    <row r="34" spans="5:7">
      <c r="E34" s="5">
        <v>64926</v>
      </c>
      <c r="F34" s="5">
        <v>60066</v>
      </c>
      <c r="G34" s="5">
        <v>31464</v>
      </c>
    </row>
    <row r="37" spans="5:7">
      <c r="E37" s="4">
        <v>43572</v>
      </c>
      <c r="F37" s="4">
        <v>73692</v>
      </c>
      <c r="G37" s="4">
        <v>46468</v>
      </c>
    </row>
  </sheetData>
  <mergeCells count="3">
    <mergeCell ref="E3:G3"/>
    <mergeCell ref="A1:B1"/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7A84-DC91-435C-B352-21DC6959EF0A}">
  <dimension ref="A1:G56"/>
  <sheetViews>
    <sheetView workbookViewId="0">
      <selection activeCell="F4" sqref="F4:F54"/>
    </sheetView>
  </sheetViews>
  <sheetFormatPr defaultRowHeight="14.4"/>
  <cols>
    <col min="1" max="1" width="50.5546875" customWidth="1"/>
    <col min="2" max="3" width="11.44140625" bestFit="1" customWidth="1"/>
    <col min="5" max="7" width="11.44140625" bestFit="1" customWidth="1"/>
  </cols>
  <sheetData>
    <row r="1" spans="1:6">
      <c r="A1" s="45" t="s">
        <v>29</v>
      </c>
      <c r="B1" s="45"/>
      <c r="C1" s="45"/>
    </row>
    <row r="3" spans="1:6">
      <c r="B3" s="2"/>
      <c r="C3" s="2"/>
      <c r="D3" s="2"/>
    </row>
    <row r="4" spans="1:6">
      <c r="A4" s="14"/>
      <c r="B4" s="14">
        <v>2017</v>
      </c>
      <c r="C4" s="14">
        <v>2018</v>
      </c>
      <c r="D4" s="14">
        <v>2019</v>
      </c>
      <c r="E4" s="13" t="s">
        <v>3</v>
      </c>
      <c r="F4" s="13" t="s">
        <v>2</v>
      </c>
    </row>
    <row r="5" spans="1:6">
      <c r="A5" s="1" t="s">
        <v>30</v>
      </c>
    </row>
    <row r="6" spans="1:6">
      <c r="A6" t="s">
        <v>31</v>
      </c>
    </row>
    <row r="7" spans="1:6">
      <c r="A7" t="s">
        <v>32</v>
      </c>
      <c r="B7" s="11">
        <v>153979</v>
      </c>
      <c r="C7" s="11">
        <v>235677</v>
      </c>
      <c r="D7" s="11">
        <v>80293</v>
      </c>
      <c r="E7" s="2">
        <v>50850</v>
      </c>
      <c r="F7" s="2">
        <v>149913</v>
      </c>
    </row>
    <row r="8" spans="1:6">
      <c r="A8" t="s">
        <v>33</v>
      </c>
      <c r="D8" s="12">
        <v>0</v>
      </c>
      <c r="E8" s="2" t="s">
        <v>9</v>
      </c>
      <c r="F8" s="2">
        <v>32605</v>
      </c>
    </row>
    <row r="9" spans="1:6">
      <c r="A9" t="s">
        <v>34</v>
      </c>
    </row>
    <row r="10" spans="1:6">
      <c r="A10" t="s">
        <v>35</v>
      </c>
      <c r="B10" s="12">
        <v>131545</v>
      </c>
      <c r="C10" s="12">
        <v>87589</v>
      </c>
      <c r="D10" s="12">
        <v>131688</v>
      </c>
      <c r="E10" s="2">
        <v>118289</v>
      </c>
      <c r="F10" s="2">
        <v>104099</v>
      </c>
    </row>
    <row r="11" spans="1:6">
      <c r="A11" t="s">
        <v>36</v>
      </c>
      <c r="B11" s="12">
        <v>36552</v>
      </c>
      <c r="C11" s="12">
        <v>41355</v>
      </c>
      <c r="D11" s="12">
        <v>40984</v>
      </c>
      <c r="E11" s="2">
        <v>42157</v>
      </c>
      <c r="F11" s="2">
        <v>11631</v>
      </c>
    </row>
    <row r="12" spans="1:6">
      <c r="A12" t="s">
        <v>37</v>
      </c>
      <c r="B12" s="12">
        <v>53420</v>
      </c>
      <c r="C12" s="12">
        <v>48646</v>
      </c>
      <c r="D12" s="12">
        <v>54131</v>
      </c>
      <c r="E12" s="2">
        <v>56200</v>
      </c>
      <c r="F12" s="2">
        <v>62876</v>
      </c>
    </row>
    <row r="13" spans="1:6">
      <c r="A13" t="s">
        <v>38</v>
      </c>
      <c r="B13" s="12">
        <v>23744</v>
      </c>
      <c r="C13" s="12">
        <v>60688</v>
      </c>
      <c r="D13" s="12">
        <v>30933</v>
      </c>
      <c r="E13" s="2">
        <v>25445</v>
      </c>
      <c r="F13" s="2">
        <v>25216</v>
      </c>
    </row>
    <row r="14" spans="1:6">
      <c r="A14" s="1" t="s">
        <v>39</v>
      </c>
      <c r="B14" s="12">
        <v>399240</v>
      </c>
      <c r="C14" s="12">
        <v>473955</v>
      </c>
      <c r="D14" s="12">
        <v>338029</v>
      </c>
      <c r="E14" s="2">
        <v>292941</v>
      </c>
      <c r="F14" s="2">
        <v>386340</v>
      </c>
    </row>
    <row r="15" spans="1:6">
      <c r="A15" t="s">
        <v>40</v>
      </c>
    </row>
    <row r="16" spans="1:6">
      <c r="A16" t="s">
        <v>41</v>
      </c>
      <c r="B16" s="12">
        <v>4676353</v>
      </c>
      <c r="C16" s="12">
        <v>4838171</v>
      </c>
      <c r="D16" s="12">
        <v>5008180</v>
      </c>
      <c r="E16" s="2">
        <v>5143696</v>
      </c>
      <c r="F16" s="2">
        <v>5250805</v>
      </c>
    </row>
    <row r="17" spans="1:6">
      <c r="A17" t="s">
        <v>42</v>
      </c>
      <c r="B17" s="12">
        <v>2554056</v>
      </c>
      <c r="C17" s="12">
        <v>2731643</v>
      </c>
      <c r="D17" s="12">
        <v>2916015</v>
      </c>
      <c r="E17" s="2">
        <v>3094634</v>
      </c>
      <c r="F17" s="2">
        <v>3272255</v>
      </c>
    </row>
    <row r="18" spans="1:6">
      <c r="A18" s="1" t="s">
        <v>43</v>
      </c>
      <c r="B18" s="12">
        <v>2122297</v>
      </c>
      <c r="C18" s="12">
        <v>2106528</v>
      </c>
      <c r="D18" s="12">
        <v>2092165</v>
      </c>
      <c r="E18" s="2">
        <v>2049062</v>
      </c>
      <c r="F18" s="2">
        <v>1978550</v>
      </c>
    </row>
    <row r="19" spans="1:6">
      <c r="A19" t="s">
        <v>44</v>
      </c>
    </row>
    <row r="20" spans="1:6">
      <c r="A20" t="s">
        <v>45</v>
      </c>
      <c r="D20" s="12">
        <v>103505</v>
      </c>
      <c r="E20" s="2">
        <v>68821</v>
      </c>
      <c r="F20" s="2">
        <v>57011</v>
      </c>
    </row>
    <row r="21" spans="1:6">
      <c r="A21" t="s">
        <v>46</v>
      </c>
      <c r="D21" s="12">
        <v>72632</v>
      </c>
      <c r="E21" s="2">
        <v>53436</v>
      </c>
      <c r="F21" s="2">
        <v>21956</v>
      </c>
    </row>
    <row r="22" spans="1:6">
      <c r="A22" t="s">
        <v>47</v>
      </c>
      <c r="E22" t="s">
        <v>9</v>
      </c>
      <c r="F22" s="2">
        <v>15688</v>
      </c>
    </row>
    <row r="23" spans="1:6">
      <c r="A23" t="s">
        <v>48</v>
      </c>
      <c r="B23" s="12">
        <v>75065</v>
      </c>
      <c r="C23" s="12">
        <v>77545</v>
      </c>
      <c r="E23" t="s">
        <v>9</v>
      </c>
      <c r="F23" s="2">
        <v>38947</v>
      </c>
    </row>
    <row r="24" spans="1:6">
      <c r="A24" t="s">
        <v>49</v>
      </c>
      <c r="B24" s="12">
        <v>110497</v>
      </c>
      <c r="C24" s="12">
        <v>102699</v>
      </c>
      <c r="D24" s="12">
        <v>87471</v>
      </c>
      <c r="E24" s="2">
        <v>59106</v>
      </c>
      <c r="F24" s="2">
        <v>75025</v>
      </c>
    </row>
    <row r="25" spans="1:6">
      <c r="A25" s="1" t="s">
        <v>50</v>
      </c>
      <c r="B25" s="12">
        <v>185562</v>
      </c>
      <c r="C25" s="12">
        <v>180244</v>
      </c>
      <c r="D25" s="12">
        <v>263608</v>
      </c>
      <c r="E25" s="2">
        <v>181363</v>
      </c>
      <c r="F25" s="2">
        <v>208627</v>
      </c>
    </row>
    <row r="26" spans="1:6">
      <c r="A26" s="1" t="s">
        <v>51</v>
      </c>
      <c r="B26" s="12">
        <v>2707099</v>
      </c>
      <c r="C26" s="12">
        <v>2760727</v>
      </c>
      <c r="D26" s="12">
        <v>2693802</v>
      </c>
      <c r="E26" s="2">
        <v>2523366</v>
      </c>
      <c r="F26" s="2">
        <v>2573517</v>
      </c>
    </row>
    <row r="27" spans="1:6">
      <c r="A27" s="1" t="s">
        <v>52</v>
      </c>
    </row>
    <row r="28" spans="1:6">
      <c r="A28" t="s">
        <v>53</v>
      </c>
    </row>
    <row r="29" spans="1:6">
      <c r="A29" t="s">
        <v>54</v>
      </c>
      <c r="B29" s="12">
        <v>109100</v>
      </c>
      <c r="C29" s="12">
        <v>130930</v>
      </c>
      <c r="D29" s="12">
        <v>106223</v>
      </c>
      <c r="E29" s="2">
        <v>71229</v>
      </c>
      <c r="F29" s="2">
        <v>80343</v>
      </c>
    </row>
    <row r="30" spans="1:6">
      <c r="A30" t="s">
        <v>55</v>
      </c>
      <c r="B30" s="12">
        <v>22482</v>
      </c>
      <c r="C30" s="12">
        <v>134812</v>
      </c>
      <c r="D30" s="12">
        <v>50272</v>
      </c>
      <c r="E30" s="2">
        <v>53846</v>
      </c>
      <c r="F30" s="2">
        <v>57332</v>
      </c>
    </row>
    <row r="31" spans="1:6">
      <c r="A31" t="s">
        <v>56</v>
      </c>
      <c r="E31" s="2">
        <v>20241</v>
      </c>
      <c r="F31" s="2">
        <v>6682</v>
      </c>
    </row>
    <row r="32" spans="1:6">
      <c r="A32" t="s">
        <v>57</v>
      </c>
      <c r="B32" s="12">
        <v>290627</v>
      </c>
      <c r="C32" s="12">
        <v>226434</v>
      </c>
      <c r="D32" s="12">
        <v>235769</v>
      </c>
      <c r="E32" s="2">
        <v>223154</v>
      </c>
      <c r="F32" s="2">
        <v>300875</v>
      </c>
    </row>
    <row r="33" spans="1:6">
      <c r="A33" s="1" t="s">
        <v>58</v>
      </c>
      <c r="B33" s="12">
        <v>422209</v>
      </c>
      <c r="C33" s="12">
        <v>492176</v>
      </c>
      <c r="D33" s="12">
        <v>392264</v>
      </c>
      <c r="E33" s="2">
        <v>368470</v>
      </c>
      <c r="F33" s="2">
        <v>445232</v>
      </c>
    </row>
    <row r="34" spans="1:6">
      <c r="A34" t="s">
        <v>59</v>
      </c>
    </row>
    <row r="35" spans="1:6">
      <c r="A35" t="s">
        <v>60</v>
      </c>
      <c r="B35" s="12">
        <v>856650</v>
      </c>
      <c r="C35" s="12">
        <v>708536</v>
      </c>
      <c r="D35" s="12">
        <v>653802</v>
      </c>
      <c r="E35" s="2">
        <v>566858</v>
      </c>
      <c r="F35" s="2">
        <v>568052</v>
      </c>
    </row>
    <row r="36" spans="1:6">
      <c r="A36" t="s">
        <v>61</v>
      </c>
      <c r="B36" s="12">
        <v>8639</v>
      </c>
      <c r="C36" s="12">
        <v>25690</v>
      </c>
      <c r="D36" s="12">
        <v>9036</v>
      </c>
      <c r="E36" s="2">
        <v>36203</v>
      </c>
      <c r="F36" s="2">
        <v>26598</v>
      </c>
    </row>
    <row r="37" spans="1:6">
      <c r="A37" s="1" t="s">
        <v>62</v>
      </c>
      <c r="B37" s="12">
        <v>865289</v>
      </c>
      <c r="C37" s="12">
        <v>734226</v>
      </c>
      <c r="D37" s="12">
        <v>662838</v>
      </c>
      <c r="E37" s="2">
        <v>603061</v>
      </c>
      <c r="F37" s="2">
        <v>594650</v>
      </c>
    </row>
    <row r="38" spans="1:6">
      <c r="A38" t="s">
        <v>63</v>
      </c>
    </row>
    <row r="39" spans="1:6">
      <c r="A39" t="s">
        <v>64</v>
      </c>
      <c r="B39" s="12">
        <v>554099</v>
      </c>
      <c r="C39" s="12">
        <v>441246</v>
      </c>
      <c r="D39" s="12">
        <v>432496</v>
      </c>
      <c r="E39" s="2">
        <v>387637</v>
      </c>
      <c r="F39" s="2">
        <v>329659</v>
      </c>
    </row>
    <row r="40" spans="1:6">
      <c r="A40" t="s">
        <v>65</v>
      </c>
      <c r="B40" s="12">
        <v>149868</v>
      </c>
      <c r="C40" s="12">
        <v>165001</v>
      </c>
      <c r="D40" s="12">
        <v>202142</v>
      </c>
      <c r="E40" s="2">
        <v>229720</v>
      </c>
      <c r="F40" s="2">
        <v>203473</v>
      </c>
    </row>
    <row r="41" spans="1:6">
      <c r="A41" t="s">
        <v>66</v>
      </c>
      <c r="B41" s="12">
        <v>228343</v>
      </c>
      <c r="C41" s="12">
        <v>235984</v>
      </c>
      <c r="D41" s="12">
        <v>250211</v>
      </c>
      <c r="E41" s="2">
        <v>228182</v>
      </c>
      <c r="F41" s="2">
        <v>210718</v>
      </c>
    </row>
    <row r="42" spans="1:6">
      <c r="A42" t="s">
        <v>67</v>
      </c>
      <c r="B42" s="12">
        <v>66648</v>
      </c>
      <c r="C42" s="12">
        <v>59742</v>
      </c>
      <c r="D42" s="12">
        <v>61194</v>
      </c>
      <c r="E42" s="2">
        <v>64390</v>
      </c>
      <c r="F42" s="2">
        <v>58148</v>
      </c>
    </row>
    <row r="43" spans="1:6">
      <c r="A43" t="s">
        <v>48</v>
      </c>
      <c r="B43" s="12">
        <v>52960</v>
      </c>
      <c r="C43" s="12">
        <v>64172</v>
      </c>
      <c r="D43" s="12">
        <v>49930</v>
      </c>
      <c r="E43" s="2">
        <v>35359</v>
      </c>
      <c r="F43" s="2">
        <v>26013</v>
      </c>
    </row>
    <row r="44" spans="1:6">
      <c r="A44" t="s">
        <v>56</v>
      </c>
      <c r="D44" s="12">
        <v>55413</v>
      </c>
      <c r="E44" s="2">
        <v>35655</v>
      </c>
      <c r="F44" s="2">
        <v>15274</v>
      </c>
    </row>
    <row r="45" spans="1:6">
      <c r="A45" t="s">
        <v>68</v>
      </c>
      <c r="B45" s="12">
        <v>24042</v>
      </c>
      <c r="C45" s="12">
        <v>16569</v>
      </c>
      <c r="D45" s="12">
        <v>14919</v>
      </c>
      <c r="E45" s="2">
        <v>17373</v>
      </c>
      <c r="F45" s="2">
        <v>17537</v>
      </c>
    </row>
    <row r="46" spans="1:6">
      <c r="A46" s="1" t="s">
        <v>69</v>
      </c>
      <c r="B46" s="12">
        <v>1075960</v>
      </c>
      <c r="C46" s="12">
        <v>982714</v>
      </c>
      <c r="D46" s="12">
        <v>1066305</v>
      </c>
      <c r="E46" s="2">
        <v>998316</v>
      </c>
      <c r="F46" s="2">
        <v>860822</v>
      </c>
    </row>
    <row r="47" spans="1:6">
      <c r="A47" s="1" t="s">
        <v>70</v>
      </c>
      <c r="B47" s="12">
        <v>2363458</v>
      </c>
      <c r="C47" s="12">
        <v>2209116</v>
      </c>
      <c r="D47" s="12">
        <v>2121407</v>
      </c>
      <c r="E47" s="2">
        <v>1969847</v>
      </c>
      <c r="F47" s="2">
        <v>1900704</v>
      </c>
    </row>
    <row r="48" spans="1:6">
      <c r="A48" t="s">
        <v>71</v>
      </c>
    </row>
    <row r="49" spans="1:7">
      <c r="A49" t="s">
        <v>72</v>
      </c>
      <c r="B49" s="12">
        <v>280</v>
      </c>
      <c r="C49" s="12">
        <v>274</v>
      </c>
      <c r="D49" s="12">
        <v>259</v>
      </c>
      <c r="E49" s="2">
        <v>340</v>
      </c>
      <c r="F49" s="2">
        <v>345</v>
      </c>
    </row>
    <row r="50" spans="1:7">
      <c r="A50" t="s">
        <v>73</v>
      </c>
      <c r="B50" s="12">
        <v>552793</v>
      </c>
      <c r="C50" s="12">
        <v>550995</v>
      </c>
      <c r="D50" s="12">
        <v>523762</v>
      </c>
      <c r="E50" s="2">
        <v>642887</v>
      </c>
      <c r="F50" s="2">
        <v>646945</v>
      </c>
    </row>
    <row r="51" spans="1:7">
      <c r="A51" t="s">
        <v>74</v>
      </c>
      <c r="B51" s="12">
        <v>-43713</v>
      </c>
      <c r="C51" s="12">
        <v>182148</v>
      </c>
      <c r="D51" s="12">
        <v>259903</v>
      </c>
      <c r="E51" s="2">
        <v>246850</v>
      </c>
      <c r="F51" s="2">
        <v>280960</v>
      </c>
    </row>
    <row r="52" spans="1:7">
      <c r="A52" t="s">
        <v>75</v>
      </c>
      <c r="B52" s="12">
        <v>-305100</v>
      </c>
      <c r="C52" s="12">
        <v>-323482</v>
      </c>
      <c r="D52" s="12">
        <v>-348725</v>
      </c>
      <c r="E52" s="3">
        <v>-336558</v>
      </c>
      <c r="F52" s="3">
        <v>-255437</v>
      </c>
    </row>
    <row r="53" spans="1:7">
      <c r="A53" s="1" t="s">
        <v>76</v>
      </c>
      <c r="B53" s="12">
        <v>343641</v>
      </c>
      <c r="C53" s="12">
        <v>551611</v>
      </c>
      <c r="D53" s="12">
        <v>572395</v>
      </c>
      <c r="E53" s="2">
        <v>553519</v>
      </c>
      <c r="F53" s="2">
        <v>672813</v>
      </c>
    </row>
    <row r="54" spans="1:7">
      <c r="A54" s="1" t="s">
        <v>77</v>
      </c>
      <c r="B54" s="11">
        <v>2707099</v>
      </c>
      <c r="C54" s="11">
        <v>2760727</v>
      </c>
      <c r="D54" s="11">
        <v>2693802</v>
      </c>
      <c r="E54" s="2">
        <v>2523366</v>
      </c>
      <c r="F54" s="2">
        <v>2573517</v>
      </c>
    </row>
    <row r="55" spans="1:7">
      <c r="G55" s="12"/>
    </row>
    <row r="56" spans="1:7">
      <c r="G56" s="1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2D87-14B2-48D1-8870-2EF156BA8DCB}">
  <dimension ref="A1:G69"/>
  <sheetViews>
    <sheetView topLeftCell="A13" workbookViewId="0">
      <selection activeCell="G24" sqref="G24"/>
    </sheetView>
  </sheetViews>
  <sheetFormatPr defaultRowHeight="14.4"/>
  <cols>
    <col min="1" max="1" width="64.88671875" customWidth="1"/>
    <col min="5" max="5" width="10" bestFit="1" customWidth="1"/>
  </cols>
  <sheetData>
    <row r="1" spans="1:7">
      <c r="A1" s="46" t="s">
        <v>78</v>
      </c>
      <c r="B1" s="46"/>
    </row>
    <row r="3" spans="1:7">
      <c r="B3" s="44"/>
      <c r="C3" s="44"/>
      <c r="D3" s="44"/>
    </row>
    <row r="4" spans="1:7">
      <c r="A4" s="9"/>
      <c r="B4" s="14">
        <v>2016</v>
      </c>
      <c r="C4" s="14">
        <v>2017</v>
      </c>
      <c r="D4" s="14">
        <v>2018</v>
      </c>
      <c r="E4" s="13" t="s">
        <v>4</v>
      </c>
      <c r="F4" s="13" t="s">
        <v>3</v>
      </c>
      <c r="G4" s="13" t="s">
        <v>2</v>
      </c>
    </row>
    <row r="5" spans="1:7">
      <c r="A5" t="s">
        <v>79</v>
      </c>
      <c r="E5" s="2"/>
      <c r="F5" s="2"/>
      <c r="G5" s="2"/>
    </row>
    <row r="6" spans="1:7">
      <c r="A6" t="s">
        <v>23</v>
      </c>
      <c r="B6" s="11">
        <v>50450</v>
      </c>
      <c r="C6" s="11">
        <v>82569</v>
      </c>
      <c r="D6" s="11">
        <v>178785</v>
      </c>
      <c r="E6" s="2">
        <v>93558</v>
      </c>
      <c r="F6" s="2">
        <v>-13214</v>
      </c>
      <c r="G6" s="2">
        <v>34110</v>
      </c>
    </row>
    <row r="7" spans="1:7">
      <c r="A7" t="s">
        <v>80</v>
      </c>
      <c r="E7" s="2"/>
      <c r="F7" s="2"/>
      <c r="G7" s="2"/>
    </row>
    <row r="8" spans="1:7">
      <c r="A8" t="s">
        <v>15</v>
      </c>
      <c r="B8" s="12">
        <v>178122</v>
      </c>
      <c r="C8" s="12">
        <v>172002</v>
      </c>
      <c r="D8" s="12">
        <v>201264</v>
      </c>
      <c r="E8" s="2">
        <v>207097</v>
      </c>
      <c r="F8" s="2">
        <v>210760</v>
      </c>
      <c r="G8" s="2">
        <v>224583</v>
      </c>
    </row>
    <row r="9" spans="1:7">
      <c r="A9" t="s">
        <v>81</v>
      </c>
      <c r="B9" s="12">
        <v>12895</v>
      </c>
      <c r="C9" s="12">
        <v>22085</v>
      </c>
      <c r="D9" s="12">
        <v>10235</v>
      </c>
      <c r="E9" s="2">
        <v>12760</v>
      </c>
      <c r="F9" s="2">
        <v>11579</v>
      </c>
      <c r="G9" s="2">
        <v>6632</v>
      </c>
    </row>
    <row r="10" spans="1:7">
      <c r="A10" t="s">
        <v>11</v>
      </c>
      <c r="B10" s="12">
        <v>-5228</v>
      </c>
      <c r="C10" s="12">
        <v>-17212</v>
      </c>
      <c r="D10" s="12">
        <v>-565</v>
      </c>
      <c r="E10" s="2">
        <v>-1995</v>
      </c>
      <c r="F10" s="2">
        <v>-15295</v>
      </c>
      <c r="G10" s="2">
        <v>-11723</v>
      </c>
    </row>
    <row r="11" spans="1:7">
      <c r="A11" t="s">
        <v>82</v>
      </c>
      <c r="E11" s="2">
        <v>6416</v>
      </c>
      <c r="F11" s="2">
        <v>7447</v>
      </c>
      <c r="G11" s="2">
        <v>8552</v>
      </c>
    </row>
    <row r="12" spans="1:7">
      <c r="A12" t="s">
        <v>18</v>
      </c>
      <c r="E12" s="2">
        <v>24455</v>
      </c>
      <c r="F12" s="2">
        <v>-21352</v>
      </c>
      <c r="G12" s="2">
        <v>-657</v>
      </c>
    </row>
    <row r="13" spans="1:7">
      <c r="A13" t="s">
        <v>83</v>
      </c>
      <c r="E13" s="2" t="s">
        <v>9</v>
      </c>
      <c r="F13" s="2" t="s">
        <v>9</v>
      </c>
      <c r="G13" s="2">
        <v>52204</v>
      </c>
    </row>
    <row r="14" spans="1:7">
      <c r="A14" t="s">
        <v>84</v>
      </c>
      <c r="B14" s="12">
        <v>91525</v>
      </c>
      <c r="C14" s="12">
        <v>16610</v>
      </c>
      <c r="D14" s="12">
        <v>-16482</v>
      </c>
      <c r="E14" s="2">
        <v>-17419</v>
      </c>
      <c r="F14" s="2">
        <v>11685</v>
      </c>
      <c r="G14" s="2">
        <v>-14760</v>
      </c>
    </row>
    <row r="15" spans="1:7">
      <c r="A15" t="s">
        <v>85</v>
      </c>
      <c r="E15" s="2" t="s">
        <v>9</v>
      </c>
      <c r="F15" s="2">
        <v>1251</v>
      </c>
      <c r="G15" s="2">
        <v>644</v>
      </c>
    </row>
    <row r="16" spans="1:7">
      <c r="A16" t="s">
        <v>86</v>
      </c>
      <c r="E16" s="2"/>
      <c r="F16" s="2"/>
      <c r="G16" s="2"/>
    </row>
    <row r="17" spans="1:7">
      <c r="A17" t="s">
        <v>87</v>
      </c>
      <c r="B17" s="12">
        <v>-17608</v>
      </c>
      <c r="C17" s="12">
        <v>-44417</v>
      </c>
      <c r="D17" s="12">
        <v>39157</v>
      </c>
      <c r="E17" s="2">
        <v>-38960</v>
      </c>
      <c r="F17" s="2">
        <v>11130</v>
      </c>
      <c r="G17" s="2">
        <v>44707</v>
      </c>
    </row>
    <row r="18" spans="1:7">
      <c r="A18" t="s">
        <v>88</v>
      </c>
      <c r="B18" s="12">
        <v>3352</v>
      </c>
      <c r="C18" s="12">
        <v>-3259</v>
      </c>
      <c r="D18" s="12">
        <v>4774</v>
      </c>
      <c r="E18" s="2">
        <v>-5485</v>
      </c>
      <c r="F18" s="2">
        <v>-2069</v>
      </c>
      <c r="G18" s="2">
        <v>-6676</v>
      </c>
    </row>
    <row r="19" spans="1:7">
      <c r="A19" t="s">
        <v>38</v>
      </c>
      <c r="B19" s="12">
        <v>7503</v>
      </c>
      <c r="C19" s="12">
        <v>-2877</v>
      </c>
      <c r="D19" s="12">
        <v>-7307</v>
      </c>
      <c r="E19" s="2">
        <v>497</v>
      </c>
      <c r="F19" s="2">
        <v>7574</v>
      </c>
      <c r="G19" s="2">
        <v>229</v>
      </c>
    </row>
    <row r="20" spans="1:7">
      <c r="A20" t="s">
        <v>89</v>
      </c>
      <c r="B20" s="12">
        <v>-10652</v>
      </c>
      <c r="C20" s="12">
        <v>6050</v>
      </c>
      <c r="D20" s="12">
        <v>19170</v>
      </c>
      <c r="E20" s="2">
        <v>17302</v>
      </c>
      <c r="F20" s="2">
        <v>-21058</v>
      </c>
      <c r="G20" s="2">
        <v>-13797</v>
      </c>
    </row>
    <row r="21" spans="1:7">
      <c r="A21" t="s">
        <v>90</v>
      </c>
      <c r="E21" s="2"/>
      <c r="F21" s="2"/>
      <c r="G21" s="2"/>
    </row>
    <row r="22" spans="1:7">
      <c r="A22" t="s">
        <v>54</v>
      </c>
      <c r="B22" s="12">
        <v>-4152</v>
      </c>
      <c r="C22" s="12">
        <v>7043</v>
      </c>
      <c r="D22" s="12">
        <v>37488</v>
      </c>
      <c r="E22" s="2">
        <v>-21714</v>
      </c>
      <c r="F22" s="2">
        <v>-30759</v>
      </c>
      <c r="G22" s="2">
        <v>11473</v>
      </c>
    </row>
    <row r="23" spans="1:7">
      <c r="A23" t="s">
        <v>91</v>
      </c>
      <c r="B23" s="12">
        <v>24913</v>
      </c>
      <c r="C23" s="12">
        <v>46421</v>
      </c>
      <c r="D23" s="12">
        <v>-38659</v>
      </c>
      <c r="E23" s="2">
        <v>-7884</v>
      </c>
      <c r="F23" s="2">
        <v>-2915</v>
      </c>
      <c r="G23" s="2">
        <v>27461</v>
      </c>
    </row>
    <row r="24" spans="1:7">
      <c r="A24" t="s">
        <v>92</v>
      </c>
      <c r="B24" s="12">
        <v>-10609</v>
      </c>
      <c r="C24" s="12">
        <v>-40765</v>
      </c>
      <c r="D24" s="12">
        <v>-23526</v>
      </c>
      <c r="E24" s="2">
        <v>-24062</v>
      </c>
      <c r="F24" s="2">
        <v>-25433</v>
      </c>
      <c r="G24" s="2">
        <v>-57413</v>
      </c>
    </row>
    <row r="25" spans="1:7">
      <c r="A25" t="s">
        <v>93</v>
      </c>
      <c r="B25" s="12">
        <v>329107</v>
      </c>
      <c r="C25" s="12">
        <v>248110</v>
      </c>
      <c r="D25" s="12">
        <v>413525</v>
      </c>
      <c r="E25" s="2">
        <v>244566</v>
      </c>
      <c r="F25" s="2">
        <v>129331</v>
      </c>
      <c r="G25" s="2">
        <v>305569</v>
      </c>
    </row>
    <row r="26" spans="1:7">
      <c r="A26" t="s">
        <v>94</v>
      </c>
      <c r="E26" s="2"/>
      <c r="F26" s="2"/>
      <c r="G26" s="2"/>
    </row>
    <row r="27" spans="1:7">
      <c r="A27" t="s">
        <v>95</v>
      </c>
      <c r="B27" s="12">
        <v>-53600</v>
      </c>
      <c r="C27" s="12">
        <v>-81413</v>
      </c>
      <c r="D27" s="12">
        <v>-145749</v>
      </c>
      <c r="E27" s="2">
        <v>-169739</v>
      </c>
      <c r="F27" s="2">
        <v>-86004</v>
      </c>
      <c r="G27" s="2">
        <v>-132752</v>
      </c>
    </row>
    <row r="28" spans="1:7">
      <c r="A28" t="s">
        <v>96</v>
      </c>
      <c r="B28" s="12">
        <v>7842</v>
      </c>
      <c r="C28" s="12">
        <v>24582</v>
      </c>
      <c r="D28" s="12">
        <v>2103</v>
      </c>
      <c r="E28" s="2">
        <v>2201</v>
      </c>
      <c r="F28" s="2">
        <v>9899</v>
      </c>
      <c r="G28" s="2">
        <v>13572</v>
      </c>
    </row>
    <row r="29" spans="1:7">
      <c r="A29" t="s">
        <v>97</v>
      </c>
      <c r="B29" s="12">
        <v>0</v>
      </c>
      <c r="C29" s="12">
        <v>0</v>
      </c>
      <c r="D29" s="12">
        <v>-10000</v>
      </c>
      <c r="E29" s="2">
        <v>-5003</v>
      </c>
      <c r="F29" s="2">
        <v>-229</v>
      </c>
      <c r="G29" s="2">
        <v>-8181</v>
      </c>
    </row>
    <row r="30" spans="1:7">
      <c r="A30" t="s">
        <v>98</v>
      </c>
      <c r="B30" s="12">
        <v>-45758</v>
      </c>
      <c r="C30" s="12">
        <v>-56831</v>
      </c>
      <c r="D30" s="12">
        <v>-153646</v>
      </c>
      <c r="E30" s="2">
        <v>-172541</v>
      </c>
      <c r="F30" s="2">
        <v>-76334</v>
      </c>
      <c r="G30" s="2">
        <v>-127361</v>
      </c>
    </row>
    <row r="31" spans="1:7">
      <c r="A31" t="s">
        <v>99</v>
      </c>
      <c r="E31" s="2"/>
      <c r="F31" s="2"/>
      <c r="G31" s="2"/>
    </row>
    <row r="32" spans="1:7">
      <c r="A32" t="s">
        <v>100</v>
      </c>
      <c r="E32" s="2" t="s">
        <v>9</v>
      </c>
      <c r="F32" s="2">
        <v>19314</v>
      </c>
      <c r="G32" s="2" t="s">
        <v>9</v>
      </c>
    </row>
    <row r="33" spans="1:7">
      <c r="A33" t="s">
        <v>101</v>
      </c>
      <c r="B33" s="12">
        <v>431</v>
      </c>
      <c r="C33" s="12">
        <v>-3904</v>
      </c>
      <c r="D33" s="12">
        <v>-15484</v>
      </c>
      <c r="E33" s="2">
        <v>-18549</v>
      </c>
      <c r="F33" s="2">
        <v>-28295</v>
      </c>
      <c r="G33" s="2">
        <v>-27447</v>
      </c>
    </row>
    <row r="34" spans="1:7">
      <c r="A34" t="s">
        <v>102</v>
      </c>
      <c r="B34" s="12">
        <v>16000</v>
      </c>
      <c r="C34" s="12">
        <v>-201000</v>
      </c>
      <c r="D34" s="12">
        <v>0</v>
      </c>
      <c r="E34" s="2">
        <v>26250</v>
      </c>
      <c r="F34" s="2" t="s">
        <v>9</v>
      </c>
      <c r="G34" s="2" t="s">
        <v>9</v>
      </c>
    </row>
    <row r="35" spans="1:7">
      <c r="A35" t="s">
        <v>103</v>
      </c>
      <c r="E35" s="2">
        <v>-11250</v>
      </c>
      <c r="F35" s="2">
        <v>-22500</v>
      </c>
      <c r="G35" s="2">
        <v>-25000</v>
      </c>
    </row>
    <row r="36" spans="1:7">
      <c r="A36" t="s">
        <v>104</v>
      </c>
      <c r="E36" s="2">
        <v>-124437</v>
      </c>
      <c r="F36" s="2">
        <v>-2750</v>
      </c>
      <c r="G36" s="2">
        <v>-30911</v>
      </c>
    </row>
    <row r="37" spans="1:7">
      <c r="A37" t="s">
        <v>105</v>
      </c>
      <c r="E37" s="2">
        <v>-59421</v>
      </c>
      <c r="F37" s="2">
        <v>-32064</v>
      </c>
      <c r="G37" s="2">
        <v>-17092</v>
      </c>
    </row>
    <row r="38" spans="1:7">
      <c r="A38" t="s">
        <v>106</v>
      </c>
      <c r="E38" s="2" t="s">
        <v>9</v>
      </c>
      <c r="F38" s="2" t="s">
        <v>9</v>
      </c>
      <c r="G38" s="2">
        <v>75000</v>
      </c>
    </row>
    <row r="39" spans="1:7">
      <c r="A39" t="s">
        <v>107</v>
      </c>
      <c r="E39" s="2">
        <v>3757</v>
      </c>
      <c r="F39" s="2" t="s">
        <v>9</v>
      </c>
      <c r="G39" s="2" t="s">
        <v>9</v>
      </c>
    </row>
    <row r="40" spans="1:7">
      <c r="A40" t="s">
        <v>108</v>
      </c>
      <c r="E40" s="2">
        <v>-240</v>
      </c>
      <c r="F40" s="2">
        <v>-705</v>
      </c>
      <c r="G40" s="2">
        <v>-731</v>
      </c>
    </row>
    <row r="41" spans="1:7">
      <c r="A41" t="s">
        <v>109</v>
      </c>
      <c r="B41" s="12">
        <v>-21657</v>
      </c>
      <c r="C41" s="12">
        <v>-21892</v>
      </c>
      <c r="D41" s="12">
        <v>-22265</v>
      </c>
      <c r="E41" s="2">
        <v>-22220</v>
      </c>
      <c r="F41" s="2">
        <v>-5575</v>
      </c>
      <c r="G41" s="2" t="s">
        <v>9</v>
      </c>
    </row>
    <row r="42" spans="1:7">
      <c r="A42" t="s">
        <v>110</v>
      </c>
      <c r="B42" s="12">
        <v>0</v>
      </c>
      <c r="C42" s="12">
        <v>-2156</v>
      </c>
      <c r="D42" s="12">
        <v>-3424</v>
      </c>
      <c r="E42" s="2">
        <v>-4963</v>
      </c>
      <c r="F42" s="2">
        <v>-863</v>
      </c>
      <c r="G42" s="2">
        <v>-2303</v>
      </c>
    </row>
    <row r="43" spans="1:7">
      <c r="A43" t="s">
        <v>111</v>
      </c>
      <c r="B43" s="12">
        <v>0</v>
      </c>
      <c r="C43" s="12">
        <v>0</v>
      </c>
      <c r="D43" s="12">
        <v>-25839</v>
      </c>
      <c r="E43" s="2">
        <v>-32733</v>
      </c>
      <c r="F43" s="2" t="s">
        <v>9</v>
      </c>
      <c r="G43" s="2" t="s">
        <v>9</v>
      </c>
    </row>
    <row r="44" spans="1:7">
      <c r="A44" t="s">
        <v>112</v>
      </c>
      <c r="B44" s="12">
        <v>0</v>
      </c>
      <c r="C44" s="12">
        <v>-425000</v>
      </c>
      <c r="D44" s="12">
        <v>-18234</v>
      </c>
      <c r="E44" s="2">
        <v>-369</v>
      </c>
      <c r="F44" s="2" t="s">
        <v>9</v>
      </c>
      <c r="G44" s="2" t="s">
        <v>9</v>
      </c>
    </row>
    <row r="45" spans="1:7">
      <c r="A45" t="s">
        <v>113</v>
      </c>
      <c r="B45" s="12">
        <v>-270969</v>
      </c>
      <c r="C45" s="12">
        <v>-156502</v>
      </c>
      <c r="D45" s="12">
        <v>0</v>
      </c>
      <c r="E45" s="2">
        <v>-12492</v>
      </c>
      <c r="F45" s="2">
        <v>-9002</v>
      </c>
      <c r="G45" s="2">
        <v>-2368</v>
      </c>
    </row>
    <row r="46" spans="1:7">
      <c r="A46" t="s">
        <v>114</v>
      </c>
      <c r="B46" s="12">
        <v>0</v>
      </c>
      <c r="C46" s="12">
        <v>0</v>
      </c>
      <c r="D46" s="12">
        <v>-2458</v>
      </c>
      <c r="E46" s="2">
        <v>-256667</v>
      </c>
      <c r="F46" s="2">
        <v>-82440</v>
      </c>
      <c r="G46" s="2">
        <v>-30852</v>
      </c>
    </row>
    <row r="47" spans="1:7">
      <c r="A47" t="s">
        <v>115</v>
      </c>
      <c r="B47" s="12">
        <v>-482</v>
      </c>
      <c r="C47" s="12">
        <v>-32304</v>
      </c>
      <c r="D47" s="12">
        <v>-2166</v>
      </c>
      <c r="E47" s="2">
        <v>-184642</v>
      </c>
      <c r="F47" s="2">
        <v>-29443</v>
      </c>
      <c r="G47" s="2">
        <v>147356</v>
      </c>
    </row>
    <row r="48" spans="1:7">
      <c r="A48" t="s">
        <v>116</v>
      </c>
      <c r="B48" s="12">
        <v>-276677</v>
      </c>
      <c r="C48" s="12">
        <v>-50611</v>
      </c>
      <c r="D48" s="12">
        <v>-148923</v>
      </c>
      <c r="E48" s="2">
        <v>264935</v>
      </c>
      <c r="F48" s="2">
        <v>80293</v>
      </c>
      <c r="G48" s="2">
        <v>50850</v>
      </c>
    </row>
    <row r="49" spans="1:7">
      <c r="A49" t="s">
        <v>117</v>
      </c>
      <c r="B49" s="12">
        <v>6672</v>
      </c>
      <c r="C49" s="12">
        <v>140668</v>
      </c>
      <c r="D49" s="12">
        <v>110956</v>
      </c>
      <c r="E49" s="2">
        <v>80293</v>
      </c>
      <c r="F49" s="2">
        <v>50850</v>
      </c>
      <c r="G49" s="2">
        <v>198206</v>
      </c>
    </row>
    <row r="50" spans="1:7">
      <c r="B50" s="12">
        <v>13311</v>
      </c>
      <c r="C50" s="12">
        <v>153979</v>
      </c>
      <c r="D50" s="12">
        <v>264935</v>
      </c>
    </row>
    <row r="51" spans="1:7">
      <c r="A51" s="45" t="s">
        <v>118</v>
      </c>
      <c r="B51" s="45"/>
    </row>
    <row r="53" spans="1:7">
      <c r="B53" s="44"/>
      <c r="C53" s="44"/>
      <c r="D53" s="44"/>
      <c r="E53" s="12">
        <v>-26250</v>
      </c>
      <c r="F53" s="12">
        <v>100000</v>
      </c>
      <c r="G53" s="12">
        <v>0</v>
      </c>
    </row>
    <row r="54" spans="1:7">
      <c r="B54" s="7"/>
      <c r="C54" s="7"/>
      <c r="D54" s="7"/>
    </row>
    <row r="55" spans="1:7">
      <c r="A55" s="1" t="s">
        <v>119</v>
      </c>
    </row>
    <row r="56" spans="1:7">
      <c r="A56" t="s">
        <v>120</v>
      </c>
      <c r="B56" s="8"/>
      <c r="C56" s="8"/>
      <c r="D56" s="8"/>
      <c r="E56" s="12">
        <v>-4000</v>
      </c>
      <c r="F56" s="12">
        <v>392147</v>
      </c>
      <c r="G56" s="12">
        <v>0</v>
      </c>
    </row>
    <row r="57" spans="1:7">
      <c r="A57" t="s">
        <v>121</v>
      </c>
      <c r="B57" s="8"/>
      <c r="C57" s="8"/>
      <c r="D57" s="8"/>
    </row>
    <row r="59" spans="1:7">
      <c r="A59" s="45" t="s">
        <v>122</v>
      </c>
      <c r="B59" s="45"/>
      <c r="E59" s="12">
        <v>-25724</v>
      </c>
      <c r="F59" s="12">
        <v>300000</v>
      </c>
      <c r="G59" s="12">
        <v>0</v>
      </c>
    </row>
    <row r="60" spans="1:7">
      <c r="A60" t="s">
        <v>123</v>
      </c>
      <c r="B60" t="s">
        <v>124</v>
      </c>
    </row>
    <row r="62" spans="1:7">
      <c r="A62" t="s">
        <v>125</v>
      </c>
      <c r="B62" s="2">
        <v>523</v>
      </c>
      <c r="E62" s="11">
        <v>-3079</v>
      </c>
      <c r="F62" s="11">
        <v>0</v>
      </c>
      <c r="G62" s="11">
        <v>0</v>
      </c>
    </row>
    <row r="63" spans="1:7">
      <c r="A63" t="s">
        <v>126</v>
      </c>
      <c r="B63" s="2">
        <v>536</v>
      </c>
    </row>
    <row r="64" spans="1:7">
      <c r="A64" t="s">
        <v>127</v>
      </c>
      <c r="B64" s="2">
        <v>800</v>
      </c>
    </row>
    <row r="65" spans="1:2">
      <c r="A65" t="s">
        <v>128</v>
      </c>
      <c r="B65" s="2">
        <v>482</v>
      </c>
    </row>
    <row r="66" spans="1:2">
      <c r="A66" t="s">
        <v>129</v>
      </c>
      <c r="B66" s="2">
        <v>306</v>
      </c>
    </row>
    <row r="67" spans="1:2">
      <c r="A67" t="s">
        <v>130</v>
      </c>
      <c r="B67" s="2">
        <v>264</v>
      </c>
    </row>
    <row r="68" spans="1:2">
      <c r="A68" t="s">
        <v>131</v>
      </c>
      <c r="B68" s="2">
        <v>201</v>
      </c>
    </row>
    <row r="69" spans="1:2">
      <c r="A69" t="s">
        <v>132</v>
      </c>
      <c r="B69" s="2">
        <v>3112</v>
      </c>
    </row>
  </sheetData>
  <mergeCells count="5">
    <mergeCell ref="A59:B59"/>
    <mergeCell ref="A51:B51"/>
    <mergeCell ref="B53:D53"/>
    <mergeCell ref="A1:B1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DCF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Ku</dc:creator>
  <cp:lastModifiedBy>Ryan Ku</cp:lastModifiedBy>
  <dcterms:created xsi:type="dcterms:W3CDTF">2022-08-22T01:15:21Z</dcterms:created>
  <dcterms:modified xsi:type="dcterms:W3CDTF">2022-09-07T02:02:15Z</dcterms:modified>
</cp:coreProperties>
</file>