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13_ncr:1_{43F3004A-B839-4B93-B628-143751F58E49}"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SNAP!$CF$404</definedName>
    <definedName name="CC_TimeValuePctThreshhold">SNAP!$FK$2</definedName>
    <definedName name="CoveredCallExpirationAnalysis" localSheetId="1">AutoFilters!$C$7:$D$8</definedName>
    <definedName name="CrashDiscount">SNAP!$E$1</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astShortCallUpdateInfo">SNAP!$FA$6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NextFridayOpex">SNAP!$E$5</definedName>
    <definedName name="NextMonthlyOpex">SNAP!$E$6</definedName>
    <definedName name="PATH_TO_OPTION_WBKS">"C:\Users\Lord &amp; Master\Desktop\Green Olive\Investing\option wbks\"</definedName>
    <definedName name="PositionDirection">[1]!Choices_PositionDirection</definedName>
    <definedName name="PUT_RESERVE_POA">SNAP!$CJ$405</definedName>
    <definedName name="PUT_RESERVE_POTENTIAL">SNAP!$CF$405</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5" i="2" s="1"/>
  <c r="EK161" i="2" s="1"/>
  <c r="EN390" i="2" l="1"/>
  <c r="EO390" i="2" s="1"/>
  <c r="EN311" i="2"/>
  <c r="EO311" i="2" s="1"/>
  <c r="EN244" i="2"/>
  <c r="EO244" i="2" s="1"/>
  <c r="EN175" i="2"/>
  <c r="EO175" i="2" s="1"/>
  <c r="EN161" i="2"/>
  <c r="EO161" i="2" s="1"/>
  <c r="E6" i="2"/>
  <c r="EK390" i="2" s="1"/>
  <c r="EK244" i="2"/>
  <c r="EK175" i="2"/>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44" i="2"/>
  <c r="BY24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162" i="2"/>
  <c r="BY162" i="2" s="1"/>
  <c r="BW163" i="2"/>
  <c r="BY163" i="2" s="1"/>
  <c r="BW164" i="2"/>
  <c r="BY164" i="2" s="1"/>
  <c r="BW165" i="2"/>
  <c r="BY165" i="2" s="1"/>
  <c r="BW175" i="2"/>
  <c r="BY175" i="2" s="1"/>
  <c r="BW166" i="2"/>
  <c r="BY166" i="2" s="1"/>
  <c r="BW64" i="2"/>
  <c r="BY64" i="2" s="1"/>
  <c r="BW168" i="2"/>
  <c r="BY168" i="2" s="1"/>
  <c r="BW169" i="2"/>
  <c r="BY169" i="2" s="1"/>
  <c r="BW170" i="2"/>
  <c r="BY170" i="2" s="1"/>
  <c r="BW171" i="2"/>
  <c r="BY171" i="2" s="1"/>
  <c r="BW172" i="2"/>
  <c r="BY172" i="2" s="1"/>
  <c r="BW173" i="2"/>
  <c r="BY173" i="2" s="1"/>
  <c r="BW174" i="2"/>
  <c r="BY174" i="2" s="1"/>
  <c r="BW167" i="2"/>
  <c r="BY167" i="2" s="1"/>
  <c r="BW176" i="2"/>
  <c r="BY176" i="2" s="1"/>
  <c r="BW177" i="2"/>
  <c r="BY177"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2" i="2"/>
  <c r="BY202" i="2" s="1"/>
  <c r="BW203" i="2"/>
  <c r="BY203" i="2" s="1"/>
  <c r="BW204" i="2"/>
  <c r="BY204" i="2" s="1"/>
  <c r="BW205" i="2"/>
  <c r="BY205" i="2" s="1"/>
  <c r="BW206" i="2"/>
  <c r="BY206" i="2" s="1"/>
  <c r="BW207" i="2"/>
  <c r="BY207" i="2" s="1"/>
  <c r="BW208" i="2"/>
  <c r="BY208" i="2" s="1"/>
  <c r="BW209" i="2"/>
  <c r="BY209" i="2" s="1"/>
  <c r="BW210" i="2"/>
  <c r="BY210" i="2" s="1"/>
  <c r="BW211" i="2"/>
  <c r="BY211" i="2" s="1"/>
  <c r="BW212" i="2"/>
  <c r="BY212" i="2" s="1"/>
  <c r="BW201" i="2"/>
  <c r="BY201" i="2" s="1"/>
  <c r="BW213" i="2"/>
  <c r="BY213" i="2" s="1"/>
  <c r="BW214" i="2"/>
  <c r="BY214" i="2" s="1"/>
  <c r="BW215" i="2"/>
  <c r="BY215" i="2" s="1"/>
  <c r="BW216" i="2"/>
  <c r="BY216"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30" i="2"/>
  <c r="BY230" i="2" s="1"/>
  <c r="BW231" i="2"/>
  <c r="BY231" i="2" s="1"/>
  <c r="BW232" i="2"/>
  <c r="BY232" i="2" s="1"/>
  <c r="BW233" i="2"/>
  <c r="BY233" i="2" s="1"/>
  <c r="BW234" i="2"/>
  <c r="BY234" i="2" s="1"/>
  <c r="BW236" i="2"/>
  <c r="BY236" i="2" s="1"/>
  <c r="BW237" i="2"/>
  <c r="BY237" i="2" s="1"/>
  <c r="BW238" i="2"/>
  <c r="BY238" i="2" s="1"/>
  <c r="BW239" i="2"/>
  <c r="BY239" i="2" s="1"/>
  <c r="BW240" i="2"/>
  <c r="BY240" i="2" s="1"/>
  <c r="BW241" i="2"/>
  <c r="BY241" i="2" s="1"/>
  <c r="BW242" i="2"/>
  <c r="BY242" i="2" s="1"/>
  <c r="BW243" i="2"/>
  <c r="BY243" i="2" s="1"/>
  <c r="BW245" i="2"/>
  <c r="BY245" i="2" s="1"/>
  <c r="BW246" i="2"/>
  <c r="BY246" i="2" s="1"/>
  <c r="BW247" i="2"/>
  <c r="BY247" i="2" s="1"/>
  <c r="BW248" i="2"/>
  <c r="BY248" i="2" s="1"/>
  <c r="BW249" i="2"/>
  <c r="BY249" i="2" s="1"/>
  <c r="BW250" i="2"/>
  <c r="BY250" i="2" s="1"/>
  <c r="BW251" i="2"/>
  <c r="BY251" i="2" s="1"/>
  <c r="BW252" i="2"/>
  <c r="BY252" i="2" s="1"/>
  <c r="BW161" i="2"/>
  <c r="BY161" i="2" s="1"/>
  <c r="BW311" i="2"/>
  <c r="BY311" i="2" s="1"/>
  <c r="BW227" i="2"/>
  <c r="BY227" i="2" s="1"/>
  <c r="BW228" i="2"/>
  <c r="BY228" i="2" s="1"/>
  <c r="BW257" i="2"/>
  <c r="BY257" i="2" s="1"/>
  <c r="BW258" i="2"/>
  <c r="BY258" i="2" s="1"/>
  <c r="BW261" i="2"/>
  <c r="BY261" i="2" s="1"/>
  <c r="BW263" i="2"/>
  <c r="BY263" i="2" s="1"/>
  <c r="BW229" i="2"/>
  <c r="BY229" i="2" s="1"/>
  <c r="BW253" i="2"/>
  <c r="BY253" i="2" s="1"/>
  <c r="BW254" i="2"/>
  <c r="BY254" i="2" s="1"/>
  <c r="BW255" i="2"/>
  <c r="BY255" i="2" s="1"/>
  <c r="BW256" i="2"/>
  <c r="BY256" i="2" s="1"/>
  <c r="BW259" i="2"/>
  <c r="BY259" i="2" s="1"/>
  <c r="BW265" i="2"/>
  <c r="BY265" i="2" s="1"/>
  <c r="BW266" i="2"/>
  <c r="BY266" i="2" s="1"/>
  <c r="BW260" i="2"/>
  <c r="BY260" i="2" s="1"/>
  <c r="BW262" i="2"/>
  <c r="BY262" i="2" s="1"/>
  <c r="BW264" i="2"/>
  <c r="BY264" i="2" s="1"/>
  <c r="BW235" i="2"/>
  <c r="BY235" i="2" s="1"/>
  <c r="BW267" i="2"/>
  <c r="BY267" i="2" s="1"/>
  <c r="BW268" i="2"/>
  <c r="BY268" i="2" s="1"/>
  <c r="BW269" i="2"/>
  <c r="BY269" i="2" s="1"/>
  <c r="BW270" i="2"/>
  <c r="BY270" i="2" s="1"/>
  <c r="BW271" i="2"/>
  <c r="BY271" i="2" s="1"/>
  <c r="BW272" i="2"/>
  <c r="BY272" i="2" s="1"/>
  <c r="BW273" i="2"/>
  <c r="BY273" i="2" s="1"/>
  <c r="BW274" i="2"/>
  <c r="BY274" i="2" s="1"/>
  <c r="BW275" i="2"/>
  <c r="BY275" i="2" s="1"/>
  <c r="BW276" i="2"/>
  <c r="BY276" i="2" s="1"/>
  <c r="BW277" i="2"/>
  <c r="BY277" i="2" s="1"/>
  <c r="BW278" i="2"/>
  <c r="BY278" i="2" s="1"/>
  <c r="BW279" i="2"/>
  <c r="BY279" i="2" s="1"/>
  <c r="BW280" i="2"/>
  <c r="BY280" i="2" s="1"/>
  <c r="BW281" i="2"/>
  <c r="BY281" i="2" s="1"/>
  <c r="BW282" i="2"/>
  <c r="BY282" i="2" s="1"/>
  <c r="BW283" i="2"/>
  <c r="BY283" i="2" s="1"/>
  <c r="BW284" i="2"/>
  <c r="BY284" i="2" s="1"/>
  <c r="BW285" i="2"/>
  <c r="BY285" i="2" s="1"/>
  <c r="BW286" i="2"/>
  <c r="BY286" i="2" s="1"/>
  <c r="BW287" i="2"/>
  <c r="BY287" i="2" s="1"/>
  <c r="BW288" i="2"/>
  <c r="BY288" i="2" s="1"/>
  <c r="BW289" i="2"/>
  <c r="BY289" i="2" s="1"/>
  <c r="BW290" i="2"/>
  <c r="BY290" i="2" s="1"/>
  <c r="BW291" i="2"/>
  <c r="BY291" i="2" s="1"/>
  <c r="BW293" i="2"/>
  <c r="BY293" i="2" s="1"/>
  <c r="BW294" i="2"/>
  <c r="BY294" i="2" s="1"/>
  <c r="BW295" i="2"/>
  <c r="BY295" i="2" s="1"/>
  <c r="BW296" i="2"/>
  <c r="BY296" i="2" s="1"/>
  <c r="BW297" i="2"/>
  <c r="BY297" i="2" s="1"/>
  <c r="BW298" i="2"/>
  <c r="BY298" i="2" s="1"/>
  <c r="BW299" i="2"/>
  <c r="BY299" i="2" s="1"/>
  <c r="BW300" i="2"/>
  <c r="BY300" i="2" s="1"/>
  <c r="BW301" i="2"/>
  <c r="BY301" i="2" s="1"/>
  <c r="BW302" i="2"/>
  <c r="BY302" i="2" s="1"/>
  <c r="BW303" i="2"/>
  <c r="BY303" i="2" s="1"/>
  <c r="BW304" i="2"/>
  <c r="BY304" i="2" s="1"/>
  <c r="BW305" i="2"/>
  <c r="BY305" i="2" s="1"/>
  <c r="BW306" i="2"/>
  <c r="BY306" i="2" s="1"/>
  <c r="BW307" i="2"/>
  <c r="BY307" i="2" s="1"/>
  <c r="BW308" i="2"/>
  <c r="BY308" i="2" s="1"/>
  <c r="BW309" i="2"/>
  <c r="BY309" i="2" s="1"/>
  <c r="BW310" i="2"/>
  <c r="BY310" i="2" s="1"/>
  <c r="BW364" i="2"/>
  <c r="BY364" i="2" s="1"/>
  <c r="BW312" i="2"/>
  <c r="BY312" i="2" s="1"/>
  <c r="BW313" i="2"/>
  <c r="BY313" i="2" s="1"/>
  <c r="BW314" i="2"/>
  <c r="BY314" i="2" s="1"/>
  <c r="BW315" i="2"/>
  <c r="BY315"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35" i="2"/>
  <c r="BY335" i="2" s="1"/>
  <c r="BW336" i="2"/>
  <c r="BY336" i="2" s="1"/>
  <c r="BW337" i="2"/>
  <c r="BY337" i="2" s="1"/>
  <c r="BW338" i="2"/>
  <c r="BY338" i="2" s="1"/>
  <c r="BW339" i="2"/>
  <c r="BY339" i="2" s="1"/>
  <c r="BW340" i="2"/>
  <c r="BY340" i="2" s="1"/>
  <c r="BW341" i="2"/>
  <c r="BY341" i="2" s="1"/>
  <c r="BW342" i="2"/>
  <c r="BY342" i="2" s="1"/>
  <c r="BW343" i="2"/>
  <c r="BY343" i="2" s="1"/>
  <c r="BW344" i="2"/>
  <c r="BY344" i="2" s="1"/>
  <c r="BW345" i="2"/>
  <c r="BY345" i="2" s="1"/>
  <c r="BW346" i="2"/>
  <c r="BY346" i="2" s="1"/>
  <c r="BW347" i="2"/>
  <c r="BY347" i="2" s="1"/>
  <c r="BW348" i="2"/>
  <c r="BY348" i="2" s="1"/>
  <c r="BW349" i="2"/>
  <c r="BY349" i="2" s="1"/>
  <c r="BW350" i="2"/>
  <c r="BY350" i="2" s="1"/>
  <c r="BW351" i="2"/>
  <c r="BY351"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292" i="2"/>
  <c r="BY292"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377" i="2"/>
  <c r="BY377"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EK311" i="2" l="1"/>
  <c r="CD386" i="2"/>
  <c r="CD198" i="2"/>
  <c r="CD370" i="2"/>
  <c r="CD182" i="2"/>
  <c r="CD354" i="2"/>
  <c r="CD152" i="2"/>
  <c r="CD338" i="2"/>
  <c r="CD136" i="2"/>
  <c r="CD322" i="2"/>
  <c r="CD120" i="2"/>
  <c r="CD306" i="2"/>
  <c r="CD104" i="2"/>
  <c r="CD290" i="2"/>
  <c r="CD88" i="2"/>
  <c r="CD274" i="2"/>
  <c r="CD72" i="2"/>
  <c r="CD56" i="2"/>
  <c r="CD40" i="2"/>
  <c r="CD39" i="2"/>
  <c r="CD250" i="2"/>
  <c r="CD24" i="2"/>
  <c r="CD234" i="2"/>
  <c r="CD23" i="2"/>
  <c r="CD385" i="2"/>
  <c r="CD369" i="2"/>
  <c r="CD353" i="2"/>
  <c r="CD337" i="2"/>
  <c r="CD321" i="2"/>
  <c r="CD305" i="2"/>
  <c r="CD289" i="2"/>
  <c r="CD273" i="2"/>
  <c r="CD259" i="2"/>
  <c r="CD249" i="2"/>
  <c r="CD233" i="2"/>
  <c r="CD218" i="2"/>
  <c r="CD201" i="2"/>
  <c r="CD197" i="2"/>
  <c r="CD181" i="2"/>
  <c r="CD166" i="2"/>
  <c r="CD151" i="2"/>
  <c r="CD135" i="2"/>
  <c r="CD119" i="2"/>
  <c r="CD103" i="2"/>
  <c r="CD87" i="2"/>
  <c r="CD71" i="2"/>
  <c r="CD55" i="2"/>
  <c r="CD384" i="2"/>
  <c r="CD368" i="2"/>
  <c r="CD352" i="2"/>
  <c r="CD336" i="2"/>
  <c r="CD320" i="2"/>
  <c r="CD304" i="2"/>
  <c r="CD288" i="2"/>
  <c r="CD272" i="2"/>
  <c r="CD256" i="2"/>
  <c r="CD311" i="2"/>
  <c r="CD248" i="2"/>
  <c r="CD232" i="2"/>
  <c r="CD217" i="2"/>
  <c r="CD212" i="2"/>
  <c r="CD196" i="2"/>
  <c r="CD180" i="2"/>
  <c r="CD167" i="2"/>
  <c r="CD150" i="2"/>
  <c r="CD134" i="2"/>
  <c r="CD118" i="2"/>
  <c r="CD102" i="2"/>
  <c r="CD86" i="2"/>
  <c r="CD70" i="2"/>
  <c r="CD54" i="2"/>
  <c r="CD38" i="2"/>
  <c r="CD22" i="2"/>
  <c r="CD383" i="2"/>
  <c r="CD367" i="2"/>
  <c r="CD351" i="2"/>
  <c r="CD335" i="2"/>
  <c r="CD319" i="2"/>
  <c r="CD303" i="2"/>
  <c r="CD287" i="2"/>
  <c r="CD271" i="2"/>
  <c r="CD255" i="2"/>
  <c r="CD247" i="2"/>
  <c r="CD231" i="2"/>
  <c r="CD216" i="2"/>
  <c r="CD211" i="2"/>
  <c r="CD195" i="2"/>
  <c r="CD179" i="2"/>
  <c r="CD165" i="2"/>
  <c r="CD149" i="2"/>
  <c r="CD133" i="2"/>
  <c r="CD117" i="2"/>
  <c r="CD101" i="2"/>
  <c r="CD85" i="2"/>
  <c r="CD69" i="2"/>
  <c r="CD53" i="2"/>
  <c r="CD37" i="2"/>
  <c r="CD21" i="2"/>
  <c r="CD244" i="2"/>
  <c r="CD382" i="2"/>
  <c r="CD366" i="2"/>
  <c r="CD350" i="2"/>
  <c r="CD334" i="2"/>
  <c r="CD318" i="2"/>
  <c r="CD302" i="2"/>
  <c r="CD286" i="2"/>
  <c r="CD270" i="2"/>
  <c r="CD254" i="2"/>
  <c r="CD246" i="2"/>
  <c r="CD230" i="2"/>
  <c r="CD215" i="2"/>
  <c r="CD210" i="2"/>
  <c r="CD194" i="2"/>
  <c r="CD178" i="2"/>
  <c r="CD164" i="2"/>
  <c r="CD148" i="2"/>
  <c r="CD132" i="2"/>
  <c r="CD116" i="2"/>
  <c r="CD100" i="2"/>
  <c r="CD84" i="2"/>
  <c r="CD68" i="2"/>
  <c r="CD52" i="2"/>
  <c r="CD36" i="2"/>
  <c r="CD20" i="2"/>
  <c r="CD381" i="2"/>
  <c r="CD365" i="2"/>
  <c r="CD349" i="2"/>
  <c r="CD333" i="2"/>
  <c r="CD317" i="2"/>
  <c r="CD301" i="2"/>
  <c r="CD285" i="2"/>
  <c r="CD269" i="2"/>
  <c r="CD253" i="2"/>
  <c r="CD245" i="2"/>
  <c r="CD227" i="2"/>
  <c r="CD214" i="2"/>
  <c r="CD209" i="2"/>
  <c r="CD193" i="2"/>
  <c r="CD177" i="2"/>
  <c r="CD163" i="2"/>
  <c r="CD147" i="2"/>
  <c r="CD131" i="2"/>
  <c r="CD115" i="2"/>
  <c r="CD99" i="2"/>
  <c r="CD83" i="2"/>
  <c r="CD67" i="2"/>
  <c r="CD51" i="2"/>
  <c r="CD35" i="2"/>
  <c r="CD19" i="2"/>
  <c r="CD380" i="2"/>
  <c r="CD364" i="2"/>
  <c r="CD348" i="2"/>
  <c r="CD332" i="2"/>
  <c r="CD316" i="2"/>
  <c r="CD300" i="2"/>
  <c r="CD284" i="2"/>
  <c r="CD268" i="2"/>
  <c r="CD258" i="2"/>
  <c r="CD213" i="2"/>
  <c r="CD208" i="2"/>
  <c r="CD192" i="2"/>
  <c r="CD176" i="2"/>
  <c r="CD162" i="2"/>
  <c r="CD146" i="2"/>
  <c r="CD130" i="2"/>
  <c r="CD114" i="2"/>
  <c r="CD98" i="2"/>
  <c r="CD82" i="2"/>
  <c r="CD66" i="2"/>
  <c r="CD50" i="2"/>
  <c r="CD34" i="2"/>
  <c r="CD18" i="2"/>
  <c r="CD379" i="2"/>
  <c r="CD363" i="2"/>
  <c r="CD347" i="2"/>
  <c r="CD331" i="2"/>
  <c r="CD315" i="2"/>
  <c r="CD299" i="2"/>
  <c r="CD283" i="2"/>
  <c r="CD267" i="2"/>
  <c r="CD257" i="2"/>
  <c r="CD229" i="2"/>
  <c r="CD243" i="2"/>
  <c r="CD207" i="2"/>
  <c r="CD191" i="2"/>
  <c r="CD228" i="2"/>
  <c r="CD145" i="2"/>
  <c r="CD129" i="2"/>
  <c r="CD113" i="2"/>
  <c r="CD97" i="2"/>
  <c r="CD81" i="2"/>
  <c r="CD65" i="2"/>
  <c r="CD49" i="2"/>
  <c r="CD33" i="2"/>
  <c r="CD17" i="2"/>
  <c r="CD261" i="2"/>
  <c r="CD394" i="2"/>
  <c r="CD378" i="2"/>
  <c r="CD362" i="2"/>
  <c r="CD346" i="2"/>
  <c r="CD330" i="2"/>
  <c r="CD314" i="2"/>
  <c r="CD298" i="2"/>
  <c r="CD282" i="2"/>
  <c r="CD161" i="2"/>
  <c r="CD242" i="2"/>
  <c r="CD226" i="2"/>
  <c r="CD206" i="2"/>
  <c r="CD190" i="2"/>
  <c r="CD174" i="2"/>
  <c r="CD160" i="2"/>
  <c r="CD144" i="2"/>
  <c r="CD128" i="2"/>
  <c r="CD112" i="2"/>
  <c r="CD96" i="2"/>
  <c r="CD80" i="2"/>
  <c r="CD175" i="2"/>
  <c r="CD48" i="2"/>
  <c r="CD32" i="2"/>
  <c r="CD16" i="2"/>
  <c r="CD393" i="2"/>
  <c r="CD377" i="2"/>
  <c r="CD361" i="2"/>
  <c r="CD345" i="2"/>
  <c r="CD329" i="2"/>
  <c r="CD313" i="2"/>
  <c r="CD297" i="2"/>
  <c r="CD281" i="2"/>
  <c r="CD266" i="2"/>
  <c r="CD241" i="2"/>
  <c r="CD225" i="2"/>
  <c r="CD205" i="2"/>
  <c r="CD189" i="2"/>
  <c r="CD173" i="2"/>
  <c r="CD159" i="2"/>
  <c r="CD143" i="2"/>
  <c r="CD127" i="2"/>
  <c r="CD111" i="2"/>
  <c r="CD95" i="2"/>
  <c r="CD79" i="2"/>
  <c r="CD63" i="2"/>
  <c r="CD47" i="2"/>
  <c r="CD31" i="2"/>
  <c r="CD15" i="2"/>
  <c r="CD392" i="2"/>
  <c r="CD376" i="2"/>
  <c r="CD360" i="2"/>
  <c r="CD344" i="2"/>
  <c r="CD328" i="2"/>
  <c r="CD312" i="2"/>
  <c r="CD296" i="2"/>
  <c r="CD280" i="2"/>
  <c r="CD265" i="2"/>
  <c r="CD235" i="2"/>
  <c r="CD252" i="2"/>
  <c r="CD240" i="2"/>
  <c r="CD224" i="2"/>
  <c r="CD204" i="2"/>
  <c r="CD188" i="2"/>
  <c r="CD172" i="2"/>
  <c r="CD158" i="2"/>
  <c r="CD142" i="2"/>
  <c r="CD126" i="2"/>
  <c r="CD110" i="2"/>
  <c r="CD94" i="2"/>
  <c r="CD78" i="2"/>
  <c r="CD62" i="2"/>
  <c r="CD46" i="2"/>
  <c r="CD30" i="2"/>
  <c r="CD14" i="2"/>
  <c r="CD391" i="2"/>
  <c r="CD375" i="2"/>
  <c r="CD359" i="2"/>
  <c r="CD343" i="2"/>
  <c r="CD327" i="2"/>
  <c r="CD308" i="2"/>
  <c r="CD295" i="2"/>
  <c r="CD279" i="2"/>
  <c r="CD264" i="2"/>
  <c r="CD239" i="2"/>
  <c r="CD223" i="2"/>
  <c r="CD203" i="2"/>
  <c r="CD187" i="2"/>
  <c r="CD171" i="2"/>
  <c r="CD157" i="2"/>
  <c r="CD141" i="2"/>
  <c r="CD125" i="2"/>
  <c r="CD109" i="2"/>
  <c r="CD93" i="2"/>
  <c r="CD77" i="2"/>
  <c r="CD61" i="2"/>
  <c r="CD45" i="2"/>
  <c r="CD29" i="2"/>
  <c r="CD13" i="2"/>
  <c r="CD390" i="2"/>
  <c r="CD374" i="2"/>
  <c r="CD358" i="2"/>
  <c r="CD342" i="2"/>
  <c r="CD326" i="2"/>
  <c r="CD310" i="2"/>
  <c r="CD294" i="2"/>
  <c r="CD278" i="2"/>
  <c r="CD262" i="2"/>
  <c r="CD238" i="2"/>
  <c r="CD222" i="2"/>
  <c r="CD202" i="2"/>
  <c r="CD186" i="2"/>
  <c r="CD170" i="2"/>
  <c r="CD156" i="2"/>
  <c r="CD140" i="2"/>
  <c r="CD124" i="2"/>
  <c r="CD108" i="2"/>
  <c r="CD92" i="2"/>
  <c r="CD76" i="2"/>
  <c r="CD60" i="2"/>
  <c r="CD44" i="2"/>
  <c r="CD28" i="2"/>
  <c r="CD12" i="2"/>
  <c r="CD389" i="2"/>
  <c r="CD373" i="2"/>
  <c r="CD357" i="2"/>
  <c r="CD341" i="2"/>
  <c r="CD325" i="2"/>
  <c r="CD309" i="2"/>
  <c r="CD293" i="2"/>
  <c r="CD277" i="2"/>
  <c r="CD292" i="2"/>
  <c r="CD237" i="2"/>
  <c r="CD221" i="2"/>
  <c r="CD64" i="2"/>
  <c r="CD185" i="2"/>
  <c r="CD169" i="2"/>
  <c r="CD155" i="2"/>
  <c r="CD139" i="2"/>
  <c r="CD123" i="2"/>
  <c r="CD107" i="2"/>
  <c r="CD91" i="2"/>
  <c r="CD75" i="2"/>
  <c r="CD59" i="2"/>
  <c r="CD43" i="2"/>
  <c r="CD27" i="2"/>
  <c r="CD11" i="2"/>
  <c r="CD388" i="2"/>
  <c r="CD372" i="2"/>
  <c r="CD356" i="2"/>
  <c r="CD340" i="2"/>
  <c r="CD324" i="2"/>
  <c r="CD276" i="2"/>
  <c r="CD260" i="2"/>
  <c r="CD236" i="2"/>
  <c r="CD220" i="2"/>
  <c r="CD200" i="2"/>
  <c r="CD184" i="2"/>
  <c r="CD168" i="2"/>
  <c r="CD154" i="2"/>
  <c r="CD138" i="2"/>
  <c r="CD122" i="2"/>
  <c r="CD106" i="2"/>
  <c r="CD90" i="2"/>
  <c r="CD74" i="2"/>
  <c r="CD58" i="2"/>
  <c r="CD42" i="2"/>
  <c r="CD26" i="2"/>
  <c r="CD10" i="2"/>
  <c r="CD387" i="2"/>
  <c r="CD371" i="2"/>
  <c r="CD355" i="2"/>
  <c r="CD339" i="2"/>
  <c r="CD323" i="2"/>
  <c r="CD307" i="2"/>
  <c r="CD291" i="2"/>
  <c r="CD275" i="2"/>
  <c r="CD263" i="2"/>
  <c r="CD251" i="2"/>
  <c r="CD219" i="2"/>
  <c r="CD199" i="2"/>
  <c r="CD183" i="2"/>
  <c r="CD153" i="2"/>
  <c r="CD137" i="2"/>
  <c r="CD121" i="2"/>
  <c r="CD105" i="2"/>
  <c r="CD89" i="2"/>
  <c r="CD73" i="2"/>
  <c r="CD57" i="2"/>
  <c r="CD41" i="2"/>
  <c r="CD25" i="2"/>
  <c r="CD9" i="2"/>
  <c r="CC368" i="2"/>
  <c r="CC367" i="2"/>
  <c r="CC352" i="2"/>
  <c r="BX243" i="2"/>
  <c r="CC351" i="2"/>
  <c r="CB392" i="2"/>
  <c r="CB280" i="2"/>
  <c r="CB279" i="2"/>
  <c r="CC311" i="2"/>
  <c r="CB264" i="2"/>
  <c r="CC196" i="2"/>
  <c r="CC195" i="2"/>
  <c r="CC180" i="2"/>
  <c r="CC179" i="2"/>
  <c r="CB110" i="2"/>
  <c r="CC70" i="2"/>
  <c r="CB109" i="2"/>
  <c r="CC69" i="2"/>
  <c r="CB94" i="2"/>
  <c r="CC54" i="2"/>
  <c r="CB93" i="2"/>
  <c r="CC53" i="2"/>
  <c r="CB391" i="2"/>
  <c r="CB204" i="2"/>
  <c r="CB78" i="2"/>
  <c r="CC336" i="2"/>
  <c r="CC175" i="2"/>
  <c r="CC38" i="2"/>
  <c r="CB376" i="2"/>
  <c r="CB203" i="2"/>
  <c r="CB77" i="2"/>
  <c r="CC335" i="2"/>
  <c r="CC165" i="2"/>
  <c r="CC37" i="2"/>
  <c r="CB375" i="2"/>
  <c r="CB188" i="2"/>
  <c r="CB62" i="2"/>
  <c r="CC320" i="2"/>
  <c r="CC248" i="2"/>
  <c r="CC150" i="2"/>
  <c r="CC22" i="2"/>
  <c r="CB360" i="2"/>
  <c r="CB187" i="2"/>
  <c r="CB61" i="2"/>
  <c r="CC319" i="2"/>
  <c r="CC247" i="2"/>
  <c r="CC149" i="2"/>
  <c r="CC21" i="2"/>
  <c r="CB359" i="2"/>
  <c r="CB172" i="2"/>
  <c r="CB46" i="2"/>
  <c r="CC304" i="2"/>
  <c r="CC232" i="2"/>
  <c r="CC134" i="2"/>
  <c r="CB265" i="2"/>
  <c r="CB344" i="2"/>
  <c r="CB171" i="2"/>
  <c r="CB45" i="2"/>
  <c r="CC303" i="2"/>
  <c r="CC231" i="2"/>
  <c r="CC133" i="2"/>
  <c r="CB343" i="2"/>
  <c r="CB161" i="2"/>
  <c r="CB158" i="2"/>
  <c r="CB30" i="2"/>
  <c r="CC288" i="2"/>
  <c r="CC217" i="2"/>
  <c r="CC118" i="2"/>
  <c r="CB328" i="2"/>
  <c r="CB157" i="2"/>
  <c r="CB29" i="2"/>
  <c r="CC287" i="2"/>
  <c r="CC216" i="2"/>
  <c r="CC117" i="2"/>
  <c r="CB327" i="2"/>
  <c r="CB240" i="2"/>
  <c r="CB142" i="2"/>
  <c r="CB14" i="2"/>
  <c r="CC272" i="2"/>
  <c r="CC102" i="2"/>
  <c r="CB312" i="2"/>
  <c r="CB239" i="2"/>
  <c r="CB141" i="2"/>
  <c r="CB13" i="2"/>
  <c r="CC271" i="2"/>
  <c r="CC101" i="2"/>
  <c r="CB296" i="2"/>
  <c r="CB224" i="2"/>
  <c r="CB126" i="2"/>
  <c r="CC384" i="2"/>
  <c r="CC256" i="2"/>
  <c r="CC212" i="2"/>
  <c r="CC86" i="2"/>
  <c r="CB295" i="2"/>
  <c r="CB223" i="2"/>
  <c r="CB125" i="2"/>
  <c r="CC383" i="2"/>
  <c r="CC255" i="2"/>
  <c r="CC211" i="2"/>
  <c r="CC85" i="2"/>
  <c r="BX17" i="2"/>
  <c r="BX229" i="2"/>
  <c r="CP229" i="2" s="1"/>
  <c r="CB390" i="2"/>
  <c r="CB374" i="2"/>
  <c r="CB358" i="2"/>
  <c r="CB342" i="2"/>
  <c r="CB326" i="2"/>
  <c r="CB310" i="2"/>
  <c r="CB294" i="2"/>
  <c r="CB278" i="2"/>
  <c r="CB262" i="2"/>
  <c r="CB252" i="2"/>
  <c r="CB238" i="2"/>
  <c r="CB222" i="2"/>
  <c r="CB202" i="2"/>
  <c r="CB186" i="2"/>
  <c r="CB170" i="2"/>
  <c r="CB156" i="2"/>
  <c r="CB140" i="2"/>
  <c r="CB124" i="2"/>
  <c r="CB108" i="2"/>
  <c r="CB92" i="2"/>
  <c r="CB76" i="2"/>
  <c r="CB60" i="2"/>
  <c r="CB44" i="2"/>
  <c r="CB28" i="2"/>
  <c r="CB12" i="2"/>
  <c r="CC382" i="2"/>
  <c r="CC366" i="2"/>
  <c r="CC350" i="2"/>
  <c r="CC334" i="2"/>
  <c r="CC318" i="2"/>
  <c r="CC302" i="2"/>
  <c r="CC286" i="2"/>
  <c r="CC270" i="2"/>
  <c r="CC254" i="2"/>
  <c r="CC246" i="2"/>
  <c r="CC230" i="2"/>
  <c r="CC215" i="2"/>
  <c r="CC210" i="2"/>
  <c r="CC194" i="2"/>
  <c r="CC178" i="2"/>
  <c r="CC164" i="2"/>
  <c r="CC148" i="2"/>
  <c r="CC132" i="2"/>
  <c r="CC116" i="2"/>
  <c r="CC100" i="2"/>
  <c r="CC84" i="2"/>
  <c r="CC68" i="2"/>
  <c r="CC52" i="2"/>
  <c r="CC36" i="2"/>
  <c r="CC20" i="2"/>
  <c r="BX33" i="2"/>
  <c r="CB389" i="2"/>
  <c r="CB373" i="2"/>
  <c r="CB357" i="2"/>
  <c r="CB341" i="2"/>
  <c r="CB325" i="2"/>
  <c r="CB309" i="2"/>
  <c r="CB293" i="2"/>
  <c r="CB277" i="2"/>
  <c r="CB292" i="2"/>
  <c r="CB237" i="2"/>
  <c r="CB221" i="2"/>
  <c r="CB201" i="2"/>
  <c r="CB185" i="2"/>
  <c r="CB169" i="2"/>
  <c r="CB155" i="2"/>
  <c r="CB139" i="2"/>
  <c r="CB123" i="2"/>
  <c r="CB107" i="2"/>
  <c r="CB91" i="2"/>
  <c r="CB75" i="2"/>
  <c r="CB59" i="2"/>
  <c r="CB43" i="2"/>
  <c r="CB27" i="2"/>
  <c r="CB11" i="2"/>
  <c r="CC381" i="2"/>
  <c r="CC365" i="2"/>
  <c r="CC349" i="2"/>
  <c r="CC333" i="2"/>
  <c r="CC317" i="2"/>
  <c r="CC301" i="2"/>
  <c r="CC285" i="2"/>
  <c r="CC269" i="2"/>
  <c r="CC253" i="2"/>
  <c r="CC245" i="2"/>
  <c r="CC227" i="2"/>
  <c r="CC214" i="2"/>
  <c r="CC209" i="2"/>
  <c r="CC193" i="2"/>
  <c r="CC177" i="2"/>
  <c r="CC163" i="2"/>
  <c r="CC147" i="2"/>
  <c r="CC131" i="2"/>
  <c r="CC115" i="2"/>
  <c r="CC99" i="2"/>
  <c r="CC83" i="2"/>
  <c r="CC67" i="2"/>
  <c r="CC51" i="2"/>
  <c r="CC35" i="2"/>
  <c r="CC19" i="2"/>
  <c r="BX49" i="2"/>
  <c r="CB388" i="2"/>
  <c r="CB372" i="2"/>
  <c r="CB356" i="2"/>
  <c r="CB340" i="2"/>
  <c r="CB324" i="2"/>
  <c r="CB276" i="2"/>
  <c r="CB260" i="2"/>
  <c r="CB236" i="2"/>
  <c r="CB220" i="2"/>
  <c r="CB200" i="2"/>
  <c r="CB184" i="2"/>
  <c r="CB168" i="2"/>
  <c r="CB154" i="2"/>
  <c r="CB138" i="2"/>
  <c r="CB122" i="2"/>
  <c r="CB106" i="2"/>
  <c r="CB90" i="2"/>
  <c r="CB74" i="2"/>
  <c r="CB58" i="2"/>
  <c r="CB42" i="2"/>
  <c r="CB26" i="2"/>
  <c r="CB10" i="2"/>
  <c r="CC380" i="2"/>
  <c r="CC364" i="2"/>
  <c r="CC348" i="2"/>
  <c r="CC332" i="2"/>
  <c r="CC316" i="2"/>
  <c r="CC300" i="2"/>
  <c r="CC284" i="2"/>
  <c r="CC268" i="2"/>
  <c r="CC213" i="2"/>
  <c r="CC208" i="2"/>
  <c r="CC192" i="2"/>
  <c r="CC176" i="2"/>
  <c r="CC162" i="2"/>
  <c r="CC146" i="2"/>
  <c r="CC130" i="2"/>
  <c r="CC114" i="2"/>
  <c r="CC98" i="2"/>
  <c r="CC82" i="2"/>
  <c r="CC66" i="2"/>
  <c r="CC50" i="2"/>
  <c r="CC34" i="2"/>
  <c r="CC18" i="2"/>
  <c r="CB308" i="2"/>
  <c r="BX65" i="2"/>
  <c r="BX258" i="2"/>
  <c r="CB387" i="2"/>
  <c r="CB371" i="2"/>
  <c r="CB355" i="2"/>
  <c r="CB339" i="2"/>
  <c r="CB323" i="2"/>
  <c r="CB307" i="2"/>
  <c r="CB291" i="2"/>
  <c r="CB275" i="2"/>
  <c r="CB263" i="2"/>
  <c r="CB251" i="2"/>
  <c r="CB219" i="2"/>
  <c r="CB199" i="2"/>
  <c r="CB183" i="2"/>
  <c r="CB153" i="2"/>
  <c r="CB137" i="2"/>
  <c r="CB121" i="2"/>
  <c r="CB105" i="2"/>
  <c r="CB89" i="2"/>
  <c r="CB73" i="2"/>
  <c r="CB57" i="2"/>
  <c r="CB41" i="2"/>
  <c r="CB25" i="2"/>
  <c r="CB9" i="2"/>
  <c r="CC379" i="2"/>
  <c r="CC363" i="2"/>
  <c r="CC347" i="2"/>
  <c r="CC331" i="2"/>
  <c r="CC315" i="2"/>
  <c r="CC299" i="2"/>
  <c r="CC283" i="2"/>
  <c r="CC267" i="2"/>
  <c r="CC258" i="2"/>
  <c r="CC229" i="2"/>
  <c r="CC243" i="2"/>
  <c r="CC207" i="2"/>
  <c r="CC191" i="2"/>
  <c r="CC244" i="2"/>
  <c r="CC145" i="2"/>
  <c r="CC129" i="2"/>
  <c r="CC113" i="2"/>
  <c r="CC97" i="2"/>
  <c r="CC81" i="2"/>
  <c r="CC65" i="2"/>
  <c r="CC49" i="2"/>
  <c r="CC33" i="2"/>
  <c r="CC17" i="2"/>
  <c r="BX81" i="2"/>
  <c r="BX267" i="2"/>
  <c r="CB386" i="2"/>
  <c r="CB370" i="2"/>
  <c r="CB354" i="2"/>
  <c r="CB338" i="2"/>
  <c r="CB322" i="2"/>
  <c r="CB306" i="2"/>
  <c r="CB290" i="2"/>
  <c r="CB274" i="2"/>
  <c r="CB261" i="2"/>
  <c r="CB250" i="2"/>
  <c r="CB234" i="2"/>
  <c r="CB198" i="2"/>
  <c r="CB182" i="2"/>
  <c r="CB167" i="2"/>
  <c r="CB152" i="2"/>
  <c r="CB136" i="2"/>
  <c r="CB120" i="2"/>
  <c r="CB104" i="2"/>
  <c r="CB88" i="2"/>
  <c r="CB72" i="2"/>
  <c r="CB56" i="2"/>
  <c r="CB40" i="2"/>
  <c r="CB24" i="2"/>
  <c r="CC394" i="2"/>
  <c r="CC378" i="2"/>
  <c r="CC362" i="2"/>
  <c r="CC346" i="2"/>
  <c r="CC330" i="2"/>
  <c r="CC314" i="2"/>
  <c r="CC298" i="2"/>
  <c r="CC282" i="2"/>
  <c r="CC257" i="2"/>
  <c r="CC228" i="2"/>
  <c r="CC242" i="2"/>
  <c r="CC226" i="2"/>
  <c r="CC206" i="2"/>
  <c r="CC190" i="2"/>
  <c r="CC174" i="2"/>
  <c r="CC160" i="2"/>
  <c r="CC144" i="2"/>
  <c r="CC128" i="2"/>
  <c r="CC112" i="2"/>
  <c r="CC96" i="2"/>
  <c r="CC80" i="2"/>
  <c r="CC64" i="2"/>
  <c r="CC48" i="2"/>
  <c r="CC32" i="2"/>
  <c r="CC16" i="2"/>
  <c r="BX97" i="2"/>
  <c r="BX283" i="2"/>
  <c r="CB385" i="2"/>
  <c r="CB369" i="2"/>
  <c r="CB353" i="2"/>
  <c r="CB337" i="2"/>
  <c r="CB321" i="2"/>
  <c r="CB305" i="2"/>
  <c r="CB289" i="2"/>
  <c r="CB273" i="2"/>
  <c r="CB259" i="2"/>
  <c r="CB235" i="2"/>
  <c r="CB249" i="2"/>
  <c r="CB233" i="2"/>
  <c r="CB218" i="2"/>
  <c r="CB197" i="2"/>
  <c r="CB181" i="2"/>
  <c r="CB166" i="2"/>
  <c r="CB151" i="2"/>
  <c r="CB135" i="2"/>
  <c r="CB119" i="2"/>
  <c r="CB103" i="2"/>
  <c r="CB87" i="2"/>
  <c r="CB71" i="2"/>
  <c r="CB55" i="2"/>
  <c r="CB39" i="2"/>
  <c r="CB23" i="2"/>
  <c r="CC393" i="2"/>
  <c r="CC377" i="2"/>
  <c r="CC361" i="2"/>
  <c r="CC345" i="2"/>
  <c r="CC329" i="2"/>
  <c r="CC313" i="2"/>
  <c r="CC297" i="2"/>
  <c r="CC281" i="2"/>
  <c r="CC266" i="2"/>
  <c r="CC241" i="2"/>
  <c r="CC225" i="2"/>
  <c r="CC205" i="2"/>
  <c r="CC189" i="2"/>
  <c r="CC173" i="2"/>
  <c r="CC159" i="2"/>
  <c r="CC143" i="2"/>
  <c r="CC127" i="2"/>
  <c r="CC111" i="2"/>
  <c r="CC95" i="2"/>
  <c r="CC79" i="2"/>
  <c r="CC63" i="2"/>
  <c r="CC47" i="2"/>
  <c r="CC31" i="2"/>
  <c r="CC15" i="2"/>
  <c r="BX113" i="2"/>
  <c r="BX299" i="2"/>
  <c r="CB384" i="2"/>
  <c r="CB368" i="2"/>
  <c r="CB352" i="2"/>
  <c r="CB336" i="2"/>
  <c r="CB320" i="2"/>
  <c r="CB304" i="2"/>
  <c r="CB288" i="2"/>
  <c r="CB272" i="2"/>
  <c r="CB256" i="2"/>
  <c r="CB311" i="2"/>
  <c r="CB248" i="2"/>
  <c r="CB232" i="2"/>
  <c r="CB217" i="2"/>
  <c r="CB212" i="2"/>
  <c r="CB196" i="2"/>
  <c r="CB180" i="2"/>
  <c r="CB175" i="2"/>
  <c r="CB150" i="2"/>
  <c r="CB134" i="2"/>
  <c r="CB118" i="2"/>
  <c r="CB102" i="2"/>
  <c r="CB86" i="2"/>
  <c r="CB70" i="2"/>
  <c r="CB54" i="2"/>
  <c r="CB38" i="2"/>
  <c r="CB22" i="2"/>
  <c r="CC392" i="2"/>
  <c r="CC376" i="2"/>
  <c r="CC360" i="2"/>
  <c r="CC344" i="2"/>
  <c r="CC328" i="2"/>
  <c r="CC312" i="2"/>
  <c r="CC296" i="2"/>
  <c r="CC280" i="2"/>
  <c r="CC265" i="2"/>
  <c r="CC161" i="2"/>
  <c r="CC240" i="2"/>
  <c r="CC224" i="2"/>
  <c r="CC204" i="2"/>
  <c r="CC188" i="2"/>
  <c r="CC172" i="2"/>
  <c r="CC158" i="2"/>
  <c r="CC142" i="2"/>
  <c r="CC126" i="2"/>
  <c r="CC110" i="2"/>
  <c r="CC94" i="2"/>
  <c r="CC78" i="2"/>
  <c r="CC62" i="2"/>
  <c r="CC46" i="2"/>
  <c r="CC30" i="2"/>
  <c r="CC14" i="2"/>
  <c r="BX129" i="2"/>
  <c r="BX315" i="2"/>
  <c r="CB383" i="2"/>
  <c r="CB367" i="2"/>
  <c r="CB351" i="2"/>
  <c r="CB335" i="2"/>
  <c r="CB319" i="2"/>
  <c r="CB303" i="2"/>
  <c r="CB287" i="2"/>
  <c r="CB271" i="2"/>
  <c r="CB255" i="2"/>
  <c r="CB247" i="2"/>
  <c r="CB231" i="2"/>
  <c r="CB216" i="2"/>
  <c r="CB211" i="2"/>
  <c r="CB195" i="2"/>
  <c r="CB179" i="2"/>
  <c r="CB165" i="2"/>
  <c r="CB149" i="2"/>
  <c r="CB133" i="2"/>
  <c r="CB117" i="2"/>
  <c r="CB101" i="2"/>
  <c r="CB85" i="2"/>
  <c r="CB69" i="2"/>
  <c r="CB53" i="2"/>
  <c r="CB37" i="2"/>
  <c r="CB21" i="2"/>
  <c r="CC391" i="2"/>
  <c r="CC375" i="2"/>
  <c r="CC359" i="2"/>
  <c r="CC343" i="2"/>
  <c r="CC327" i="2"/>
  <c r="CC308" i="2"/>
  <c r="CC295" i="2"/>
  <c r="CC279" i="2"/>
  <c r="CC264" i="2"/>
  <c r="CC239" i="2"/>
  <c r="CC223" i="2"/>
  <c r="CC203" i="2"/>
  <c r="CC187" i="2"/>
  <c r="CC171" i="2"/>
  <c r="CC157" i="2"/>
  <c r="CC141" i="2"/>
  <c r="CC125" i="2"/>
  <c r="CC109" i="2"/>
  <c r="CC93" i="2"/>
  <c r="CC77" i="2"/>
  <c r="CC61" i="2"/>
  <c r="CC45" i="2"/>
  <c r="CC29" i="2"/>
  <c r="CC13" i="2"/>
  <c r="BX145" i="2"/>
  <c r="BX331" i="2"/>
  <c r="CB382" i="2"/>
  <c r="CB366" i="2"/>
  <c r="CB350" i="2"/>
  <c r="CB334" i="2"/>
  <c r="CB318" i="2"/>
  <c r="CB302" i="2"/>
  <c r="CB286" i="2"/>
  <c r="CB270" i="2"/>
  <c r="CB254" i="2"/>
  <c r="CB246" i="2"/>
  <c r="CB230" i="2"/>
  <c r="CB215" i="2"/>
  <c r="CB210" i="2"/>
  <c r="CB194" i="2"/>
  <c r="CB178" i="2"/>
  <c r="CB164" i="2"/>
  <c r="CB148" i="2"/>
  <c r="CB132" i="2"/>
  <c r="CB116" i="2"/>
  <c r="CB100" i="2"/>
  <c r="CB84" i="2"/>
  <c r="CB68" i="2"/>
  <c r="CB52" i="2"/>
  <c r="CB36" i="2"/>
  <c r="CB20" i="2"/>
  <c r="CC390" i="2"/>
  <c r="CC374" i="2"/>
  <c r="CC358" i="2"/>
  <c r="CC342" i="2"/>
  <c r="CC326" i="2"/>
  <c r="CC310" i="2"/>
  <c r="CC294" i="2"/>
  <c r="CC278" i="2"/>
  <c r="CC262" i="2"/>
  <c r="CC252" i="2"/>
  <c r="CC238" i="2"/>
  <c r="CC222" i="2"/>
  <c r="CC202" i="2"/>
  <c r="CC186" i="2"/>
  <c r="CC170" i="2"/>
  <c r="CC156" i="2"/>
  <c r="CC140" i="2"/>
  <c r="CC124" i="2"/>
  <c r="CC108" i="2"/>
  <c r="CC92" i="2"/>
  <c r="CC76" i="2"/>
  <c r="CC60" i="2"/>
  <c r="CC44" i="2"/>
  <c r="CC28" i="2"/>
  <c r="CC12" i="2"/>
  <c r="BX347" i="2"/>
  <c r="CB381" i="2"/>
  <c r="CB365" i="2"/>
  <c r="CB349" i="2"/>
  <c r="CB333" i="2"/>
  <c r="CB317" i="2"/>
  <c r="CB301" i="2"/>
  <c r="CB285" i="2"/>
  <c r="CB269" i="2"/>
  <c r="CB253" i="2"/>
  <c r="CB245" i="2"/>
  <c r="CB227" i="2"/>
  <c r="CB214" i="2"/>
  <c r="CB209" i="2"/>
  <c r="CB193" i="2"/>
  <c r="CB177" i="2"/>
  <c r="CB163" i="2"/>
  <c r="CB147" i="2"/>
  <c r="CB131" i="2"/>
  <c r="CB115" i="2"/>
  <c r="CB99" i="2"/>
  <c r="CB83" i="2"/>
  <c r="CB67" i="2"/>
  <c r="CB51" i="2"/>
  <c r="CB35" i="2"/>
  <c r="CB19" i="2"/>
  <c r="CC389" i="2"/>
  <c r="CC373" i="2"/>
  <c r="CC357" i="2"/>
  <c r="CC341" i="2"/>
  <c r="CC325" i="2"/>
  <c r="CC309" i="2"/>
  <c r="CC293" i="2"/>
  <c r="CC277" i="2"/>
  <c r="CC292" i="2"/>
  <c r="CC237" i="2"/>
  <c r="CC221" i="2"/>
  <c r="CC201" i="2"/>
  <c r="CC185" i="2"/>
  <c r="CC169" i="2"/>
  <c r="CC155" i="2"/>
  <c r="CC139" i="2"/>
  <c r="CC123" i="2"/>
  <c r="CC107" i="2"/>
  <c r="CC91" i="2"/>
  <c r="CC75" i="2"/>
  <c r="CC59" i="2"/>
  <c r="CC43" i="2"/>
  <c r="CC27" i="2"/>
  <c r="CC11" i="2"/>
  <c r="BX191" i="2"/>
  <c r="BX363" i="2"/>
  <c r="CB380" i="2"/>
  <c r="CB364" i="2"/>
  <c r="CB348" i="2"/>
  <c r="CB332" i="2"/>
  <c r="CB316" i="2"/>
  <c r="CB300" i="2"/>
  <c r="CB284" i="2"/>
  <c r="CB268" i="2"/>
  <c r="CB213" i="2"/>
  <c r="CB208" i="2"/>
  <c r="CB192" i="2"/>
  <c r="CB176" i="2"/>
  <c r="CB162" i="2"/>
  <c r="CB146" i="2"/>
  <c r="CB130" i="2"/>
  <c r="CB114" i="2"/>
  <c r="CB98" i="2"/>
  <c r="CB82" i="2"/>
  <c r="CB66" i="2"/>
  <c r="CB50" i="2"/>
  <c r="CB34" i="2"/>
  <c r="CB18" i="2"/>
  <c r="CC388" i="2"/>
  <c r="CC372" i="2"/>
  <c r="CC356" i="2"/>
  <c r="CC340" i="2"/>
  <c r="CC324" i="2"/>
  <c r="CC276" i="2"/>
  <c r="CC260" i="2"/>
  <c r="CC236" i="2"/>
  <c r="CC220" i="2"/>
  <c r="CC200" i="2"/>
  <c r="CC184" i="2"/>
  <c r="CC168" i="2"/>
  <c r="CC154" i="2"/>
  <c r="CC138" i="2"/>
  <c r="CC122" i="2"/>
  <c r="CC106" i="2"/>
  <c r="CC90" i="2"/>
  <c r="CC74" i="2"/>
  <c r="CC58" i="2"/>
  <c r="CC42" i="2"/>
  <c r="CC26" i="2"/>
  <c r="CC10" i="2"/>
  <c r="BX207" i="2"/>
  <c r="BX379" i="2"/>
  <c r="CB379" i="2"/>
  <c r="CB363" i="2"/>
  <c r="CB347" i="2"/>
  <c r="CB331" i="2"/>
  <c r="CB315" i="2"/>
  <c r="CB299" i="2"/>
  <c r="CB283" i="2"/>
  <c r="CB267" i="2"/>
  <c r="CB258" i="2"/>
  <c r="CB229" i="2"/>
  <c r="CB243" i="2"/>
  <c r="CB207" i="2"/>
  <c r="CB191" i="2"/>
  <c r="CB244" i="2"/>
  <c r="CB145" i="2"/>
  <c r="CB129" i="2"/>
  <c r="CB113" i="2"/>
  <c r="CB97" i="2"/>
  <c r="CB81" i="2"/>
  <c r="CB65" i="2"/>
  <c r="CB49" i="2"/>
  <c r="CB33" i="2"/>
  <c r="CB17" i="2"/>
  <c r="CC387" i="2"/>
  <c r="CC371" i="2"/>
  <c r="CC355" i="2"/>
  <c r="CC339" i="2"/>
  <c r="CC323" i="2"/>
  <c r="CC307" i="2"/>
  <c r="CC291" i="2"/>
  <c r="CC275" i="2"/>
  <c r="CC263" i="2"/>
  <c r="CC251" i="2"/>
  <c r="CC219" i="2"/>
  <c r="CC199" i="2"/>
  <c r="CC183" i="2"/>
  <c r="CC153" i="2"/>
  <c r="CC137" i="2"/>
  <c r="CC121" i="2"/>
  <c r="CC105" i="2"/>
  <c r="CC89" i="2"/>
  <c r="CC73" i="2"/>
  <c r="CC57" i="2"/>
  <c r="CC41" i="2"/>
  <c r="CC25" i="2"/>
  <c r="CC9" i="2"/>
  <c r="CB394" i="2"/>
  <c r="CB378" i="2"/>
  <c r="CB362" i="2"/>
  <c r="CB346" i="2"/>
  <c r="CB330" i="2"/>
  <c r="CB314" i="2"/>
  <c r="CB298" i="2"/>
  <c r="CB282" i="2"/>
  <c r="CB257" i="2"/>
  <c r="CB228" i="2"/>
  <c r="CB242" i="2"/>
  <c r="CB226" i="2"/>
  <c r="CB206" i="2"/>
  <c r="CB190" i="2"/>
  <c r="CB174" i="2"/>
  <c r="CB160" i="2"/>
  <c r="CB144" i="2"/>
  <c r="CB128" i="2"/>
  <c r="CB112" i="2"/>
  <c r="CB96" i="2"/>
  <c r="CB80" i="2"/>
  <c r="CB64" i="2"/>
  <c r="CB48" i="2"/>
  <c r="CB32" i="2"/>
  <c r="CB16" i="2"/>
  <c r="CC386" i="2"/>
  <c r="CC370" i="2"/>
  <c r="CC354" i="2"/>
  <c r="CC338" i="2"/>
  <c r="CC322" i="2"/>
  <c r="CC306" i="2"/>
  <c r="CC290" i="2"/>
  <c r="CC274" i="2"/>
  <c r="CC261" i="2"/>
  <c r="CC250" i="2"/>
  <c r="CC234" i="2"/>
  <c r="CC198" i="2"/>
  <c r="CC182" i="2"/>
  <c r="CC167" i="2"/>
  <c r="CC152" i="2"/>
  <c r="CC136" i="2"/>
  <c r="CC120" i="2"/>
  <c r="CC104" i="2"/>
  <c r="CC88" i="2"/>
  <c r="CC72" i="2"/>
  <c r="CC56" i="2"/>
  <c r="CC40" i="2"/>
  <c r="CC24" i="2"/>
  <c r="CB393" i="2"/>
  <c r="CB377" i="2"/>
  <c r="CB361" i="2"/>
  <c r="CB345" i="2"/>
  <c r="CB329" i="2"/>
  <c r="CB313" i="2"/>
  <c r="CB297" i="2"/>
  <c r="CB281" i="2"/>
  <c r="CB266" i="2"/>
  <c r="CB241" i="2"/>
  <c r="CB225" i="2"/>
  <c r="CB205" i="2"/>
  <c r="CB189" i="2"/>
  <c r="CB173" i="2"/>
  <c r="CB159" i="2"/>
  <c r="CB143" i="2"/>
  <c r="CB127" i="2"/>
  <c r="CB111" i="2"/>
  <c r="CB95" i="2"/>
  <c r="CB79" i="2"/>
  <c r="CB63" i="2"/>
  <c r="CB47" i="2"/>
  <c r="CB31" i="2"/>
  <c r="CB15" i="2"/>
  <c r="CC385" i="2"/>
  <c r="CC369" i="2"/>
  <c r="CC353" i="2"/>
  <c r="CC337" i="2"/>
  <c r="CC321" i="2"/>
  <c r="CC305" i="2"/>
  <c r="CC289" i="2"/>
  <c r="CC273" i="2"/>
  <c r="CC259" i="2"/>
  <c r="CC235" i="2"/>
  <c r="CC249" i="2"/>
  <c r="CC233" i="2"/>
  <c r="CC218" i="2"/>
  <c r="CC197" i="2"/>
  <c r="CC181" i="2"/>
  <c r="CC166" i="2"/>
  <c r="CC151" i="2"/>
  <c r="CC135" i="2"/>
  <c r="CC119" i="2"/>
  <c r="CC103" i="2"/>
  <c r="CC87" i="2"/>
  <c r="CC71" i="2"/>
  <c r="CC55" i="2"/>
  <c r="CC39" i="2"/>
  <c r="CC23" i="2"/>
  <c r="BX18" i="2"/>
  <c r="BX34" i="2"/>
  <c r="BX50" i="2"/>
  <c r="BX66" i="2"/>
  <c r="BX82" i="2"/>
  <c r="BX98" i="2"/>
  <c r="BX114" i="2"/>
  <c r="BX130" i="2"/>
  <c r="BX146" i="2"/>
  <c r="BX162" i="2"/>
  <c r="BX176" i="2"/>
  <c r="BX192" i="2"/>
  <c r="BX208" i="2"/>
  <c r="BX213" i="2"/>
  <c r="BX268" i="2"/>
  <c r="BX284" i="2"/>
  <c r="BX300" i="2"/>
  <c r="BX316" i="2"/>
  <c r="BX332" i="2"/>
  <c r="BX348" i="2"/>
  <c r="BX364" i="2"/>
  <c r="BX380" i="2"/>
  <c r="BX19" i="2"/>
  <c r="BX35" i="2"/>
  <c r="BX51" i="2"/>
  <c r="BX67" i="2"/>
  <c r="BX83" i="2"/>
  <c r="BX99" i="2"/>
  <c r="BX115" i="2"/>
  <c r="BX131" i="2"/>
  <c r="BX147" i="2"/>
  <c r="BX163" i="2"/>
  <c r="BX177" i="2"/>
  <c r="BX193" i="2"/>
  <c r="BX209" i="2"/>
  <c r="BX214" i="2"/>
  <c r="BX227" i="2"/>
  <c r="CP227" i="2" s="1"/>
  <c r="BX245" i="2"/>
  <c r="BX253" i="2"/>
  <c r="BX269" i="2"/>
  <c r="BX285" i="2"/>
  <c r="BX301" i="2"/>
  <c r="BX317" i="2"/>
  <c r="BX333" i="2"/>
  <c r="BX349" i="2"/>
  <c r="BX365" i="2"/>
  <c r="BX381" i="2"/>
  <c r="BX20" i="2"/>
  <c r="BX36" i="2"/>
  <c r="BX52" i="2"/>
  <c r="BX68" i="2"/>
  <c r="BX84" i="2"/>
  <c r="BX100" i="2"/>
  <c r="BX116" i="2"/>
  <c r="BX132" i="2"/>
  <c r="BX148" i="2"/>
  <c r="BX164" i="2"/>
  <c r="BX178" i="2"/>
  <c r="BX194" i="2"/>
  <c r="BX210" i="2"/>
  <c r="BX215" i="2"/>
  <c r="BX230" i="2"/>
  <c r="BX246" i="2"/>
  <c r="BX254" i="2"/>
  <c r="BX270" i="2"/>
  <c r="BX286" i="2"/>
  <c r="BX302" i="2"/>
  <c r="BX318" i="2"/>
  <c r="BX334" i="2"/>
  <c r="BX350" i="2"/>
  <c r="BX366" i="2"/>
  <c r="BX382" i="2"/>
  <c r="BX21" i="2"/>
  <c r="BX37" i="2"/>
  <c r="BX53" i="2"/>
  <c r="BX69" i="2"/>
  <c r="BX85" i="2"/>
  <c r="BX101" i="2"/>
  <c r="BX117" i="2"/>
  <c r="BX133" i="2"/>
  <c r="BX149" i="2"/>
  <c r="BX165" i="2"/>
  <c r="BX179" i="2"/>
  <c r="BX195" i="2"/>
  <c r="BX211" i="2"/>
  <c r="BX216" i="2"/>
  <c r="BX231" i="2"/>
  <c r="BX247" i="2"/>
  <c r="BX255" i="2"/>
  <c r="BX271" i="2"/>
  <c r="BX287" i="2"/>
  <c r="BX303" i="2"/>
  <c r="BX319" i="2"/>
  <c r="BX335" i="2"/>
  <c r="BX351" i="2"/>
  <c r="BX367" i="2"/>
  <c r="BX383" i="2"/>
  <c r="BX22" i="2"/>
  <c r="BX38" i="2"/>
  <c r="BX54" i="2"/>
  <c r="BX70" i="2"/>
  <c r="BX86" i="2"/>
  <c r="BX102" i="2"/>
  <c r="BX118" i="2"/>
  <c r="BX134" i="2"/>
  <c r="BX150" i="2"/>
  <c r="BX175" i="2"/>
  <c r="BX180" i="2"/>
  <c r="BX196" i="2"/>
  <c r="BX212" i="2"/>
  <c r="BX217" i="2"/>
  <c r="BX232" i="2"/>
  <c r="BX248" i="2"/>
  <c r="BX311" i="2"/>
  <c r="BX256" i="2"/>
  <c r="BX272" i="2"/>
  <c r="BX288" i="2"/>
  <c r="BX304" i="2"/>
  <c r="BX320" i="2"/>
  <c r="BX336" i="2"/>
  <c r="BX352" i="2"/>
  <c r="BX368" i="2"/>
  <c r="BX384" i="2"/>
  <c r="BX23" i="2"/>
  <c r="BX39" i="2"/>
  <c r="BX55" i="2"/>
  <c r="BX71" i="2"/>
  <c r="BX87" i="2"/>
  <c r="BX103" i="2"/>
  <c r="BX119" i="2"/>
  <c r="BX135" i="2"/>
  <c r="BX151" i="2"/>
  <c r="BX166" i="2"/>
  <c r="BX181" i="2"/>
  <c r="BX197" i="2"/>
  <c r="BX218" i="2"/>
  <c r="BX233" i="2"/>
  <c r="BX249" i="2"/>
  <c r="BX235" i="2"/>
  <c r="CT235" i="2" s="1" a="1"/>
  <c r="BX259" i="2"/>
  <c r="BX273" i="2"/>
  <c r="BX289" i="2"/>
  <c r="BX305" i="2"/>
  <c r="BX321" i="2"/>
  <c r="BX337" i="2"/>
  <c r="BX353" i="2"/>
  <c r="BX369" i="2"/>
  <c r="BX385" i="2"/>
  <c r="BX24" i="2"/>
  <c r="BX40" i="2"/>
  <c r="BX56" i="2"/>
  <c r="BX72" i="2"/>
  <c r="BX88" i="2"/>
  <c r="BX104" i="2"/>
  <c r="BX120" i="2"/>
  <c r="BX136" i="2"/>
  <c r="BX152" i="2"/>
  <c r="BX167" i="2"/>
  <c r="CS167" i="2" s="1"/>
  <c r="BX182" i="2"/>
  <c r="BX198" i="2"/>
  <c r="BX234" i="2"/>
  <c r="BX250" i="2"/>
  <c r="BX261" i="2"/>
  <c r="BX274" i="2"/>
  <c r="BX290" i="2"/>
  <c r="BX306" i="2"/>
  <c r="BX322" i="2"/>
  <c r="BX338" i="2"/>
  <c r="BX354" i="2"/>
  <c r="BX370" i="2"/>
  <c r="BX386" i="2"/>
  <c r="BX9" i="2"/>
  <c r="BX25" i="2"/>
  <c r="BX41" i="2"/>
  <c r="BX57" i="2"/>
  <c r="BX73" i="2"/>
  <c r="BX89" i="2"/>
  <c r="BX105" i="2"/>
  <c r="BX121" i="2"/>
  <c r="BX137" i="2"/>
  <c r="BX153" i="2"/>
  <c r="BX183" i="2"/>
  <c r="BX199" i="2"/>
  <c r="BX219" i="2"/>
  <c r="BX251" i="2"/>
  <c r="BX263" i="2"/>
  <c r="BX275" i="2"/>
  <c r="BX291" i="2"/>
  <c r="BX307" i="2"/>
  <c r="BX323" i="2"/>
  <c r="BX339" i="2"/>
  <c r="BX355" i="2"/>
  <c r="BX371" i="2"/>
  <c r="BX387" i="2"/>
  <c r="BX10" i="2"/>
  <c r="BX26" i="2"/>
  <c r="BX42" i="2"/>
  <c r="BX58" i="2"/>
  <c r="BX74" i="2"/>
  <c r="BX90" i="2"/>
  <c r="BX106" i="2"/>
  <c r="BX122" i="2"/>
  <c r="BX138" i="2"/>
  <c r="BX154" i="2"/>
  <c r="BX168" i="2"/>
  <c r="BX184" i="2"/>
  <c r="BX200" i="2"/>
  <c r="BX220" i="2"/>
  <c r="BX236" i="2"/>
  <c r="BX260" i="2"/>
  <c r="BX276" i="2"/>
  <c r="BX324" i="2"/>
  <c r="BX340" i="2"/>
  <c r="BX356" i="2"/>
  <c r="BX372" i="2"/>
  <c r="BX388" i="2"/>
  <c r="BX11" i="2"/>
  <c r="BX27" i="2"/>
  <c r="BX43" i="2"/>
  <c r="BX59" i="2"/>
  <c r="BX75" i="2"/>
  <c r="BX91" i="2"/>
  <c r="BX107" i="2"/>
  <c r="BX123" i="2"/>
  <c r="BX139" i="2"/>
  <c r="BX155" i="2"/>
  <c r="BX169" i="2"/>
  <c r="BX185" i="2"/>
  <c r="BX201" i="2"/>
  <c r="CS201" i="2" s="1"/>
  <c r="BX221" i="2"/>
  <c r="BX237" i="2"/>
  <c r="BX292" i="2"/>
  <c r="CP292" i="2" s="1"/>
  <c r="BX277" i="2"/>
  <c r="BX293" i="2"/>
  <c r="BX309" i="2"/>
  <c r="BX325" i="2"/>
  <c r="BX341" i="2"/>
  <c r="BX357" i="2"/>
  <c r="BX373" i="2"/>
  <c r="BX389" i="2"/>
  <c r="BX244" i="2"/>
  <c r="BX12" i="2"/>
  <c r="BX28" i="2"/>
  <c r="BX44" i="2"/>
  <c r="BX60" i="2"/>
  <c r="BX76" i="2"/>
  <c r="BX92" i="2"/>
  <c r="BX108" i="2"/>
  <c r="BX124" i="2"/>
  <c r="BX140" i="2"/>
  <c r="BX156" i="2"/>
  <c r="BX170" i="2"/>
  <c r="BX186" i="2"/>
  <c r="BX202" i="2"/>
  <c r="BX222" i="2"/>
  <c r="BX238" i="2"/>
  <c r="BX252" i="2"/>
  <c r="BX262" i="2"/>
  <c r="BX278" i="2"/>
  <c r="BX294" i="2"/>
  <c r="BX310" i="2"/>
  <c r="BX326" i="2"/>
  <c r="BX342" i="2"/>
  <c r="BX358" i="2"/>
  <c r="BX374" i="2"/>
  <c r="BX390" i="2"/>
  <c r="BX13" i="2"/>
  <c r="BX29" i="2"/>
  <c r="BX45" i="2"/>
  <c r="BX61" i="2"/>
  <c r="BX77" i="2"/>
  <c r="BX93" i="2"/>
  <c r="BX109" i="2"/>
  <c r="BX125" i="2"/>
  <c r="BX141" i="2"/>
  <c r="BX157" i="2"/>
  <c r="BX171" i="2"/>
  <c r="BX187" i="2"/>
  <c r="BX203" i="2"/>
  <c r="BX223" i="2"/>
  <c r="BX239" i="2"/>
  <c r="BX264" i="2"/>
  <c r="BX279" i="2"/>
  <c r="BX295" i="2"/>
  <c r="BX308" i="2"/>
  <c r="BX327" i="2"/>
  <c r="BX343" i="2"/>
  <c r="BX359" i="2"/>
  <c r="BX375" i="2"/>
  <c r="BX391" i="2"/>
  <c r="BX14" i="2"/>
  <c r="BX30" i="2"/>
  <c r="BX46" i="2"/>
  <c r="BX62" i="2"/>
  <c r="BX78" i="2"/>
  <c r="BX94" i="2"/>
  <c r="BX110" i="2"/>
  <c r="BX126" i="2"/>
  <c r="BX142" i="2"/>
  <c r="BX158" i="2"/>
  <c r="BX172" i="2"/>
  <c r="BX188" i="2"/>
  <c r="BX204" i="2"/>
  <c r="BX224" i="2"/>
  <c r="BX240" i="2"/>
  <c r="BX161" i="2"/>
  <c r="BX265" i="2"/>
  <c r="BX280" i="2"/>
  <c r="BX296" i="2"/>
  <c r="BX312" i="2"/>
  <c r="BX328" i="2"/>
  <c r="BX344" i="2"/>
  <c r="BX360" i="2"/>
  <c r="BX376" i="2"/>
  <c r="BX392" i="2"/>
  <c r="BX15" i="2"/>
  <c r="BX31" i="2"/>
  <c r="BX47" i="2"/>
  <c r="BX63" i="2"/>
  <c r="BX79" i="2"/>
  <c r="BX95" i="2"/>
  <c r="BX111" i="2"/>
  <c r="BX127" i="2"/>
  <c r="BX143" i="2"/>
  <c r="BX159" i="2"/>
  <c r="BX173" i="2"/>
  <c r="BX189" i="2"/>
  <c r="BX205" i="2"/>
  <c r="BX225" i="2"/>
  <c r="BX241" i="2"/>
  <c r="BX266" i="2"/>
  <c r="BX281" i="2"/>
  <c r="BX297" i="2"/>
  <c r="BX313" i="2"/>
  <c r="BX329" i="2"/>
  <c r="BX345" i="2"/>
  <c r="BX361" i="2"/>
  <c r="BX377" i="2"/>
  <c r="BX393" i="2"/>
  <c r="BX16" i="2"/>
  <c r="BX32" i="2"/>
  <c r="BX48" i="2"/>
  <c r="BX64" i="2"/>
  <c r="CT64" i="2" s="1" a="1"/>
  <c r="BX80" i="2"/>
  <c r="BX96" i="2"/>
  <c r="BX112" i="2"/>
  <c r="BX128" i="2"/>
  <c r="BX144" i="2"/>
  <c r="BX160" i="2"/>
  <c r="BX174" i="2"/>
  <c r="BX190" i="2"/>
  <c r="BX206" i="2"/>
  <c r="BX226" i="2"/>
  <c r="BX242" i="2"/>
  <c r="BX228" i="2"/>
  <c r="CP228" i="2" s="1"/>
  <c r="BX257" i="2"/>
  <c r="BX282" i="2"/>
  <c r="BX298" i="2"/>
  <c r="BX314" i="2"/>
  <c r="BX330" i="2"/>
  <c r="BX346" i="2"/>
  <c r="BX362" i="2"/>
  <c r="BX378" i="2"/>
  <c r="BX394" i="2"/>
  <c r="CP167" i="2" l="1"/>
  <c r="CT167" i="2" a="1"/>
  <c r="CS235" i="2"/>
  <c r="CT227" i="2" a="1"/>
  <c r="CT292" i="2" a="1"/>
  <c r="CS292" i="2"/>
  <c r="CS227" i="2"/>
  <c r="CP235" i="2"/>
  <c r="CT201" i="2" a="1"/>
  <c r="CP201" i="2"/>
  <c r="CS229" i="2"/>
  <c r="CT229" i="2" a="1"/>
  <c r="CT229" i="2" s="1"/>
  <c r="CS228" i="2"/>
  <c r="CP80" i="2"/>
  <c r="CS80" i="2"/>
  <c r="CP375" i="2"/>
  <c r="CS375" i="2"/>
  <c r="CP394" i="2"/>
  <c r="CS394" i="2"/>
  <c r="CP361" i="2"/>
  <c r="CS361" i="2"/>
  <c r="CS189" i="2"/>
  <c r="CP189" i="2"/>
  <c r="CP328" i="2"/>
  <c r="CS328" i="2"/>
  <c r="CP158" i="2"/>
  <c r="CS158" i="2"/>
  <c r="CP295" i="2"/>
  <c r="CS295" i="2"/>
  <c r="CS125" i="2"/>
  <c r="CP125" i="2"/>
  <c r="CP262" i="2"/>
  <c r="CS262" i="2"/>
  <c r="CS92" i="2"/>
  <c r="CP92" i="2"/>
  <c r="CS75" i="2"/>
  <c r="CP75" i="2"/>
  <c r="CS42" i="2"/>
  <c r="CP42" i="2"/>
  <c r="CS9" i="2"/>
  <c r="CP9" i="2"/>
  <c r="CS353" i="2"/>
  <c r="CP353" i="2"/>
  <c r="CP181" i="2"/>
  <c r="CS181" i="2"/>
  <c r="CS304" i="2"/>
  <c r="CP304" i="2"/>
  <c r="CP134" i="2"/>
  <c r="CS134" i="2"/>
  <c r="CS255" i="2"/>
  <c r="CP255" i="2"/>
  <c r="CP85" i="2"/>
  <c r="CS85" i="2"/>
  <c r="CP36" i="2"/>
  <c r="CS36" i="2"/>
  <c r="CS214" i="2"/>
  <c r="CP214" i="2"/>
  <c r="CP364" i="2"/>
  <c r="CS364" i="2"/>
  <c r="CP192" i="2"/>
  <c r="CS192" i="2"/>
  <c r="CP207" i="2"/>
  <c r="CS207" i="2"/>
  <c r="CP299" i="2"/>
  <c r="CS299" i="2"/>
  <c r="CP17" i="2"/>
  <c r="CS17" i="2"/>
  <c r="CP173" i="2"/>
  <c r="CS173" i="2"/>
  <c r="CP312" i="2"/>
  <c r="CS312" i="2"/>
  <c r="CP142" i="2"/>
  <c r="CS142" i="2"/>
  <c r="CP279" i="2"/>
  <c r="CS279" i="2"/>
  <c r="CS109" i="2"/>
  <c r="CP109" i="2"/>
  <c r="CS76" i="2"/>
  <c r="CP76" i="2"/>
  <c r="CS59" i="2"/>
  <c r="CP59" i="2"/>
  <c r="CS26" i="2"/>
  <c r="CP26" i="2"/>
  <c r="CP219" i="2"/>
  <c r="CS219" i="2"/>
  <c r="CS386" i="2"/>
  <c r="CP386" i="2"/>
  <c r="CS337" i="2"/>
  <c r="CP337" i="2"/>
  <c r="CP166" i="2"/>
  <c r="CS166" i="2"/>
  <c r="CS288" i="2"/>
  <c r="CP288" i="2"/>
  <c r="CP118" i="2"/>
  <c r="CS118" i="2"/>
  <c r="CP69" i="2"/>
  <c r="CS69" i="2"/>
  <c r="CS246" i="2"/>
  <c r="CP246" i="2"/>
  <c r="CP20" i="2"/>
  <c r="CS20" i="2"/>
  <c r="CP348" i="2"/>
  <c r="CS348" i="2"/>
  <c r="CP176" i="2"/>
  <c r="CS176" i="2"/>
  <c r="CP113" i="2"/>
  <c r="CS113" i="2"/>
  <c r="CP159" i="2"/>
  <c r="CS159" i="2"/>
  <c r="CP126" i="2"/>
  <c r="CS126" i="2"/>
  <c r="CP264" i="2"/>
  <c r="CS264" i="2"/>
  <c r="CS93" i="2"/>
  <c r="CP93" i="2"/>
  <c r="CS60" i="2"/>
  <c r="CP60" i="2"/>
  <c r="CS43" i="2"/>
  <c r="CP43" i="2"/>
  <c r="CP236" i="2"/>
  <c r="CS236" i="2"/>
  <c r="CS10" i="2"/>
  <c r="CP10" i="2"/>
  <c r="CS370" i="2"/>
  <c r="CP370" i="2"/>
  <c r="CP198" i="2"/>
  <c r="CS198" i="2"/>
  <c r="CS321" i="2"/>
  <c r="CP321" i="2"/>
  <c r="CP151" i="2"/>
  <c r="CS151" i="2"/>
  <c r="CS272" i="2"/>
  <c r="CP272" i="2"/>
  <c r="CP102" i="2"/>
  <c r="CS102" i="2"/>
  <c r="CP53" i="2"/>
  <c r="CS53" i="2"/>
  <c r="CS230" i="2"/>
  <c r="CP230" i="2"/>
  <c r="CP381" i="2"/>
  <c r="CS381" i="2"/>
  <c r="CP209" i="2"/>
  <c r="CS209" i="2"/>
  <c r="CP332" i="2"/>
  <c r="CS332" i="2"/>
  <c r="CP162" i="2"/>
  <c r="CS162" i="2"/>
  <c r="CP174" i="2"/>
  <c r="CS174" i="2"/>
  <c r="CS77" i="2"/>
  <c r="CP77" i="2"/>
  <c r="CS44" i="2"/>
  <c r="CP44" i="2"/>
  <c r="CS27" i="2"/>
  <c r="CP27" i="2"/>
  <c r="CP220" i="2"/>
  <c r="CS220" i="2"/>
  <c r="CS387" i="2"/>
  <c r="CP387" i="2"/>
  <c r="CS354" i="2"/>
  <c r="CP354" i="2"/>
  <c r="CP182" i="2"/>
  <c r="CS182" i="2"/>
  <c r="CS305" i="2"/>
  <c r="CP305" i="2"/>
  <c r="CP135" i="2"/>
  <c r="CS135" i="2"/>
  <c r="CS256" i="2"/>
  <c r="CP256" i="2"/>
  <c r="CP86" i="2"/>
  <c r="CS86" i="2"/>
  <c r="CP37" i="2"/>
  <c r="CS37" i="2"/>
  <c r="CP215" i="2"/>
  <c r="CS215" i="2"/>
  <c r="CP365" i="2"/>
  <c r="CS365" i="2"/>
  <c r="CP193" i="2"/>
  <c r="CS193" i="2"/>
  <c r="CP316" i="2"/>
  <c r="CS316" i="2"/>
  <c r="CP146" i="2"/>
  <c r="CS146" i="2"/>
  <c r="CP315" i="2"/>
  <c r="CS315" i="2"/>
  <c r="CP33" i="2"/>
  <c r="CS33" i="2"/>
  <c r="CP243" i="2"/>
  <c r="CS243" i="2"/>
  <c r="CP378" i="2"/>
  <c r="CS378" i="2"/>
  <c r="CP362" i="2"/>
  <c r="CS362" i="2"/>
  <c r="CP110" i="2"/>
  <c r="CS110" i="2"/>
  <c r="CP330" i="2"/>
  <c r="CS330" i="2"/>
  <c r="CP160" i="2"/>
  <c r="CS160" i="2"/>
  <c r="CP297" i="2"/>
  <c r="CS297" i="2"/>
  <c r="CP127" i="2"/>
  <c r="CS127" i="2"/>
  <c r="CP265" i="2"/>
  <c r="CS265" i="2"/>
  <c r="CP94" i="2"/>
  <c r="CS94" i="2"/>
  <c r="CS61" i="2"/>
  <c r="CP61" i="2"/>
  <c r="CP252" i="2"/>
  <c r="CS252" i="2"/>
  <c r="CS28" i="2"/>
  <c r="CP28" i="2"/>
  <c r="CP237" i="2"/>
  <c r="CS237" i="2"/>
  <c r="CS11" i="2"/>
  <c r="CP11" i="2"/>
  <c r="CS371" i="2"/>
  <c r="CP371" i="2"/>
  <c r="CP199" i="2"/>
  <c r="CS199" i="2"/>
  <c r="CS338" i="2"/>
  <c r="CP338" i="2"/>
  <c r="CS289" i="2"/>
  <c r="CP289" i="2"/>
  <c r="CP119" i="2"/>
  <c r="CS119" i="2"/>
  <c r="CP70" i="2"/>
  <c r="CS70" i="2"/>
  <c r="CS247" i="2"/>
  <c r="CP247" i="2"/>
  <c r="CP21" i="2"/>
  <c r="CS21" i="2"/>
  <c r="CP349" i="2"/>
  <c r="CS349" i="2"/>
  <c r="CP177" i="2"/>
  <c r="CS177" i="2"/>
  <c r="CP300" i="2"/>
  <c r="CS300" i="2"/>
  <c r="CP130" i="2"/>
  <c r="CS130" i="2"/>
  <c r="CP129" i="2"/>
  <c r="CS129" i="2"/>
  <c r="CS206" i="2"/>
  <c r="CP206" i="2"/>
  <c r="CP329" i="2"/>
  <c r="CS329" i="2"/>
  <c r="CP280" i="2"/>
  <c r="CS280" i="2"/>
  <c r="CP144" i="2"/>
  <c r="CS144" i="2"/>
  <c r="CP281" i="2"/>
  <c r="CS281" i="2"/>
  <c r="CP111" i="2"/>
  <c r="CS111" i="2"/>
  <c r="CP78" i="2"/>
  <c r="CS78" i="2"/>
  <c r="CS45" i="2"/>
  <c r="CP45" i="2"/>
  <c r="CP238" i="2"/>
  <c r="CS238" i="2"/>
  <c r="CS12" i="2"/>
  <c r="CP12" i="2"/>
  <c r="CP221" i="2"/>
  <c r="CS221" i="2"/>
  <c r="CS388" i="2"/>
  <c r="CP388" i="2"/>
  <c r="CS355" i="2"/>
  <c r="CP355" i="2"/>
  <c r="CP183" i="2"/>
  <c r="CS183" i="2"/>
  <c r="CS322" i="2"/>
  <c r="CP322" i="2"/>
  <c r="CP152" i="2"/>
  <c r="CS152" i="2"/>
  <c r="CS273" i="2"/>
  <c r="CP273" i="2"/>
  <c r="CP103" i="2"/>
  <c r="CS103" i="2"/>
  <c r="CS311" i="2"/>
  <c r="CP311" i="2"/>
  <c r="CP54" i="2"/>
  <c r="CS54" i="2"/>
  <c r="CS231" i="2"/>
  <c r="CP231" i="2"/>
  <c r="CP382" i="2"/>
  <c r="CS382" i="2"/>
  <c r="CP210" i="2"/>
  <c r="CS210" i="2"/>
  <c r="CP333" i="2"/>
  <c r="CS333" i="2"/>
  <c r="CP163" i="2"/>
  <c r="CS163" i="2"/>
  <c r="CP284" i="2"/>
  <c r="CS284" i="2"/>
  <c r="CP114" i="2"/>
  <c r="CS114" i="2"/>
  <c r="CP296" i="2"/>
  <c r="CS296" i="2"/>
  <c r="CP313" i="2"/>
  <c r="CS313" i="2"/>
  <c r="CP298" i="2"/>
  <c r="CS298" i="2"/>
  <c r="CP128" i="2"/>
  <c r="CS128" i="2"/>
  <c r="CP266" i="2"/>
  <c r="CS266" i="2"/>
  <c r="CP95" i="2"/>
  <c r="CS95" i="2"/>
  <c r="CP62" i="2"/>
  <c r="CS62" i="2"/>
  <c r="CS29" i="2"/>
  <c r="CP29" i="2"/>
  <c r="CP222" i="2"/>
  <c r="CS222" i="2"/>
  <c r="CP244" i="2"/>
  <c r="CS244" i="2"/>
  <c r="CS372" i="2"/>
  <c r="CP372" i="2"/>
  <c r="CP200" i="2"/>
  <c r="CS200" i="2"/>
  <c r="CS339" i="2"/>
  <c r="CP339" i="2"/>
  <c r="CS306" i="2"/>
  <c r="CP306" i="2"/>
  <c r="CP136" i="2"/>
  <c r="CS136" i="2"/>
  <c r="CS259" i="2"/>
  <c r="CP259" i="2"/>
  <c r="CP87" i="2"/>
  <c r="CS87" i="2"/>
  <c r="CP38" i="2"/>
  <c r="CS38" i="2"/>
  <c r="CP216" i="2"/>
  <c r="CS216" i="2"/>
  <c r="CP366" i="2"/>
  <c r="CS366" i="2"/>
  <c r="CP194" i="2"/>
  <c r="CS194" i="2"/>
  <c r="CP317" i="2"/>
  <c r="CS317" i="2"/>
  <c r="CP147" i="2"/>
  <c r="CS147" i="2"/>
  <c r="CP268" i="2"/>
  <c r="CS268" i="2"/>
  <c r="CP98" i="2"/>
  <c r="CS98" i="2"/>
  <c r="CP331" i="2"/>
  <c r="CS331" i="2"/>
  <c r="CP49" i="2"/>
  <c r="CS49" i="2"/>
  <c r="CP345" i="2"/>
  <c r="CS345" i="2"/>
  <c r="CP190" i="2"/>
  <c r="CS190" i="2"/>
  <c r="CP346" i="2"/>
  <c r="CS346" i="2"/>
  <c r="CP143" i="2"/>
  <c r="CS143" i="2"/>
  <c r="CP314" i="2"/>
  <c r="CS314" i="2"/>
  <c r="CP282" i="2"/>
  <c r="CS282" i="2"/>
  <c r="CP112" i="2"/>
  <c r="CS112" i="2"/>
  <c r="CP79" i="2"/>
  <c r="CS79" i="2"/>
  <c r="CP46" i="2"/>
  <c r="CS46" i="2"/>
  <c r="CP239" i="2"/>
  <c r="CS239" i="2"/>
  <c r="CS13" i="2"/>
  <c r="CP13" i="2"/>
  <c r="CP389" i="2"/>
  <c r="CS389" i="2"/>
  <c r="CS356" i="2"/>
  <c r="CP356" i="2"/>
  <c r="CP184" i="2"/>
  <c r="CS184" i="2"/>
  <c r="CS323" i="2"/>
  <c r="CP323" i="2"/>
  <c r="CS153" i="2"/>
  <c r="CP153" i="2"/>
  <c r="CS290" i="2"/>
  <c r="CP290" i="2"/>
  <c r="CP120" i="2"/>
  <c r="CS120" i="2"/>
  <c r="CP71" i="2"/>
  <c r="CS71" i="2"/>
  <c r="CS248" i="2"/>
  <c r="CP248" i="2"/>
  <c r="CP22" i="2"/>
  <c r="CS22" i="2"/>
  <c r="CP350" i="2"/>
  <c r="CS350" i="2"/>
  <c r="CP178" i="2"/>
  <c r="CS178" i="2"/>
  <c r="CP301" i="2"/>
  <c r="CS301" i="2"/>
  <c r="CP131" i="2"/>
  <c r="CS131" i="2"/>
  <c r="CP82" i="2"/>
  <c r="CS82" i="2"/>
  <c r="CP145" i="2"/>
  <c r="CS145" i="2"/>
  <c r="CP258" i="2"/>
  <c r="CS258" i="2"/>
  <c r="CP96" i="2"/>
  <c r="CS96" i="2"/>
  <c r="CP63" i="2"/>
  <c r="CS63" i="2"/>
  <c r="CP161" i="2"/>
  <c r="CS161" i="2"/>
  <c r="CP30" i="2"/>
  <c r="CS30" i="2"/>
  <c r="CP223" i="2"/>
  <c r="CS223" i="2"/>
  <c r="CP390" i="2"/>
  <c r="CS390" i="2"/>
  <c r="CP373" i="2"/>
  <c r="CS373" i="2"/>
  <c r="CS340" i="2"/>
  <c r="CP340" i="2"/>
  <c r="CS168" i="2"/>
  <c r="CP168" i="2"/>
  <c r="CS307" i="2"/>
  <c r="CP307" i="2"/>
  <c r="CS137" i="2"/>
  <c r="CP137" i="2"/>
  <c r="CS274" i="2"/>
  <c r="CP274" i="2"/>
  <c r="CP104" i="2"/>
  <c r="CS104" i="2"/>
  <c r="CP55" i="2"/>
  <c r="CS55" i="2"/>
  <c r="CS232" i="2"/>
  <c r="CP232" i="2"/>
  <c r="CP383" i="2"/>
  <c r="CS383" i="2"/>
  <c r="CP211" i="2"/>
  <c r="CS211" i="2"/>
  <c r="CP334" i="2"/>
  <c r="CS334" i="2"/>
  <c r="CP164" i="2"/>
  <c r="CS164" i="2"/>
  <c r="CP285" i="2"/>
  <c r="CS285" i="2"/>
  <c r="CP115" i="2"/>
  <c r="CS115" i="2"/>
  <c r="CP66" i="2"/>
  <c r="CS66" i="2"/>
  <c r="CP65" i="2"/>
  <c r="CS65" i="2"/>
  <c r="CP47" i="2"/>
  <c r="CS47" i="2"/>
  <c r="CP240" i="2"/>
  <c r="CS240" i="2"/>
  <c r="CP14" i="2"/>
  <c r="CS14" i="2"/>
  <c r="CP374" i="2"/>
  <c r="CS374" i="2"/>
  <c r="CS202" i="2"/>
  <c r="CP202" i="2"/>
  <c r="CP357" i="2"/>
  <c r="CS357" i="2"/>
  <c r="CS185" i="2"/>
  <c r="CP185" i="2"/>
  <c r="CS324" i="2"/>
  <c r="CP324" i="2"/>
  <c r="CS154" i="2"/>
  <c r="CP154" i="2"/>
  <c r="CS291" i="2"/>
  <c r="CP291" i="2"/>
  <c r="CS121" i="2"/>
  <c r="CP121" i="2"/>
  <c r="CS261" i="2"/>
  <c r="CP261" i="2"/>
  <c r="CP88" i="2"/>
  <c r="CS88" i="2"/>
  <c r="CP39" i="2"/>
  <c r="CS39" i="2"/>
  <c r="CP217" i="2"/>
  <c r="CS217" i="2"/>
  <c r="CP367" i="2"/>
  <c r="CS367" i="2"/>
  <c r="CP195" i="2"/>
  <c r="CS195" i="2"/>
  <c r="CP318" i="2"/>
  <c r="CS318" i="2"/>
  <c r="CP148" i="2"/>
  <c r="CS148" i="2"/>
  <c r="CP269" i="2"/>
  <c r="CS269" i="2"/>
  <c r="CP99" i="2"/>
  <c r="CS99" i="2"/>
  <c r="CP50" i="2"/>
  <c r="CS50" i="2"/>
  <c r="CP347" i="2"/>
  <c r="CS347" i="2"/>
  <c r="CP224" i="2"/>
  <c r="CS224" i="2"/>
  <c r="CP391" i="2"/>
  <c r="CS391" i="2"/>
  <c r="CP358" i="2"/>
  <c r="CS358" i="2"/>
  <c r="CS186" i="2"/>
  <c r="CP186" i="2"/>
  <c r="CP341" i="2"/>
  <c r="CS341" i="2"/>
  <c r="CS169" i="2"/>
  <c r="CP169" i="2"/>
  <c r="CS138" i="2"/>
  <c r="CP138" i="2"/>
  <c r="CS275" i="2"/>
  <c r="CP275" i="2"/>
  <c r="CS105" i="2"/>
  <c r="CP105" i="2"/>
  <c r="CP72" i="2"/>
  <c r="CS72" i="2"/>
  <c r="CP249" i="2"/>
  <c r="CS249" i="2"/>
  <c r="CP23" i="2"/>
  <c r="CS23" i="2"/>
  <c r="CP351" i="2"/>
  <c r="CS351" i="2"/>
  <c r="CP179" i="2"/>
  <c r="CS179" i="2"/>
  <c r="CP302" i="2"/>
  <c r="CS302" i="2"/>
  <c r="CP132" i="2"/>
  <c r="CS132" i="2"/>
  <c r="CP253" i="2"/>
  <c r="CS253" i="2"/>
  <c r="CP83" i="2"/>
  <c r="CS83" i="2"/>
  <c r="CP34" i="2"/>
  <c r="CS34" i="2"/>
  <c r="CP267" i="2"/>
  <c r="CS267" i="2"/>
  <c r="CP48" i="2"/>
  <c r="CS48" i="2"/>
  <c r="CS203" i="2"/>
  <c r="CP203" i="2"/>
  <c r="CP342" i="2"/>
  <c r="CS342" i="2"/>
  <c r="CS170" i="2"/>
  <c r="CP170" i="2"/>
  <c r="CP325" i="2"/>
  <c r="CS325" i="2"/>
  <c r="CS155" i="2"/>
  <c r="CP155" i="2"/>
  <c r="CS122" i="2"/>
  <c r="CP122" i="2"/>
  <c r="CS263" i="2"/>
  <c r="CP263" i="2"/>
  <c r="CS89" i="2"/>
  <c r="CP89" i="2"/>
  <c r="CP56" i="2"/>
  <c r="CS56" i="2"/>
  <c r="CP233" i="2"/>
  <c r="CS233" i="2"/>
  <c r="CS384" i="2"/>
  <c r="CP384" i="2"/>
  <c r="CP212" i="2"/>
  <c r="CS212" i="2"/>
  <c r="CP335" i="2"/>
  <c r="CS335" i="2"/>
  <c r="CP165" i="2"/>
  <c r="CS165" i="2"/>
  <c r="CP286" i="2"/>
  <c r="CS286" i="2"/>
  <c r="CP116" i="2"/>
  <c r="CS116" i="2"/>
  <c r="CP67" i="2"/>
  <c r="CS67" i="2"/>
  <c r="CP18" i="2"/>
  <c r="CS18" i="2"/>
  <c r="CP81" i="2"/>
  <c r="CS81" i="2"/>
  <c r="CP32" i="2"/>
  <c r="CS32" i="2"/>
  <c r="CP225" i="2"/>
  <c r="CS225" i="2"/>
  <c r="CP392" i="2"/>
  <c r="CS392" i="2"/>
  <c r="CP359" i="2"/>
  <c r="CS359" i="2"/>
  <c r="CS187" i="2"/>
  <c r="CP187" i="2"/>
  <c r="CP326" i="2"/>
  <c r="CS326" i="2"/>
  <c r="CS156" i="2"/>
  <c r="CP156" i="2"/>
  <c r="CP309" i="2"/>
  <c r="CS309" i="2"/>
  <c r="CS139" i="2"/>
  <c r="CP139" i="2"/>
  <c r="CS276" i="2"/>
  <c r="CP276" i="2"/>
  <c r="CS106" i="2"/>
  <c r="CP106" i="2"/>
  <c r="CS73" i="2"/>
  <c r="CP73" i="2"/>
  <c r="CP40" i="2"/>
  <c r="CS40" i="2"/>
  <c r="CP218" i="2"/>
  <c r="CS218" i="2"/>
  <c r="CS368" i="2"/>
  <c r="CP368" i="2"/>
  <c r="CP196" i="2"/>
  <c r="CS196" i="2"/>
  <c r="CP319" i="2"/>
  <c r="CS319" i="2"/>
  <c r="CP149" i="2"/>
  <c r="CS149" i="2"/>
  <c r="CP270" i="2"/>
  <c r="CS270" i="2"/>
  <c r="CP100" i="2"/>
  <c r="CS100" i="2"/>
  <c r="CP51" i="2"/>
  <c r="CS51" i="2"/>
  <c r="CP363" i="2"/>
  <c r="CS363" i="2"/>
  <c r="CP241" i="2"/>
  <c r="CS241" i="2"/>
  <c r="CP16" i="2"/>
  <c r="CS16" i="2"/>
  <c r="CP376" i="2"/>
  <c r="CS376" i="2"/>
  <c r="CS204" i="2"/>
  <c r="CP204" i="2"/>
  <c r="CP343" i="2"/>
  <c r="CS343" i="2"/>
  <c r="CS171" i="2"/>
  <c r="CP171" i="2"/>
  <c r="CP310" i="2"/>
  <c r="CS310" i="2"/>
  <c r="CS140" i="2"/>
  <c r="CP140" i="2"/>
  <c r="CP293" i="2"/>
  <c r="CS293" i="2"/>
  <c r="CS123" i="2"/>
  <c r="CP123" i="2"/>
  <c r="CP260" i="2"/>
  <c r="CS260" i="2"/>
  <c r="CS90" i="2"/>
  <c r="CP90" i="2"/>
  <c r="CS57" i="2"/>
  <c r="CP57" i="2"/>
  <c r="CP250" i="2"/>
  <c r="CS250" i="2"/>
  <c r="CP24" i="2"/>
  <c r="CS24" i="2"/>
  <c r="CS352" i="2"/>
  <c r="CP352" i="2"/>
  <c r="CP180" i="2"/>
  <c r="CS180" i="2"/>
  <c r="CP303" i="2"/>
  <c r="CS303" i="2"/>
  <c r="CP133" i="2"/>
  <c r="CS133" i="2"/>
  <c r="CP254" i="2"/>
  <c r="CS254" i="2"/>
  <c r="CP84" i="2"/>
  <c r="CS84" i="2"/>
  <c r="CP35" i="2"/>
  <c r="CS35" i="2"/>
  <c r="CS213" i="2"/>
  <c r="CP213" i="2"/>
  <c r="CP191" i="2"/>
  <c r="CS191" i="2"/>
  <c r="CP283" i="2"/>
  <c r="CS283" i="2"/>
  <c r="CP393" i="2"/>
  <c r="CS393" i="2"/>
  <c r="CP360" i="2"/>
  <c r="CS360" i="2"/>
  <c r="CS188" i="2"/>
  <c r="CP188" i="2"/>
  <c r="CP327" i="2"/>
  <c r="CS327" i="2"/>
  <c r="CS157" i="2"/>
  <c r="CP157" i="2"/>
  <c r="CP294" i="2"/>
  <c r="CS294" i="2"/>
  <c r="CS124" i="2"/>
  <c r="CP124" i="2"/>
  <c r="CP277" i="2"/>
  <c r="CS277" i="2"/>
  <c r="CS107" i="2"/>
  <c r="CP107" i="2"/>
  <c r="CS74" i="2"/>
  <c r="CP74" i="2"/>
  <c r="CS41" i="2"/>
  <c r="CP41" i="2"/>
  <c r="CP234" i="2"/>
  <c r="CS234" i="2"/>
  <c r="CS385" i="2"/>
  <c r="CP385" i="2"/>
  <c r="CS336" i="2"/>
  <c r="CP336" i="2"/>
  <c r="CP287" i="2"/>
  <c r="CS287" i="2"/>
  <c r="CP117" i="2"/>
  <c r="CS117" i="2"/>
  <c r="CP68" i="2"/>
  <c r="CS68" i="2"/>
  <c r="CS245" i="2"/>
  <c r="CP245" i="2"/>
  <c r="CP19" i="2"/>
  <c r="CS19" i="2"/>
  <c r="CP97" i="2"/>
  <c r="CS97" i="2"/>
  <c r="CP257" i="2"/>
  <c r="CS257" i="2"/>
  <c r="CP31" i="2"/>
  <c r="CS31" i="2"/>
  <c r="CP15" i="2"/>
  <c r="CS15" i="2"/>
  <c r="CP242" i="2"/>
  <c r="CS242" i="2"/>
  <c r="CS226" i="2"/>
  <c r="CP226" i="2"/>
  <c r="CP377" i="2"/>
  <c r="CS377" i="2"/>
  <c r="CS205" i="2"/>
  <c r="CP205" i="2"/>
  <c r="CP344" i="2"/>
  <c r="CS344" i="2"/>
  <c r="CS172" i="2"/>
  <c r="CP172" i="2"/>
  <c r="CP308" i="2"/>
  <c r="CS308" i="2"/>
  <c r="CS141" i="2"/>
  <c r="CP141" i="2"/>
  <c r="CP278" i="2"/>
  <c r="CS278" i="2"/>
  <c r="CS108" i="2"/>
  <c r="CP108" i="2"/>
  <c r="CS91" i="2"/>
  <c r="CP91" i="2"/>
  <c r="CS58" i="2"/>
  <c r="CP58" i="2"/>
  <c r="CP251" i="2"/>
  <c r="CS251" i="2"/>
  <c r="CS25" i="2"/>
  <c r="CP25" i="2"/>
  <c r="CS369" i="2"/>
  <c r="CP369" i="2"/>
  <c r="CP197" i="2"/>
  <c r="CS197" i="2"/>
  <c r="CS320" i="2"/>
  <c r="CP320" i="2"/>
  <c r="CP150" i="2"/>
  <c r="CS150" i="2"/>
  <c r="CP271" i="2"/>
  <c r="CS271" i="2"/>
  <c r="CP101" i="2"/>
  <c r="CS101" i="2"/>
  <c r="CP52" i="2"/>
  <c r="CS52" i="2"/>
  <c r="CP380" i="2"/>
  <c r="CS380" i="2"/>
  <c r="CP208" i="2"/>
  <c r="CS208" i="2"/>
  <c r="CP379" i="2"/>
  <c r="CS379" i="2"/>
  <c r="CX173" i="2"/>
  <c r="CT173" i="2" a="1"/>
  <c r="CT173" i="2" s="1"/>
  <c r="CT329" i="2" a="1"/>
  <c r="CT329" i="2" s="1"/>
  <c r="CX329" i="2"/>
  <c r="CT296" i="2" a="1"/>
  <c r="CT296" i="2" s="1"/>
  <c r="CX296" i="2"/>
  <c r="CT280" i="2" a="1"/>
  <c r="CT280" i="2" s="1"/>
  <c r="CX280" i="2"/>
  <c r="CX96" i="2"/>
  <c r="CT96" i="2" a="1"/>
  <c r="CT96" i="2" s="1"/>
  <c r="CX63" i="2"/>
  <c r="CT63" i="2" a="1"/>
  <c r="CT63" i="2" s="1"/>
  <c r="CX161" i="2"/>
  <c r="CT161" i="2" a="1"/>
  <c r="CT161" i="2" s="1"/>
  <c r="CX30" i="2"/>
  <c r="CT30" i="2" a="1"/>
  <c r="CT30" i="2" s="1"/>
  <c r="CX223" i="2"/>
  <c r="CT223" i="2" a="1"/>
  <c r="CT223" i="2" s="1"/>
  <c r="CT390" i="2" a="1"/>
  <c r="CT390" i="2" s="1"/>
  <c r="CX390" i="2"/>
  <c r="CX373" i="2"/>
  <c r="CT373" i="2" a="1"/>
  <c r="CT373" i="2" s="1"/>
  <c r="CL201" i="2"/>
  <c r="CX340" i="2"/>
  <c r="CT340" i="2" a="1"/>
  <c r="CT340" i="2" s="1"/>
  <c r="CX168" i="2"/>
  <c r="CT168" i="2" a="1"/>
  <c r="CT168" i="2" s="1"/>
  <c r="CX307" i="2"/>
  <c r="CT307" i="2" a="1"/>
  <c r="CT307" i="2" s="1"/>
  <c r="CX137" i="2"/>
  <c r="CT137" i="2" a="1"/>
  <c r="CT137" i="2" s="1"/>
  <c r="CT274" i="2" a="1"/>
  <c r="CT274" i="2" s="1"/>
  <c r="CX274" i="2"/>
  <c r="CT104" i="2" a="1"/>
  <c r="CT104" i="2" s="1"/>
  <c r="CX104" i="2"/>
  <c r="CL235" i="2"/>
  <c r="CT55" i="2" a="1"/>
  <c r="CT55" i="2" s="1"/>
  <c r="CX55" i="2"/>
  <c r="CT232" i="2" a="1"/>
  <c r="CT232" i="2" s="1"/>
  <c r="CX232" i="2"/>
  <c r="CT383" i="2" a="1"/>
  <c r="CT383" i="2" s="1"/>
  <c r="CX383" i="2"/>
  <c r="CT211" i="2" a="1"/>
  <c r="CT211" i="2" s="1"/>
  <c r="CX211" i="2"/>
  <c r="CT334" i="2" a="1"/>
  <c r="CT334" i="2" s="1"/>
  <c r="CX334" i="2"/>
  <c r="CT164" i="2" a="1"/>
  <c r="CT164" i="2" s="1"/>
  <c r="CX164" i="2"/>
  <c r="CT285" i="2" a="1"/>
  <c r="CT285" i="2" s="1"/>
  <c r="CX285" i="2"/>
  <c r="CT115" i="2" a="1"/>
  <c r="CT115" i="2" s="1"/>
  <c r="CX115" i="2"/>
  <c r="CT66" i="2" a="1"/>
  <c r="CT66" i="2" s="1"/>
  <c r="CX66" i="2"/>
  <c r="CT65" i="2" a="1"/>
  <c r="CT65" i="2" s="1"/>
  <c r="CX65" i="2"/>
  <c r="CX14" i="2"/>
  <c r="CT14" i="2" a="1"/>
  <c r="CT14" i="2" s="1"/>
  <c r="CT374" i="2" a="1"/>
  <c r="CT374" i="2" s="1"/>
  <c r="CX374" i="2"/>
  <c r="CX202" i="2"/>
  <c r="CT202" i="2" a="1"/>
  <c r="CT202" i="2" s="1"/>
  <c r="CX357" i="2"/>
  <c r="CT357" i="2" a="1"/>
  <c r="CT357" i="2" s="1"/>
  <c r="CX185" i="2"/>
  <c r="CT185" i="2" a="1"/>
  <c r="CT185" i="2" s="1"/>
  <c r="CX324" i="2"/>
  <c r="CT324" i="2" a="1"/>
  <c r="CT324" i="2" s="1"/>
  <c r="CX154" i="2"/>
  <c r="CT154" i="2" a="1"/>
  <c r="CT154" i="2" s="1"/>
  <c r="CX291" i="2"/>
  <c r="CT291" i="2" a="1"/>
  <c r="CT291" i="2" s="1"/>
  <c r="CX121" i="2"/>
  <c r="CT121" i="2" a="1"/>
  <c r="CT121" i="2" s="1"/>
  <c r="CT261" i="2" a="1"/>
  <c r="CT261" i="2" s="1"/>
  <c r="CX261" i="2"/>
  <c r="CT88" i="2" a="1"/>
  <c r="CT88" i="2" s="1"/>
  <c r="CX88" i="2"/>
  <c r="CT39" i="2" a="1"/>
  <c r="CT39" i="2" s="1"/>
  <c r="CX39" i="2"/>
  <c r="CT217" i="2" a="1"/>
  <c r="CT217" i="2" s="1"/>
  <c r="CX217" i="2"/>
  <c r="CT367" i="2" a="1"/>
  <c r="CT367" i="2" s="1"/>
  <c r="CX367" i="2"/>
  <c r="CT195" i="2" a="1"/>
  <c r="CT195" i="2" s="1"/>
  <c r="CX195" i="2"/>
  <c r="CT318" i="2" a="1"/>
  <c r="CT318" i="2" s="1"/>
  <c r="CX318" i="2"/>
  <c r="CT148" i="2" a="1"/>
  <c r="CT148" i="2" s="1"/>
  <c r="CX148" i="2"/>
  <c r="CT269" i="2" a="1"/>
  <c r="CT269" i="2" s="1"/>
  <c r="CX269" i="2"/>
  <c r="CT99" i="2" a="1"/>
  <c r="CT99" i="2" s="1"/>
  <c r="CX99" i="2"/>
  <c r="CT50" i="2" a="1"/>
  <c r="CT50" i="2" s="1"/>
  <c r="CX50" i="2"/>
  <c r="CT347" i="2" a="1"/>
  <c r="CT347" i="2" s="1"/>
  <c r="CX347" i="2"/>
  <c r="CX186" i="2"/>
  <c r="CT186" i="2" a="1"/>
  <c r="CT186" i="2" s="1"/>
  <c r="CX341" i="2"/>
  <c r="CT341" i="2" a="1"/>
  <c r="CT341" i="2" s="1"/>
  <c r="CX169" i="2"/>
  <c r="CT169" i="2" a="1"/>
  <c r="CT169" i="2" s="1"/>
  <c r="CX138" i="2"/>
  <c r="CT138" i="2" a="1"/>
  <c r="CT138" i="2" s="1"/>
  <c r="CX275" i="2"/>
  <c r="CT275" i="2" a="1"/>
  <c r="CT275" i="2" s="1"/>
  <c r="CX105" i="2"/>
  <c r="CT105" i="2" a="1"/>
  <c r="CT105" i="2" s="1"/>
  <c r="CT72" i="2" a="1"/>
  <c r="CT72" i="2" s="1"/>
  <c r="CX72" i="2"/>
  <c r="CT249" i="2" a="1"/>
  <c r="CT249" i="2" s="1"/>
  <c r="CX249" i="2"/>
  <c r="CT23" i="2" a="1"/>
  <c r="CT23" i="2" s="1"/>
  <c r="CX23" i="2"/>
  <c r="CT351" i="2" a="1"/>
  <c r="CT351" i="2" s="1"/>
  <c r="CX351" i="2"/>
  <c r="CT179" i="2" a="1"/>
  <c r="CT179" i="2" s="1"/>
  <c r="CX179" i="2"/>
  <c r="CT302" i="2" a="1"/>
  <c r="CT302" i="2" s="1"/>
  <c r="CX302" i="2"/>
  <c r="CT132" i="2" a="1"/>
  <c r="CT132" i="2" s="1"/>
  <c r="CX132" i="2"/>
  <c r="CT253" i="2" a="1"/>
  <c r="CT253" i="2" s="1"/>
  <c r="CX253" i="2"/>
  <c r="CT83" i="2" a="1"/>
  <c r="CT83" i="2" s="1"/>
  <c r="CX83" i="2"/>
  <c r="CT34" i="2" a="1"/>
  <c r="CT34" i="2" s="1"/>
  <c r="CX34" i="2"/>
  <c r="CT267" i="2" a="1"/>
  <c r="CT267" i="2" s="1"/>
  <c r="CX267" i="2"/>
  <c r="CT375" i="2" a="1"/>
  <c r="CT375" i="2" s="1"/>
  <c r="CX375" i="2"/>
  <c r="CX325" i="2"/>
  <c r="CT325" i="2" a="1"/>
  <c r="CT325" i="2" s="1"/>
  <c r="CX155" i="2"/>
  <c r="CT155" i="2" a="1"/>
  <c r="CT155" i="2" s="1"/>
  <c r="CX122" i="2"/>
  <c r="CT122" i="2" a="1"/>
  <c r="CT122" i="2" s="1"/>
  <c r="CX263" i="2"/>
  <c r="CT263" i="2" a="1"/>
  <c r="CT263" i="2" s="1"/>
  <c r="CX89" i="2"/>
  <c r="CT89" i="2" a="1"/>
  <c r="CT89" i="2" s="1"/>
  <c r="CT56" i="2" a="1"/>
  <c r="CT56" i="2" s="1"/>
  <c r="CX56" i="2"/>
  <c r="CT233" i="2" a="1"/>
  <c r="CT233" i="2" s="1"/>
  <c r="CX233" i="2"/>
  <c r="CT384" i="2" a="1"/>
  <c r="CT384" i="2" s="1"/>
  <c r="CX384" i="2"/>
  <c r="CT212" i="2" a="1"/>
  <c r="CT212" i="2" s="1"/>
  <c r="CX212" i="2"/>
  <c r="CT335" i="2" a="1"/>
  <c r="CT335" i="2" s="1"/>
  <c r="CX335" i="2"/>
  <c r="CT165" i="2" a="1"/>
  <c r="CT165" i="2" s="1"/>
  <c r="CX165" i="2"/>
  <c r="CT286" i="2" a="1"/>
  <c r="CT286" i="2" s="1"/>
  <c r="CX286" i="2"/>
  <c r="CT116" i="2" a="1"/>
  <c r="CT116" i="2" s="1"/>
  <c r="CX116" i="2"/>
  <c r="CT67" i="2" a="1"/>
  <c r="CT67" i="2" s="1"/>
  <c r="CX67" i="2"/>
  <c r="CT18" i="2" a="1"/>
  <c r="CT18" i="2" s="1"/>
  <c r="CX18" i="2"/>
  <c r="CT81" i="2" a="1"/>
  <c r="CT81" i="2" s="1"/>
  <c r="CX81" i="2"/>
  <c r="CL64" i="2"/>
  <c r="CT358" i="2" a="1"/>
  <c r="CT358" i="2" s="1"/>
  <c r="CX358" i="2"/>
  <c r="CX225" i="2"/>
  <c r="CT225" i="2" a="1"/>
  <c r="CT225" i="2" s="1"/>
  <c r="CT326" i="2" a="1"/>
  <c r="CT326" i="2" s="1"/>
  <c r="CX326" i="2"/>
  <c r="CX309" i="2"/>
  <c r="CT309" i="2" a="1"/>
  <c r="CT309" i="2" s="1"/>
  <c r="CX276" i="2"/>
  <c r="CT276" i="2" a="1"/>
  <c r="CT276" i="2" s="1"/>
  <c r="CX106" i="2"/>
  <c r="CT106" i="2" a="1"/>
  <c r="CT106" i="2" s="1"/>
  <c r="CX73" i="2"/>
  <c r="CT73" i="2" a="1"/>
  <c r="CT73" i="2" s="1"/>
  <c r="CT40" i="2" a="1"/>
  <c r="CT40" i="2" s="1"/>
  <c r="CX40" i="2"/>
  <c r="CT218" i="2" a="1"/>
  <c r="CT218" i="2" s="1"/>
  <c r="CX218" i="2"/>
  <c r="CT368" i="2" a="1"/>
  <c r="CT368" i="2" s="1"/>
  <c r="CX368" i="2"/>
  <c r="CT196" i="2" a="1"/>
  <c r="CT196" i="2" s="1"/>
  <c r="CX196" i="2"/>
  <c r="CT319" i="2" a="1"/>
  <c r="CT319" i="2" s="1"/>
  <c r="CX319" i="2"/>
  <c r="CT149" i="2" a="1"/>
  <c r="CT149" i="2" s="1"/>
  <c r="CX149" i="2"/>
  <c r="CT270" i="2" a="1"/>
  <c r="CT270" i="2" s="1"/>
  <c r="CX270" i="2"/>
  <c r="CT100" i="2" a="1"/>
  <c r="CT100" i="2" s="1"/>
  <c r="CX100" i="2"/>
  <c r="CT51" i="2" a="1"/>
  <c r="CT51" i="2" s="1"/>
  <c r="CX51" i="2"/>
  <c r="CT363" i="2" a="1"/>
  <c r="CT363" i="2" s="1"/>
  <c r="CX363" i="2"/>
  <c r="CX80" i="2"/>
  <c r="CT80" i="2" a="1"/>
  <c r="CT80" i="2" s="1"/>
  <c r="CX31" i="2"/>
  <c r="CT31" i="2" a="1"/>
  <c r="CT31" i="2" s="1"/>
  <c r="CT48" i="2" a="1"/>
  <c r="CT48" i="2" s="1"/>
  <c r="CX48" i="2"/>
  <c r="CX203" i="2"/>
  <c r="CT203" i="2" a="1"/>
  <c r="CT203" i="2" s="1"/>
  <c r="CT392" i="2" a="1"/>
  <c r="CT392" i="2" s="1"/>
  <c r="CX392" i="2"/>
  <c r="CX140" i="2"/>
  <c r="CT140" i="2" a="1"/>
  <c r="CT140" i="2" s="1"/>
  <c r="CX260" i="2"/>
  <c r="CT260" i="2" a="1"/>
  <c r="CT260" i="2" s="1"/>
  <c r="CX90" i="2"/>
  <c r="CT90" i="2" a="1"/>
  <c r="CT90" i="2" s="1"/>
  <c r="CX57" i="2"/>
  <c r="CT57" i="2" a="1"/>
  <c r="CT57" i="2" s="1"/>
  <c r="CT250" i="2" a="1"/>
  <c r="CT250" i="2" s="1"/>
  <c r="CX250" i="2"/>
  <c r="CT24" i="2" a="1"/>
  <c r="CT24" i="2" s="1"/>
  <c r="CX24" i="2"/>
  <c r="CT352" i="2" a="1"/>
  <c r="CT352" i="2" s="1"/>
  <c r="CX352" i="2"/>
  <c r="CT180" i="2" a="1"/>
  <c r="CT180" i="2" s="1"/>
  <c r="CX180" i="2"/>
  <c r="CT303" i="2" a="1"/>
  <c r="CT303" i="2" s="1"/>
  <c r="CX303" i="2"/>
  <c r="CT133" i="2" a="1"/>
  <c r="CT133" i="2" s="1"/>
  <c r="CX133" i="2"/>
  <c r="CT254" i="2" a="1"/>
  <c r="CT254" i="2" s="1"/>
  <c r="CX254" i="2"/>
  <c r="CT84" i="2" a="1"/>
  <c r="CT84" i="2" s="1"/>
  <c r="CX84" i="2"/>
  <c r="CT35" i="2" a="1"/>
  <c r="CT35" i="2" s="1"/>
  <c r="CX35" i="2"/>
  <c r="CX213" i="2"/>
  <c r="CT213" i="2" a="1"/>
  <c r="CT213" i="2" s="1"/>
  <c r="CT191" i="2" a="1"/>
  <c r="CT191" i="2" s="1"/>
  <c r="CX191" i="2"/>
  <c r="CT283" i="2" a="1"/>
  <c r="CT283" i="2" s="1"/>
  <c r="CX283" i="2"/>
  <c r="CT257" i="2" a="1"/>
  <c r="CT257" i="2" s="1"/>
  <c r="CX257" i="2"/>
  <c r="CT391" i="2" a="1"/>
  <c r="CT391" i="2" s="1"/>
  <c r="CX391" i="2"/>
  <c r="CX15" i="2"/>
  <c r="CT15" i="2" a="1"/>
  <c r="CT15" i="2" s="1"/>
  <c r="CX170" i="2"/>
  <c r="CT170" i="2" a="1"/>
  <c r="CT170" i="2" s="1"/>
  <c r="CT32" i="2" a="1"/>
  <c r="CT32" i="2" s="1"/>
  <c r="CX32" i="2"/>
  <c r="CT359" i="2" a="1"/>
  <c r="CT359" i="2" s="1"/>
  <c r="CX359" i="2"/>
  <c r="CX139" i="2"/>
  <c r="CT139" i="2" a="1"/>
  <c r="CT139" i="2" s="1"/>
  <c r="CX242" i="2"/>
  <c r="CT242" i="2" a="1"/>
  <c r="CT242" i="2" s="1"/>
  <c r="CT376" i="2" a="1"/>
  <c r="CT376" i="2" s="1"/>
  <c r="CX376" i="2"/>
  <c r="CT343" i="2" a="1"/>
  <c r="CT343" i="2" s="1"/>
  <c r="CX343" i="2"/>
  <c r="CT310" i="2" a="1"/>
  <c r="CT310" i="2" s="1"/>
  <c r="CX310" i="2"/>
  <c r="CX123" i="2"/>
  <c r="CT123" i="2" a="1"/>
  <c r="CT123" i="2" s="1"/>
  <c r="CT393" i="2" a="1"/>
  <c r="CT393" i="2" s="1"/>
  <c r="CX393" i="2"/>
  <c r="CX188" i="2"/>
  <c r="CT188" i="2" a="1"/>
  <c r="CT188" i="2" s="1"/>
  <c r="CX157" i="2"/>
  <c r="CT157" i="2" a="1"/>
  <c r="CT157" i="2" s="1"/>
  <c r="CX124" i="2"/>
  <c r="CT124" i="2" a="1"/>
  <c r="CT124" i="2" s="1"/>
  <c r="CX107" i="2"/>
  <c r="CT107" i="2" a="1"/>
  <c r="CT107" i="2" s="1"/>
  <c r="CX74" i="2"/>
  <c r="CT74" i="2" a="1"/>
  <c r="CT74" i="2" s="1"/>
  <c r="CX41" i="2"/>
  <c r="CT41" i="2" a="1"/>
  <c r="CT41" i="2" s="1"/>
  <c r="CT234" i="2" a="1"/>
  <c r="CT234" i="2" s="1"/>
  <c r="CX234" i="2"/>
  <c r="CT385" i="2" a="1"/>
  <c r="CT385" i="2" s="1"/>
  <c r="CX385" i="2"/>
  <c r="CT336" i="2" a="1"/>
  <c r="CT336" i="2" s="1"/>
  <c r="CX336" i="2"/>
  <c r="CT287" i="2" a="1"/>
  <c r="CT287" i="2" s="1"/>
  <c r="CX287" i="2"/>
  <c r="CT117" i="2" a="1"/>
  <c r="CT117" i="2" s="1"/>
  <c r="CX117" i="2"/>
  <c r="CT68" i="2" a="1"/>
  <c r="CT68" i="2" s="1"/>
  <c r="CX68" i="2"/>
  <c r="CX245" i="2"/>
  <c r="CT245" i="2" a="1"/>
  <c r="CT245" i="2" s="1"/>
  <c r="CT19" i="2" a="1"/>
  <c r="CT19" i="2" s="1"/>
  <c r="CX19" i="2"/>
  <c r="CT97" i="2" a="1"/>
  <c r="CT97" i="2" s="1"/>
  <c r="CX97" i="2"/>
  <c r="CX47" i="2"/>
  <c r="CT47" i="2" a="1"/>
  <c r="CT47" i="2" s="1"/>
  <c r="CX224" i="2"/>
  <c r="CT224" i="2" a="1"/>
  <c r="CT224" i="2" s="1"/>
  <c r="CX241" i="2"/>
  <c r="CT241" i="2" a="1"/>
  <c r="CT241" i="2" s="1"/>
  <c r="CT342" i="2" a="1"/>
  <c r="CT342" i="2" s="1"/>
  <c r="CX342" i="2"/>
  <c r="CL228" i="2"/>
  <c r="CX187" i="2"/>
  <c r="CT187" i="2" a="1"/>
  <c r="CT187" i="2" s="1"/>
  <c r="CX156" i="2"/>
  <c r="CT156" i="2" a="1"/>
  <c r="CT156" i="2" s="1"/>
  <c r="CX16" i="2"/>
  <c r="CT16" i="2" a="1"/>
  <c r="CT16" i="2" s="1"/>
  <c r="CX204" i="2"/>
  <c r="CT204" i="2" a="1"/>
  <c r="CT204" i="2" s="1"/>
  <c r="CX171" i="2"/>
  <c r="CT171" i="2" a="1"/>
  <c r="CT171" i="2" s="1"/>
  <c r="CX293" i="2"/>
  <c r="CT293" i="2" a="1"/>
  <c r="CT293" i="2" s="1"/>
  <c r="CX226" i="2"/>
  <c r="CT226" i="2" a="1"/>
  <c r="CT226" i="2" s="1"/>
  <c r="CT360" i="2" a="1"/>
  <c r="CT360" i="2" s="1"/>
  <c r="CX360" i="2"/>
  <c r="CT327" i="2" a="1"/>
  <c r="CT327" i="2" s="1"/>
  <c r="CX327" i="2"/>
  <c r="CT294" i="2" a="1"/>
  <c r="CT294" i="2" s="1"/>
  <c r="CX294" i="2"/>
  <c r="CX277" i="2"/>
  <c r="CT277" i="2" a="1"/>
  <c r="CT277" i="2" s="1"/>
  <c r="CT377" i="2" a="1"/>
  <c r="CT377" i="2" s="1"/>
  <c r="CX377" i="2"/>
  <c r="CX205" i="2"/>
  <c r="CT205" i="2" a="1"/>
  <c r="CT205" i="2" s="1"/>
  <c r="CT344" i="2" a="1"/>
  <c r="CT344" i="2" s="1"/>
  <c r="CX344" i="2"/>
  <c r="CX172" i="2"/>
  <c r="CT172" i="2" a="1"/>
  <c r="CT172" i="2" s="1"/>
  <c r="CT308" i="2" a="1"/>
  <c r="CT308" i="2" s="1"/>
  <c r="CX308" i="2"/>
  <c r="CX141" i="2"/>
  <c r="CT141" i="2" a="1"/>
  <c r="CT141" i="2" s="1"/>
  <c r="CT278" i="2" a="1"/>
  <c r="CT278" i="2" s="1"/>
  <c r="CX278" i="2"/>
  <c r="CX108" i="2"/>
  <c r="CT108" i="2" a="1"/>
  <c r="CT108" i="2" s="1"/>
  <c r="CL292" i="2"/>
  <c r="CX91" i="2"/>
  <c r="CT91" i="2" a="1"/>
  <c r="CT91" i="2" s="1"/>
  <c r="CX58" i="2"/>
  <c r="CT58" i="2" a="1"/>
  <c r="CT58" i="2" s="1"/>
  <c r="CX251" i="2"/>
  <c r="CT251" i="2" a="1"/>
  <c r="CT251" i="2" s="1"/>
  <c r="CX25" i="2"/>
  <c r="CT25" i="2" a="1"/>
  <c r="CT25" i="2" s="1"/>
  <c r="CT369" i="2" a="1"/>
  <c r="CT369" i="2" s="1"/>
  <c r="CX369" i="2"/>
  <c r="CT197" i="2" a="1"/>
  <c r="CT197" i="2" s="1"/>
  <c r="CX197" i="2"/>
  <c r="CT320" i="2" a="1"/>
  <c r="CT320" i="2" s="1"/>
  <c r="CX320" i="2"/>
  <c r="CT150" i="2" a="1"/>
  <c r="CT150" i="2" s="1"/>
  <c r="CX150" i="2"/>
  <c r="CT271" i="2" a="1"/>
  <c r="CT271" i="2" s="1"/>
  <c r="CX271" i="2"/>
  <c r="CT101" i="2" a="1"/>
  <c r="CT101" i="2" s="1"/>
  <c r="CX101" i="2"/>
  <c r="CT52" i="2" a="1"/>
  <c r="CT52" i="2" s="1"/>
  <c r="CX52" i="2"/>
  <c r="CL227" i="2"/>
  <c r="CT380" i="2" a="1"/>
  <c r="CT380" i="2" s="1"/>
  <c r="CX380" i="2"/>
  <c r="CT208" i="2" a="1"/>
  <c r="CT208" i="2" s="1"/>
  <c r="CX208" i="2"/>
  <c r="CT379" i="2" a="1"/>
  <c r="CT379" i="2" s="1"/>
  <c r="CX379" i="2"/>
  <c r="CL229" i="2"/>
  <c r="CX240" i="2"/>
  <c r="CT240" i="2" a="1"/>
  <c r="CT240" i="2" s="1"/>
  <c r="CT394" i="2" a="1"/>
  <c r="CT394" i="2" s="1"/>
  <c r="CX394" i="2"/>
  <c r="CT361" i="2" a="1"/>
  <c r="CT361" i="2" s="1"/>
  <c r="CX361" i="2"/>
  <c r="CX189" i="2"/>
  <c r="CT189" i="2" a="1"/>
  <c r="CT189" i="2" s="1"/>
  <c r="CT328" i="2" a="1"/>
  <c r="CT328" i="2" s="1"/>
  <c r="CX328" i="2"/>
  <c r="CX158" i="2"/>
  <c r="CT158" i="2" a="1"/>
  <c r="CT158" i="2" s="1"/>
  <c r="CT295" i="2" a="1"/>
  <c r="CT295" i="2" s="1"/>
  <c r="CX295" i="2"/>
  <c r="CX125" i="2"/>
  <c r="CT125" i="2" a="1"/>
  <c r="CT125" i="2" s="1"/>
  <c r="CT262" i="2" a="1"/>
  <c r="CT262" i="2" s="1"/>
  <c r="CX262" i="2"/>
  <c r="CX92" i="2"/>
  <c r="CT92" i="2" a="1"/>
  <c r="CT92" i="2" s="1"/>
  <c r="CX75" i="2"/>
  <c r="CT75" i="2" a="1"/>
  <c r="CT75" i="2" s="1"/>
  <c r="CX42" i="2"/>
  <c r="CT42" i="2" a="1"/>
  <c r="CT42" i="2" s="1"/>
  <c r="CX9" i="2"/>
  <c r="CT9" i="2" a="1"/>
  <c r="CT9" i="2" s="1"/>
  <c r="CT353" i="2" a="1"/>
  <c r="CT353" i="2" s="1"/>
  <c r="CX353" i="2"/>
  <c r="CT181" i="2" a="1"/>
  <c r="CT181" i="2" s="1"/>
  <c r="CX181" i="2"/>
  <c r="CT304" i="2" a="1"/>
  <c r="CT304" i="2" s="1"/>
  <c r="CX304" i="2"/>
  <c r="CT134" i="2" a="1"/>
  <c r="CT134" i="2" s="1"/>
  <c r="CX134" i="2"/>
  <c r="CT255" i="2" a="1"/>
  <c r="CT255" i="2" s="1"/>
  <c r="CX255" i="2"/>
  <c r="CT85" i="2" a="1"/>
  <c r="CT85" i="2" s="1"/>
  <c r="CX85" i="2"/>
  <c r="CT36" i="2" a="1"/>
  <c r="CT36" i="2" s="1"/>
  <c r="CX36" i="2"/>
  <c r="CX214" i="2"/>
  <c r="CT214" i="2" a="1"/>
  <c r="CT214" i="2" s="1"/>
  <c r="CT364" i="2" a="1"/>
  <c r="CT364" i="2" s="1"/>
  <c r="CX364" i="2"/>
  <c r="CT192" i="2" a="1"/>
  <c r="CT192" i="2" s="1"/>
  <c r="CX192" i="2"/>
  <c r="CX207" i="2"/>
  <c r="CT207" i="2" a="1"/>
  <c r="CT207" i="2" s="1"/>
  <c r="CT299" i="2" a="1"/>
  <c r="CT299" i="2" s="1"/>
  <c r="CX299" i="2"/>
  <c r="CT17" i="2" a="1"/>
  <c r="CT17" i="2" s="1"/>
  <c r="CX17" i="2"/>
  <c r="CT312" i="2" a="1"/>
  <c r="CT312" i="2" s="1"/>
  <c r="CX312" i="2"/>
  <c r="CT279" i="2" a="1"/>
  <c r="CT279" i="2" s="1"/>
  <c r="CX279" i="2"/>
  <c r="CX109" i="2"/>
  <c r="CT109" i="2" a="1"/>
  <c r="CT109" i="2" s="1"/>
  <c r="CX76" i="2"/>
  <c r="CT76" i="2" a="1"/>
  <c r="CT76" i="2" s="1"/>
  <c r="CX59" i="2"/>
  <c r="CT59" i="2" a="1"/>
  <c r="CT59" i="2" s="1"/>
  <c r="CX26" i="2"/>
  <c r="CT26" i="2" a="1"/>
  <c r="CT26" i="2" s="1"/>
  <c r="CX219" i="2"/>
  <c r="CT219" i="2" a="1"/>
  <c r="CT219" i="2" s="1"/>
  <c r="CT386" i="2" a="1"/>
  <c r="CT386" i="2" s="1"/>
  <c r="CX386" i="2"/>
  <c r="CT337" i="2" a="1"/>
  <c r="CT337" i="2" s="1"/>
  <c r="CX337" i="2"/>
  <c r="CT166" i="2" a="1"/>
  <c r="CT166" i="2" s="1"/>
  <c r="CX166" i="2"/>
  <c r="CT288" i="2" a="1"/>
  <c r="CT288" i="2" s="1"/>
  <c r="CX288" i="2"/>
  <c r="CT118" i="2" a="1"/>
  <c r="CT118" i="2" s="1"/>
  <c r="CX118" i="2"/>
  <c r="CT69" i="2" a="1"/>
  <c r="CT69" i="2" s="1"/>
  <c r="CX69" i="2"/>
  <c r="CX246" i="2"/>
  <c r="CT246" i="2" a="1"/>
  <c r="CT246" i="2" s="1"/>
  <c r="CT20" i="2" a="1"/>
  <c r="CT20" i="2" s="1"/>
  <c r="CX20" i="2"/>
  <c r="CT348" i="2" a="1"/>
  <c r="CT348" i="2" s="1"/>
  <c r="CX348" i="2"/>
  <c r="CT176" i="2" a="1"/>
  <c r="CT176" i="2" s="1"/>
  <c r="CX176" i="2"/>
  <c r="CT113" i="2" a="1"/>
  <c r="CT113" i="2" s="1"/>
  <c r="CX113" i="2"/>
  <c r="CT362" i="2" a="1"/>
  <c r="CT362" i="2" s="1"/>
  <c r="CX362" i="2"/>
  <c r="CX93" i="2"/>
  <c r="CT93" i="2" a="1"/>
  <c r="CT93" i="2" s="1"/>
  <c r="CX60" i="2"/>
  <c r="CT60" i="2" a="1"/>
  <c r="CT60" i="2" s="1"/>
  <c r="CX43" i="2"/>
  <c r="CT43" i="2" a="1"/>
  <c r="CT43" i="2" s="1"/>
  <c r="CX236" i="2"/>
  <c r="CT236" i="2" a="1"/>
  <c r="CT236" i="2" s="1"/>
  <c r="CX10" i="2"/>
  <c r="CT10" i="2" a="1"/>
  <c r="CT10" i="2" s="1"/>
  <c r="CT370" i="2" a="1"/>
  <c r="CT370" i="2" s="1"/>
  <c r="CX370" i="2"/>
  <c r="CT198" i="2" a="1"/>
  <c r="CT198" i="2" s="1"/>
  <c r="CX198" i="2"/>
  <c r="CT321" i="2" a="1"/>
  <c r="CT321" i="2" s="1"/>
  <c r="CX321" i="2"/>
  <c r="CT151" i="2" a="1"/>
  <c r="CT151" i="2" s="1"/>
  <c r="CX151" i="2"/>
  <c r="CT272" i="2" a="1"/>
  <c r="CT272" i="2" s="1"/>
  <c r="CX272" i="2"/>
  <c r="CT102" i="2" a="1"/>
  <c r="CT102" i="2" s="1"/>
  <c r="CX102" i="2"/>
  <c r="CT53" i="2" a="1"/>
  <c r="CT53" i="2" s="1"/>
  <c r="CX53" i="2"/>
  <c r="CX230" i="2"/>
  <c r="CT230" i="2" a="1"/>
  <c r="CT230" i="2" s="1"/>
  <c r="CT381" i="2" a="1"/>
  <c r="CT381" i="2" s="1"/>
  <c r="CX381" i="2"/>
  <c r="CT209" i="2" a="1"/>
  <c r="CT209" i="2" s="1"/>
  <c r="CX209" i="2"/>
  <c r="CT332" i="2" a="1"/>
  <c r="CT332" i="2" s="1"/>
  <c r="CX332" i="2"/>
  <c r="CT162" i="2" a="1"/>
  <c r="CT162" i="2" s="1"/>
  <c r="CX162" i="2"/>
  <c r="CX110" i="2"/>
  <c r="CT110" i="2" a="1"/>
  <c r="CT110" i="2" s="1"/>
  <c r="CX44" i="2"/>
  <c r="CT44" i="2" a="1"/>
  <c r="CT44" i="2" s="1"/>
  <c r="CX27" i="2"/>
  <c r="CT27" i="2" a="1"/>
  <c r="CT27" i="2" s="1"/>
  <c r="CX220" i="2"/>
  <c r="CT220" i="2" a="1"/>
  <c r="CT220" i="2" s="1"/>
  <c r="CX387" i="2"/>
  <c r="CT387" i="2" a="1"/>
  <c r="CT387" i="2" s="1"/>
  <c r="CT354" i="2" a="1"/>
  <c r="CT354" i="2" s="1"/>
  <c r="CX354" i="2"/>
  <c r="CT182" i="2" a="1"/>
  <c r="CT182" i="2" s="1"/>
  <c r="CX182" i="2"/>
  <c r="CT305" i="2" a="1"/>
  <c r="CT305" i="2" s="1"/>
  <c r="CX305" i="2"/>
  <c r="CT135" i="2" a="1"/>
  <c r="CT135" i="2" s="1"/>
  <c r="CX135" i="2"/>
  <c r="CT256" i="2" a="1"/>
  <c r="CT256" i="2" s="1"/>
  <c r="CX256" i="2"/>
  <c r="CT86" i="2" a="1"/>
  <c r="CT86" i="2" s="1"/>
  <c r="CX86" i="2"/>
  <c r="CT37" i="2" a="1"/>
  <c r="CT37" i="2" s="1"/>
  <c r="CX37" i="2"/>
  <c r="CT215" i="2" a="1"/>
  <c r="CT215" i="2" s="1"/>
  <c r="CX215" i="2"/>
  <c r="CT365" i="2" a="1"/>
  <c r="CT365" i="2" s="1"/>
  <c r="CX365" i="2"/>
  <c r="CT193" i="2" a="1"/>
  <c r="CT193" i="2" s="1"/>
  <c r="CX193" i="2"/>
  <c r="CT316" i="2" a="1"/>
  <c r="CT316" i="2" s="1"/>
  <c r="CX316" i="2"/>
  <c r="CT146" i="2" a="1"/>
  <c r="CT146" i="2" s="1"/>
  <c r="CX146" i="2"/>
  <c r="CT315" i="2" a="1"/>
  <c r="CT315" i="2" s="1"/>
  <c r="CX315" i="2"/>
  <c r="CT33" i="2" a="1"/>
  <c r="CT33" i="2" s="1"/>
  <c r="CX33" i="2"/>
  <c r="CX243" i="2"/>
  <c r="CT243" i="2" a="1"/>
  <c r="CT243" i="2" s="1"/>
  <c r="CT265" i="2" a="1"/>
  <c r="CT265" i="2" s="1"/>
  <c r="CX265" i="2"/>
  <c r="CX252" i="2"/>
  <c r="CT252" i="2" a="1"/>
  <c r="CT252" i="2" s="1"/>
  <c r="CX237" i="2"/>
  <c r="CT237" i="2" a="1"/>
  <c r="CT237" i="2" s="1"/>
  <c r="CX371" i="2"/>
  <c r="CT371" i="2" a="1"/>
  <c r="CT371" i="2" s="1"/>
  <c r="CX199" i="2"/>
  <c r="CT199" i="2" a="1"/>
  <c r="CT199" i="2" s="1"/>
  <c r="CT338" i="2" a="1"/>
  <c r="CT338" i="2" s="1"/>
  <c r="CX338" i="2"/>
  <c r="CL167" i="2"/>
  <c r="CT289" i="2" a="1"/>
  <c r="CT289" i="2" s="1"/>
  <c r="CX289" i="2"/>
  <c r="CT119" i="2" a="1"/>
  <c r="CT119" i="2" s="1"/>
  <c r="CX119" i="2"/>
  <c r="CT70" i="2" a="1"/>
  <c r="CT70" i="2" s="1"/>
  <c r="CX70" i="2"/>
  <c r="CX247" i="2"/>
  <c r="CT247" i="2" a="1"/>
  <c r="CT247" i="2" s="1"/>
  <c r="CT21" i="2" a="1"/>
  <c r="CT21" i="2" s="1"/>
  <c r="CX21" i="2"/>
  <c r="CT349" i="2" a="1"/>
  <c r="CT349" i="2" s="1"/>
  <c r="CX349" i="2"/>
  <c r="CT177" i="2" a="1"/>
  <c r="CT177" i="2" s="1"/>
  <c r="CX177" i="2"/>
  <c r="CT300" i="2" a="1"/>
  <c r="CT300" i="2" s="1"/>
  <c r="CX300" i="2"/>
  <c r="CT130" i="2" a="1"/>
  <c r="CT130" i="2" s="1"/>
  <c r="CX130" i="2"/>
  <c r="CT129" i="2" a="1"/>
  <c r="CT129" i="2" s="1"/>
  <c r="CX129" i="2"/>
  <c r="CT378" i="2" a="1"/>
  <c r="CT378" i="2" s="1"/>
  <c r="CX378" i="2"/>
  <c r="CX142" i="2"/>
  <c r="CT142" i="2" a="1"/>
  <c r="CT142" i="2" s="1"/>
  <c r="CT346" i="2" a="1"/>
  <c r="CT346" i="2" s="1"/>
  <c r="CX346" i="2"/>
  <c r="CX127" i="2"/>
  <c r="CT127" i="2" a="1"/>
  <c r="CT127" i="2" s="1"/>
  <c r="CT144" i="2" a="1"/>
  <c r="CT144" i="2" s="1"/>
  <c r="CX144" i="2"/>
  <c r="CX238" i="2"/>
  <c r="CT238" i="2" a="1"/>
  <c r="CT238" i="2" s="1"/>
  <c r="CX388" i="2"/>
  <c r="CT388" i="2" a="1"/>
  <c r="CT388" i="2" s="1"/>
  <c r="CX355" i="2"/>
  <c r="CT355" i="2" a="1"/>
  <c r="CT355" i="2" s="1"/>
  <c r="CT322" i="2" a="1"/>
  <c r="CT322" i="2" s="1"/>
  <c r="CX322" i="2"/>
  <c r="CT152" i="2" a="1"/>
  <c r="CT152" i="2" s="1"/>
  <c r="CX152" i="2"/>
  <c r="CT273" i="2" a="1"/>
  <c r="CT273" i="2" s="1"/>
  <c r="CX273" i="2"/>
  <c r="CT103" i="2" a="1"/>
  <c r="CT103" i="2" s="1"/>
  <c r="CX103" i="2"/>
  <c r="CX311" i="2"/>
  <c r="CT311" i="2" a="1"/>
  <c r="CT311" i="2" s="1"/>
  <c r="CT54" i="2" a="1"/>
  <c r="CT54" i="2" s="1"/>
  <c r="CX54" i="2"/>
  <c r="CX231" i="2"/>
  <c r="CT231" i="2" a="1"/>
  <c r="CT231" i="2" s="1"/>
  <c r="CT382" i="2" a="1"/>
  <c r="CT382" i="2" s="1"/>
  <c r="CX382" i="2"/>
  <c r="CT210" i="2" a="1"/>
  <c r="CT210" i="2" s="1"/>
  <c r="CX210" i="2"/>
  <c r="CT333" i="2" a="1"/>
  <c r="CT333" i="2" s="1"/>
  <c r="CX333" i="2"/>
  <c r="CT163" i="2" a="1"/>
  <c r="CT163" i="2" s="1"/>
  <c r="CX163" i="2"/>
  <c r="CT284" i="2" a="1"/>
  <c r="CT284" i="2" s="1"/>
  <c r="CX284" i="2"/>
  <c r="CT114" i="2" a="1"/>
  <c r="CT114" i="2" s="1"/>
  <c r="CX114" i="2"/>
  <c r="CX206" i="2"/>
  <c r="CT206" i="2" a="1"/>
  <c r="CT206" i="2" s="1"/>
  <c r="CX159" i="2"/>
  <c r="CT159" i="2" a="1"/>
  <c r="CT159" i="2" s="1"/>
  <c r="CT264" i="2" a="1"/>
  <c r="CT264" i="2" s="1"/>
  <c r="CX264" i="2"/>
  <c r="CT313" i="2" a="1"/>
  <c r="CT313" i="2" s="1"/>
  <c r="CX313" i="2"/>
  <c r="CX77" i="2"/>
  <c r="CT77" i="2" a="1"/>
  <c r="CT77" i="2" s="1"/>
  <c r="CT160" i="2" a="1"/>
  <c r="CT160" i="2" s="1"/>
  <c r="CX160" i="2"/>
  <c r="CX11" i="2"/>
  <c r="CT11" i="2" a="1"/>
  <c r="CT11" i="2" s="1"/>
  <c r="CT281" i="2" a="1"/>
  <c r="CT281" i="2" s="1"/>
  <c r="CX281" i="2"/>
  <c r="CX78" i="2"/>
  <c r="CT78" i="2" a="1"/>
  <c r="CT78" i="2" s="1"/>
  <c r="CX45" i="2"/>
  <c r="CT45" i="2" a="1"/>
  <c r="CT45" i="2" s="1"/>
  <c r="CX221" i="2"/>
  <c r="CT221" i="2" a="1"/>
  <c r="CT221" i="2" s="1"/>
  <c r="CX95" i="2"/>
  <c r="CT95" i="2" a="1"/>
  <c r="CT95" i="2" s="1"/>
  <c r="CT244" i="2" a="1"/>
  <c r="CT244" i="2" s="1"/>
  <c r="CX244" i="2"/>
  <c r="CX372" i="2"/>
  <c r="CT372" i="2" a="1"/>
  <c r="CT372" i="2" s="1"/>
  <c r="CX200" i="2"/>
  <c r="CT200" i="2" a="1"/>
  <c r="CT200" i="2" s="1"/>
  <c r="CX339" i="2"/>
  <c r="CT339" i="2" a="1"/>
  <c r="CT339" i="2" s="1"/>
  <c r="CT306" i="2" a="1"/>
  <c r="CT306" i="2" s="1"/>
  <c r="CX306" i="2"/>
  <c r="CT136" i="2" a="1"/>
  <c r="CT136" i="2" s="1"/>
  <c r="CX136" i="2"/>
  <c r="CT259" i="2" a="1"/>
  <c r="CT259" i="2" s="1"/>
  <c r="CX259" i="2"/>
  <c r="CT87" i="2" a="1"/>
  <c r="CT87" i="2" s="1"/>
  <c r="CX87" i="2"/>
  <c r="CT38" i="2" a="1"/>
  <c r="CT38" i="2" s="1"/>
  <c r="CX38" i="2"/>
  <c r="CT216" i="2" a="1"/>
  <c r="CT216" i="2" s="1"/>
  <c r="CX216" i="2"/>
  <c r="CT366" i="2" a="1"/>
  <c r="CT366" i="2" s="1"/>
  <c r="CX366" i="2"/>
  <c r="CT194" i="2" a="1"/>
  <c r="CT194" i="2" s="1"/>
  <c r="CX194" i="2"/>
  <c r="CT317" i="2" a="1"/>
  <c r="CT317" i="2" s="1"/>
  <c r="CX317" i="2"/>
  <c r="CT147" i="2" a="1"/>
  <c r="CT147" i="2" s="1"/>
  <c r="CX147" i="2"/>
  <c r="CT268" i="2" a="1"/>
  <c r="CT268" i="2" s="1"/>
  <c r="CX268" i="2"/>
  <c r="CT98" i="2" a="1"/>
  <c r="CT98" i="2" s="1"/>
  <c r="CX98" i="2"/>
  <c r="CT331" i="2" a="1"/>
  <c r="CT331" i="2" s="1"/>
  <c r="CX331" i="2"/>
  <c r="CT49" i="2" a="1"/>
  <c r="CT49" i="2" s="1"/>
  <c r="CX49" i="2"/>
  <c r="CT345" i="2" a="1"/>
  <c r="CT345" i="2" s="1"/>
  <c r="CX345" i="2"/>
  <c r="CX190" i="2"/>
  <c r="CT190" i="2" a="1"/>
  <c r="CT190" i="2" s="1"/>
  <c r="CX126" i="2"/>
  <c r="CT126" i="2" a="1"/>
  <c r="CT126" i="2" s="1"/>
  <c r="CX174" i="2"/>
  <c r="CT174" i="2" a="1"/>
  <c r="CT174" i="2" s="1"/>
  <c r="CX143" i="2"/>
  <c r="CT143" i="2" a="1"/>
  <c r="CT143" i="2" s="1"/>
  <c r="CT330" i="2" a="1"/>
  <c r="CT330" i="2" s="1"/>
  <c r="CX330" i="2"/>
  <c r="CT297" i="2" a="1"/>
  <c r="CT297" i="2" s="1"/>
  <c r="CX297" i="2"/>
  <c r="CX94" i="2"/>
  <c r="CT94" i="2" a="1"/>
  <c r="CT94" i="2" s="1"/>
  <c r="CX61" i="2"/>
  <c r="CT61" i="2" a="1"/>
  <c r="CT61" i="2" s="1"/>
  <c r="CX28" i="2"/>
  <c r="CT28" i="2" a="1"/>
  <c r="CT28" i="2" s="1"/>
  <c r="CT314" i="2" a="1"/>
  <c r="CT314" i="2" s="1"/>
  <c r="CX314" i="2"/>
  <c r="CX111" i="2"/>
  <c r="CT111" i="2" a="1"/>
  <c r="CT111" i="2" s="1"/>
  <c r="CX12" i="2"/>
  <c r="CT12" i="2" a="1"/>
  <c r="CT12" i="2" s="1"/>
  <c r="CX183" i="2"/>
  <c r="CT183" i="2" a="1"/>
  <c r="CT183" i="2" s="1"/>
  <c r="CT298" i="2" a="1"/>
  <c r="CT298" i="2" s="1"/>
  <c r="CX298" i="2"/>
  <c r="CX128" i="2"/>
  <c r="CT128" i="2" a="1"/>
  <c r="CT128" i="2" s="1"/>
  <c r="CT266" i="2" a="1"/>
  <c r="CT266" i="2" s="1"/>
  <c r="CX266" i="2"/>
  <c r="CX62" i="2"/>
  <c r="CT62" i="2" a="1"/>
  <c r="CT62" i="2" s="1"/>
  <c r="CX29" i="2"/>
  <c r="CT29" i="2" a="1"/>
  <c r="CT29" i="2" s="1"/>
  <c r="CX222" i="2"/>
  <c r="CT222" i="2" a="1"/>
  <c r="CT222" i="2" s="1"/>
  <c r="CT282" i="2" a="1"/>
  <c r="CT282" i="2" s="1"/>
  <c r="CX282" i="2"/>
  <c r="CX112" i="2"/>
  <c r="CT112" i="2" a="1"/>
  <c r="CT112" i="2" s="1"/>
  <c r="CX79" i="2"/>
  <c r="CT79" i="2" a="1"/>
  <c r="CT79" i="2" s="1"/>
  <c r="CX46" i="2"/>
  <c r="CT46" i="2" a="1"/>
  <c r="CT46" i="2" s="1"/>
  <c r="CX239" i="2"/>
  <c r="CT239" i="2" a="1"/>
  <c r="CT239" i="2" s="1"/>
  <c r="CX13" i="2"/>
  <c r="CT13" i="2" a="1"/>
  <c r="CT13" i="2" s="1"/>
  <c r="CX389" i="2"/>
  <c r="CT389" i="2" a="1"/>
  <c r="CT389" i="2" s="1"/>
  <c r="CX356" i="2"/>
  <c r="CT356" i="2" a="1"/>
  <c r="CT356" i="2" s="1"/>
  <c r="CX184" i="2"/>
  <c r="CT184" i="2" a="1"/>
  <c r="CT184" i="2" s="1"/>
  <c r="CX323" i="2"/>
  <c r="CT323" i="2" a="1"/>
  <c r="CT323" i="2" s="1"/>
  <c r="CX153" i="2"/>
  <c r="CT153" i="2" a="1"/>
  <c r="CT153" i="2" s="1"/>
  <c r="CT290" i="2" a="1"/>
  <c r="CT290" i="2" s="1"/>
  <c r="CX290" i="2"/>
  <c r="CT120" i="2" a="1"/>
  <c r="CT120" i="2" s="1"/>
  <c r="CX120" i="2"/>
  <c r="CT71" i="2" a="1"/>
  <c r="CT71" i="2" s="1"/>
  <c r="CX71" i="2"/>
  <c r="CT248" i="2" a="1"/>
  <c r="CT248" i="2" s="1"/>
  <c r="CX248" i="2"/>
  <c r="CT22" i="2" a="1"/>
  <c r="CT22" i="2" s="1"/>
  <c r="CX22" i="2"/>
  <c r="CT350" i="2" a="1"/>
  <c r="CT350" i="2" s="1"/>
  <c r="CX350" i="2"/>
  <c r="CT178" i="2" a="1"/>
  <c r="CT178" i="2" s="1"/>
  <c r="CX178" i="2"/>
  <c r="CT301" i="2" a="1"/>
  <c r="CT301" i="2" s="1"/>
  <c r="CX301" i="2"/>
  <c r="CT131" i="2" a="1"/>
  <c r="CT131" i="2" s="1"/>
  <c r="CX131" i="2"/>
  <c r="CT82" i="2" a="1"/>
  <c r="CT82" i="2" s="1"/>
  <c r="CX82" i="2"/>
  <c r="CT145" i="2" a="1"/>
  <c r="CT145" i="2" s="1"/>
  <c r="CX145" i="2"/>
  <c r="CT258" i="2" a="1"/>
  <c r="CT258" i="2" s="1"/>
  <c r="CX258" i="2"/>
  <c r="CT227" i="2"/>
  <c r="CT64" i="2"/>
  <c r="CT292" i="2"/>
  <c r="CT235" i="2"/>
  <c r="CT201" i="2"/>
  <c r="CT167" i="2"/>
  <c r="DX266" i="2"/>
  <c r="CP175" i="2"/>
  <c r="CS175" i="2"/>
  <c r="CT175" i="2" a="1"/>
  <c r="CT228" i="2" a="1"/>
  <c r="CP64" i="2"/>
  <c r="CS64" i="2"/>
  <c r="CT175" i="2" l="1"/>
  <c r="CT228" i="2"/>
  <c r="E175" i="2"/>
  <c r="R175" i="2"/>
  <c r="X175" i="2" s="1"/>
  <c r="S175" i="2"/>
  <c r="T175" i="2" s="1"/>
  <c r="U175" i="2" s="1"/>
  <c r="AE175" i="2"/>
  <c r="AF175" i="2" s="1"/>
  <c r="AG175" i="2"/>
  <c r="AK175" i="2"/>
  <c r="AL175" i="2"/>
  <c r="AM175" i="2"/>
  <c r="AN175" i="2"/>
  <c r="AO175" i="2"/>
  <c r="AY175" i="2"/>
  <c r="AZ175" i="2"/>
  <c r="BC175" i="2"/>
  <c r="BJ175" i="2"/>
  <c r="BK175" i="2" s="1"/>
  <c r="CL175" i="2" s="1"/>
  <c r="BO175" i="2"/>
  <c r="DA175" i="2"/>
  <c r="DB175" i="2" s="1"/>
  <c r="CA175" i="2"/>
  <c r="CH175" i="2"/>
  <c r="CF175" i="2"/>
  <c r="CY175" i="2"/>
  <c r="CZ175" i="2" s="1"/>
  <c r="DE175" i="2"/>
  <c r="DF175" i="2"/>
  <c r="DG175" i="2" s="1"/>
  <c r="DP175" i="2"/>
  <c r="DX175" i="2"/>
  <c r="EE175" i="2"/>
  <c r="EF175" i="2" s="1"/>
  <c r="EJ175" i="2"/>
  <c r="EQ175" i="2"/>
  <c r="ER175" i="2" s="1"/>
  <c r="FJ175" i="2" s="1"/>
  <c r="ET175" i="2"/>
  <c r="EU175" i="2" s="1"/>
  <c r="EW175" i="2"/>
  <c r="FS175" i="2"/>
  <c r="FT175" i="2" s="1"/>
  <c r="FY175" i="2"/>
  <c r="GB175" i="2"/>
  <c r="GC175" i="2"/>
  <c r="GD175" i="2"/>
  <c r="GG175" i="2"/>
  <c r="GI175" i="2" s="1"/>
  <c r="GH175" i="2"/>
  <c r="GL175" i="2"/>
  <c r="GM175" i="2" s="1"/>
  <c r="GP175" i="2"/>
  <c r="GQ175" i="2" s="1"/>
  <c r="GN175" i="2"/>
  <c r="GR175" i="2"/>
  <c r="FF175" i="2" l="1" a="1"/>
  <c r="FF175" i="2" s="1"/>
  <c r="BP175" i="2"/>
  <c r="AU175" i="2"/>
  <c r="FL175" i="2"/>
  <c r="FM175" i="2"/>
  <c r="FN175" i="2" s="1"/>
  <c r="GS175" i="2"/>
  <c r="GO175" i="2"/>
  <c r="CW175" i="2"/>
  <c r="EV175" i="2"/>
  <c r="FZ175" i="2" s="1"/>
  <c r="GA175" i="2" s="1"/>
  <c r="DO175" i="2"/>
  <c r="EH175" i="2" s="1"/>
  <c r="DU175" i="2"/>
  <c r="EI175" i="2" s="1"/>
  <c r="Y175" i="2"/>
  <c r="AB175" i="2" s="1"/>
  <c r="BM175" i="2"/>
  <c r="BN175" i="2" s="1"/>
  <c r="DH175" i="2"/>
  <c r="AA175" i="2"/>
  <c r="CG175" i="2"/>
  <c r="CI175" i="2" s="1"/>
  <c r="FP175" i="2" l="1"/>
  <c r="FG175" i="2"/>
  <c r="FH175" i="2" s="1"/>
  <c r="DY175" i="2"/>
  <c r="DZ175" i="2" s="1"/>
  <c r="EA175" i="2" s="1"/>
  <c r="GU175" i="2"/>
  <c r="GT175" i="2"/>
  <c r="FO175" i="2"/>
  <c r="CR175" i="2"/>
  <c r="CX175" i="2" s="1"/>
  <c r="EC175" i="2"/>
  <c r="Z175" i="2"/>
  <c r="DQ175" i="2"/>
  <c r="DR175" i="2" s="1"/>
  <c r="DS175" i="2"/>
  <c r="EG175" i="2"/>
  <c r="DV175" i="2"/>
  <c r="DW175" i="2" s="1"/>
  <c r="CE175" i="2"/>
  <c r="CM175" i="2"/>
  <c r="CK175" i="2"/>
  <c r="GV175" i="2"/>
  <c r="FC175" i="2"/>
  <c r="FE175" i="2"/>
  <c r="FK175" i="2" l="1"/>
  <c r="FU175" i="2"/>
  <c r="FV175" i="2" s="1"/>
  <c r="EX175" i="2"/>
  <c r="EY175" i="2" s="1"/>
  <c r="GJ175" i="2" l="1"/>
  <c r="FQ175" i="2"/>
  <c r="FW175" i="2" l="1"/>
  <c r="FX175" i="2" s="1" a="1"/>
  <c r="FR175" i="2" a="1"/>
  <c r="FR175" i="2" l="1"/>
  <c r="FX175" i="2"/>
  <c r="B395" i="2"/>
  <c r="P395" i="2"/>
  <c r="Q395" i="2"/>
  <c r="DK395" i="2"/>
  <c r="EM395" i="2"/>
  <c r="E227" i="2" l="1"/>
  <c r="R227" i="2"/>
  <c r="X227" i="2" s="1"/>
  <c r="S227" i="2"/>
  <c r="T227" i="2" s="1"/>
  <c r="U227" i="2" s="1"/>
  <c r="AE227" i="2"/>
  <c r="AF227" i="2" s="1"/>
  <c r="AG227" i="2"/>
  <c r="AK227" i="2"/>
  <c r="AL227" i="2"/>
  <c r="AM227" i="2"/>
  <c r="AN227" i="2"/>
  <c r="AO227" i="2"/>
  <c r="AY227" i="2"/>
  <c r="AZ227" i="2"/>
  <c r="BC227" i="2"/>
  <c r="BJ227" i="2"/>
  <c r="BK227" i="2" s="1"/>
  <c r="BO227" i="2"/>
  <c r="CA227" i="2"/>
  <c r="CF227" i="2"/>
  <c r="CY227" i="2"/>
  <c r="DE227" i="2"/>
  <c r="DF227" i="2"/>
  <c r="DP227" i="2"/>
  <c r="DX227" i="2"/>
  <c r="EE227" i="2"/>
  <c r="EF227" i="2" s="1"/>
  <c r="EJ227" i="2"/>
  <c r="EQ227" i="2"/>
  <c r="ER227" i="2" s="1"/>
  <c r="ET227" i="2"/>
  <c r="EU227" i="2" s="1"/>
  <c r="EW227" i="2"/>
  <c r="FS227" i="2"/>
  <c r="FT227" i="2" s="1"/>
  <c r="FY227" i="2"/>
  <c r="FZ227" i="2" s="1"/>
  <c r="GB227" i="2"/>
  <c r="GC227" i="2"/>
  <c r="GD227" i="2"/>
  <c r="GG227" i="2"/>
  <c r="GI227" i="2" s="1"/>
  <c r="GL227" i="2"/>
  <c r="GM227" i="2" s="1"/>
  <c r="GP227" i="2"/>
  <c r="GQ227" i="2" s="1"/>
  <c r="GR227" i="2"/>
  <c r="GS227" i="2" s="1"/>
  <c r="GN227" i="2"/>
  <c r="FF227" i="2" l="1" a="1"/>
  <c r="FF227" i="2" s="1"/>
  <c r="FJ227" i="2"/>
  <c r="BP227" i="2"/>
  <c r="AU227" i="2"/>
  <c r="FM227" i="2"/>
  <c r="FN227" i="2" s="1"/>
  <c r="FL227" i="2"/>
  <c r="FQ227" i="2"/>
  <c r="FW227" i="2" s="1"/>
  <c r="FX227" i="2" s="1" a="1"/>
  <c r="FX227" i="2" s="1"/>
  <c r="GH227" i="2"/>
  <c r="CZ227" i="2"/>
  <c r="CR227" i="2"/>
  <c r="CX227" i="2" s="1"/>
  <c r="GO227" i="2"/>
  <c r="GU227" i="2" s="1"/>
  <c r="GA227" i="2"/>
  <c r="CW227" i="2"/>
  <c r="Y227" i="2"/>
  <c r="AB227" i="2" s="1"/>
  <c r="EV227" i="2"/>
  <c r="DG227" i="2"/>
  <c r="DH227" i="2" s="1"/>
  <c r="BM227" i="2"/>
  <c r="BN227" i="2" s="1"/>
  <c r="DU227" i="2"/>
  <c r="DO227" i="2"/>
  <c r="AA227" i="2"/>
  <c r="CH227" i="2"/>
  <c r="CG227" i="2"/>
  <c r="CI227" i="2" s="1"/>
  <c r="EY227" i="2"/>
  <c r="DA227" i="2"/>
  <c r="DB227" i="2" s="1"/>
  <c r="EX227" i="2"/>
  <c r="FP227" i="2" l="1"/>
  <c r="FO227" i="2"/>
  <c r="GJ227" i="2" s="1"/>
  <c r="FG227" i="2"/>
  <c r="FH227" i="2"/>
  <c r="FK227" i="2" s="1"/>
  <c r="FE227" i="2"/>
  <c r="FC227" i="2"/>
  <c r="FR227" i="2" a="1"/>
  <c r="FR227" i="2" s="1"/>
  <c r="GT227" i="2"/>
  <c r="Z227" i="2"/>
  <c r="FU227" i="2"/>
  <c r="FV227" i="2" s="1"/>
  <c r="DY227" i="2"/>
  <c r="DZ227" i="2" s="1"/>
  <c r="EA227" i="2" s="1"/>
  <c r="DS227" i="2"/>
  <c r="EC227" i="2"/>
  <c r="EH227" i="2"/>
  <c r="DQ227" i="2"/>
  <c r="DR227" i="2" s="1"/>
  <c r="EI227" i="2"/>
  <c r="DV227" i="2"/>
  <c r="DW227" i="2" s="1"/>
  <c r="EG227" i="2"/>
  <c r="CE227" i="2"/>
  <c r="CM227" i="2"/>
  <c r="CK227" i="2"/>
  <c r="GV227" i="2"/>
  <c r="E266" i="2" l="1"/>
  <c r="K3" i="7"/>
  <c r="B18" i="5"/>
  <c r="J2" i="5"/>
  <c r="J1" i="5"/>
  <c r="C12" i="3"/>
  <c r="D8" i="3"/>
  <c r="C8" i="3"/>
  <c r="C5" i="3"/>
  <c r="CF404" i="2"/>
  <c r="CG397" i="2" s="1"/>
  <c r="GR394" i="2"/>
  <c r="GS394" i="2" s="1"/>
  <c r="GP394" i="2"/>
  <c r="GQ394" i="2" s="1"/>
  <c r="DU394" i="2" s="1"/>
  <c r="GN394" i="2"/>
  <c r="GO394" i="2" s="1"/>
  <c r="GL394" i="2"/>
  <c r="GM394" i="2" s="1"/>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CR394" i="2"/>
  <c r="BO394" i="2"/>
  <c r="BJ394" i="2"/>
  <c r="BK394" i="2" s="1"/>
  <c r="CL394" i="2" s="1"/>
  <c r="BC394" i="2"/>
  <c r="AZ394" i="2"/>
  <c r="AY394" i="2"/>
  <c r="AO394" i="2"/>
  <c r="AN394" i="2"/>
  <c r="AM394" i="2"/>
  <c r="AL394" i="2"/>
  <c r="AK394" i="2"/>
  <c r="AG394" i="2"/>
  <c r="AE394" i="2"/>
  <c r="AF394" i="2" s="1"/>
  <c r="S394" i="2"/>
  <c r="T394" i="2" s="1"/>
  <c r="U394" i="2" s="1"/>
  <c r="R394" i="2"/>
  <c r="X394" i="2" s="1"/>
  <c r="E394" i="2"/>
  <c r="GR229" i="2"/>
  <c r="GS229" i="2" s="1"/>
  <c r="GP229" i="2"/>
  <c r="GQ229" i="2" s="1"/>
  <c r="GL229" i="2"/>
  <c r="GM229" i="2" s="1"/>
  <c r="GH229" i="2"/>
  <c r="GG229" i="2"/>
  <c r="GI229" i="2" s="1"/>
  <c r="GD229" i="2"/>
  <c r="GC229" i="2"/>
  <c r="GB229" i="2"/>
  <c r="FY229" i="2"/>
  <c r="GA229" i="2" s="1"/>
  <c r="FS229" i="2"/>
  <c r="FT229" i="2" s="1"/>
  <c r="EW229" i="2"/>
  <c r="ET229" i="2"/>
  <c r="EU229" i="2" s="1"/>
  <c r="EQ229" i="2"/>
  <c r="ER229" i="2" s="1"/>
  <c r="EJ229" i="2"/>
  <c r="EE229" i="2"/>
  <c r="EF229" i="2" s="1"/>
  <c r="DX229" i="2"/>
  <c r="DP229" i="2"/>
  <c r="DF229" i="2"/>
  <c r="DE229" i="2"/>
  <c r="CY229" i="2"/>
  <c r="CF229" i="2"/>
  <c r="CH229" i="2"/>
  <c r="CA229" i="2"/>
  <c r="BO229" i="2"/>
  <c r="BJ229" i="2"/>
  <c r="BK229" i="2" s="1"/>
  <c r="BC229" i="2"/>
  <c r="AZ229" i="2"/>
  <c r="AY229" i="2"/>
  <c r="AO229" i="2"/>
  <c r="AN229" i="2"/>
  <c r="AM229" i="2"/>
  <c r="AL229" i="2"/>
  <c r="AK229" i="2"/>
  <c r="AG229" i="2"/>
  <c r="AE229" i="2"/>
  <c r="AF229" i="2" s="1"/>
  <c r="U229" i="2"/>
  <c r="S229" i="2"/>
  <c r="T229" i="2" s="1"/>
  <c r="R229" i="2"/>
  <c r="X229" i="2" s="1"/>
  <c r="E229" i="2"/>
  <c r="GR393" i="2"/>
  <c r="GS393" i="2" s="1"/>
  <c r="GP393" i="2"/>
  <c r="GQ393" i="2" s="1"/>
  <c r="GN393" i="2"/>
  <c r="GO393" i="2" s="1"/>
  <c r="GL393" i="2"/>
  <c r="GM393" i="2" s="1"/>
  <c r="GG393" i="2"/>
  <c r="GI393" i="2" s="1"/>
  <c r="GD393" i="2"/>
  <c r="GC393" i="2"/>
  <c r="GB393" i="2"/>
  <c r="FY393" i="2"/>
  <c r="GA393" i="2" s="1"/>
  <c r="FS393" i="2"/>
  <c r="FT393" i="2" s="1"/>
  <c r="EW393" i="2"/>
  <c r="ET393" i="2"/>
  <c r="EU393" i="2" s="1"/>
  <c r="EQ393" i="2"/>
  <c r="ER393" i="2" s="1"/>
  <c r="EJ393" i="2"/>
  <c r="EE393" i="2"/>
  <c r="EF393" i="2" s="1"/>
  <c r="DX393" i="2"/>
  <c r="DP393" i="2"/>
  <c r="DF393" i="2"/>
  <c r="DH393" i="2" s="1"/>
  <c r="DE393" i="2"/>
  <c r="CY393" i="2"/>
  <c r="CZ393" i="2" s="1"/>
  <c r="CF393" i="2"/>
  <c r="CH393" i="2"/>
  <c r="CA393" i="2"/>
  <c r="CR393" i="2"/>
  <c r="BO393" i="2"/>
  <c r="BJ393" i="2"/>
  <c r="BK393" i="2" s="1"/>
  <c r="CL393" i="2" s="1"/>
  <c r="BC393" i="2"/>
  <c r="AZ393" i="2"/>
  <c r="AY393" i="2"/>
  <c r="AO393" i="2"/>
  <c r="AN393" i="2"/>
  <c r="AM393" i="2"/>
  <c r="AL393" i="2"/>
  <c r="AK393" i="2"/>
  <c r="AG393" i="2"/>
  <c r="AE393" i="2"/>
  <c r="AF393" i="2" s="1"/>
  <c r="S393" i="2"/>
  <c r="T393" i="2" s="1"/>
  <c r="U393" i="2" s="1"/>
  <c r="R393" i="2"/>
  <c r="X393" i="2" s="1"/>
  <c r="E393" i="2"/>
  <c r="GR391" i="2"/>
  <c r="GS391" i="2" s="1"/>
  <c r="GP391" i="2"/>
  <c r="GQ391" i="2" s="1"/>
  <c r="GN391" i="2"/>
  <c r="GO391" i="2" s="1"/>
  <c r="GL391" i="2"/>
  <c r="GM391" i="2" s="1"/>
  <c r="GG391" i="2"/>
  <c r="GI391" i="2" s="1"/>
  <c r="GD391" i="2"/>
  <c r="GC391" i="2"/>
  <c r="GB391" i="2"/>
  <c r="FY391" i="2"/>
  <c r="GA391" i="2" s="1"/>
  <c r="FS391" i="2"/>
  <c r="FT391" i="2" s="1"/>
  <c r="EW391" i="2"/>
  <c r="ET391" i="2"/>
  <c r="EU391" i="2" s="1"/>
  <c r="EQ391" i="2"/>
  <c r="ER391" i="2" s="1"/>
  <c r="EJ391" i="2"/>
  <c r="EE391" i="2"/>
  <c r="EF391" i="2" s="1"/>
  <c r="DX391" i="2"/>
  <c r="DP391" i="2"/>
  <c r="DF391" i="2"/>
  <c r="DH391" i="2" s="1"/>
  <c r="DE391" i="2"/>
  <c r="CY391" i="2"/>
  <c r="CZ391" i="2" s="1"/>
  <c r="CF391" i="2"/>
  <c r="CH391" i="2"/>
  <c r="CA391" i="2"/>
  <c r="CR391" i="2"/>
  <c r="BO391" i="2"/>
  <c r="BJ391" i="2"/>
  <c r="BK391" i="2" s="1"/>
  <c r="CL391" i="2" s="1"/>
  <c r="BC391" i="2"/>
  <c r="AZ391" i="2"/>
  <c r="AY391" i="2"/>
  <c r="AO391" i="2"/>
  <c r="AN391" i="2"/>
  <c r="AM391" i="2"/>
  <c r="AL391" i="2"/>
  <c r="AK391" i="2"/>
  <c r="AG391" i="2"/>
  <c r="AE391" i="2"/>
  <c r="AF391" i="2" s="1"/>
  <c r="S391" i="2"/>
  <c r="T391" i="2" s="1"/>
  <c r="U391" i="2" s="1"/>
  <c r="R391" i="2"/>
  <c r="GH391" i="2" s="1"/>
  <c r="E391" i="2"/>
  <c r="GR389" i="2"/>
  <c r="GS389" i="2" s="1"/>
  <c r="GP389" i="2"/>
  <c r="GQ389" i="2" s="1"/>
  <c r="GN389" i="2"/>
  <c r="GO389" i="2" s="1"/>
  <c r="GL389" i="2"/>
  <c r="GM389" i="2" s="1"/>
  <c r="GG389" i="2"/>
  <c r="GI389" i="2" s="1"/>
  <c r="GD389" i="2"/>
  <c r="GC389" i="2"/>
  <c r="GB389" i="2"/>
  <c r="FY389" i="2"/>
  <c r="GA389" i="2" s="1"/>
  <c r="FS389" i="2"/>
  <c r="FT389" i="2" s="1"/>
  <c r="EW389" i="2"/>
  <c r="ET389" i="2"/>
  <c r="EU389" i="2" s="1"/>
  <c r="EQ389" i="2"/>
  <c r="ER389" i="2" s="1"/>
  <c r="EJ389" i="2"/>
  <c r="EE389" i="2"/>
  <c r="EF389" i="2" s="1"/>
  <c r="DX389" i="2"/>
  <c r="DP389" i="2"/>
  <c r="DF389" i="2"/>
  <c r="DH389" i="2" s="1"/>
  <c r="DE389" i="2"/>
  <c r="CY389" i="2"/>
  <c r="CZ389" i="2" s="1"/>
  <c r="CF389" i="2"/>
  <c r="CH389" i="2"/>
  <c r="CA389" i="2"/>
  <c r="CR389" i="2"/>
  <c r="BO389" i="2"/>
  <c r="BJ389" i="2"/>
  <c r="BK389" i="2" s="1"/>
  <c r="CL389" i="2" s="1"/>
  <c r="BC389" i="2"/>
  <c r="AZ389" i="2"/>
  <c r="AY389" i="2"/>
  <c r="AO389" i="2"/>
  <c r="AN389" i="2"/>
  <c r="AM389" i="2"/>
  <c r="AL389" i="2"/>
  <c r="AK389" i="2"/>
  <c r="AG389" i="2"/>
  <c r="AE389" i="2"/>
  <c r="AF389" i="2" s="1"/>
  <c r="S389" i="2"/>
  <c r="T389" i="2" s="1"/>
  <c r="U389" i="2" s="1"/>
  <c r="R389" i="2"/>
  <c r="GH389" i="2" s="1"/>
  <c r="E389" i="2"/>
  <c r="GR388" i="2"/>
  <c r="GS388" i="2" s="1"/>
  <c r="GP388" i="2"/>
  <c r="GQ388" i="2" s="1"/>
  <c r="GN388" i="2"/>
  <c r="GO388" i="2" s="1"/>
  <c r="GL388" i="2"/>
  <c r="GM388" i="2" s="1"/>
  <c r="GG388" i="2"/>
  <c r="GI388" i="2" s="1"/>
  <c r="GD388" i="2"/>
  <c r="GC388" i="2"/>
  <c r="GB388" i="2"/>
  <c r="FY388" i="2"/>
  <c r="GA388" i="2" s="1"/>
  <c r="FS388" i="2"/>
  <c r="FT388" i="2" s="1"/>
  <c r="EW388" i="2"/>
  <c r="ET388" i="2"/>
  <c r="EU388" i="2" s="1"/>
  <c r="EQ388" i="2"/>
  <c r="ER388" i="2" s="1"/>
  <c r="EJ388" i="2"/>
  <c r="EE388" i="2"/>
  <c r="EF388" i="2" s="1"/>
  <c r="DX388" i="2"/>
  <c r="DP388" i="2"/>
  <c r="DF388" i="2"/>
  <c r="DH388" i="2" s="1"/>
  <c r="DE388" i="2"/>
  <c r="CY388" i="2"/>
  <c r="CZ388" i="2" s="1"/>
  <c r="CF388" i="2"/>
  <c r="CH388" i="2"/>
  <c r="CA388" i="2"/>
  <c r="CR388" i="2"/>
  <c r="BO388" i="2"/>
  <c r="BJ388" i="2"/>
  <c r="BK388" i="2" s="1"/>
  <c r="CL388" i="2" s="1"/>
  <c r="BC388" i="2"/>
  <c r="AZ388" i="2"/>
  <c r="AY388" i="2"/>
  <c r="AO388" i="2"/>
  <c r="AN388" i="2"/>
  <c r="AM388" i="2"/>
  <c r="AL388" i="2"/>
  <c r="AK388" i="2"/>
  <c r="AG388" i="2"/>
  <c r="AE388" i="2"/>
  <c r="AF388" i="2" s="1"/>
  <c r="S388" i="2"/>
  <c r="T388" i="2" s="1"/>
  <c r="U388" i="2" s="1"/>
  <c r="R388" i="2"/>
  <c r="GH388" i="2" s="1"/>
  <c r="E388" i="2"/>
  <c r="GR387" i="2"/>
  <c r="GS387" i="2" s="1"/>
  <c r="GP387" i="2"/>
  <c r="GQ387" i="2" s="1"/>
  <c r="GN387" i="2"/>
  <c r="GO387" i="2" s="1"/>
  <c r="GL387" i="2"/>
  <c r="GM387" i="2" s="1"/>
  <c r="GG387" i="2"/>
  <c r="GI387" i="2" s="1"/>
  <c r="GD387" i="2"/>
  <c r="GC387" i="2"/>
  <c r="GB387" i="2"/>
  <c r="FY387" i="2"/>
  <c r="GA387" i="2" s="1"/>
  <c r="FS387" i="2"/>
  <c r="FT387" i="2" s="1"/>
  <c r="EW387" i="2"/>
  <c r="ET387" i="2"/>
  <c r="EU387" i="2" s="1"/>
  <c r="EQ387" i="2"/>
  <c r="ER387" i="2" s="1"/>
  <c r="EJ387" i="2"/>
  <c r="EE387" i="2"/>
  <c r="EF387" i="2" s="1"/>
  <c r="DX387" i="2"/>
  <c r="DP387" i="2"/>
  <c r="DF387" i="2"/>
  <c r="DH387" i="2" s="1"/>
  <c r="DE387" i="2"/>
  <c r="CY387" i="2"/>
  <c r="CZ387" i="2" s="1"/>
  <c r="CF387" i="2"/>
  <c r="CH387" i="2"/>
  <c r="CA387" i="2"/>
  <c r="BO387" i="2"/>
  <c r="BJ387" i="2"/>
  <c r="BK387" i="2" s="1"/>
  <c r="CL387" i="2" s="1"/>
  <c r="BC387" i="2"/>
  <c r="AZ387" i="2"/>
  <c r="AY387" i="2"/>
  <c r="AO387" i="2"/>
  <c r="AN387" i="2"/>
  <c r="AM387" i="2"/>
  <c r="AL387" i="2"/>
  <c r="AK387" i="2"/>
  <c r="AG387" i="2"/>
  <c r="AE387" i="2"/>
  <c r="AF387" i="2" s="1"/>
  <c r="S387" i="2"/>
  <c r="T387" i="2" s="1"/>
  <c r="U387" i="2" s="1"/>
  <c r="R387" i="2"/>
  <c r="GH387" i="2" s="1"/>
  <c r="E387" i="2"/>
  <c r="GR385" i="2"/>
  <c r="GS385" i="2" s="1"/>
  <c r="GP385" i="2"/>
  <c r="GQ385" i="2" s="1"/>
  <c r="GN385" i="2"/>
  <c r="GO385" i="2" s="1"/>
  <c r="GL385" i="2"/>
  <c r="GM385" i="2" s="1"/>
  <c r="GH385" i="2"/>
  <c r="GG385" i="2"/>
  <c r="GI385" i="2" s="1"/>
  <c r="GD385" i="2"/>
  <c r="GC385" i="2"/>
  <c r="GB385" i="2"/>
  <c r="FY385" i="2"/>
  <c r="GA385" i="2" s="1"/>
  <c r="FS385" i="2"/>
  <c r="FT385" i="2" s="1"/>
  <c r="EW385" i="2"/>
  <c r="ET385" i="2"/>
  <c r="EU385" i="2" s="1"/>
  <c r="EQ385" i="2"/>
  <c r="ER385" i="2" s="1"/>
  <c r="EJ385" i="2"/>
  <c r="EE385" i="2"/>
  <c r="EF385" i="2" s="1"/>
  <c r="DX385" i="2"/>
  <c r="DP385" i="2"/>
  <c r="DF385" i="2"/>
  <c r="DH385" i="2" s="1"/>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Y385" i="2" s="1"/>
  <c r="E385" i="2"/>
  <c r="GR384" i="2"/>
  <c r="GS384" i="2" s="1"/>
  <c r="GP384" i="2"/>
  <c r="GQ384" i="2" s="1"/>
  <c r="GN384" i="2"/>
  <c r="GO384" i="2" s="1"/>
  <c r="GL384" i="2"/>
  <c r="GM384" i="2" s="1"/>
  <c r="GH384" i="2"/>
  <c r="GG384" i="2"/>
  <c r="GI384" i="2" s="1"/>
  <c r="GD384" i="2"/>
  <c r="GC384" i="2"/>
  <c r="GB384" i="2"/>
  <c r="FY384" i="2"/>
  <c r="GA384" i="2" s="1"/>
  <c r="FS384" i="2"/>
  <c r="FT384" i="2" s="1"/>
  <c r="EW384" i="2"/>
  <c r="ET384" i="2"/>
  <c r="EU384" i="2" s="1"/>
  <c r="EQ384" i="2"/>
  <c r="ER384" i="2" s="1"/>
  <c r="EJ384" i="2"/>
  <c r="EE384" i="2"/>
  <c r="EF384" i="2" s="1"/>
  <c r="DX384" i="2"/>
  <c r="DP384" i="2"/>
  <c r="DF384" i="2"/>
  <c r="DH384" i="2" s="1"/>
  <c r="DE384" i="2"/>
  <c r="CY384" i="2"/>
  <c r="CZ384" i="2" s="1"/>
  <c r="CF384" i="2"/>
  <c r="CH384" i="2"/>
  <c r="CA384" i="2"/>
  <c r="CR384" i="2"/>
  <c r="BO384" i="2"/>
  <c r="BJ384" i="2"/>
  <c r="BK384" i="2" s="1"/>
  <c r="CL384" i="2" s="1"/>
  <c r="BC384" i="2"/>
  <c r="AZ384" i="2"/>
  <c r="AY384" i="2"/>
  <c r="AO384" i="2"/>
  <c r="AN384" i="2"/>
  <c r="AM384" i="2"/>
  <c r="AL384" i="2"/>
  <c r="AK384" i="2"/>
  <c r="AG384" i="2"/>
  <c r="AE384" i="2"/>
  <c r="AF384" i="2" s="1"/>
  <c r="U384" i="2"/>
  <c r="S384" i="2"/>
  <c r="T384" i="2" s="1"/>
  <c r="R384" i="2"/>
  <c r="Y384" i="2" s="1"/>
  <c r="E384" i="2"/>
  <c r="GR383" i="2"/>
  <c r="GS383" i="2" s="1"/>
  <c r="GP383" i="2"/>
  <c r="GQ383" i="2" s="1"/>
  <c r="GN383" i="2"/>
  <c r="GO383" i="2" s="1"/>
  <c r="GL383" i="2"/>
  <c r="GM383" i="2" s="1"/>
  <c r="GH383" i="2"/>
  <c r="GG383" i="2"/>
  <c r="GI383" i="2" s="1"/>
  <c r="GD383" i="2"/>
  <c r="GC383" i="2"/>
  <c r="GB383" i="2"/>
  <c r="FY383" i="2"/>
  <c r="FZ383" i="2" s="1"/>
  <c r="FS383" i="2"/>
  <c r="FT383" i="2" s="1"/>
  <c r="EW383" i="2"/>
  <c r="ET383" i="2"/>
  <c r="EU383" i="2" s="1"/>
  <c r="EQ383" i="2"/>
  <c r="ER383" i="2" s="1"/>
  <c r="EJ383" i="2"/>
  <c r="DX383" i="2"/>
  <c r="DP383" i="2"/>
  <c r="DF383" i="2"/>
  <c r="DH383" i="2" s="1"/>
  <c r="DE383" i="2"/>
  <c r="CY383" i="2"/>
  <c r="CZ383" i="2" s="1"/>
  <c r="CF383" i="2"/>
  <c r="CH383" i="2"/>
  <c r="CA383" i="2"/>
  <c r="BO383" i="2"/>
  <c r="BJ383" i="2"/>
  <c r="BK383" i="2" s="1"/>
  <c r="CL383" i="2" s="1"/>
  <c r="BC383" i="2"/>
  <c r="AZ383" i="2"/>
  <c r="AY383" i="2"/>
  <c r="AO383" i="2"/>
  <c r="AN383" i="2"/>
  <c r="AM383" i="2"/>
  <c r="AL383" i="2"/>
  <c r="AK383" i="2"/>
  <c r="AG383" i="2"/>
  <c r="AE383" i="2"/>
  <c r="AF383" i="2" s="1"/>
  <c r="U383" i="2"/>
  <c r="S383" i="2"/>
  <c r="T383" i="2" s="1"/>
  <c r="R383" i="2"/>
  <c r="X383" i="2" s="1"/>
  <c r="AA383" i="2" s="1"/>
  <c r="E383" i="2"/>
  <c r="GR382" i="2"/>
  <c r="GS382" i="2" s="1"/>
  <c r="GP382" i="2"/>
  <c r="GQ382" i="2" s="1"/>
  <c r="DU382" i="2" s="1"/>
  <c r="GN382" i="2"/>
  <c r="GO382" i="2" s="1"/>
  <c r="GL382" i="2"/>
  <c r="GM382" i="2" s="1"/>
  <c r="GH382" i="2"/>
  <c r="GG382" i="2"/>
  <c r="GI382" i="2" s="1"/>
  <c r="GD382" i="2"/>
  <c r="GC382" i="2"/>
  <c r="GB382" i="2"/>
  <c r="FY382" i="2"/>
  <c r="GA382" i="2" s="1"/>
  <c r="FS382" i="2"/>
  <c r="FT382" i="2" s="1"/>
  <c r="EW382" i="2"/>
  <c r="ET382" i="2"/>
  <c r="EU382" i="2" s="1"/>
  <c r="EQ382" i="2"/>
  <c r="ER382" i="2" s="1"/>
  <c r="EJ382" i="2"/>
  <c r="EE382" i="2"/>
  <c r="EF382" i="2" s="1"/>
  <c r="DX382" i="2"/>
  <c r="DP382" i="2"/>
  <c r="DF382" i="2"/>
  <c r="DG382" i="2" s="1"/>
  <c r="DE382" i="2"/>
  <c r="CY382" i="2"/>
  <c r="CZ382" i="2" s="1"/>
  <c r="CF382" i="2"/>
  <c r="CH382" i="2"/>
  <c r="CA382" i="2"/>
  <c r="CR382" i="2"/>
  <c r="BO382" i="2"/>
  <c r="BJ382" i="2"/>
  <c r="BM382" i="2" s="1"/>
  <c r="BN382" i="2" s="1"/>
  <c r="BC382" i="2"/>
  <c r="AO382" i="2"/>
  <c r="AN382" i="2"/>
  <c r="AM382" i="2"/>
  <c r="AL382" i="2"/>
  <c r="AK382" i="2"/>
  <c r="AG382" i="2"/>
  <c r="AE382" i="2"/>
  <c r="AF382" i="2" s="1"/>
  <c r="U382" i="2"/>
  <c r="S382" i="2"/>
  <c r="R382" i="2"/>
  <c r="X382" i="2" s="1"/>
  <c r="AA382" i="2" s="1"/>
  <c r="E382" i="2"/>
  <c r="GR381" i="2"/>
  <c r="GS381" i="2" s="1"/>
  <c r="GP381" i="2"/>
  <c r="GQ381" i="2" s="1"/>
  <c r="GN381" i="2"/>
  <c r="GO381" i="2" s="1"/>
  <c r="GL381" i="2"/>
  <c r="GM381" i="2" s="1"/>
  <c r="GH381" i="2"/>
  <c r="GG381" i="2"/>
  <c r="GI381" i="2" s="1"/>
  <c r="GD381" i="2"/>
  <c r="GC381" i="2"/>
  <c r="GB381" i="2"/>
  <c r="FY381" i="2"/>
  <c r="FS381" i="2"/>
  <c r="FT381" i="2" s="1"/>
  <c r="EW381" i="2"/>
  <c r="ET381" i="2"/>
  <c r="EU381" i="2" s="1"/>
  <c r="EQ381" i="2"/>
  <c r="ER381" i="2" s="1"/>
  <c r="EJ381" i="2"/>
  <c r="EE381" i="2"/>
  <c r="EF381" i="2" s="1"/>
  <c r="DX381" i="2"/>
  <c r="DP381" i="2"/>
  <c r="DF381" i="2"/>
  <c r="DH381" i="2" s="1"/>
  <c r="DE381" i="2"/>
  <c r="CY381" i="2"/>
  <c r="CZ381" i="2" s="1"/>
  <c r="CF381" i="2"/>
  <c r="CA381" i="2"/>
  <c r="CW381" i="2"/>
  <c r="BO381" i="2"/>
  <c r="BJ381" i="2"/>
  <c r="BM381" i="2" s="1"/>
  <c r="BN381" i="2" s="1"/>
  <c r="BC381" i="2"/>
  <c r="AZ381" i="2"/>
  <c r="AY381" i="2"/>
  <c r="AO381" i="2"/>
  <c r="AN381" i="2"/>
  <c r="AM381" i="2"/>
  <c r="AL381" i="2"/>
  <c r="AK381" i="2"/>
  <c r="AG381" i="2"/>
  <c r="AE381" i="2"/>
  <c r="AF381" i="2" s="1"/>
  <c r="U381" i="2"/>
  <c r="S381" i="2"/>
  <c r="T381" i="2" s="1"/>
  <c r="R381" i="2"/>
  <c r="Y381" i="2" s="1"/>
  <c r="AB381" i="2" s="1"/>
  <c r="E381"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G380" i="2" s="1"/>
  <c r="DE380" i="2"/>
  <c r="CY380" i="2"/>
  <c r="CZ380" i="2" s="1"/>
  <c r="CF380" i="2"/>
  <c r="CA380" i="2"/>
  <c r="CW380" i="2"/>
  <c r="BO380" i="2"/>
  <c r="BJ380" i="2"/>
  <c r="BM380" i="2" s="1"/>
  <c r="BN380" i="2" s="1"/>
  <c r="BC380" i="2"/>
  <c r="AZ380" i="2"/>
  <c r="AY380" i="2"/>
  <c r="AO380" i="2"/>
  <c r="AN380" i="2"/>
  <c r="AM380" i="2"/>
  <c r="AL380" i="2"/>
  <c r="AK380" i="2"/>
  <c r="AG380" i="2"/>
  <c r="AE380" i="2"/>
  <c r="AF380" i="2" s="1"/>
  <c r="U380" i="2"/>
  <c r="S380" i="2"/>
  <c r="R380" i="2"/>
  <c r="Y380" i="2" s="1"/>
  <c r="AB380" i="2" s="1"/>
  <c r="E380" i="2"/>
  <c r="GR379" i="2"/>
  <c r="GS379" i="2" s="1"/>
  <c r="GP379" i="2"/>
  <c r="GQ379" i="2" s="1"/>
  <c r="DU379" i="2" s="1"/>
  <c r="GN379" i="2"/>
  <c r="GO379" i="2" s="1"/>
  <c r="GL379" i="2"/>
  <c r="GM379" i="2" s="1"/>
  <c r="GH379" i="2"/>
  <c r="GG379" i="2"/>
  <c r="GI379" i="2" s="1"/>
  <c r="GD379" i="2"/>
  <c r="GC379" i="2"/>
  <c r="GB379" i="2"/>
  <c r="FY379" i="2"/>
  <c r="FZ379" i="2" s="1"/>
  <c r="FS379" i="2"/>
  <c r="FT379" i="2" s="1"/>
  <c r="EW379" i="2"/>
  <c r="ET379" i="2"/>
  <c r="EU379" i="2" s="1"/>
  <c r="EQ379" i="2"/>
  <c r="ER379" i="2" s="1"/>
  <c r="EJ379" i="2"/>
  <c r="EE379" i="2"/>
  <c r="EF379" i="2" s="1"/>
  <c r="DX379" i="2"/>
  <c r="DP379" i="2"/>
  <c r="DF379" i="2"/>
  <c r="DH379" i="2" s="1"/>
  <c r="DE379" i="2"/>
  <c r="CY379" i="2"/>
  <c r="CZ379" i="2" s="1"/>
  <c r="CF379" i="2"/>
  <c r="CH379" i="2"/>
  <c r="CA379" i="2"/>
  <c r="BO379" i="2"/>
  <c r="BJ379" i="2"/>
  <c r="BM379" i="2" s="1"/>
  <c r="BN379" i="2" s="1"/>
  <c r="BC379" i="2"/>
  <c r="AZ379" i="2"/>
  <c r="AY379" i="2"/>
  <c r="AO379" i="2"/>
  <c r="AN379" i="2"/>
  <c r="AM379" i="2"/>
  <c r="AL379" i="2"/>
  <c r="AK379" i="2"/>
  <c r="AG379" i="2"/>
  <c r="AE379" i="2"/>
  <c r="AF379" i="2" s="1"/>
  <c r="U379" i="2"/>
  <c r="S379" i="2"/>
  <c r="T379" i="2" s="1"/>
  <c r="R379" i="2"/>
  <c r="Y379" i="2" s="1"/>
  <c r="E379" i="2"/>
  <c r="GR378" i="2"/>
  <c r="GS378" i="2" s="1"/>
  <c r="GP378" i="2"/>
  <c r="GQ378" i="2" s="1"/>
  <c r="DU378" i="2" s="1"/>
  <c r="EI378" i="2" s="1"/>
  <c r="GN378" i="2"/>
  <c r="GO378" i="2" s="1"/>
  <c r="GL378" i="2"/>
  <c r="GM378" i="2" s="1"/>
  <c r="GH378" i="2"/>
  <c r="GG378" i="2"/>
  <c r="GI378" i="2" s="1"/>
  <c r="GD378" i="2"/>
  <c r="GC378" i="2"/>
  <c r="GB378" i="2"/>
  <c r="FY378" i="2"/>
  <c r="FZ378" i="2" s="1"/>
  <c r="FS378" i="2"/>
  <c r="FT378" i="2" s="1"/>
  <c r="EW378" i="2"/>
  <c r="ET378" i="2"/>
  <c r="EU378" i="2" s="1"/>
  <c r="EQ378" i="2"/>
  <c r="ER378" i="2" s="1"/>
  <c r="EJ378" i="2"/>
  <c r="EE378" i="2"/>
  <c r="EF378" i="2" s="1"/>
  <c r="DX378" i="2"/>
  <c r="DP378" i="2"/>
  <c r="DF378" i="2"/>
  <c r="DG378" i="2" s="1"/>
  <c r="DE378" i="2"/>
  <c r="CY378" i="2"/>
  <c r="CZ378" i="2" s="1"/>
  <c r="CF378" i="2"/>
  <c r="CH378" i="2"/>
  <c r="CA378" i="2"/>
  <c r="BO378" i="2"/>
  <c r="BJ378" i="2"/>
  <c r="BK378" i="2" s="1"/>
  <c r="CL378" i="2" s="1"/>
  <c r="BC378" i="2"/>
  <c r="AZ378" i="2"/>
  <c r="AY378" i="2"/>
  <c r="AO378" i="2"/>
  <c r="AN378" i="2"/>
  <c r="AM378" i="2"/>
  <c r="AL378" i="2"/>
  <c r="AK378" i="2"/>
  <c r="AG378" i="2"/>
  <c r="AE378" i="2"/>
  <c r="AF378" i="2" s="1"/>
  <c r="U378" i="2"/>
  <c r="S378" i="2"/>
  <c r="T378" i="2" s="1"/>
  <c r="R378" i="2"/>
  <c r="Y378" i="2" s="1"/>
  <c r="AB378" i="2" s="1"/>
  <c r="E378" i="2"/>
  <c r="GR377" i="2"/>
  <c r="GS377" i="2" s="1"/>
  <c r="GP377" i="2"/>
  <c r="GQ377" i="2" s="1"/>
  <c r="DU377" i="2" s="1"/>
  <c r="EI377" i="2" s="1"/>
  <c r="GN377" i="2"/>
  <c r="GO377" i="2" s="1"/>
  <c r="GL377" i="2"/>
  <c r="GM377" i="2" s="1"/>
  <c r="GH377" i="2"/>
  <c r="GG377" i="2"/>
  <c r="GI377" i="2" s="1"/>
  <c r="GD377" i="2"/>
  <c r="GC377" i="2"/>
  <c r="GB377" i="2"/>
  <c r="FY377" i="2"/>
  <c r="FZ377" i="2" s="1"/>
  <c r="FS377" i="2"/>
  <c r="FT377" i="2" s="1"/>
  <c r="EW377" i="2"/>
  <c r="ET377" i="2"/>
  <c r="EU377" i="2" s="1"/>
  <c r="EQ377" i="2"/>
  <c r="ER377" i="2" s="1"/>
  <c r="EJ377" i="2"/>
  <c r="EE377" i="2"/>
  <c r="EF377" i="2" s="1"/>
  <c r="DX377" i="2"/>
  <c r="DP377" i="2"/>
  <c r="DF377" i="2"/>
  <c r="DG377" i="2" s="1"/>
  <c r="DE377" i="2"/>
  <c r="CY377" i="2"/>
  <c r="CZ377" i="2" s="1"/>
  <c r="CF377" i="2"/>
  <c r="CH377" i="2"/>
  <c r="CA377" i="2"/>
  <c r="BO377" i="2"/>
  <c r="BJ377" i="2"/>
  <c r="BK377" i="2" s="1"/>
  <c r="CL377" i="2" s="1"/>
  <c r="BC377" i="2"/>
  <c r="AZ377" i="2"/>
  <c r="AY377" i="2"/>
  <c r="AO377" i="2"/>
  <c r="AN377" i="2"/>
  <c r="AM377" i="2"/>
  <c r="AL377" i="2"/>
  <c r="AK377" i="2"/>
  <c r="AG377" i="2"/>
  <c r="AE377" i="2"/>
  <c r="AF377" i="2" s="1"/>
  <c r="U377" i="2"/>
  <c r="S377" i="2"/>
  <c r="T377" i="2" s="1"/>
  <c r="R377" i="2"/>
  <c r="Y377" i="2" s="1"/>
  <c r="AB377" i="2" s="1"/>
  <c r="E377" i="2"/>
  <c r="GR376" i="2"/>
  <c r="GS376" i="2" s="1"/>
  <c r="GP376" i="2"/>
  <c r="GQ376" i="2" s="1"/>
  <c r="GN376" i="2"/>
  <c r="GO376" i="2" s="1"/>
  <c r="GL376" i="2"/>
  <c r="GM376" i="2" s="1"/>
  <c r="GH376" i="2"/>
  <c r="GG376" i="2"/>
  <c r="GI376" i="2" s="1"/>
  <c r="GD376" i="2"/>
  <c r="GC376" i="2"/>
  <c r="GB376" i="2"/>
  <c r="FY376" i="2"/>
  <c r="FZ376" i="2" s="1"/>
  <c r="FS376" i="2"/>
  <c r="FT376" i="2" s="1"/>
  <c r="EW376" i="2"/>
  <c r="ET376" i="2"/>
  <c r="EU376" i="2" s="1"/>
  <c r="EQ376" i="2"/>
  <c r="ER376" i="2" s="1"/>
  <c r="EJ376" i="2"/>
  <c r="EE376" i="2"/>
  <c r="EF376" i="2" s="1"/>
  <c r="DX376" i="2"/>
  <c r="DP376" i="2"/>
  <c r="DF376" i="2"/>
  <c r="DG376" i="2" s="1"/>
  <c r="DE376" i="2"/>
  <c r="CY376" i="2"/>
  <c r="CZ376" i="2" s="1"/>
  <c r="CF376" i="2"/>
  <c r="CH376" i="2"/>
  <c r="CA376" i="2"/>
  <c r="BO376" i="2"/>
  <c r="BJ376" i="2"/>
  <c r="BK376" i="2" s="1"/>
  <c r="CL376" i="2" s="1"/>
  <c r="BC376" i="2"/>
  <c r="AZ376" i="2"/>
  <c r="AY376" i="2"/>
  <c r="AO376" i="2"/>
  <c r="AN376" i="2"/>
  <c r="AM376" i="2"/>
  <c r="AL376" i="2"/>
  <c r="AK376" i="2"/>
  <c r="AG376" i="2"/>
  <c r="AE376" i="2"/>
  <c r="AF376" i="2" s="1"/>
  <c r="U376" i="2"/>
  <c r="S376" i="2"/>
  <c r="T376" i="2" s="1"/>
  <c r="R376" i="2"/>
  <c r="Y376" i="2" s="1"/>
  <c r="AB376" i="2" s="1"/>
  <c r="E376" i="2"/>
  <c r="GR375" i="2"/>
  <c r="GS375" i="2" s="1"/>
  <c r="GP375" i="2"/>
  <c r="GQ375" i="2" s="1"/>
  <c r="DU375" i="2" s="1"/>
  <c r="EI375" i="2" s="1"/>
  <c r="GN375" i="2"/>
  <c r="GO375" i="2" s="1"/>
  <c r="GL375" i="2"/>
  <c r="GM375" i="2" s="1"/>
  <c r="GH375" i="2"/>
  <c r="GG375" i="2"/>
  <c r="GI375" i="2" s="1"/>
  <c r="GD375" i="2"/>
  <c r="GC375" i="2"/>
  <c r="GB375" i="2"/>
  <c r="FY375" i="2"/>
  <c r="FZ375" i="2" s="1"/>
  <c r="FS375" i="2"/>
  <c r="FT375" i="2" s="1"/>
  <c r="EW375" i="2"/>
  <c r="ET375" i="2"/>
  <c r="EU375" i="2" s="1"/>
  <c r="EQ375" i="2"/>
  <c r="ER375" i="2" s="1"/>
  <c r="EJ375" i="2"/>
  <c r="EE375" i="2"/>
  <c r="EF375" i="2" s="1"/>
  <c r="DX375" i="2"/>
  <c r="DP375" i="2"/>
  <c r="DF375" i="2"/>
  <c r="DG375" i="2" s="1"/>
  <c r="DE375" i="2"/>
  <c r="CY375" i="2"/>
  <c r="CZ375" i="2" s="1"/>
  <c r="CF375" i="2"/>
  <c r="CA375" i="2"/>
  <c r="BO375" i="2"/>
  <c r="BJ375" i="2"/>
  <c r="BM375" i="2" s="1"/>
  <c r="BN375" i="2" s="1"/>
  <c r="BC375" i="2"/>
  <c r="AZ375" i="2"/>
  <c r="AY375" i="2"/>
  <c r="AO375" i="2"/>
  <c r="AN375" i="2"/>
  <c r="AM375" i="2"/>
  <c r="AL375" i="2"/>
  <c r="AK375" i="2"/>
  <c r="AG375" i="2"/>
  <c r="AE375" i="2"/>
  <c r="AF375" i="2" s="1"/>
  <c r="U375" i="2"/>
  <c r="S375" i="2"/>
  <c r="T375" i="2" s="1"/>
  <c r="R375" i="2"/>
  <c r="Y375" i="2" s="1"/>
  <c r="AB375" i="2" s="1"/>
  <c r="E375" i="2"/>
  <c r="GR374" i="2"/>
  <c r="GS374" i="2" s="1"/>
  <c r="GP374" i="2"/>
  <c r="GQ374" i="2" s="1"/>
  <c r="DU374" i="2" s="1"/>
  <c r="EI374" i="2" s="1"/>
  <c r="GN374" i="2"/>
  <c r="GO374" i="2" s="1"/>
  <c r="GL374" i="2"/>
  <c r="GM374" i="2" s="1"/>
  <c r="GH374" i="2"/>
  <c r="GG374" i="2"/>
  <c r="GI374" i="2" s="1"/>
  <c r="GD374" i="2"/>
  <c r="GC374" i="2"/>
  <c r="GB374" i="2"/>
  <c r="FY374" i="2"/>
  <c r="FZ374" i="2" s="1"/>
  <c r="FS374" i="2"/>
  <c r="FT374" i="2" s="1"/>
  <c r="EW374" i="2"/>
  <c r="ET374" i="2"/>
  <c r="EU374" i="2" s="1"/>
  <c r="EQ374" i="2"/>
  <c r="ER374" i="2" s="1"/>
  <c r="EJ374" i="2"/>
  <c r="EE374" i="2"/>
  <c r="EF374" i="2" s="1"/>
  <c r="DX374" i="2"/>
  <c r="DP374" i="2"/>
  <c r="DF374" i="2"/>
  <c r="DG374" i="2" s="1"/>
  <c r="DE374" i="2"/>
  <c r="CY374" i="2"/>
  <c r="CZ374" i="2" s="1"/>
  <c r="CF374" i="2"/>
  <c r="CH374" i="2"/>
  <c r="CA374" i="2"/>
  <c r="BO374" i="2"/>
  <c r="BJ374" i="2"/>
  <c r="BM374" i="2" s="1"/>
  <c r="BN374" i="2" s="1"/>
  <c r="BC374" i="2"/>
  <c r="AZ374" i="2"/>
  <c r="AY374" i="2"/>
  <c r="AO374" i="2"/>
  <c r="AN374" i="2"/>
  <c r="AM374" i="2"/>
  <c r="AL374" i="2"/>
  <c r="AK374" i="2"/>
  <c r="AG374" i="2"/>
  <c r="AE374" i="2"/>
  <c r="AF374" i="2" s="1"/>
  <c r="U374" i="2"/>
  <c r="S374" i="2"/>
  <c r="T374" i="2" s="1"/>
  <c r="R374" i="2"/>
  <c r="E374" i="2"/>
  <c r="GR373" i="2"/>
  <c r="GS373" i="2" s="1"/>
  <c r="GP373" i="2"/>
  <c r="GQ373" i="2" s="1"/>
  <c r="DO373" i="2" s="1"/>
  <c r="EH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H373" i="2" s="1"/>
  <c r="DE373" i="2"/>
  <c r="CY373" i="2"/>
  <c r="CZ373" i="2" s="1"/>
  <c r="CF373" i="2"/>
  <c r="CH373" i="2"/>
  <c r="CA373" i="2"/>
  <c r="DA373" i="2"/>
  <c r="DB373" i="2" s="1"/>
  <c r="BO373" i="2"/>
  <c r="BJ373" i="2"/>
  <c r="BC373" i="2"/>
  <c r="AZ373" i="2"/>
  <c r="AY373" i="2"/>
  <c r="AO373" i="2"/>
  <c r="AN373" i="2"/>
  <c r="AM373" i="2"/>
  <c r="AL373" i="2"/>
  <c r="AK373" i="2"/>
  <c r="AG373" i="2"/>
  <c r="AE373" i="2"/>
  <c r="AF373" i="2" s="1"/>
  <c r="U373" i="2"/>
  <c r="S373" i="2"/>
  <c r="R373" i="2"/>
  <c r="X373" i="2" s="1"/>
  <c r="E373" i="2"/>
  <c r="GR372" i="2"/>
  <c r="GS372" i="2" s="1"/>
  <c r="GP372" i="2"/>
  <c r="GQ372" i="2" s="1"/>
  <c r="GN372" i="2"/>
  <c r="GO372" i="2" s="1"/>
  <c r="GL372" i="2"/>
  <c r="GM372" i="2" s="1"/>
  <c r="GH372" i="2"/>
  <c r="GG372" i="2"/>
  <c r="GI372" i="2" s="1"/>
  <c r="GD372" i="2"/>
  <c r="GC372" i="2"/>
  <c r="GB372" i="2"/>
  <c r="FY372" i="2"/>
  <c r="GA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K372" i="2" s="1"/>
  <c r="CL372" i="2" s="1"/>
  <c r="BC372" i="2"/>
  <c r="AZ372" i="2"/>
  <c r="AY372" i="2"/>
  <c r="AO372" i="2"/>
  <c r="AN372" i="2"/>
  <c r="AM372" i="2"/>
  <c r="AL372" i="2"/>
  <c r="AK372" i="2"/>
  <c r="AG372" i="2"/>
  <c r="AE372" i="2"/>
  <c r="AF372" i="2" s="1"/>
  <c r="U372" i="2"/>
  <c r="S372" i="2"/>
  <c r="T372" i="2" s="1"/>
  <c r="R372" i="2"/>
  <c r="X372" i="2" s="1"/>
  <c r="AA372" i="2" s="1"/>
  <c r="E372" i="2"/>
  <c r="GR371" i="2"/>
  <c r="GS371" i="2" s="1"/>
  <c r="GP371" i="2"/>
  <c r="GQ371" i="2" s="1"/>
  <c r="DU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BO371" i="2"/>
  <c r="BJ371" i="2"/>
  <c r="BK371" i="2" s="1"/>
  <c r="CL371" i="2" s="1"/>
  <c r="BC371" i="2"/>
  <c r="AZ371" i="2"/>
  <c r="AY371" i="2"/>
  <c r="AO371" i="2"/>
  <c r="AN371" i="2"/>
  <c r="AM371" i="2"/>
  <c r="AL371" i="2"/>
  <c r="AK371" i="2"/>
  <c r="AG371" i="2"/>
  <c r="AE371" i="2"/>
  <c r="AF371" i="2" s="1"/>
  <c r="U371" i="2"/>
  <c r="S371" i="2"/>
  <c r="T371" i="2" s="1"/>
  <c r="R371" i="2"/>
  <c r="X371" i="2" s="1"/>
  <c r="E371" i="2"/>
  <c r="GR370" i="2"/>
  <c r="GS370" i="2" s="1"/>
  <c r="GP370" i="2"/>
  <c r="GQ370" i="2" s="1"/>
  <c r="GN370" i="2"/>
  <c r="GO370" i="2" s="1"/>
  <c r="GL370" i="2"/>
  <c r="GM370" i="2" s="1"/>
  <c r="GH370" i="2"/>
  <c r="GG370" i="2"/>
  <c r="GI370" i="2" s="1"/>
  <c r="GD370" i="2"/>
  <c r="GC370" i="2"/>
  <c r="GB370" i="2"/>
  <c r="FY370" i="2"/>
  <c r="FZ370" i="2" s="1"/>
  <c r="FS370" i="2"/>
  <c r="FT370" i="2" s="1"/>
  <c r="EW370" i="2"/>
  <c r="ET370" i="2"/>
  <c r="EU370" i="2" s="1"/>
  <c r="EQ370" i="2"/>
  <c r="ER370" i="2" s="1"/>
  <c r="EJ370" i="2"/>
  <c r="EE370" i="2"/>
  <c r="EF370" i="2" s="1"/>
  <c r="DX370" i="2"/>
  <c r="DP370" i="2"/>
  <c r="DF370" i="2"/>
  <c r="DG370" i="2" s="1"/>
  <c r="DE370" i="2"/>
  <c r="CY370" i="2"/>
  <c r="CZ370" i="2" s="1"/>
  <c r="CF370" i="2"/>
  <c r="CA370" i="2"/>
  <c r="DA370" i="2"/>
  <c r="DB370" i="2" s="1"/>
  <c r="BO370" i="2"/>
  <c r="BJ370" i="2"/>
  <c r="BM370" i="2" s="1"/>
  <c r="BN370" i="2" s="1"/>
  <c r="BC370" i="2"/>
  <c r="AZ370" i="2"/>
  <c r="AY370" i="2"/>
  <c r="AO370" i="2"/>
  <c r="AN370" i="2"/>
  <c r="AM370" i="2"/>
  <c r="AL370" i="2"/>
  <c r="AK370" i="2"/>
  <c r="AG370" i="2"/>
  <c r="AE370" i="2"/>
  <c r="AF370" i="2" s="1"/>
  <c r="U370" i="2"/>
  <c r="S370" i="2"/>
  <c r="R370" i="2"/>
  <c r="X370" i="2" s="1"/>
  <c r="E370" i="2"/>
  <c r="GR369" i="2"/>
  <c r="GS369" i="2" s="1"/>
  <c r="GP369" i="2"/>
  <c r="GQ369" i="2" s="1"/>
  <c r="GN369" i="2"/>
  <c r="GO369" i="2" s="1"/>
  <c r="GL369" i="2"/>
  <c r="GM369" i="2" s="1"/>
  <c r="GH369" i="2"/>
  <c r="GG369" i="2"/>
  <c r="GI369" i="2" s="1"/>
  <c r="GD369" i="2"/>
  <c r="GC369" i="2"/>
  <c r="GB369" i="2"/>
  <c r="FY369" i="2"/>
  <c r="FZ369" i="2" s="1"/>
  <c r="FS369" i="2"/>
  <c r="FT369" i="2" s="1"/>
  <c r="EW369" i="2"/>
  <c r="ET369" i="2"/>
  <c r="EU369" i="2" s="1"/>
  <c r="EQ369" i="2"/>
  <c r="ER369" i="2" s="1"/>
  <c r="EJ369" i="2"/>
  <c r="EE369" i="2"/>
  <c r="EF369" i="2" s="1"/>
  <c r="DX369" i="2"/>
  <c r="DP369" i="2"/>
  <c r="DF369" i="2"/>
  <c r="DG369" i="2" s="1"/>
  <c r="DE369" i="2"/>
  <c r="CY369" i="2"/>
  <c r="CZ369" i="2" s="1"/>
  <c r="CF369" i="2"/>
  <c r="CA369" i="2"/>
  <c r="DA369" i="2"/>
  <c r="DB369" i="2" s="1"/>
  <c r="BO369" i="2"/>
  <c r="BJ369" i="2"/>
  <c r="BM369" i="2" s="1"/>
  <c r="BN369" i="2" s="1"/>
  <c r="BC369" i="2"/>
  <c r="AZ369" i="2"/>
  <c r="AY369" i="2"/>
  <c r="AO369" i="2"/>
  <c r="AN369" i="2"/>
  <c r="AM369" i="2"/>
  <c r="AL369" i="2"/>
  <c r="AK369" i="2"/>
  <c r="AG369" i="2"/>
  <c r="AE369" i="2"/>
  <c r="AF369" i="2" s="1"/>
  <c r="U369" i="2"/>
  <c r="S369" i="2"/>
  <c r="T369" i="2" s="1"/>
  <c r="R369" i="2"/>
  <c r="X369" i="2" s="1"/>
  <c r="E369" i="2"/>
  <c r="GR368" i="2"/>
  <c r="GS368" i="2" s="1"/>
  <c r="GP368" i="2"/>
  <c r="GQ368" i="2" s="1"/>
  <c r="GN368" i="2"/>
  <c r="GO368" i="2" s="1"/>
  <c r="GL368" i="2"/>
  <c r="GM368" i="2" s="1"/>
  <c r="GH368" i="2"/>
  <c r="GG368" i="2"/>
  <c r="GI368" i="2" s="1"/>
  <c r="GD368" i="2"/>
  <c r="GC368" i="2"/>
  <c r="GB368" i="2"/>
  <c r="FY368" i="2"/>
  <c r="FZ368" i="2" s="1"/>
  <c r="FS368" i="2"/>
  <c r="FT368" i="2" s="1"/>
  <c r="EW368" i="2"/>
  <c r="ET368" i="2"/>
  <c r="EU368" i="2" s="1"/>
  <c r="EQ368" i="2"/>
  <c r="ER368" i="2" s="1"/>
  <c r="EJ368" i="2"/>
  <c r="EE368" i="2"/>
  <c r="EF368" i="2" s="1"/>
  <c r="DX368" i="2"/>
  <c r="DP368" i="2"/>
  <c r="DF368" i="2"/>
  <c r="DG368" i="2" s="1"/>
  <c r="DE368" i="2"/>
  <c r="CY368" i="2"/>
  <c r="CZ368" i="2" s="1"/>
  <c r="CF368" i="2"/>
  <c r="CH368" i="2"/>
  <c r="CA368" i="2"/>
  <c r="DA368" i="2"/>
  <c r="DB368" i="2" s="1"/>
  <c r="BO368" i="2"/>
  <c r="BJ368" i="2"/>
  <c r="BM368" i="2" s="1"/>
  <c r="BN368" i="2" s="1"/>
  <c r="BC368" i="2"/>
  <c r="AZ368" i="2"/>
  <c r="AY368" i="2"/>
  <c r="AO368" i="2"/>
  <c r="AN368" i="2"/>
  <c r="AM368" i="2"/>
  <c r="AL368" i="2"/>
  <c r="AK368" i="2"/>
  <c r="AG368" i="2"/>
  <c r="AE368" i="2"/>
  <c r="AF368" i="2" s="1"/>
  <c r="U368" i="2"/>
  <c r="S368" i="2"/>
  <c r="R368" i="2"/>
  <c r="Y368" i="2" s="1"/>
  <c r="AB368" i="2" s="1"/>
  <c r="E368" i="2"/>
  <c r="GR367" i="2"/>
  <c r="GS367" i="2" s="1"/>
  <c r="GP367" i="2"/>
  <c r="GQ367" i="2" s="1"/>
  <c r="GN367" i="2"/>
  <c r="GO367" i="2" s="1"/>
  <c r="GL367" i="2"/>
  <c r="GM367" i="2" s="1"/>
  <c r="GH367" i="2"/>
  <c r="GG367" i="2"/>
  <c r="GI367" i="2" s="1"/>
  <c r="GD367" i="2"/>
  <c r="GC367" i="2"/>
  <c r="GB367" i="2"/>
  <c r="FY367" i="2"/>
  <c r="FZ367" i="2" s="1"/>
  <c r="FS367" i="2"/>
  <c r="FT367" i="2" s="1"/>
  <c r="EW367" i="2"/>
  <c r="ET367" i="2"/>
  <c r="EU367" i="2" s="1"/>
  <c r="EQ367" i="2"/>
  <c r="ER367" i="2" s="1"/>
  <c r="EJ367" i="2"/>
  <c r="EE367" i="2"/>
  <c r="EF367" i="2" s="1"/>
  <c r="DX367" i="2"/>
  <c r="DP367" i="2"/>
  <c r="DF367" i="2"/>
  <c r="DG367" i="2" s="1"/>
  <c r="DE367" i="2"/>
  <c r="CY367" i="2"/>
  <c r="CZ367" i="2" s="1"/>
  <c r="CF367" i="2"/>
  <c r="CH367" i="2"/>
  <c r="CA367" i="2"/>
  <c r="DA367" i="2"/>
  <c r="DB367" i="2" s="1"/>
  <c r="BO367" i="2"/>
  <c r="BJ367" i="2"/>
  <c r="BM367" i="2" s="1"/>
  <c r="BN367" i="2" s="1"/>
  <c r="BC367" i="2"/>
  <c r="AZ367" i="2"/>
  <c r="AY367" i="2"/>
  <c r="AO367" i="2"/>
  <c r="AN367" i="2"/>
  <c r="AM367" i="2"/>
  <c r="AL367" i="2"/>
  <c r="AK367" i="2"/>
  <c r="AG367" i="2"/>
  <c r="AE367" i="2"/>
  <c r="AF367" i="2" s="1"/>
  <c r="U367" i="2"/>
  <c r="S367" i="2"/>
  <c r="R367" i="2"/>
  <c r="Y367" i="2" s="1"/>
  <c r="AB367" i="2" s="1"/>
  <c r="E367" i="2"/>
  <c r="GR366" i="2"/>
  <c r="GS366" i="2" s="1"/>
  <c r="GP366" i="2"/>
  <c r="GQ366" i="2" s="1"/>
  <c r="GN366" i="2"/>
  <c r="GO366" i="2" s="1"/>
  <c r="GL366" i="2"/>
  <c r="GM366" i="2" s="1"/>
  <c r="GH366" i="2"/>
  <c r="GG366" i="2"/>
  <c r="GI366" i="2" s="1"/>
  <c r="GD366" i="2"/>
  <c r="GC366" i="2"/>
  <c r="GB366" i="2"/>
  <c r="FY366" i="2"/>
  <c r="FZ366" i="2" s="1"/>
  <c r="FS366" i="2"/>
  <c r="FT366" i="2" s="1"/>
  <c r="EW366" i="2"/>
  <c r="ET366" i="2"/>
  <c r="EU366" i="2" s="1"/>
  <c r="EQ366" i="2"/>
  <c r="ER366" i="2" s="1"/>
  <c r="EJ366" i="2"/>
  <c r="EE366" i="2"/>
  <c r="EF366" i="2" s="1"/>
  <c r="DX366" i="2"/>
  <c r="DP366" i="2"/>
  <c r="DF366" i="2"/>
  <c r="DG366" i="2" s="1"/>
  <c r="DE366" i="2"/>
  <c r="CY366" i="2"/>
  <c r="CZ366" i="2" s="1"/>
  <c r="CF366" i="2"/>
  <c r="CH366" i="2"/>
  <c r="CA366" i="2"/>
  <c r="DA366" i="2"/>
  <c r="DB366" i="2" s="1"/>
  <c r="BO366" i="2"/>
  <c r="BJ366" i="2"/>
  <c r="BM366" i="2" s="1"/>
  <c r="BN366" i="2" s="1"/>
  <c r="BC366" i="2"/>
  <c r="AZ366" i="2"/>
  <c r="AY366" i="2"/>
  <c r="AO366" i="2"/>
  <c r="AN366" i="2"/>
  <c r="AM366" i="2"/>
  <c r="AL366" i="2"/>
  <c r="AK366" i="2"/>
  <c r="AG366" i="2"/>
  <c r="AE366" i="2"/>
  <c r="AF366" i="2" s="1"/>
  <c r="U366" i="2"/>
  <c r="S366" i="2"/>
  <c r="T366" i="2" s="1"/>
  <c r="R366" i="2"/>
  <c r="X366" i="2" s="1"/>
  <c r="AA366" i="2" s="1"/>
  <c r="E366" i="2"/>
  <c r="GR365" i="2"/>
  <c r="GS365" i="2" s="1"/>
  <c r="GP365" i="2"/>
  <c r="GQ365" i="2" s="1"/>
  <c r="DO365" i="2" s="1"/>
  <c r="GN365" i="2"/>
  <c r="GO365" i="2" s="1"/>
  <c r="GL365" i="2"/>
  <c r="GM365" i="2" s="1"/>
  <c r="GH365" i="2"/>
  <c r="GG365" i="2"/>
  <c r="GI365" i="2" s="1"/>
  <c r="GD365" i="2"/>
  <c r="GC365" i="2"/>
  <c r="GB365" i="2"/>
  <c r="FY365" i="2"/>
  <c r="FZ365" i="2" s="1"/>
  <c r="FS365" i="2"/>
  <c r="FT365" i="2" s="1"/>
  <c r="EW365" i="2"/>
  <c r="ET365" i="2"/>
  <c r="EU365" i="2" s="1"/>
  <c r="EQ365" i="2"/>
  <c r="ER365" i="2" s="1"/>
  <c r="EJ365" i="2"/>
  <c r="EE365" i="2"/>
  <c r="EF365" i="2" s="1"/>
  <c r="DX365" i="2"/>
  <c r="DP365" i="2"/>
  <c r="DF365" i="2"/>
  <c r="DG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R365" i="2"/>
  <c r="Y365" i="2" s="1"/>
  <c r="E365" i="2"/>
  <c r="GR386" i="2"/>
  <c r="GS386" i="2" s="1"/>
  <c r="GP386" i="2"/>
  <c r="GQ386" i="2" s="1"/>
  <c r="DO386" i="2" s="1"/>
  <c r="DS386" i="2" s="1"/>
  <c r="GN386" i="2"/>
  <c r="GO386" i="2" s="1"/>
  <c r="GL386" i="2"/>
  <c r="GM386" i="2" s="1"/>
  <c r="GG386" i="2"/>
  <c r="GI386" i="2" s="1"/>
  <c r="GD386" i="2"/>
  <c r="GC386" i="2"/>
  <c r="GB386" i="2"/>
  <c r="FY386" i="2"/>
  <c r="GA386" i="2" s="1"/>
  <c r="FS386" i="2"/>
  <c r="FT386" i="2" s="1"/>
  <c r="EW386" i="2"/>
  <c r="ET386" i="2"/>
  <c r="EU386" i="2" s="1"/>
  <c r="EQ386" i="2"/>
  <c r="ER386" i="2" s="1"/>
  <c r="EJ386" i="2"/>
  <c r="EE386" i="2"/>
  <c r="EF386" i="2" s="1"/>
  <c r="DX386" i="2"/>
  <c r="DP386" i="2"/>
  <c r="DF386" i="2"/>
  <c r="DG386" i="2" s="1"/>
  <c r="DE386" i="2"/>
  <c r="CY386" i="2"/>
  <c r="CZ386" i="2" s="1"/>
  <c r="CF386" i="2"/>
  <c r="CA386" i="2"/>
  <c r="CR386" i="2"/>
  <c r="BO386" i="2"/>
  <c r="BJ386" i="2"/>
  <c r="BM386" i="2" s="1"/>
  <c r="BN386" i="2" s="1"/>
  <c r="BC386" i="2"/>
  <c r="AZ386" i="2"/>
  <c r="AY386" i="2"/>
  <c r="AO386" i="2"/>
  <c r="AN386" i="2"/>
  <c r="AM386" i="2"/>
  <c r="AL386" i="2"/>
  <c r="AK386" i="2"/>
  <c r="AG386" i="2"/>
  <c r="AE386" i="2"/>
  <c r="AF386" i="2" s="1"/>
  <c r="S386" i="2"/>
  <c r="T386" i="2" s="1"/>
  <c r="U386" i="2" s="1"/>
  <c r="R386" i="2"/>
  <c r="GH386" i="2" s="1"/>
  <c r="E386" i="2"/>
  <c r="GR363" i="2"/>
  <c r="GS363" i="2" s="1"/>
  <c r="GP363" i="2"/>
  <c r="GQ363" i="2" s="1"/>
  <c r="GN363" i="2"/>
  <c r="GO363" i="2" s="1"/>
  <c r="GL363" i="2"/>
  <c r="GM363" i="2" s="1"/>
  <c r="GH363" i="2"/>
  <c r="GG363" i="2"/>
  <c r="GI363" i="2" s="1"/>
  <c r="GD363" i="2"/>
  <c r="GC363" i="2"/>
  <c r="GB363" i="2"/>
  <c r="FY363" i="2"/>
  <c r="GA363" i="2" s="1"/>
  <c r="FS363" i="2"/>
  <c r="FT363" i="2" s="1"/>
  <c r="EW363" i="2"/>
  <c r="ET363" i="2"/>
  <c r="EU363" i="2" s="1"/>
  <c r="EQ363" i="2"/>
  <c r="ER363" i="2" s="1"/>
  <c r="EJ363" i="2"/>
  <c r="EE363" i="2"/>
  <c r="EF363" i="2" s="1"/>
  <c r="DX363" i="2"/>
  <c r="DP363" i="2"/>
  <c r="DF363" i="2"/>
  <c r="DE363" i="2"/>
  <c r="CY363" i="2"/>
  <c r="CZ363" i="2" s="1"/>
  <c r="CF363" i="2"/>
  <c r="CA363" i="2"/>
  <c r="DA363" i="2"/>
  <c r="DB363" i="2" s="1"/>
  <c r="BO363" i="2"/>
  <c r="BJ363" i="2"/>
  <c r="BC363" i="2"/>
  <c r="AZ363" i="2"/>
  <c r="AY363" i="2"/>
  <c r="AO363" i="2"/>
  <c r="AN363" i="2"/>
  <c r="AM363" i="2"/>
  <c r="AL363" i="2"/>
  <c r="AK363" i="2"/>
  <c r="AG363" i="2"/>
  <c r="AE363" i="2"/>
  <c r="AF363" i="2" s="1"/>
  <c r="U363" i="2"/>
  <c r="S363" i="2"/>
  <c r="T363" i="2" s="1"/>
  <c r="R363" i="2"/>
  <c r="Y363" i="2" s="1"/>
  <c r="AB363" i="2" s="1"/>
  <c r="E363" i="2"/>
  <c r="GR362" i="2"/>
  <c r="GS362" i="2" s="1"/>
  <c r="GP362" i="2"/>
  <c r="GQ362" i="2" s="1"/>
  <c r="DO362" i="2" s="1"/>
  <c r="GN362" i="2"/>
  <c r="GO362" i="2" s="1"/>
  <c r="GL362" i="2"/>
  <c r="GM362" i="2" s="1"/>
  <c r="GH362" i="2"/>
  <c r="GG362" i="2"/>
  <c r="GI362" i="2" s="1"/>
  <c r="GD362" i="2"/>
  <c r="GC362" i="2"/>
  <c r="GB362" i="2"/>
  <c r="FY362" i="2"/>
  <c r="FZ362" i="2" s="1"/>
  <c r="FS362" i="2"/>
  <c r="FT362" i="2" s="1"/>
  <c r="EW362" i="2"/>
  <c r="ET362" i="2"/>
  <c r="EU362" i="2" s="1"/>
  <c r="EQ362" i="2"/>
  <c r="ER362" i="2" s="1"/>
  <c r="EJ362" i="2"/>
  <c r="EE362" i="2"/>
  <c r="EF362" i="2" s="1"/>
  <c r="DX362" i="2"/>
  <c r="DP362" i="2"/>
  <c r="DF362" i="2"/>
  <c r="DE362" i="2"/>
  <c r="CY362" i="2"/>
  <c r="CZ362" i="2" s="1"/>
  <c r="CF362" i="2"/>
  <c r="CH362" i="2"/>
  <c r="CA362" i="2"/>
  <c r="DA362" i="2"/>
  <c r="DB362" i="2" s="1"/>
  <c r="BO362" i="2"/>
  <c r="BJ362" i="2"/>
  <c r="BM362" i="2" s="1"/>
  <c r="BN362" i="2" s="1"/>
  <c r="BC362" i="2"/>
  <c r="AZ362" i="2"/>
  <c r="AY362" i="2"/>
  <c r="AO362" i="2"/>
  <c r="AN362" i="2"/>
  <c r="AM362" i="2"/>
  <c r="AL362" i="2"/>
  <c r="AK362" i="2"/>
  <c r="AG362" i="2"/>
  <c r="AE362" i="2"/>
  <c r="AF362" i="2" s="1"/>
  <c r="U362" i="2"/>
  <c r="S362" i="2"/>
  <c r="T362" i="2" s="1"/>
  <c r="R362" i="2"/>
  <c r="X362" i="2" s="1"/>
  <c r="AA362" i="2" s="1"/>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H361" i="2" s="1"/>
  <c r="DE361" i="2"/>
  <c r="CY361" i="2"/>
  <c r="CZ361" i="2" s="1"/>
  <c r="CF361" i="2"/>
  <c r="CH361" i="2"/>
  <c r="CA361" i="2"/>
  <c r="DA361" i="2"/>
  <c r="DB361" i="2" s="1"/>
  <c r="BO361" i="2"/>
  <c r="BJ361" i="2"/>
  <c r="BM361" i="2" s="1"/>
  <c r="BN361" i="2" s="1"/>
  <c r="BC361" i="2"/>
  <c r="AZ361" i="2"/>
  <c r="AY361" i="2"/>
  <c r="AO361" i="2"/>
  <c r="AN361" i="2"/>
  <c r="AM361" i="2"/>
  <c r="AL361" i="2"/>
  <c r="AK361" i="2"/>
  <c r="AG361" i="2"/>
  <c r="AE361" i="2"/>
  <c r="AF361" i="2" s="1"/>
  <c r="U361" i="2"/>
  <c r="S361" i="2"/>
  <c r="R361" i="2"/>
  <c r="Y361" i="2" s="1"/>
  <c r="AB361" i="2" s="1"/>
  <c r="E361" i="2"/>
  <c r="GR360" i="2"/>
  <c r="GS360" i="2" s="1"/>
  <c r="GP360" i="2"/>
  <c r="GQ360" i="2" s="1"/>
  <c r="DO360" i="2" s="1"/>
  <c r="GN360" i="2"/>
  <c r="GO360" i="2" s="1"/>
  <c r="GL360" i="2"/>
  <c r="GM360" i="2" s="1"/>
  <c r="GH360" i="2"/>
  <c r="GG360" i="2"/>
  <c r="GI360" i="2" s="1"/>
  <c r="GD360" i="2"/>
  <c r="GC360" i="2"/>
  <c r="GB360" i="2"/>
  <c r="FY360" i="2"/>
  <c r="FS360" i="2"/>
  <c r="FT360" i="2" s="1"/>
  <c r="EW360" i="2"/>
  <c r="ET360" i="2"/>
  <c r="EU360" i="2" s="1"/>
  <c r="EQ360" i="2"/>
  <c r="ER360" i="2" s="1"/>
  <c r="EJ360" i="2"/>
  <c r="EE360" i="2"/>
  <c r="EF360" i="2" s="1"/>
  <c r="DX360" i="2"/>
  <c r="DP360" i="2"/>
  <c r="DF360" i="2"/>
  <c r="DH360" i="2" s="1"/>
  <c r="DE360" i="2"/>
  <c r="CY360" i="2"/>
  <c r="CZ360" i="2" s="1"/>
  <c r="CF360" i="2"/>
  <c r="CH360" i="2"/>
  <c r="CA360" i="2"/>
  <c r="DA360" i="2"/>
  <c r="DB360" i="2" s="1"/>
  <c r="BO360" i="2"/>
  <c r="BJ360" i="2"/>
  <c r="BM360" i="2" s="1"/>
  <c r="BN360" i="2" s="1"/>
  <c r="BC360" i="2"/>
  <c r="AZ360" i="2"/>
  <c r="AY360" i="2"/>
  <c r="AO360" i="2"/>
  <c r="AN360" i="2"/>
  <c r="AM360" i="2"/>
  <c r="AL360" i="2"/>
  <c r="AK360" i="2"/>
  <c r="AG360" i="2"/>
  <c r="AE360" i="2"/>
  <c r="AF360" i="2" s="1"/>
  <c r="U360" i="2"/>
  <c r="S360" i="2"/>
  <c r="T360" i="2" s="1"/>
  <c r="R360" i="2"/>
  <c r="Y360" i="2" s="1"/>
  <c r="AB360" i="2" s="1"/>
  <c r="E360" i="2"/>
  <c r="GR359" i="2"/>
  <c r="GS359" i="2" s="1"/>
  <c r="GP359" i="2"/>
  <c r="GQ359" i="2" s="1"/>
  <c r="DO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GA358" i="2" s="1"/>
  <c r="FS358" i="2"/>
  <c r="FT358" i="2" s="1"/>
  <c r="EW358" i="2"/>
  <c r="ET358" i="2"/>
  <c r="EU358" i="2" s="1"/>
  <c r="EQ358" i="2"/>
  <c r="ER358" i="2" s="1"/>
  <c r="EJ358" i="2"/>
  <c r="EE358" i="2"/>
  <c r="EF358" i="2" s="1"/>
  <c r="DX358" i="2"/>
  <c r="DP358" i="2"/>
  <c r="DF358" i="2"/>
  <c r="DE358" i="2"/>
  <c r="CY358" i="2"/>
  <c r="CZ358" i="2" s="1"/>
  <c r="CF358" i="2"/>
  <c r="CH358" i="2"/>
  <c r="CA358" i="2"/>
  <c r="BO358" i="2"/>
  <c r="BJ358" i="2"/>
  <c r="BM358" i="2" s="1"/>
  <c r="BN358" i="2" s="1"/>
  <c r="BC358" i="2"/>
  <c r="AZ358" i="2"/>
  <c r="AY358" i="2"/>
  <c r="AO358" i="2"/>
  <c r="AN358" i="2"/>
  <c r="AM358" i="2"/>
  <c r="AL358" i="2"/>
  <c r="AK358" i="2"/>
  <c r="AG358" i="2"/>
  <c r="AE358" i="2"/>
  <c r="AF358" i="2" s="1"/>
  <c r="U358" i="2"/>
  <c r="S358" i="2"/>
  <c r="R358" i="2"/>
  <c r="Y358" i="2" s="1"/>
  <c r="AB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E357" i="2"/>
  <c r="CY357" i="2"/>
  <c r="CZ357" i="2" s="1"/>
  <c r="CF357" i="2"/>
  <c r="CH357" i="2"/>
  <c r="CA357" i="2"/>
  <c r="DA357" i="2"/>
  <c r="DB357" i="2" s="1"/>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5" i="2"/>
  <c r="GS355" i="2" s="1"/>
  <c r="GP355" i="2"/>
  <c r="GQ355" i="2" s="1"/>
  <c r="DO355" i="2" s="1"/>
  <c r="GN355" i="2"/>
  <c r="GO355" i="2" s="1"/>
  <c r="GL355" i="2"/>
  <c r="GM355" i="2" s="1"/>
  <c r="GH355" i="2"/>
  <c r="GG355" i="2"/>
  <c r="GI355" i="2" s="1"/>
  <c r="GD355" i="2"/>
  <c r="GC355" i="2"/>
  <c r="GB355" i="2"/>
  <c r="FY355" i="2"/>
  <c r="GA355" i="2" s="1"/>
  <c r="FS355" i="2"/>
  <c r="FT355" i="2" s="1"/>
  <c r="EW355" i="2"/>
  <c r="ET355" i="2"/>
  <c r="EU355" i="2" s="1"/>
  <c r="EQ355" i="2"/>
  <c r="ER355" i="2" s="1"/>
  <c r="EJ355" i="2"/>
  <c r="EE355" i="2"/>
  <c r="EF355" i="2" s="1"/>
  <c r="DX355" i="2"/>
  <c r="DP355" i="2"/>
  <c r="DF355" i="2"/>
  <c r="DE355" i="2"/>
  <c r="CY355" i="2"/>
  <c r="CZ355" i="2" s="1"/>
  <c r="CF355" i="2"/>
  <c r="CH355" i="2"/>
  <c r="CA355" i="2"/>
  <c r="DA355" i="2"/>
  <c r="DB355" i="2" s="1"/>
  <c r="BO355" i="2"/>
  <c r="BJ355" i="2"/>
  <c r="BC355" i="2"/>
  <c r="AZ355" i="2"/>
  <c r="AY355" i="2"/>
  <c r="AO355" i="2"/>
  <c r="AN355" i="2"/>
  <c r="AM355" i="2"/>
  <c r="AL355" i="2"/>
  <c r="AK355" i="2"/>
  <c r="AG355" i="2"/>
  <c r="AE355" i="2"/>
  <c r="AF355" i="2" s="1"/>
  <c r="U355" i="2"/>
  <c r="S355" i="2"/>
  <c r="R355" i="2"/>
  <c r="X355" i="2" s="1"/>
  <c r="E355" i="2"/>
  <c r="GR354" i="2"/>
  <c r="GS354" i="2" s="1"/>
  <c r="GP354" i="2"/>
  <c r="GQ354" i="2" s="1"/>
  <c r="DO354" i="2" s="1"/>
  <c r="EH354" i="2" s="1"/>
  <c r="GN354" i="2"/>
  <c r="GO354" i="2" s="1"/>
  <c r="GL354" i="2"/>
  <c r="GM354" i="2" s="1"/>
  <c r="GH354" i="2"/>
  <c r="GG354" i="2"/>
  <c r="GI354" i="2" s="1"/>
  <c r="GD354" i="2"/>
  <c r="GC354" i="2"/>
  <c r="GB354" i="2"/>
  <c r="FY354" i="2"/>
  <c r="GA354" i="2" s="1"/>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C354" i="2"/>
  <c r="AZ354" i="2"/>
  <c r="AY354" i="2"/>
  <c r="AO354" i="2"/>
  <c r="AN354" i="2"/>
  <c r="AM354" i="2"/>
  <c r="AL354" i="2"/>
  <c r="AK354" i="2"/>
  <c r="AG354" i="2"/>
  <c r="AE354" i="2"/>
  <c r="AF354" i="2" s="1"/>
  <c r="U354" i="2"/>
  <c r="S354" i="2"/>
  <c r="T354" i="2" s="1"/>
  <c r="R354" i="2"/>
  <c r="Y354" i="2" s="1"/>
  <c r="E354" i="2"/>
  <c r="GR353" i="2"/>
  <c r="GS353" i="2" s="1"/>
  <c r="GP353" i="2"/>
  <c r="GQ353" i="2" s="1"/>
  <c r="DO353" i="2" s="1"/>
  <c r="EH353" i="2" s="1"/>
  <c r="GN353" i="2"/>
  <c r="GO353" i="2" s="1"/>
  <c r="GL353" i="2"/>
  <c r="GM353" i="2" s="1"/>
  <c r="GH353" i="2"/>
  <c r="GG353" i="2"/>
  <c r="GI353" i="2" s="1"/>
  <c r="GD353" i="2"/>
  <c r="GC353" i="2"/>
  <c r="GB353" i="2"/>
  <c r="FY353" i="2"/>
  <c r="FZ353" i="2" s="1"/>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R353" i="2"/>
  <c r="Y353" i="2" s="1"/>
  <c r="E353" i="2"/>
  <c r="GR352" i="2"/>
  <c r="GS352" i="2" s="1"/>
  <c r="GP352" i="2"/>
  <c r="GQ352" i="2" s="1"/>
  <c r="GN352" i="2"/>
  <c r="GO352" i="2" s="1"/>
  <c r="GL352" i="2"/>
  <c r="GM352" i="2" s="1"/>
  <c r="GH352" i="2"/>
  <c r="GG352" i="2"/>
  <c r="GI352" i="2" s="1"/>
  <c r="GD352" i="2"/>
  <c r="GC352" i="2"/>
  <c r="GB352" i="2"/>
  <c r="FY352" i="2"/>
  <c r="GA352" i="2" s="1"/>
  <c r="FS352" i="2"/>
  <c r="FT352" i="2" s="1"/>
  <c r="EW352" i="2"/>
  <c r="ET352" i="2"/>
  <c r="EU352" i="2" s="1"/>
  <c r="EQ352" i="2"/>
  <c r="ER352" i="2" s="1"/>
  <c r="EJ352" i="2"/>
  <c r="EE352" i="2"/>
  <c r="EF352" i="2" s="1"/>
  <c r="DX352" i="2"/>
  <c r="DP352" i="2"/>
  <c r="DF352" i="2"/>
  <c r="DG352" i="2" s="1"/>
  <c r="DE352" i="2"/>
  <c r="CY352" i="2"/>
  <c r="CZ352" i="2" s="1"/>
  <c r="CF352" i="2"/>
  <c r="CH352" i="2"/>
  <c r="CA352" i="2"/>
  <c r="CW352" i="2"/>
  <c r="BO352" i="2"/>
  <c r="BJ352" i="2"/>
  <c r="BM352" i="2" s="1"/>
  <c r="BN352" i="2" s="1"/>
  <c r="BC352" i="2"/>
  <c r="AZ352" i="2"/>
  <c r="AY352" i="2"/>
  <c r="AO352" i="2"/>
  <c r="AN352" i="2"/>
  <c r="AM352" i="2"/>
  <c r="AL352" i="2"/>
  <c r="AK352" i="2"/>
  <c r="AG352" i="2"/>
  <c r="AE352" i="2"/>
  <c r="AF352" i="2" s="1"/>
  <c r="U352" i="2"/>
  <c r="S352" i="2"/>
  <c r="R352" i="2"/>
  <c r="E352" i="2"/>
  <c r="GR351" i="2"/>
  <c r="GS351" i="2" s="1"/>
  <c r="GP351" i="2"/>
  <c r="GQ351" i="2" s="1"/>
  <c r="GN351" i="2"/>
  <c r="GO351" i="2" s="1"/>
  <c r="GL351" i="2"/>
  <c r="GM351" i="2" s="1"/>
  <c r="GH351" i="2"/>
  <c r="GG351" i="2"/>
  <c r="GI351" i="2" s="1"/>
  <c r="GD351" i="2"/>
  <c r="GC351" i="2"/>
  <c r="GB351" i="2"/>
  <c r="FY351" i="2"/>
  <c r="GA351" i="2" s="1"/>
  <c r="FS351" i="2"/>
  <c r="FT351" i="2" s="1"/>
  <c r="EW351" i="2"/>
  <c r="ET351" i="2"/>
  <c r="EU351" i="2" s="1"/>
  <c r="EQ351" i="2"/>
  <c r="ER351" i="2" s="1"/>
  <c r="EJ351" i="2"/>
  <c r="EE351" i="2"/>
  <c r="EF351" i="2" s="1"/>
  <c r="DX351" i="2"/>
  <c r="DP351" i="2"/>
  <c r="DF351" i="2"/>
  <c r="DG351" i="2" s="1"/>
  <c r="DE351" i="2"/>
  <c r="CY351" i="2"/>
  <c r="CZ351" i="2" s="1"/>
  <c r="CF351" i="2"/>
  <c r="CA351" i="2"/>
  <c r="CW351" i="2"/>
  <c r="BO351" i="2"/>
  <c r="BJ351" i="2"/>
  <c r="BM351" i="2" s="1"/>
  <c r="BN351" i="2" s="1"/>
  <c r="BC351" i="2"/>
  <c r="AZ351" i="2"/>
  <c r="AY351" i="2"/>
  <c r="AO351" i="2"/>
  <c r="AN351" i="2"/>
  <c r="AM351" i="2"/>
  <c r="AL351" i="2"/>
  <c r="AK351" i="2"/>
  <c r="AG351" i="2"/>
  <c r="AE351" i="2"/>
  <c r="AF351" i="2" s="1"/>
  <c r="U351" i="2"/>
  <c r="S351" i="2"/>
  <c r="R351" i="2"/>
  <c r="Y351" i="2" s="1"/>
  <c r="E351" i="2"/>
  <c r="GR350" i="2"/>
  <c r="GS350" i="2" s="1"/>
  <c r="GP350" i="2"/>
  <c r="GQ350" i="2" s="1"/>
  <c r="DO350" i="2" s="1"/>
  <c r="GN350" i="2"/>
  <c r="GO350" i="2" s="1"/>
  <c r="GL350" i="2"/>
  <c r="GM350" i="2" s="1"/>
  <c r="GH350" i="2"/>
  <c r="GG350" i="2"/>
  <c r="GI350" i="2" s="1"/>
  <c r="GD350" i="2"/>
  <c r="GC350" i="2"/>
  <c r="GB350" i="2"/>
  <c r="FY350" i="2"/>
  <c r="GA350" i="2" s="1"/>
  <c r="FS350" i="2"/>
  <c r="FT350" i="2" s="1"/>
  <c r="EW350" i="2"/>
  <c r="ET350" i="2"/>
  <c r="EU350" i="2" s="1"/>
  <c r="EQ350" i="2"/>
  <c r="ER350" i="2" s="1"/>
  <c r="EJ350" i="2"/>
  <c r="EE350" i="2"/>
  <c r="EF350" i="2" s="1"/>
  <c r="DX350" i="2"/>
  <c r="DP350" i="2"/>
  <c r="DF350" i="2"/>
  <c r="DG350" i="2" s="1"/>
  <c r="DE350" i="2"/>
  <c r="CY350" i="2"/>
  <c r="CZ350" i="2" s="1"/>
  <c r="CF350" i="2"/>
  <c r="CH350" i="2"/>
  <c r="CA350" i="2"/>
  <c r="CW350" i="2"/>
  <c r="BO350" i="2"/>
  <c r="BJ350" i="2"/>
  <c r="BM350" i="2" s="1"/>
  <c r="BN350" i="2" s="1"/>
  <c r="BC350" i="2"/>
  <c r="AZ350" i="2"/>
  <c r="AY350" i="2"/>
  <c r="AO350" i="2"/>
  <c r="AN350" i="2"/>
  <c r="AM350" i="2"/>
  <c r="AL350" i="2"/>
  <c r="AK350" i="2"/>
  <c r="AG350" i="2"/>
  <c r="AE350" i="2"/>
  <c r="AF350" i="2" s="1"/>
  <c r="U350" i="2"/>
  <c r="S350" i="2"/>
  <c r="R350" i="2"/>
  <c r="Y350" i="2" s="1"/>
  <c r="AB350" i="2" s="1"/>
  <c r="E350" i="2"/>
  <c r="GR349" i="2"/>
  <c r="GS349" i="2" s="1"/>
  <c r="GP349" i="2"/>
  <c r="GQ349" i="2" s="1"/>
  <c r="GN349" i="2"/>
  <c r="GO349" i="2" s="1"/>
  <c r="GL349" i="2"/>
  <c r="GM349" i="2" s="1"/>
  <c r="GH349" i="2"/>
  <c r="GG349" i="2"/>
  <c r="GI349" i="2" s="1"/>
  <c r="GD349" i="2"/>
  <c r="GC349" i="2"/>
  <c r="GB349" i="2"/>
  <c r="FY349" i="2"/>
  <c r="GA349" i="2" s="1"/>
  <c r="FS349" i="2"/>
  <c r="FT349" i="2" s="1"/>
  <c r="EW349" i="2"/>
  <c r="ET349" i="2"/>
  <c r="EU349" i="2" s="1"/>
  <c r="EQ349" i="2"/>
  <c r="ER349" i="2" s="1"/>
  <c r="EJ349" i="2"/>
  <c r="EE349" i="2"/>
  <c r="EF349" i="2" s="1"/>
  <c r="DX349" i="2"/>
  <c r="DP349" i="2"/>
  <c r="DF349" i="2"/>
  <c r="DG349" i="2" s="1"/>
  <c r="DE349" i="2"/>
  <c r="CY349" i="2"/>
  <c r="CZ349" i="2" s="1"/>
  <c r="CF349" i="2"/>
  <c r="CH349" i="2"/>
  <c r="CA349" i="2"/>
  <c r="CW349" i="2"/>
  <c r="BO349" i="2"/>
  <c r="BJ349" i="2"/>
  <c r="BM349" i="2" s="1"/>
  <c r="BN349" i="2" s="1"/>
  <c r="BC349" i="2"/>
  <c r="AZ349" i="2"/>
  <c r="AY349" i="2"/>
  <c r="AO349" i="2"/>
  <c r="AN349" i="2"/>
  <c r="AM349" i="2"/>
  <c r="AL349" i="2"/>
  <c r="AK349" i="2"/>
  <c r="AG349" i="2"/>
  <c r="AE349" i="2"/>
  <c r="AF349" i="2" s="1"/>
  <c r="U349" i="2"/>
  <c r="S349" i="2"/>
  <c r="R349" i="2"/>
  <c r="Y349" i="2" s="1"/>
  <c r="AB349" i="2" s="1"/>
  <c r="E349" i="2"/>
  <c r="GR348" i="2"/>
  <c r="GS348" i="2" s="1"/>
  <c r="GP348" i="2"/>
  <c r="GQ348" i="2" s="1"/>
  <c r="GN348" i="2"/>
  <c r="GO348" i="2" s="1"/>
  <c r="GL348" i="2"/>
  <c r="GM348" i="2" s="1"/>
  <c r="GH348" i="2"/>
  <c r="GG348" i="2"/>
  <c r="GI348" i="2" s="1"/>
  <c r="GD348" i="2"/>
  <c r="GC348" i="2"/>
  <c r="GB348" i="2"/>
  <c r="FY348" i="2"/>
  <c r="FS348" i="2"/>
  <c r="FT348" i="2" s="1"/>
  <c r="EW348" i="2"/>
  <c r="ET348" i="2"/>
  <c r="EU348" i="2" s="1"/>
  <c r="EQ348" i="2"/>
  <c r="ER348" i="2" s="1"/>
  <c r="EJ348" i="2"/>
  <c r="EE348" i="2"/>
  <c r="EF348" i="2" s="1"/>
  <c r="DX348" i="2"/>
  <c r="DP348" i="2"/>
  <c r="DF348" i="2"/>
  <c r="DE348" i="2"/>
  <c r="CY348" i="2"/>
  <c r="CZ348" i="2" s="1"/>
  <c r="CF348" i="2"/>
  <c r="CA348" i="2"/>
  <c r="BO348" i="2"/>
  <c r="BJ348" i="2"/>
  <c r="BK348" i="2" s="1"/>
  <c r="CL348" i="2" s="1"/>
  <c r="BC348" i="2"/>
  <c r="AZ348" i="2"/>
  <c r="AY348" i="2"/>
  <c r="AO348" i="2"/>
  <c r="AN348" i="2"/>
  <c r="AM348" i="2"/>
  <c r="AL348" i="2"/>
  <c r="AK348" i="2"/>
  <c r="AG348" i="2"/>
  <c r="AE348" i="2"/>
  <c r="AF348" i="2" s="1"/>
  <c r="U348" i="2"/>
  <c r="S348" i="2"/>
  <c r="T348" i="2" s="1"/>
  <c r="R348" i="2"/>
  <c r="X348" i="2" s="1"/>
  <c r="E348" i="2"/>
  <c r="GR347" i="2"/>
  <c r="GS347" i="2" s="1"/>
  <c r="GP347" i="2"/>
  <c r="GQ347" i="2" s="1"/>
  <c r="GN347" i="2"/>
  <c r="GO347" i="2" s="1"/>
  <c r="GL347" i="2"/>
  <c r="GM347" i="2" s="1"/>
  <c r="GH347" i="2"/>
  <c r="GG347" i="2"/>
  <c r="GI347" i="2" s="1"/>
  <c r="GD347" i="2"/>
  <c r="GC347" i="2"/>
  <c r="GB347" i="2"/>
  <c r="FY347" i="2"/>
  <c r="FZ347" i="2" s="1"/>
  <c r="FS347" i="2"/>
  <c r="FT347" i="2" s="1"/>
  <c r="EW347" i="2"/>
  <c r="ET347" i="2"/>
  <c r="EU347" i="2" s="1"/>
  <c r="EQ347" i="2"/>
  <c r="ER347" i="2" s="1"/>
  <c r="EJ347" i="2"/>
  <c r="EE347" i="2"/>
  <c r="EF347" i="2" s="1"/>
  <c r="DX347" i="2"/>
  <c r="DP347" i="2"/>
  <c r="DF347" i="2"/>
  <c r="DH347" i="2" s="1"/>
  <c r="DE347" i="2"/>
  <c r="CY347" i="2"/>
  <c r="CZ347" i="2" s="1"/>
  <c r="CF347" i="2"/>
  <c r="CA347" i="2"/>
  <c r="BO347" i="2"/>
  <c r="BJ347" i="2"/>
  <c r="BK347" i="2" s="1"/>
  <c r="CL347" i="2" s="1"/>
  <c r="BC347" i="2"/>
  <c r="AZ347" i="2"/>
  <c r="AY347" i="2"/>
  <c r="AO347" i="2"/>
  <c r="AN347" i="2"/>
  <c r="AM347" i="2"/>
  <c r="AL347" i="2"/>
  <c r="AK347" i="2"/>
  <c r="AG347" i="2"/>
  <c r="AE347" i="2"/>
  <c r="AF347" i="2" s="1"/>
  <c r="U347" i="2"/>
  <c r="S347" i="2"/>
  <c r="T347" i="2" s="1"/>
  <c r="R347" i="2"/>
  <c r="Y347" i="2" s="1"/>
  <c r="AB347" i="2" s="1"/>
  <c r="E347" i="2"/>
  <c r="GR346" i="2"/>
  <c r="GS346" i="2" s="1"/>
  <c r="GP346" i="2"/>
  <c r="GQ346" i="2" s="1"/>
  <c r="DO346" i="2" s="1"/>
  <c r="GN346" i="2"/>
  <c r="GO346" i="2" s="1"/>
  <c r="GL346" i="2"/>
  <c r="GM346" i="2" s="1"/>
  <c r="GH346" i="2"/>
  <c r="GG346" i="2"/>
  <c r="GI346" i="2" s="1"/>
  <c r="GD346" i="2"/>
  <c r="GC346" i="2"/>
  <c r="GB346" i="2"/>
  <c r="FY346" i="2"/>
  <c r="FZ346" i="2" s="1"/>
  <c r="FS346" i="2"/>
  <c r="FT346" i="2" s="1"/>
  <c r="EW346" i="2"/>
  <c r="ET346" i="2"/>
  <c r="EU346" i="2" s="1"/>
  <c r="EQ346" i="2"/>
  <c r="ER346" i="2" s="1"/>
  <c r="EJ346" i="2"/>
  <c r="EE346" i="2"/>
  <c r="EF346" i="2" s="1"/>
  <c r="DX346" i="2"/>
  <c r="DP346" i="2"/>
  <c r="DF346" i="2"/>
  <c r="DH346" i="2" s="1"/>
  <c r="DE346" i="2"/>
  <c r="CY346" i="2"/>
  <c r="CZ346" i="2" s="1"/>
  <c r="CF346" i="2"/>
  <c r="CH346" i="2"/>
  <c r="CA346" i="2"/>
  <c r="BO346" i="2"/>
  <c r="BJ346" i="2"/>
  <c r="BC346" i="2"/>
  <c r="AZ346" i="2"/>
  <c r="AY346" i="2"/>
  <c r="AO346" i="2"/>
  <c r="AN346" i="2"/>
  <c r="AM346" i="2"/>
  <c r="AL346" i="2"/>
  <c r="AK346" i="2"/>
  <c r="AG346" i="2"/>
  <c r="AE346" i="2"/>
  <c r="AF346" i="2" s="1"/>
  <c r="U346" i="2"/>
  <c r="S346" i="2"/>
  <c r="T346" i="2" s="1"/>
  <c r="R346" i="2"/>
  <c r="Y346" i="2" s="1"/>
  <c r="AB346" i="2" s="1"/>
  <c r="E346"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EE345" i="2"/>
  <c r="EF345" i="2" s="1"/>
  <c r="DX345" i="2"/>
  <c r="DP345" i="2"/>
  <c r="DF345" i="2"/>
  <c r="DG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GN344" i="2"/>
  <c r="GO344" i="2" s="1"/>
  <c r="GL344" i="2"/>
  <c r="GM344" i="2" s="1"/>
  <c r="GH344" i="2"/>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K344" i="2" s="1"/>
  <c r="CL344" i="2" s="1"/>
  <c r="BC344" i="2"/>
  <c r="AZ344" i="2"/>
  <c r="AY344" i="2"/>
  <c r="AO344" i="2"/>
  <c r="AN344" i="2"/>
  <c r="AM344" i="2"/>
  <c r="AL344" i="2"/>
  <c r="AK344" i="2"/>
  <c r="AG344" i="2"/>
  <c r="AE344" i="2"/>
  <c r="AF344" i="2" s="1"/>
  <c r="U344" i="2"/>
  <c r="S344" i="2"/>
  <c r="T344" i="2" s="1"/>
  <c r="R344" i="2"/>
  <c r="Y344" i="2" s="1"/>
  <c r="AB344" i="2" s="1"/>
  <c r="E344" i="2"/>
  <c r="GR343" i="2"/>
  <c r="GS343" i="2" s="1"/>
  <c r="GP343" i="2"/>
  <c r="GQ343" i="2" s="1"/>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K343" i="2" s="1"/>
  <c r="CL343" i="2" s="1"/>
  <c r="BC343" i="2"/>
  <c r="AZ343" i="2"/>
  <c r="AY343" i="2"/>
  <c r="AO343" i="2"/>
  <c r="AN343" i="2"/>
  <c r="AM343" i="2"/>
  <c r="AL343" i="2"/>
  <c r="AK343" i="2"/>
  <c r="AG343" i="2"/>
  <c r="AE343" i="2"/>
  <c r="AF343" i="2" s="1"/>
  <c r="U343" i="2"/>
  <c r="S343" i="2"/>
  <c r="T343" i="2" s="1"/>
  <c r="R343" i="2"/>
  <c r="Y343" i="2" s="1"/>
  <c r="AB343" i="2" s="1"/>
  <c r="E343" i="2"/>
  <c r="GR342" i="2"/>
  <c r="GS342" i="2" s="1"/>
  <c r="GP342" i="2"/>
  <c r="GQ342" i="2" s="1"/>
  <c r="DU342" i="2" s="1"/>
  <c r="GN342" i="2"/>
  <c r="GO342" i="2" s="1"/>
  <c r="GL342" i="2"/>
  <c r="GM342" i="2" s="1"/>
  <c r="GH342" i="2"/>
  <c r="GG342" i="2"/>
  <c r="GI342" i="2" s="1"/>
  <c r="GD342" i="2"/>
  <c r="GC342" i="2"/>
  <c r="GB342" i="2"/>
  <c r="FY342" i="2"/>
  <c r="FS342" i="2"/>
  <c r="FT342" i="2" s="1"/>
  <c r="EW342" i="2"/>
  <c r="ET342" i="2"/>
  <c r="EU342" i="2" s="1"/>
  <c r="EQ342" i="2"/>
  <c r="ER342" i="2" s="1"/>
  <c r="EJ342" i="2"/>
  <c r="EE342" i="2"/>
  <c r="EF342" i="2" s="1"/>
  <c r="DX342" i="2"/>
  <c r="DP342" i="2"/>
  <c r="DF342" i="2"/>
  <c r="DH342" i="2" s="1"/>
  <c r="DE342" i="2"/>
  <c r="CY342" i="2"/>
  <c r="CZ342" i="2" s="1"/>
  <c r="CF342" i="2"/>
  <c r="CH342" i="2"/>
  <c r="CA342" i="2"/>
  <c r="BO342" i="2"/>
  <c r="BJ342" i="2"/>
  <c r="BK342" i="2" s="1"/>
  <c r="CL342" i="2" s="1"/>
  <c r="BC342" i="2"/>
  <c r="AZ342" i="2"/>
  <c r="AY342" i="2"/>
  <c r="AO342" i="2"/>
  <c r="AN342" i="2"/>
  <c r="AM342" i="2"/>
  <c r="AL342" i="2"/>
  <c r="AK342" i="2"/>
  <c r="AG342" i="2"/>
  <c r="AE342" i="2"/>
  <c r="AF342" i="2" s="1"/>
  <c r="U342" i="2"/>
  <c r="S342" i="2"/>
  <c r="T342" i="2" s="1"/>
  <c r="R342" i="2"/>
  <c r="Y342" i="2" s="1"/>
  <c r="AB342" i="2" s="1"/>
  <c r="E342" i="2"/>
  <c r="GR341" i="2"/>
  <c r="GS341" i="2" s="1"/>
  <c r="GP341" i="2"/>
  <c r="GQ341" i="2" s="1"/>
  <c r="GN341" i="2"/>
  <c r="GO341" i="2" s="1"/>
  <c r="GL341" i="2"/>
  <c r="GM341" i="2" s="1"/>
  <c r="GH341" i="2"/>
  <c r="GG341" i="2"/>
  <c r="GI341" i="2" s="1"/>
  <c r="GD341" i="2"/>
  <c r="GC341" i="2"/>
  <c r="GB341" i="2"/>
  <c r="FY341" i="2"/>
  <c r="FS341" i="2"/>
  <c r="FT341" i="2" s="1"/>
  <c r="EW341" i="2"/>
  <c r="ET341" i="2"/>
  <c r="EU341" i="2" s="1"/>
  <c r="EQ341" i="2"/>
  <c r="ER341" i="2" s="1"/>
  <c r="EJ341" i="2"/>
  <c r="EE341" i="2"/>
  <c r="EF341" i="2" s="1"/>
  <c r="DX341" i="2"/>
  <c r="DP341" i="2"/>
  <c r="DF341" i="2"/>
  <c r="DH341" i="2" s="1"/>
  <c r="DE341" i="2"/>
  <c r="CY341" i="2"/>
  <c r="CZ341" i="2" s="1"/>
  <c r="CF341" i="2"/>
  <c r="CH341" i="2"/>
  <c r="CA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BO340" i="2"/>
  <c r="BJ340" i="2"/>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U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BO339" i="2"/>
  <c r="BJ339" i="2"/>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FS338" i="2"/>
  <c r="FT338" i="2" s="1"/>
  <c r="EW338" i="2"/>
  <c r="ET338" i="2"/>
  <c r="EU338" i="2" s="1"/>
  <c r="EQ338" i="2"/>
  <c r="ER338" i="2" s="1"/>
  <c r="EJ338" i="2"/>
  <c r="EE338" i="2"/>
  <c r="EF338" i="2" s="1"/>
  <c r="DX338" i="2"/>
  <c r="DP338" i="2"/>
  <c r="DF338" i="2"/>
  <c r="DH338" i="2" s="1"/>
  <c r="DE338" i="2"/>
  <c r="CY338" i="2"/>
  <c r="CZ338" i="2" s="1"/>
  <c r="CF338" i="2"/>
  <c r="CH338" i="2"/>
  <c r="CA338" i="2"/>
  <c r="BO338" i="2"/>
  <c r="BJ338" i="2"/>
  <c r="BK338" i="2" s="1"/>
  <c r="CL338" i="2" s="1"/>
  <c r="BC338" i="2"/>
  <c r="AZ338" i="2"/>
  <c r="AY338" i="2"/>
  <c r="AO338" i="2"/>
  <c r="AN338" i="2"/>
  <c r="AM338" i="2"/>
  <c r="AL338" i="2"/>
  <c r="AK338" i="2"/>
  <c r="AG338" i="2"/>
  <c r="AE338" i="2"/>
  <c r="AF338" i="2" s="1"/>
  <c r="U338" i="2"/>
  <c r="S338" i="2"/>
  <c r="T338" i="2" s="1"/>
  <c r="R338" i="2"/>
  <c r="E338" i="2"/>
  <c r="GR337" i="2"/>
  <c r="GS337" i="2" s="1"/>
  <c r="GP337" i="2"/>
  <c r="GQ337" i="2" s="1"/>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H337" i="2" s="1"/>
  <c r="DE337" i="2"/>
  <c r="CY337" i="2"/>
  <c r="CZ337" i="2" s="1"/>
  <c r="CF337" i="2"/>
  <c r="CH337" i="2"/>
  <c r="CA337" i="2"/>
  <c r="BO337" i="2"/>
  <c r="BJ337" i="2"/>
  <c r="BK337" i="2" s="1"/>
  <c r="CL337" i="2" s="1"/>
  <c r="BC337" i="2"/>
  <c r="AZ337" i="2"/>
  <c r="AY337" i="2"/>
  <c r="AO337" i="2"/>
  <c r="AN337" i="2"/>
  <c r="AM337" i="2"/>
  <c r="AL337" i="2"/>
  <c r="AK337" i="2"/>
  <c r="AG337" i="2"/>
  <c r="AE337" i="2"/>
  <c r="AF337" i="2" s="1"/>
  <c r="U337" i="2"/>
  <c r="S337" i="2"/>
  <c r="T337" i="2" s="1"/>
  <c r="R337" i="2"/>
  <c r="Y337" i="2" s="1"/>
  <c r="AB337" i="2" s="1"/>
  <c r="E337" i="2"/>
  <c r="GR336" i="2"/>
  <c r="GS336" i="2" s="1"/>
  <c r="GP336" i="2"/>
  <c r="GQ336" i="2" s="1"/>
  <c r="GN336" i="2"/>
  <c r="GO336" i="2" s="1"/>
  <c r="GL336" i="2"/>
  <c r="GM336" i="2" s="1"/>
  <c r="GH336" i="2"/>
  <c r="GG336" i="2"/>
  <c r="GD336" i="2"/>
  <c r="GC336" i="2"/>
  <c r="GB336" i="2"/>
  <c r="FY336" i="2"/>
  <c r="FS336" i="2"/>
  <c r="FT336" i="2" s="1"/>
  <c r="EW336" i="2"/>
  <c r="ET336" i="2"/>
  <c r="EU336" i="2" s="1"/>
  <c r="EQ336" i="2"/>
  <c r="ER336" i="2" s="1"/>
  <c r="EJ336" i="2"/>
  <c r="EE336" i="2"/>
  <c r="EF336" i="2" s="1"/>
  <c r="DX336" i="2"/>
  <c r="DP336" i="2"/>
  <c r="DF336" i="2"/>
  <c r="DH336" i="2" s="1"/>
  <c r="DE336" i="2"/>
  <c r="CY336" i="2"/>
  <c r="CZ336" i="2" s="1"/>
  <c r="CF336" i="2"/>
  <c r="CH336" i="2"/>
  <c r="CA336" i="2"/>
  <c r="BO336" i="2"/>
  <c r="BJ336" i="2"/>
  <c r="BC336" i="2"/>
  <c r="AZ336" i="2"/>
  <c r="AY336" i="2"/>
  <c r="AO336" i="2"/>
  <c r="AN336" i="2"/>
  <c r="AM336" i="2"/>
  <c r="AL336" i="2"/>
  <c r="AK336" i="2"/>
  <c r="AG336" i="2"/>
  <c r="AE336" i="2"/>
  <c r="AF336" i="2" s="1"/>
  <c r="U336" i="2"/>
  <c r="S336" i="2"/>
  <c r="T336" i="2" s="1"/>
  <c r="R336" i="2"/>
  <c r="E336" i="2"/>
  <c r="GR335" i="2"/>
  <c r="GS335" i="2" s="1"/>
  <c r="GP335" i="2"/>
  <c r="GQ335" i="2" s="1"/>
  <c r="GN335" i="2"/>
  <c r="GO335" i="2" s="1"/>
  <c r="GL335" i="2"/>
  <c r="GM335" i="2" s="1"/>
  <c r="GH335" i="2"/>
  <c r="GG335" i="2"/>
  <c r="GI335" i="2" s="1"/>
  <c r="GD335" i="2"/>
  <c r="GC335" i="2"/>
  <c r="GB335" i="2"/>
  <c r="FY335" i="2"/>
  <c r="FZ335" i="2" s="1"/>
  <c r="FS335" i="2"/>
  <c r="FT335" i="2" s="1"/>
  <c r="EW335" i="2"/>
  <c r="ET335" i="2"/>
  <c r="EU335" i="2" s="1"/>
  <c r="EQ335" i="2"/>
  <c r="ER335" i="2" s="1"/>
  <c r="EJ335" i="2"/>
  <c r="EE335" i="2"/>
  <c r="EF335" i="2" s="1"/>
  <c r="DX335" i="2"/>
  <c r="DP335" i="2"/>
  <c r="DF335" i="2"/>
  <c r="DH335" i="2" s="1"/>
  <c r="DE335" i="2"/>
  <c r="CY335" i="2"/>
  <c r="CZ335" i="2" s="1"/>
  <c r="CF335" i="2"/>
  <c r="CH335" i="2"/>
  <c r="CA335" i="2"/>
  <c r="BO335" i="2"/>
  <c r="BJ335" i="2"/>
  <c r="BK335" i="2" s="1"/>
  <c r="CL335" i="2" s="1"/>
  <c r="BC335" i="2"/>
  <c r="AZ335" i="2"/>
  <c r="AY335" i="2"/>
  <c r="AO335" i="2"/>
  <c r="AN335" i="2"/>
  <c r="AM335" i="2"/>
  <c r="AL335" i="2"/>
  <c r="AK335" i="2"/>
  <c r="AG335" i="2"/>
  <c r="AE335" i="2"/>
  <c r="AF335" i="2" s="1"/>
  <c r="U335" i="2"/>
  <c r="S335" i="2"/>
  <c r="T335" i="2" s="1"/>
  <c r="R335" i="2"/>
  <c r="Y335" i="2" s="1"/>
  <c r="AB335" i="2" s="1"/>
  <c r="E335" i="2"/>
  <c r="GR334" i="2"/>
  <c r="GS334" i="2" s="1"/>
  <c r="GP334" i="2"/>
  <c r="GQ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K334" i="2" s="1"/>
  <c r="CL334" i="2" s="1"/>
  <c r="BC334" i="2"/>
  <c r="AZ334" i="2"/>
  <c r="AY334" i="2"/>
  <c r="AO334" i="2"/>
  <c r="AN334" i="2"/>
  <c r="AM334" i="2"/>
  <c r="AL334" i="2"/>
  <c r="AK334" i="2"/>
  <c r="AG334" i="2"/>
  <c r="AE334" i="2"/>
  <c r="AF334" i="2" s="1"/>
  <c r="U334" i="2"/>
  <c r="S334" i="2"/>
  <c r="T334" i="2" s="1"/>
  <c r="R334" i="2"/>
  <c r="Y334" i="2" s="1"/>
  <c r="AB334" i="2" s="1"/>
  <c r="E334" i="2"/>
  <c r="GR333" i="2"/>
  <c r="GS333" i="2" s="1"/>
  <c r="GP333" i="2"/>
  <c r="GQ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E333" i="2"/>
  <c r="CY333" i="2"/>
  <c r="CZ333" i="2" s="1"/>
  <c r="CF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GA332" i="2" s="1"/>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K332" i="2" s="1"/>
  <c r="CL332" i="2" s="1"/>
  <c r="BC332" i="2"/>
  <c r="AZ332" i="2"/>
  <c r="AY332" i="2"/>
  <c r="AO332" i="2"/>
  <c r="AN332" i="2"/>
  <c r="AM332" i="2"/>
  <c r="AL332" i="2"/>
  <c r="AK332" i="2"/>
  <c r="AG332" i="2"/>
  <c r="AE332" i="2"/>
  <c r="AF332" i="2" s="1"/>
  <c r="U332" i="2"/>
  <c r="S332" i="2"/>
  <c r="T332" i="2" s="1"/>
  <c r="R332" i="2"/>
  <c r="Y332" i="2" s="1"/>
  <c r="AB332" i="2" s="1"/>
  <c r="E332" i="2"/>
  <c r="GR331" i="2"/>
  <c r="GS331" i="2" s="1"/>
  <c r="GP331" i="2"/>
  <c r="GQ331" i="2" s="1"/>
  <c r="GN331" i="2"/>
  <c r="GO331" i="2" s="1"/>
  <c r="GL331" i="2"/>
  <c r="GM331" i="2" s="1"/>
  <c r="GH331" i="2"/>
  <c r="GG331" i="2"/>
  <c r="GI331" i="2" s="1"/>
  <c r="GD331" i="2"/>
  <c r="GC331" i="2"/>
  <c r="GB331" i="2"/>
  <c r="FY331" i="2"/>
  <c r="GA331" i="2" s="1"/>
  <c r="FS331" i="2"/>
  <c r="FT331" i="2" s="1"/>
  <c r="EW331" i="2"/>
  <c r="ET331" i="2"/>
  <c r="EU331" i="2" s="1"/>
  <c r="EQ331" i="2"/>
  <c r="ER331" i="2" s="1"/>
  <c r="EJ331" i="2"/>
  <c r="EE331" i="2"/>
  <c r="EF331" i="2" s="1"/>
  <c r="DX331" i="2"/>
  <c r="DP331" i="2"/>
  <c r="DF331" i="2"/>
  <c r="DH331" i="2" s="1"/>
  <c r="DE331" i="2"/>
  <c r="CY331" i="2"/>
  <c r="CZ331" i="2" s="1"/>
  <c r="CF331" i="2"/>
  <c r="CH331" i="2"/>
  <c r="CA331" i="2"/>
  <c r="CR331" i="2"/>
  <c r="BO331" i="2"/>
  <c r="BJ331" i="2"/>
  <c r="BK331" i="2" s="1"/>
  <c r="CL331" i="2" s="1"/>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FS330" i="2"/>
  <c r="FT330" i="2" s="1"/>
  <c r="EW330" i="2"/>
  <c r="ET330" i="2"/>
  <c r="EU330" i="2" s="1"/>
  <c r="EQ330" i="2"/>
  <c r="ER330" i="2" s="1"/>
  <c r="EJ330" i="2"/>
  <c r="EE330" i="2"/>
  <c r="EF330" i="2" s="1"/>
  <c r="DX330" i="2"/>
  <c r="DP330" i="2"/>
  <c r="DF330" i="2"/>
  <c r="DH330" i="2" s="1"/>
  <c r="DE330" i="2"/>
  <c r="CY330" i="2"/>
  <c r="CZ330" i="2" s="1"/>
  <c r="CF330" i="2"/>
  <c r="CH330" i="2"/>
  <c r="CA330" i="2"/>
  <c r="CR330" i="2"/>
  <c r="BO330" i="2"/>
  <c r="BJ330" i="2"/>
  <c r="BM330" i="2" s="1"/>
  <c r="BN330" i="2" s="1"/>
  <c r="BC330" i="2"/>
  <c r="AZ330" i="2"/>
  <c r="AY330" i="2"/>
  <c r="AO330" i="2"/>
  <c r="AN330" i="2"/>
  <c r="AM330" i="2"/>
  <c r="AL330" i="2"/>
  <c r="AK330" i="2"/>
  <c r="AG330" i="2"/>
  <c r="AE330" i="2"/>
  <c r="AF330" i="2" s="1"/>
  <c r="U330" i="2"/>
  <c r="S330" i="2"/>
  <c r="T330" i="2" s="1"/>
  <c r="R330" i="2"/>
  <c r="Y330" i="2" s="1"/>
  <c r="AB330" i="2" s="1"/>
  <c r="E330"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BO329" i="2"/>
  <c r="BJ329" i="2"/>
  <c r="BK329" i="2" s="1"/>
  <c r="CL329" i="2" s="1"/>
  <c r="BC329" i="2"/>
  <c r="AZ329" i="2"/>
  <c r="AY329" i="2"/>
  <c r="AO329" i="2"/>
  <c r="AN329" i="2"/>
  <c r="AM329" i="2"/>
  <c r="AL329" i="2"/>
  <c r="AK329" i="2"/>
  <c r="AG329" i="2"/>
  <c r="AE329" i="2"/>
  <c r="AF329" i="2" s="1"/>
  <c r="U329" i="2"/>
  <c r="S329" i="2"/>
  <c r="T329" i="2" s="1"/>
  <c r="R329" i="2"/>
  <c r="Y329" i="2" s="1"/>
  <c r="AB329" i="2" s="1"/>
  <c r="E329" i="2"/>
  <c r="GR328" i="2"/>
  <c r="GS328" i="2" s="1"/>
  <c r="GP328" i="2"/>
  <c r="GQ328" i="2" s="1"/>
  <c r="GN328" i="2"/>
  <c r="GO328" i="2" s="1"/>
  <c r="GL328" i="2"/>
  <c r="GM328" i="2" s="1"/>
  <c r="GH328" i="2"/>
  <c r="GG328" i="2"/>
  <c r="GI328" i="2" s="1"/>
  <c r="GD328" i="2"/>
  <c r="GC328" i="2"/>
  <c r="GB328" i="2"/>
  <c r="FY328" i="2"/>
  <c r="FZ328" i="2" s="1"/>
  <c r="FS328" i="2"/>
  <c r="FT328" i="2" s="1"/>
  <c r="EW328" i="2"/>
  <c r="ET328" i="2"/>
  <c r="EU328" i="2" s="1"/>
  <c r="EQ328" i="2"/>
  <c r="ER328" i="2" s="1"/>
  <c r="EJ328" i="2"/>
  <c r="EE328" i="2"/>
  <c r="EF328" i="2" s="1"/>
  <c r="DX328" i="2"/>
  <c r="DP328" i="2"/>
  <c r="DF328" i="2"/>
  <c r="DE328" i="2"/>
  <c r="CY328" i="2"/>
  <c r="CZ328" i="2" s="1"/>
  <c r="CF328" i="2"/>
  <c r="CH328" i="2"/>
  <c r="CA328" i="2"/>
  <c r="CR328" i="2"/>
  <c r="BO328" i="2"/>
  <c r="BJ328" i="2"/>
  <c r="BC328" i="2"/>
  <c r="AZ328" i="2"/>
  <c r="AY328" i="2"/>
  <c r="AO328" i="2"/>
  <c r="AN328" i="2"/>
  <c r="AM328" i="2"/>
  <c r="AL328" i="2"/>
  <c r="AK328" i="2"/>
  <c r="AG328" i="2"/>
  <c r="AE328" i="2"/>
  <c r="AF328" i="2" s="1"/>
  <c r="U328" i="2"/>
  <c r="S328" i="2"/>
  <c r="T328" i="2" s="1"/>
  <c r="R328" i="2"/>
  <c r="Y328" i="2" s="1"/>
  <c r="AB328" i="2" s="1"/>
  <c r="E328" i="2"/>
  <c r="GR327" i="2"/>
  <c r="GS327" i="2" s="1"/>
  <c r="GP327" i="2"/>
  <c r="GQ327" i="2" s="1"/>
  <c r="GN327" i="2"/>
  <c r="GO327" i="2" s="1"/>
  <c r="GL327" i="2"/>
  <c r="GM327" i="2" s="1"/>
  <c r="GH327" i="2"/>
  <c r="GG327" i="2"/>
  <c r="GI327" i="2" s="1"/>
  <c r="GD327" i="2"/>
  <c r="GC327" i="2"/>
  <c r="GB327" i="2"/>
  <c r="FY327" i="2"/>
  <c r="FS327" i="2"/>
  <c r="FT327" i="2" s="1"/>
  <c r="EW327" i="2"/>
  <c r="ET327" i="2"/>
  <c r="EU327" i="2" s="1"/>
  <c r="EQ327" i="2"/>
  <c r="ER327" i="2" s="1"/>
  <c r="EJ327" i="2"/>
  <c r="EE327" i="2"/>
  <c r="EF327" i="2" s="1"/>
  <c r="DX327" i="2"/>
  <c r="DP327" i="2"/>
  <c r="DF327" i="2"/>
  <c r="DG327" i="2" s="1"/>
  <c r="DE327" i="2"/>
  <c r="CY327" i="2"/>
  <c r="CZ327" i="2" s="1"/>
  <c r="CF327" i="2"/>
  <c r="CA327" i="2"/>
  <c r="CW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G326" i="2" s="1"/>
  <c r="DE326" i="2"/>
  <c r="CY326" i="2"/>
  <c r="CZ326" i="2" s="1"/>
  <c r="CF326" i="2"/>
  <c r="CA326" i="2"/>
  <c r="CR326" i="2"/>
  <c r="BO326" i="2"/>
  <c r="BJ326" i="2"/>
  <c r="BM326" i="2" s="1"/>
  <c r="BN326" i="2" s="1"/>
  <c r="BC326" i="2"/>
  <c r="AZ326" i="2"/>
  <c r="AY326" i="2"/>
  <c r="AO326" i="2"/>
  <c r="AN326" i="2"/>
  <c r="AM326" i="2"/>
  <c r="AL326" i="2"/>
  <c r="AK326" i="2"/>
  <c r="AG326" i="2"/>
  <c r="AE326" i="2"/>
  <c r="AF326" i="2" s="1"/>
  <c r="U326" i="2"/>
  <c r="S326" i="2"/>
  <c r="T326" i="2" s="1"/>
  <c r="R326" i="2"/>
  <c r="X326" i="2" s="1"/>
  <c r="AA326" i="2" s="1"/>
  <c r="E326" i="2"/>
  <c r="GR325" i="2"/>
  <c r="GS325" i="2" s="1"/>
  <c r="GP325" i="2"/>
  <c r="GQ325" i="2" s="1"/>
  <c r="DO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H325" i="2" s="1"/>
  <c r="DE325" i="2"/>
  <c r="CY325" i="2"/>
  <c r="CZ325" i="2" s="1"/>
  <c r="CF325" i="2"/>
  <c r="CA325" i="2"/>
  <c r="DA325" i="2"/>
  <c r="DB325" i="2" s="1"/>
  <c r="BO325" i="2"/>
  <c r="BJ325" i="2"/>
  <c r="BM325" i="2" s="1"/>
  <c r="BN325" i="2" s="1"/>
  <c r="BC325" i="2"/>
  <c r="AZ325" i="2"/>
  <c r="AY325" i="2"/>
  <c r="AO325" i="2"/>
  <c r="AN325" i="2"/>
  <c r="AM325" i="2"/>
  <c r="AL325" i="2"/>
  <c r="AK325" i="2"/>
  <c r="AG325" i="2"/>
  <c r="AE325" i="2"/>
  <c r="AF325" i="2" s="1"/>
  <c r="U325" i="2"/>
  <c r="S325" i="2"/>
  <c r="T325" i="2" s="1"/>
  <c r="R325" i="2"/>
  <c r="X325" i="2" s="1"/>
  <c r="AA325" i="2" s="1"/>
  <c r="E325" i="2"/>
  <c r="GR324" i="2"/>
  <c r="GS324" i="2" s="1"/>
  <c r="GP324" i="2"/>
  <c r="GQ324" i="2" s="1"/>
  <c r="DU324" i="2" s="1"/>
  <c r="EI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H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323" i="2"/>
  <c r="GS323" i="2" s="1"/>
  <c r="GP323" i="2"/>
  <c r="GQ323" i="2" s="1"/>
  <c r="GN323" i="2"/>
  <c r="GO323" i="2" s="1"/>
  <c r="GL323" i="2"/>
  <c r="GM323" i="2" s="1"/>
  <c r="GH323" i="2"/>
  <c r="GG323" i="2"/>
  <c r="GI323" i="2" s="1"/>
  <c r="GD323" i="2"/>
  <c r="GC323" i="2"/>
  <c r="GB323" i="2"/>
  <c r="FY323" i="2"/>
  <c r="FZ323" i="2" s="1"/>
  <c r="FS323" i="2"/>
  <c r="FT323" i="2" s="1"/>
  <c r="EW323" i="2"/>
  <c r="ET323" i="2"/>
  <c r="EU323" i="2" s="1"/>
  <c r="EQ323" i="2"/>
  <c r="ER323" i="2" s="1"/>
  <c r="EJ323" i="2"/>
  <c r="EE323" i="2"/>
  <c r="EF323" i="2" s="1"/>
  <c r="DX323" i="2"/>
  <c r="DP323" i="2"/>
  <c r="DF323" i="2"/>
  <c r="DG323" i="2" s="1"/>
  <c r="DE323" i="2"/>
  <c r="CY323" i="2"/>
  <c r="CZ323" i="2" s="1"/>
  <c r="CF323" i="2"/>
  <c r="CH323" i="2"/>
  <c r="CA323" i="2"/>
  <c r="DA323" i="2"/>
  <c r="DB323" i="2" s="1"/>
  <c r="BO323" i="2"/>
  <c r="BJ323" i="2"/>
  <c r="BM323" i="2" s="1"/>
  <c r="BN323" i="2" s="1"/>
  <c r="BC323" i="2"/>
  <c r="AZ323" i="2"/>
  <c r="AY323" i="2"/>
  <c r="AO323" i="2"/>
  <c r="AN323" i="2"/>
  <c r="AM323" i="2"/>
  <c r="AL323" i="2"/>
  <c r="AK323" i="2"/>
  <c r="AG323" i="2"/>
  <c r="AE323" i="2"/>
  <c r="AF323" i="2" s="1"/>
  <c r="U323" i="2"/>
  <c r="S323" i="2"/>
  <c r="T323" i="2" s="1"/>
  <c r="R323" i="2"/>
  <c r="E323" i="2"/>
  <c r="GR322" i="2"/>
  <c r="GS322" i="2" s="1"/>
  <c r="GP322" i="2"/>
  <c r="GQ322" i="2" s="1"/>
  <c r="DU322" i="2" s="1"/>
  <c r="EI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H322" i="2"/>
  <c r="CA322" i="2"/>
  <c r="DA322" i="2"/>
  <c r="DB322" i="2" s="1"/>
  <c r="BO322" i="2"/>
  <c r="BJ322" i="2"/>
  <c r="BM322" i="2" s="1"/>
  <c r="BN322" i="2" s="1"/>
  <c r="BC322" i="2"/>
  <c r="AZ322" i="2"/>
  <c r="AY322" i="2"/>
  <c r="AO322" i="2"/>
  <c r="AN322" i="2"/>
  <c r="AM322" i="2"/>
  <c r="AL322" i="2"/>
  <c r="AK322" i="2"/>
  <c r="AG322" i="2"/>
  <c r="AE322" i="2"/>
  <c r="AF322" i="2" s="1"/>
  <c r="U322" i="2"/>
  <c r="S322" i="2"/>
  <c r="T322" i="2" s="1"/>
  <c r="R322" i="2"/>
  <c r="X322" i="2" s="1"/>
  <c r="E322" i="2"/>
  <c r="GR321" i="2"/>
  <c r="GS321" i="2" s="1"/>
  <c r="GP321" i="2"/>
  <c r="GQ321" i="2" s="1"/>
  <c r="DO321" i="2" s="1"/>
  <c r="DS321" i="2" s="1"/>
  <c r="GN321" i="2"/>
  <c r="GO321" i="2" s="1"/>
  <c r="GL321" i="2"/>
  <c r="GM321" i="2" s="1"/>
  <c r="GH321" i="2"/>
  <c r="GG321" i="2"/>
  <c r="GI321" i="2" s="1"/>
  <c r="GD321" i="2"/>
  <c r="GC321" i="2"/>
  <c r="GB321" i="2"/>
  <c r="FY321" i="2"/>
  <c r="FZ321" i="2" s="1"/>
  <c r="FS321" i="2"/>
  <c r="FT321" i="2" s="1"/>
  <c r="EW321" i="2"/>
  <c r="ET321" i="2"/>
  <c r="EU321" i="2" s="1"/>
  <c r="EQ321" i="2"/>
  <c r="ER321" i="2" s="1"/>
  <c r="EJ321" i="2"/>
  <c r="EE321" i="2"/>
  <c r="EF321" i="2" s="1"/>
  <c r="DX321" i="2"/>
  <c r="DP321" i="2"/>
  <c r="DF321" i="2"/>
  <c r="DE321" i="2"/>
  <c r="CY321" i="2"/>
  <c r="CZ321" i="2" s="1"/>
  <c r="CF321" i="2"/>
  <c r="CA321" i="2"/>
  <c r="BO321" i="2"/>
  <c r="BJ321" i="2"/>
  <c r="BM321" i="2" s="1"/>
  <c r="BN321" i="2" s="1"/>
  <c r="BC321" i="2"/>
  <c r="AZ321" i="2"/>
  <c r="AY321" i="2"/>
  <c r="AO321" i="2"/>
  <c r="AN321" i="2"/>
  <c r="AM321" i="2"/>
  <c r="AL321" i="2"/>
  <c r="AK321" i="2"/>
  <c r="AG321" i="2"/>
  <c r="AE321" i="2"/>
  <c r="AF321" i="2" s="1"/>
  <c r="U321" i="2"/>
  <c r="S321" i="2"/>
  <c r="T321" i="2" s="1"/>
  <c r="R321" i="2"/>
  <c r="E321" i="2"/>
  <c r="GR320" i="2"/>
  <c r="GS320" i="2" s="1"/>
  <c r="GP320" i="2"/>
  <c r="GQ320" i="2" s="1"/>
  <c r="DO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H320" i="2" s="1"/>
  <c r="DE320" i="2"/>
  <c r="CY320" i="2"/>
  <c r="CZ320" i="2" s="1"/>
  <c r="CF320" i="2"/>
  <c r="CA320" i="2"/>
  <c r="BO320" i="2"/>
  <c r="BJ320" i="2"/>
  <c r="BM320" i="2" s="1"/>
  <c r="BN320" i="2" s="1"/>
  <c r="BC320" i="2"/>
  <c r="AZ320" i="2"/>
  <c r="AY320" i="2"/>
  <c r="AO320" i="2"/>
  <c r="AN320" i="2"/>
  <c r="AM320" i="2"/>
  <c r="AL320" i="2"/>
  <c r="AK320" i="2"/>
  <c r="AG320" i="2"/>
  <c r="AE320" i="2"/>
  <c r="AF320" i="2" s="1"/>
  <c r="U320" i="2"/>
  <c r="S320" i="2"/>
  <c r="T320" i="2" s="1"/>
  <c r="R320" i="2"/>
  <c r="X320" i="2" s="1"/>
  <c r="E320" i="2"/>
  <c r="GR319" i="2"/>
  <c r="GS319" i="2" s="1"/>
  <c r="GP319" i="2"/>
  <c r="GQ319" i="2" s="1"/>
  <c r="DO319" i="2" s="1"/>
  <c r="DS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M319" i="2" s="1"/>
  <c r="BN319" i="2" s="1"/>
  <c r="BC319" i="2"/>
  <c r="AZ319" i="2"/>
  <c r="AY319" i="2"/>
  <c r="AO319" i="2"/>
  <c r="AN319" i="2"/>
  <c r="AM319" i="2"/>
  <c r="AL319" i="2"/>
  <c r="AK319" i="2"/>
  <c r="AG319" i="2"/>
  <c r="AE319" i="2"/>
  <c r="AF319" i="2" s="1"/>
  <c r="U319" i="2"/>
  <c r="S319" i="2"/>
  <c r="T319" i="2" s="1"/>
  <c r="R319" i="2"/>
  <c r="X319" i="2" s="1"/>
  <c r="E319" i="2"/>
  <c r="GR318" i="2"/>
  <c r="GS318" i="2" s="1"/>
  <c r="GP318" i="2"/>
  <c r="GQ318" i="2" s="1"/>
  <c r="DO318" i="2" s="1"/>
  <c r="DS318" i="2" s="1"/>
  <c r="GN318" i="2"/>
  <c r="GO318" i="2" s="1"/>
  <c r="GL318" i="2"/>
  <c r="GM318" i="2" s="1"/>
  <c r="GH318" i="2"/>
  <c r="GG318" i="2"/>
  <c r="GI318" i="2" s="1"/>
  <c r="GD318" i="2"/>
  <c r="GC318" i="2"/>
  <c r="GB318" i="2"/>
  <c r="FY318" i="2"/>
  <c r="GA318" i="2" s="1"/>
  <c r="FS318" i="2"/>
  <c r="FT318" i="2" s="1"/>
  <c r="EW318" i="2"/>
  <c r="ET318" i="2"/>
  <c r="EU318" i="2" s="1"/>
  <c r="EQ318" i="2"/>
  <c r="ER318" i="2" s="1"/>
  <c r="EJ318" i="2"/>
  <c r="EE318" i="2"/>
  <c r="EF318" i="2" s="1"/>
  <c r="DX318" i="2"/>
  <c r="DP318" i="2"/>
  <c r="DF318" i="2"/>
  <c r="DH318" i="2" s="1"/>
  <c r="DE318" i="2"/>
  <c r="CY318" i="2"/>
  <c r="CZ318" i="2" s="1"/>
  <c r="CF318" i="2"/>
  <c r="CA318" i="2"/>
  <c r="BO318" i="2"/>
  <c r="BJ318" i="2"/>
  <c r="BM318" i="2" s="1"/>
  <c r="BN318" i="2" s="1"/>
  <c r="BC318" i="2"/>
  <c r="AZ318" i="2"/>
  <c r="AY318" i="2"/>
  <c r="AO318" i="2"/>
  <c r="AN318" i="2"/>
  <c r="AM318" i="2"/>
  <c r="AL318" i="2"/>
  <c r="AK318" i="2"/>
  <c r="AG318" i="2"/>
  <c r="AE318" i="2"/>
  <c r="AF318" i="2" s="1"/>
  <c r="U318" i="2"/>
  <c r="S318" i="2"/>
  <c r="T318" i="2" s="1"/>
  <c r="R318" i="2"/>
  <c r="E318" i="2"/>
  <c r="GR317" i="2"/>
  <c r="GS317" i="2" s="1"/>
  <c r="GP317" i="2"/>
  <c r="GQ317" i="2" s="1"/>
  <c r="DO317" i="2" s="1"/>
  <c r="DS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BO317" i="2"/>
  <c r="BJ317" i="2"/>
  <c r="BM317" i="2" s="1"/>
  <c r="BN317" i="2" s="1"/>
  <c r="BC317" i="2"/>
  <c r="AZ317" i="2"/>
  <c r="AY317" i="2"/>
  <c r="AO317" i="2"/>
  <c r="AN317" i="2"/>
  <c r="AM317" i="2"/>
  <c r="AL317" i="2"/>
  <c r="AK317" i="2"/>
  <c r="AG317" i="2"/>
  <c r="AE317" i="2"/>
  <c r="AF317" i="2" s="1"/>
  <c r="U317" i="2"/>
  <c r="S317" i="2"/>
  <c r="T317" i="2" s="1"/>
  <c r="R317" i="2"/>
  <c r="X317" i="2" s="1"/>
  <c r="E317" i="2"/>
  <c r="GR316" i="2"/>
  <c r="GS316" i="2" s="1"/>
  <c r="GP316" i="2"/>
  <c r="GQ316" i="2" s="1"/>
  <c r="DO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H316" i="2" s="1"/>
  <c r="DE316" i="2"/>
  <c r="CY316" i="2"/>
  <c r="CZ316" i="2" s="1"/>
  <c r="CF316" i="2"/>
  <c r="CA316" i="2"/>
  <c r="BO316" i="2"/>
  <c r="BJ316" i="2"/>
  <c r="BM316" i="2" s="1"/>
  <c r="BN316" i="2" s="1"/>
  <c r="BC316" i="2"/>
  <c r="AZ316" i="2"/>
  <c r="AY316" i="2"/>
  <c r="AO316" i="2"/>
  <c r="AN316" i="2"/>
  <c r="AM316" i="2"/>
  <c r="AL316" i="2"/>
  <c r="AK316" i="2"/>
  <c r="AG316" i="2"/>
  <c r="AE316" i="2"/>
  <c r="AF316" i="2" s="1"/>
  <c r="U316" i="2"/>
  <c r="S316" i="2"/>
  <c r="T316" i="2" s="1"/>
  <c r="R316" i="2"/>
  <c r="E316" i="2"/>
  <c r="GR315" i="2"/>
  <c r="GS315" i="2" s="1"/>
  <c r="GP315" i="2"/>
  <c r="GQ315" i="2" s="1"/>
  <c r="DO315" i="2" s="1"/>
  <c r="DS315" i="2" s="1"/>
  <c r="GN315" i="2"/>
  <c r="GO315" i="2" s="1"/>
  <c r="GL315" i="2"/>
  <c r="GM315" i="2" s="1"/>
  <c r="GH315" i="2"/>
  <c r="GG315" i="2"/>
  <c r="GI315" i="2" s="1"/>
  <c r="GD315" i="2"/>
  <c r="GC315" i="2"/>
  <c r="GB315" i="2"/>
  <c r="FY315" i="2"/>
  <c r="GA315" i="2" s="1"/>
  <c r="FS315" i="2"/>
  <c r="FT315" i="2" s="1"/>
  <c r="EW315" i="2"/>
  <c r="ET315" i="2"/>
  <c r="EU315" i="2" s="1"/>
  <c r="EQ315" i="2"/>
  <c r="ER315" i="2" s="1"/>
  <c r="EJ315" i="2"/>
  <c r="EE315" i="2"/>
  <c r="EF315" i="2" s="1"/>
  <c r="DX315" i="2"/>
  <c r="DP315" i="2"/>
  <c r="DF315" i="2"/>
  <c r="DE315" i="2"/>
  <c r="CY315" i="2"/>
  <c r="CZ315" i="2" s="1"/>
  <c r="CF315" i="2"/>
  <c r="CA315" i="2"/>
  <c r="BO315" i="2"/>
  <c r="BJ315" i="2"/>
  <c r="BC315" i="2"/>
  <c r="AZ315" i="2"/>
  <c r="AY315" i="2"/>
  <c r="AO315" i="2"/>
  <c r="AN315" i="2"/>
  <c r="AM315" i="2"/>
  <c r="AL315" i="2"/>
  <c r="AK315" i="2"/>
  <c r="AG315" i="2"/>
  <c r="AE315" i="2"/>
  <c r="AF315" i="2" s="1"/>
  <c r="U315" i="2"/>
  <c r="S315" i="2"/>
  <c r="T315" i="2" s="1"/>
  <c r="R315" i="2"/>
  <c r="X315" i="2" s="1"/>
  <c r="E315" i="2"/>
  <c r="GR314" i="2"/>
  <c r="GS314" i="2" s="1"/>
  <c r="GP314" i="2"/>
  <c r="GQ314" i="2" s="1"/>
  <c r="DO314" i="2" s="1"/>
  <c r="DY314" i="2" s="1"/>
  <c r="DZ314" i="2" s="1"/>
  <c r="EA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BO314" i="2"/>
  <c r="BJ314" i="2"/>
  <c r="BC314" i="2"/>
  <c r="AZ314" i="2"/>
  <c r="AY314" i="2"/>
  <c r="AO314" i="2"/>
  <c r="AN314" i="2"/>
  <c r="AM314" i="2"/>
  <c r="AL314" i="2"/>
  <c r="AK314" i="2"/>
  <c r="AG314" i="2"/>
  <c r="AE314" i="2"/>
  <c r="AF314" i="2" s="1"/>
  <c r="U314" i="2"/>
  <c r="S314" i="2"/>
  <c r="T314" i="2" s="1"/>
  <c r="R314" i="2"/>
  <c r="E314" i="2"/>
  <c r="GR312" i="2"/>
  <c r="GS312" i="2" s="1"/>
  <c r="GP312" i="2"/>
  <c r="GQ312" i="2" s="1"/>
  <c r="DO312" i="2" s="1"/>
  <c r="GN312" i="2"/>
  <c r="GO312" i="2" s="1"/>
  <c r="GL312" i="2"/>
  <c r="GM312" i="2" s="1"/>
  <c r="GH312" i="2"/>
  <c r="GG312" i="2"/>
  <c r="GI312" i="2" s="1"/>
  <c r="GD312" i="2"/>
  <c r="GC312" i="2"/>
  <c r="GB312" i="2"/>
  <c r="FY312" i="2"/>
  <c r="FS312" i="2"/>
  <c r="FT312" i="2" s="1"/>
  <c r="EW312" i="2"/>
  <c r="ET312" i="2"/>
  <c r="EU312" i="2" s="1"/>
  <c r="EQ312" i="2"/>
  <c r="ER312" i="2" s="1"/>
  <c r="EJ312" i="2"/>
  <c r="EE312" i="2"/>
  <c r="EF312" i="2" s="1"/>
  <c r="DX312" i="2"/>
  <c r="DP312" i="2"/>
  <c r="DF312" i="2"/>
  <c r="DH312" i="2" s="1"/>
  <c r="DE312" i="2"/>
  <c r="CY312" i="2"/>
  <c r="CZ312" i="2" s="1"/>
  <c r="CF312" i="2"/>
  <c r="CH312" i="2"/>
  <c r="CA312" i="2"/>
  <c r="CR312" i="2"/>
  <c r="BO312" i="2"/>
  <c r="BJ312" i="2"/>
  <c r="BK312" i="2" s="1"/>
  <c r="CL312" i="2" s="1"/>
  <c r="BC312" i="2"/>
  <c r="AO312" i="2"/>
  <c r="AN312" i="2"/>
  <c r="AM312" i="2"/>
  <c r="AL312" i="2"/>
  <c r="AK312" i="2"/>
  <c r="AG312" i="2"/>
  <c r="AE312" i="2"/>
  <c r="AF312" i="2" s="1"/>
  <c r="U312" i="2"/>
  <c r="S312" i="2"/>
  <c r="R312" i="2"/>
  <c r="E312" i="2"/>
  <c r="GR364" i="2"/>
  <c r="GS364" i="2" s="1"/>
  <c r="GP364" i="2"/>
  <c r="GQ364" i="2" s="1"/>
  <c r="DO364" i="2" s="1"/>
  <c r="GN364" i="2"/>
  <c r="GO364" i="2" s="1"/>
  <c r="GL364" i="2"/>
  <c r="GM364" i="2" s="1"/>
  <c r="GG364" i="2"/>
  <c r="GI364" i="2" s="1"/>
  <c r="GD364" i="2"/>
  <c r="GC364" i="2"/>
  <c r="GB364" i="2"/>
  <c r="FY364" i="2"/>
  <c r="GA364" i="2" s="1"/>
  <c r="FS364" i="2"/>
  <c r="FT364" i="2" s="1"/>
  <c r="EW364" i="2"/>
  <c r="ET364" i="2"/>
  <c r="EU364" i="2" s="1"/>
  <c r="EQ364" i="2"/>
  <c r="ER364" i="2" s="1"/>
  <c r="EJ364" i="2"/>
  <c r="EE364" i="2"/>
  <c r="EF364" i="2" s="1"/>
  <c r="DX364" i="2"/>
  <c r="DP364" i="2"/>
  <c r="DF364" i="2"/>
  <c r="DE364" i="2"/>
  <c r="CY364" i="2"/>
  <c r="CZ364" i="2" s="1"/>
  <c r="CF364" i="2"/>
  <c r="CH364" i="2"/>
  <c r="CA364" i="2"/>
  <c r="CW364" i="2"/>
  <c r="BO364" i="2"/>
  <c r="BJ364" i="2"/>
  <c r="BK364" i="2" s="1"/>
  <c r="CL364" i="2" s="1"/>
  <c r="BC364" i="2"/>
  <c r="AZ364" i="2"/>
  <c r="AY364" i="2"/>
  <c r="AO364" i="2"/>
  <c r="AN364" i="2"/>
  <c r="AM364" i="2"/>
  <c r="AL364" i="2"/>
  <c r="AK364" i="2"/>
  <c r="AG364" i="2"/>
  <c r="AE364" i="2"/>
  <c r="AF364" i="2" s="1"/>
  <c r="S364" i="2"/>
  <c r="R364" i="2"/>
  <c r="GH364" i="2" s="1"/>
  <c r="E364" i="2"/>
  <c r="GR310" i="2"/>
  <c r="GS310" i="2" s="1"/>
  <c r="GP310" i="2"/>
  <c r="GQ310" i="2" s="1"/>
  <c r="DU310" i="2" s="1"/>
  <c r="GN310" i="2"/>
  <c r="GO310" i="2" s="1"/>
  <c r="GL310" i="2"/>
  <c r="GM310" i="2" s="1"/>
  <c r="GH310" i="2"/>
  <c r="GG310" i="2"/>
  <c r="GI310" i="2" s="1"/>
  <c r="GD310" i="2"/>
  <c r="GC310" i="2"/>
  <c r="GB310" i="2"/>
  <c r="FY310" i="2"/>
  <c r="GA310" i="2" s="1"/>
  <c r="FS310" i="2"/>
  <c r="FT310" i="2" s="1"/>
  <c r="EW310" i="2"/>
  <c r="ET310" i="2"/>
  <c r="EU310" i="2" s="1"/>
  <c r="EQ310" i="2"/>
  <c r="ER310" i="2" s="1"/>
  <c r="EJ310" i="2"/>
  <c r="EE310" i="2"/>
  <c r="EF310" i="2" s="1"/>
  <c r="DX310" i="2"/>
  <c r="DP310" i="2"/>
  <c r="DF310" i="2"/>
  <c r="DH310" i="2" s="1"/>
  <c r="DE310" i="2"/>
  <c r="CY310" i="2"/>
  <c r="CZ310" i="2" s="1"/>
  <c r="CF310" i="2"/>
  <c r="CH310" i="2"/>
  <c r="CA310" i="2"/>
  <c r="CR310" i="2"/>
  <c r="BO310" i="2"/>
  <c r="BJ310" i="2"/>
  <c r="BK310" i="2" s="1"/>
  <c r="CL310" i="2" s="1"/>
  <c r="BC310" i="2"/>
  <c r="AZ310" i="2"/>
  <c r="AY310" i="2"/>
  <c r="AO310" i="2"/>
  <c r="AN310" i="2"/>
  <c r="AM310" i="2"/>
  <c r="AL310" i="2"/>
  <c r="AK310" i="2"/>
  <c r="AG310" i="2"/>
  <c r="AE310" i="2"/>
  <c r="AF310" i="2" s="1"/>
  <c r="U310" i="2"/>
  <c r="S310" i="2"/>
  <c r="T310" i="2" s="1"/>
  <c r="R310" i="2"/>
  <c r="Y310" i="2" s="1"/>
  <c r="AB310" i="2" s="1"/>
  <c r="E310" i="2"/>
  <c r="GR309" i="2"/>
  <c r="GS309" i="2" s="1"/>
  <c r="GP309" i="2"/>
  <c r="GQ309" i="2" s="1"/>
  <c r="DU309" i="2" s="1"/>
  <c r="EI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H309" i="2" s="1"/>
  <c r="DE309" i="2"/>
  <c r="CY309" i="2"/>
  <c r="CZ309" i="2" s="1"/>
  <c r="CF309" i="2"/>
  <c r="CH309" i="2"/>
  <c r="CA309" i="2"/>
  <c r="BO309" i="2"/>
  <c r="BJ309" i="2"/>
  <c r="BM309" i="2" s="1"/>
  <c r="BN309" i="2" s="1"/>
  <c r="BC309" i="2"/>
  <c r="AZ309" i="2"/>
  <c r="AY309" i="2"/>
  <c r="AO309" i="2"/>
  <c r="AN309" i="2"/>
  <c r="AM309" i="2"/>
  <c r="AL309" i="2"/>
  <c r="AK309" i="2"/>
  <c r="AG309" i="2"/>
  <c r="AE309" i="2"/>
  <c r="AF309" i="2" s="1"/>
  <c r="U309" i="2"/>
  <c r="S309" i="2"/>
  <c r="T309" i="2" s="1"/>
  <c r="R309" i="2"/>
  <c r="Y309" i="2" s="1"/>
  <c r="AB309" i="2" s="1"/>
  <c r="E309" i="2"/>
  <c r="GR264" i="2"/>
  <c r="GS264" i="2" s="1"/>
  <c r="GP264" i="2"/>
  <c r="GQ264" i="2" s="1"/>
  <c r="GN264" i="2"/>
  <c r="GO264" i="2" s="1"/>
  <c r="GL264" i="2"/>
  <c r="GM264" i="2" s="1"/>
  <c r="GG264" i="2"/>
  <c r="GI264" i="2" s="1"/>
  <c r="GD264" i="2"/>
  <c r="GC264" i="2"/>
  <c r="GB264" i="2"/>
  <c r="FY264" i="2"/>
  <c r="GA264" i="2" s="1"/>
  <c r="FS264" i="2"/>
  <c r="FT264" i="2" s="1"/>
  <c r="EW264" i="2"/>
  <c r="ET264" i="2"/>
  <c r="EU264" i="2" s="1"/>
  <c r="EQ264" i="2"/>
  <c r="ER264" i="2" s="1"/>
  <c r="EJ264" i="2"/>
  <c r="EE264" i="2"/>
  <c r="EF264" i="2" s="1"/>
  <c r="DX264" i="2"/>
  <c r="DP264" i="2"/>
  <c r="DF264" i="2"/>
  <c r="DH264" i="2" s="1"/>
  <c r="DE264" i="2"/>
  <c r="CY264" i="2"/>
  <c r="CZ264" i="2" s="1"/>
  <c r="CF264" i="2"/>
  <c r="CH264" i="2"/>
  <c r="CA264" i="2"/>
  <c r="CR264" i="2"/>
  <c r="BO264" i="2"/>
  <c r="BJ264" i="2"/>
  <c r="BK264" i="2" s="1"/>
  <c r="CL264" i="2" s="1"/>
  <c r="BC264" i="2"/>
  <c r="AZ264" i="2"/>
  <c r="AY264" i="2"/>
  <c r="AO264" i="2"/>
  <c r="AN264" i="2"/>
  <c r="AM264" i="2"/>
  <c r="AL264" i="2"/>
  <c r="AK264" i="2"/>
  <c r="AG264" i="2"/>
  <c r="AE264" i="2"/>
  <c r="AF264" i="2" s="1"/>
  <c r="S264" i="2"/>
  <c r="T264" i="2" s="1"/>
  <c r="U264" i="2" s="1"/>
  <c r="R264" i="2"/>
  <c r="Y264" i="2" s="1"/>
  <c r="AB264" i="2" s="1"/>
  <c r="E264" i="2"/>
  <c r="GR307" i="2"/>
  <c r="GS307" i="2" s="1"/>
  <c r="GP307" i="2"/>
  <c r="GQ307" i="2" s="1"/>
  <c r="GN307" i="2"/>
  <c r="GO307" i="2" s="1"/>
  <c r="GL307" i="2"/>
  <c r="GM307" i="2" s="1"/>
  <c r="GH307" i="2"/>
  <c r="GG307" i="2"/>
  <c r="GI307" i="2" s="1"/>
  <c r="GD307" i="2"/>
  <c r="GC307" i="2"/>
  <c r="GB307" i="2"/>
  <c r="FY307" i="2"/>
  <c r="FS307" i="2"/>
  <c r="FT307" i="2" s="1"/>
  <c r="EW307" i="2"/>
  <c r="ET307" i="2"/>
  <c r="EU307" i="2" s="1"/>
  <c r="EQ307" i="2"/>
  <c r="ER307" i="2" s="1"/>
  <c r="EJ307" i="2"/>
  <c r="EE307" i="2"/>
  <c r="EF307" i="2" s="1"/>
  <c r="DX307" i="2"/>
  <c r="DP307" i="2"/>
  <c r="DF307" i="2"/>
  <c r="DH307" i="2" s="1"/>
  <c r="DE307" i="2"/>
  <c r="CY307" i="2"/>
  <c r="CZ307" i="2" s="1"/>
  <c r="CF307" i="2"/>
  <c r="CH307" i="2"/>
  <c r="CA307" i="2"/>
  <c r="BO307" i="2"/>
  <c r="BJ307" i="2"/>
  <c r="BM307" i="2" s="1"/>
  <c r="BN307" i="2" s="1"/>
  <c r="BC307" i="2"/>
  <c r="AZ307" i="2"/>
  <c r="AY307" i="2"/>
  <c r="AO307" i="2"/>
  <c r="AN307" i="2"/>
  <c r="AM307" i="2"/>
  <c r="AL307" i="2"/>
  <c r="AK307" i="2"/>
  <c r="AG307" i="2"/>
  <c r="AE307" i="2"/>
  <c r="AF307" i="2" s="1"/>
  <c r="U307" i="2"/>
  <c r="S307" i="2"/>
  <c r="T307" i="2" s="1"/>
  <c r="R307" i="2"/>
  <c r="Y307" i="2" s="1"/>
  <c r="AB307" i="2" s="1"/>
  <c r="E307" i="2"/>
  <c r="GR306" i="2"/>
  <c r="GS306" i="2" s="1"/>
  <c r="GP306" i="2"/>
  <c r="GQ306" i="2" s="1"/>
  <c r="GN306" i="2"/>
  <c r="GO306" i="2" s="1"/>
  <c r="GL306" i="2"/>
  <c r="GM306" i="2" s="1"/>
  <c r="GH306" i="2"/>
  <c r="GG306" i="2"/>
  <c r="GI306" i="2" s="1"/>
  <c r="GD306" i="2"/>
  <c r="GC306" i="2"/>
  <c r="GB306" i="2"/>
  <c r="FY306" i="2"/>
  <c r="FS306" i="2"/>
  <c r="FT306" i="2" s="1"/>
  <c r="EW306" i="2"/>
  <c r="ET306" i="2"/>
  <c r="EU306" i="2" s="1"/>
  <c r="EQ306" i="2"/>
  <c r="ER306" i="2" s="1"/>
  <c r="EJ306" i="2"/>
  <c r="EE306" i="2"/>
  <c r="EF306" i="2" s="1"/>
  <c r="DX306" i="2"/>
  <c r="DP306" i="2"/>
  <c r="DF306" i="2"/>
  <c r="DH306" i="2" s="1"/>
  <c r="DE306" i="2"/>
  <c r="CY306" i="2"/>
  <c r="CZ306" i="2" s="1"/>
  <c r="CF306" i="2"/>
  <c r="CH306" i="2"/>
  <c r="CA306" i="2"/>
  <c r="BO306" i="2"/>
  <c r="BJ306" i="2"/>
  <c r="BM306" i="2" s="1"/>
  <c r="BN306" i="2" s="1"/>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DU305" i="2" s="1"/>
  <c r="GN305" i="2"/>
  <c r="GO305" i="2" s="1"/>
  <c r="GL305" i="2"/>
  <c r="GM305" i="2" s="1"/>
  <c r="GH305" i="2"/>
  <c r="GG305" i="2"/>
  <c r="GI305" i="2" s="1"/>
  <c r="GD305" i="2"/>
  <c r="GC305" i="2"/>
  <c r="GB305" i="2"/>
  <c r="FY305" i="2"/>
  <c r="FS305" i="2"/>
  <c r="FT305" i="2" s="1"/>
  <c r="EW305" i="2"/>
  <c r="ET305" i="2"/>
  <c r="EU305" i="2" s="1"/>
  <c r="EQ305" i="2"/>
  <c r="ER305" i="2" s="1"/>
  <c r="EJ305" i="2"/>
  <c r="EE305" i="2"/>
  <c r="EF305" i="2" s="1"/>
  <c r="DX305" i="2"/>
  <c r="DP305" i="2"/>
  <c r="DF305" i="2"/>
  <c r="DH305" i="2" s="1"/>
  <c r="DE305" i="2"/>
  <c r="CY305" i="2"/>
  <c r="CZ305" i="2" s="1"/>
  <c r="CF305" i="2"/>
  <c r="CH305" i="2"/>
  <c r="CA305" i="2"/>
  <c r="BO305" i="2"/>
  <c r="BJ305" i="2"/>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S304" i="2"/>
  <c r="FT304" i="2" s="1"/>
  <c r="EW304" i="2"/>
  <c r="ET304" i="2"/>
  <c r="EU304" i="2" s="1"/>
  <c r="EQ304" i="2"/>
  <c r="ER304" i="2" s="1"/>
  <c r="EJ304" i="2"/>
  <c r="EE304" i="2"/>
  <c r="EF304" i="2" s="1"/>
  <c r="DX304" i="2"/>
  <c r="DP304" i="2"/>
  <c r="DF304" i="2"/>
  <c r="DH304" i="2" s="1"/>
  <c r="DE304" i="2"/>
  <c r="CY304" i="2"/>
  <c r="CZ304" i="2" s="1"/>
  <c r="CF304" i="2"/>
  <c r="CH304" i="2"/>
  <c r="CA304" i="2"/>
  <c r="BO304" i="2"/>
  <c r="BJ304" i="2"/>
  <c r="BM304" i="2" s="1"/>
  <c r="BN304" i="2" s="1"/>
  <c r="BC304" i="2"/>
  <c r="AZ304" i="2"/>
  <c r="AY304" i="2"/>
  <c r="AO304" i="2"/>
  <c r="AN304" i="2"/>
  <c r="AM304" i="2"/>
  <c r="AL304" i="2"/>
  <c r="AK304" i="2"/>
  <c r="AG304" i="2"/>
  <c r="AE304" i="2"/>
  <c r="AF304" i="2" s="1"/>
  <c r="U304" i="2"/>
  <c r="S304" i="2"/>
  <c r="T304" i="2" s="1"/>
  <c r="R304" i="2"/>
  <c r="Y304" i="2" s="1"/>
  <c r="AB304" i="2" s="1"/>
  <c r="E304" i="2"/>
  <c r="GR303" i="2"/>
  <c r="GS303" i="2" s="1"/>
  <c r="GP303" i="2"/>
  <c r="GQ303" i="2" s="1"/>
  <c r="GN303" i="2"/>
  <c r="GO303" i="2" s="1"/>
  <c r="GL303" i="2"/>
  <c r="GM303" i="2" s="1"/>
  <c r="GH303" i="2"/>
  <c r="GG303" i="2"/>
  <c r="GI303" i="2" s="1"/>
  <c r="GD303" i="2"/>
  <c r="GC303" i="2"/>
  <c r="GB303" i="2"/>
  <c r="FY303" i="2"/>
  <c r="FS303" i="2"/>
  <c r="FT303" i="2" s="1"/>
  <c r="EW303" i="2"/>
  <c r="ET303" i="2"/>
  <c r="EU303" i="2" s="1"/>
  <c r="EQ303" i="2"/>
  <c r="ER303" i="2" s="1"/>
  <c r="EJ303" i="2"/>
  <c r="EE303" i="2"/>
  <c r="EF303" i="2" s="1"/>
  <c r="DX303" i="2"/>
  <c r="DP303" i="2"/>
  <c r="DF303" i="2"/>
  <c r="DE303" i="2"/>
  <c r="CY303" i="2"/>
  <c r="CZ303" i="2" s="1"/>
  <c r="CF303" i="2"/>
  <c r="CH303" i="2"/>
  <c r="CA303" i="2"/>
  <c r="BO303" i="2"/>
  <c r="BJ303" i="2"/>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E302" i="2"/>
  <c r="CY302" i="2"/>
  <c r="CZ302" i="2" s="1"/>
  <c r="CF302" i="2"/>
  <c r="CH302" i="2"/>
  <c r="CA302" i="2"/>
  <c r="BO302" i="2"/>
  <c r="BJ302" i="2"/>
  <c r="BK302" i="2" s="1"/>
  <c r="CL302" i="2" s="1"/>
  <c r="BC302" i="2"/>
  <c r="AZ302" i="2"/>
  <c r="AY302" i="2"/>
  <c r="AO302" i="2"/>
  <c r="AN302" i="2"/>
  <c r="AM302" i="2"/>
  <c r="AL302" i="2"/>
  <c r="AK302" i="2"/>
  <c r="AG302" i="2"/>
  <c r="AE302" i="2"/>
  <c r="AF302" i="2" s="1"/>
  <c r="U302" i="2"/>
  <c r="S302" i="2"/>
  <c r="T302" i="2" s="1"/>
  <c r="R302" i="2"/>
  <c r="E302" i="2"/>
  <c r="GR301" i="2"/>
  <c r="GS301" i="2" s="1"/>
  <c r="GP301" i="2"/>
  <c r="GQ301" i="2" s="1"/>
  <c r="GN301" i="2"/>
  <c r="GO301" i="2" s="1"/>
  <c r="GL301" i="2"/>
  <c r="GM301" i="2" s="1"/>
  <c r="GH301" i="2"/>
  <c r="GG301" i="2"/>
  <c r="GI301" i="2" s="1"/>
  <c r="GD301" i="2"/>
  <c r="GC301" i="2"/>
  <c r="GB301" i="2"/>
  <c r="FY301" i="2"/>
  <c r="GA301" i="2" s="1"/>
  <c r="FS301" i="2"/>
  <c r="FT301" i="2" s="1"/>
  <c r="EW301" i="2"/>
  <c r="ET301" i="2"/>
  <c r="EU301" i="2" s="1"/>
  <c r="EQ301" i="2"/>
  <c r="ER301" i="2" s="1"/>
  <c r="EJ301" i="2"/>
  <c r="EE301" i="2"/>
  <c r="EF301" i="2" s="1"/>
  <c r="DX301" i="2"/>
  <c r="DP301" i="2"/>
  <c r="DF301" i="2"/>
  <c r="DE301" i="2"/>
  <c r="CY301" i="2"/>
  <c r="CZ301" i="2" s="1"/>
  <c r="CF301" i="2"/>
  <c r="CH301" i="2"/>
  <c r="CA301" i="2"/>
  <c r="CR301" i="2"/>
  <c r="BO301" i="2"/>
  <c r="BJ301" i="2"/>
  <c r="BM301" i="2" s="1"/>
  <c r="BN301" i="2" s="1"/>
  <c r="BC301" i="2"/>
  <c r="AZ301" i="2"/>
  <c r="AY301" i="2"/>
  <c r="AO301" i="2"/>
  <c r="AN301" i="2"/>
  <c r="AM301" i="2"/>
  <c r="AL301" i="2"/>
  <c r="AK301" i="2"/>
  <c r="AG301" i="2"/>
  <c r="AE301" i="2"/>
  <c r="AF301" i="2" s="1"/>
  <c r="U301" i="2"/>
  <c r="S301" i="2"/>
  <c r="T301" i="2" s="1"/>
  <c r="R301" i="2"/>
  <c r="Y301" i="2" s="1"/>
  <c r="AB301" i="2" s="1"/>
  <c r="E301" i="2"/>
  <c r="GR300" i="2"/>
  <c r="GS300" i="2" s="1"/>
  <c r="GP300" i="2"/>
  <c r="GQ300" i="2" s="1"/>
  <c r="DU300" i="2" s="1"/>
  <c r="GN300" i="2"/>
  <c r="GO300" i="2" s="1"/>
  <c r="GL300" i="2"/>
  <c r="GM300" i="2" s="1"/>
  <c r="GH300" i="2"/>
  <c r="GG300" i="2"/>
  <c r="GI300" i="2" s="1"/>
  <c r="GD300" i="2"/>
  <c r="GC300" i="2"/>
  <c r="GB300" i="2"/>
  <c r="FY300" i="2"/>
  <c r="FS300" i="2"/>
  <c r="FT300" i="2" s="1"/>
  <c r="EW300" i="2"/>
  <c r="ET300" i="2"/>
  <c r="EU300" i="2" s="1"/>
  <c r="EQ300" i="2"/>
  <c r="ER300" i="2" s="1"/>
  <c r="EJ300" i="2"/>
  <c r="EE300" i="2"/>
  <c r="EF300" i="2" s="1"/>
  <c r="DX300" i="2"/>
  <c r="DP300" i="2"/>
  <c r="DF300" i="2"/>
  <c r="DE300" i="2"/>
  <c r="CY300" i="2"/>
  <c r="CZ300" i="2" s="1"/>
  <c r="CF300" i="2"/>
  <c r="CH300" i="2"/>
  <c r="CA300" i="2"/>
  <c r="CR300" i="2"/>
  <c r="BO300" i="2"/>
  <c r="BJ300" i="2"/>
  <c r="BK300" i="2" s="1"/>
  <c r="CL300" i="2" s="1"/>
  <c r="BC300" i="2"/>
  <c r="AZ300" i="2"/>
  <c r="AY300" i="2"/>
  <c r="AO300" i="2"/>
  <c r="AN300" i="2"/>
  <c r="AM300" i="2"/>
  <c r="AL300" i="2"/>
  <c r="AK300" i="2"/>
  <c r="AG300" i="2"/>
  <c r="AE300" i="2"/>
  <c r="AF300" i="2" s="1"/>
  <c r="U300" i="2"/>
  <c r="S300" i="2"/>
  <c r="T300" i="2" s="1"/>
  <c r="R300" i="2"/>
  <c r="E300" i="2"/>
  <c r="GR299" i="2"/>
  <c r="GS299" i="2" s="1"/>
  <c r="GP299" i="2"/>
  <c r="GQ299" i="2" s="1"/>
  <c r="GN299" i="2"/>
  <c r="GO299" i="2" s="1"/>
  <c r="GL299" i="2"/>
  <c r="GM299" i="2" s="1"/>
  <c r="GH299" i="2"/>
  <c r="GG299" i="2"/>
  <c r="GI299" i="2" s="1"/>
  <c r="GD299" i="2"/>
  <c r="GC299" i="2"/>
  <c r="GB299" i="2"/>
  <c r="FY299" i="2"/>
  <c r="FZ299" i="2" s="1"/>
  <c r="FS299" i="2"/>
  <c r="FT299" i="2" s="1"/>
  <c r="EW299" i="2"/>
  <c r="ET299" i="2"/>
  <c r="EU299" i="2" s="1"/>
  <c r="EQ299" i="2"/>
  <c r="ER299" i="2" s="1"/>
  <c r="EJ299" i="2"/>
  <c r="EE299" i="2"/>
  <c r="EF299" i="2" s="1"/>
  <c r="DX299" i="2"/>
  <c r="DP299" i="2"/>
  <c r="DF299" i="2"/>
  <c r="DE299" i="2"/>
  <c r="CY299" i="2"/>
  <c r="CZ299" i="2" s="1"/>
  <c r="CF299" i="2"/>
  <c r="CH299" i="2"/>
  <c r="CA299" i="2"/>
  <c r="BO299" i="2"/>
  <c r="BJ299" i="2"/>
  <c r="BM299" i="2" s="1"/>
  <c r="BN299" i="2" s="1"/>
  <c r="BC299" i="2"/>
  <c r="AZ299" i="2"/>
  <c r="AY299" i="2"/>
  <c r="AO299" i="2"/>
  <c r="AN299" i="2"/>
  <c r="AM299" i="2"/>
  <c r="AL299" i="2"/>
  <c r="AK299" i="2"/>
  <c r="AG299" i="2"/>
  <c r="AE299" i="2"/>
  <c r="AF299" i="2" s="1"/>
  <c r="U299" i="2"/>
  <c r="S299" i="2"/>
  <c r="T299" i="2" s="1"/>
  <c r="R299" i="2"/>
  <c r="Y299" i="2" s="1"/>
  <c r="AB299" i="2" s="1"/>
  <c r="E299" i="2"/>
  <c r="GR298" i="2"/>
  <c r="GS298" i="2" s="1"/>
  <c r="GP298" i="2"/>
  <c r="GQ298" i="2" s="1"/>
  <c r="DU298" i="2" s="1"/>
  <c r="GN298" i="2"/>
  <c r="GO298" i="2" s="1"/>
  <c r="GL298" i="2"/>
  <c r="GM298" i="2" s="1"/>
  <c r="GH298" i="2"/>
  <c r="GG298" i="2"/>
  <c r="GI298" i="2" s="1"/>
  <c r="GD298" i="2"/>
  <c r="GC298" i="2"/>
  <c r="GB298" i="2"/>
  <c r="FY298" i="2"/>
  <c r="FS298" i="2"/>
  <c r="FT298" i="2" s="1"/>
  <c r="EW298" i="2"/>
  <c r="ET298" i="2"/>
  <c r="EU298" i="2" s="1"/>
  <c r="EQ298" i="2"/>
  <c r="ER298" i="2" s="1"/>
  <c r="EJ298" i="2"/>
  <c r="EE298" i="2"/>
  <c r="EF298" i="2" s="1"/>
  <c r="DX298" i="2"/>
  <c r="DP298" i="2"/>
  <c r="DF298" i="2"/>
  <c r="DH298" i="2" s="1"/>
  <c r="DE298" i="2"/>
  <c r="CY298" i="2"/>
  <c r="CZ298" i="2" s="1"/>
  <c r="CF298" i="2"/>
  <c r="CH298" i="2"/>
  <c r="CA298" i="2"/>
  <c r="BO298" i="2"/>
  <c r="BJ298" i="2"/>
  <c r="BC298" i="2"/>
  <c r="AZ298" i="2"/>
  <c r="AY298" i="2"/>
  <c r="AO298" i="2"/>
  <c r="AN298" i="2"/>
  <c r="AM298" i="2"/>
  <c r="AL298" i="2"/>
  <c r="AK298" i="2"/>
  <c r="AG298" i="2"/>
  <c r="AE298" i="2"/>
  <c r="AF298" i="2" s="1"/>
  <c r="U298" i="2"/>
  <c r="S298" i="2"/>
  <c r="T298" i="2" s="1"/>
  <c r="R298" i="2"/>
  <c r="E298" i="2"/>
  <c r="GR297" i="2"/>
  <c r="GS297" i="2" s="1"/>
  <c r="GP297" i="2"/>
  <c r="GQ297" i="2" s="1"/>
  <c r="DU297" i="2" s="1"/>
  <c r="GN297" i="2"/>
  <c r="GO297" i="2" s="1"/>
  <c r="GL297" i="2"/>
  <c r="GM297" i="2" s="1"/>
  <c r="GH297" i="2"/>
  <c r="GG297" i="2"/>
  <c r="GI297" i="2" s="1"/>
  <c r="GD297" i="2"/>
  <c r="GC297" i="2"/>
  <c r="GB297" i="2"/>
  <c r="FY297" i="2"/>
  <c r="FZ297" i="2" s="1"/>
  <c r="FS297" i="2"/>
  <c r="FT297" i="2" s="1"/>
  <c r="EW297" i="2"/>
  <c r="ET297" i="2"/>
  <c r="EU297" i="2" s="1"/>
  <c r="EQ297" i="2"/>
  <c r="ER297" i="2" s="1"/>
  <c r="EJ297" i="2"/>
  <c r="EE297" i="2"/>
  <c r="EF297" i="2" s="1"/>
  <c r="DX297" i="2"/>
  <c r="DP297" i="2"/>
  <c r="DF297" i="2"/>
  <c r="DH297" i="2" s="1"/>
  <c r="DE297" i="2"/>
  <c r="CY297" i="2"/>
  <c r="CZ297" i="2" s="1"/>
  <c r="CF297" i="2"/>
  <c r="CH297" i="2"/>
  <c r="CA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FZ296" i="2" s="1"/>
  <c r="FS296" i="2"/>
  <c r="FT296" i="2" s="1"/>
  <c r="EW296" i="2"/>
  <c r="ET296" i="2"/>
  <c r="EU296" i="2" s="1"/>
  <c r="EQ296" i="2"/>
  <c r="ER296" i="2" s="1"/>
  <c r="EJ296" i="2"/>
  <c r="EE296" i="2"/>
  <c r="EF296" i="2" s="1"/>
  <c r="DX296" i="2"/>
  <c r="DP296" i="2"/>
  <c r="DF296" i="2"/>
  <c r="DG296" i="2" s="1"/>
  <c r="DE296" i="2"/>
  <c r="CY296" i="2"/>
  <c r="CZ296" i="2" s="1"/>
  <c r="CF296" i="2"/>
  <c r="CH296" i="2"/>
  <c r="CA296" i="2"/>
  <c r="BO296" i="2"/>
  <c r="BJ296" i="2"/>
  <c r="BM296" i="2" s="1"/>
  <c r="BN296" i="2" s="1"/>
  <c r="BC296" i="2"/>
  <c r="AZ296" i="2"/>
  <c r="AY296" i="2"/>
  <c r="AO296" i="2"/>
  <c r="AN296" i="2"/>
  <c r="AM296" i="2"/>
  <c r="AL296" i="2"/>
  <c r="AK296" i="2"/>
  <c r="AG296" i="2"/>
  <c r="AE296" i="2"/>
  <c r="AF296" i="2" s="1"/>
  <c r="U296" i="2"/>
  <c r="S296" i="2"/>
  <c r="T296" i="2" s="1"/>
  <c r="R296" i="2"/>
  <c r="X296" i="2" s="1"/>
  <c r="E296" i="2"/>
  <c r="GR294" i="2"/>
  <c r="GS294" i="2" s="1"/>
  <c r="GP294" i="2"/>
  <c r="GQ294" i="2" s="1"/>
  <c r="DU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H294" i="2" s="1"/>
  <c r="DE294" i="2"/>
  <c r="CY294" i="2"/>
  <c r="CZ294" i="2" s="1"/>
  <c r="CF294" i="2"/>
  <c r="CH294" i="2"/>
  <c r="CA294" i="2"/>
  <c r="CW294" i="2"/>
  <c r="BO294" i="2"/>
  <c r="BJ294" i="2"/>
  <c r="BK294" i="2" s="1"/>
  <c r="CL294" i="2" s="1"/>
  <c r="BC294" i="2"/>
  <c r="AZ294" i="2"/>
  <c r="AY294" i="2"/>
  <c r="AO294" i="2"/>
  <c r="AN294" i="2"/>
  <c r="AM294" i="2"/>
  <c r="AL294" i="2"/>
  <c r="AK294" i="2"/>
  <c r="AG294" i="2"/>
  <c r="AE294" i="2"/>
  <c r="AF294" i="2" s="1"/>
  <c r="U294" i="2"/>
  <c r="S294" i="2"/>
  <c r="T294" i="2" s="1"/>
  <c r="R294" i="2"/>
  <c r="E294" i="2"/>
  <c r="GR293" i="2"/>
  <c r="GS293" i="2" s="1"/>
  <c r="GP293" i="2"/>
  <c r="GQ293" i="2" s="1"/>
  <c r="DU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H293" i="2" s="1"/>
  <c r="DE293" i="2"/>
  <c r="CY293" i="2"/>
  <c r="CZ293" i="2" s="1"/>
  <c r="CF293" i="2"/>
  <c r="CH293" i="2"/>
  <c r="CA293" i="2"/>
  <c r="CW293" i="2"/>
  <c r="BO293" i="2"/>
  <c r="BJ293" i="2"/>
  <c r="BM293" i="2" s="1"/>
  <c r="BN293" i="2" s="1"/>
  <c r="BC293" i="2"/>
  <c r="AZ293" i="2"/>
  <c r="AY293" i="2"/>
  <c r="AO293" i="2"/>
  <c r="AN293" i="2"/>
  <c r="AM293" i="2"/>
  <c r="AL293" i="2"/>
  <c r="AK293" i="2"/>
  <c r="AG293" i="2"/>
  <c r="AE293" i="2"/>
  <c r="AF293" i="2" s="1"/>
  <c r="U293" i="2"/>
  <c r="S293" i="2"/>
  <c r="R293" i="2"/>
  <c r="E293" i="2"/>
  <c r="GN266" i="2"/>
  <c r="GO266" i="2" s="1"/>
  <c r="GL266" i="2"/>
  <c r="GM266" i="2" s="1"/>
  <c r="GH266" i="2"/>
  <c r="GG266" i="2"/>
  <c r="GI266" i="2" s="1"/>
  <c r="GD266" i="2"/>
  <c r="GC266" i="2"/>
  <c r="GB266" i="2"/>
  <c r="FY266" i="2"/>
  <c r="GA266" i="2" s="1"/>
  <c r="FS266" i="2"/>
  <c r="FT266" i="2" s="1"/>
  <c r="EW266" i="2"/>
  <c r="ET266" i="2"/>
  <c r="EU266" i="2" s="1"/>
  <c r="EQ266" i="2"/>
  <c r="ER266" i="2" s="1"/>
  <c r="EJ266" i="2"/>
  <c r="DP266" i="2"/>
  <c r="DF266" i="2"/>
  <c r="DG266" i="2" s="1"/>
  <c r="DE266" i="2"/>
  <c r="CY266" i="2"/>
  <c r="CZ266" i="2" s="1"/>
  <c r="CF266" i="2"/>
  <c r="CH266" i="2"/>
  <c r="CA266" i="2"/>
  <c r="BO266" i="2"/>
  <c r="BJ266" i="2"/>
  <c r="BM266" i="2" s="1"/>
  <c r="BN266" i="2" s="1"/>
  <c r="BC266" i="2"/>
  <c r="AZ266" i="2"/>
  <c r="AY266" i="2"/>
  <c r="AO266" i="2"/>
  <c r="AN266" i="2"/>
  <c r="AM266" i="2"/>
  <c r="AL266" i="2"/>
  <c r="AK266" i="2"/>
  <c r="AG266" i="2"/>
  <c r="AE266" i="2"/>
  <c r="AF266" i="2" s="1"/>
  <c r="U266" i="2"/>
  <c r="S266" i="2"/>
  <c r="R266" i="2"/>
  <c r="GR291" i="2"/>
  <c r="GS291" i="2" s="1"/>
  <c r="GP291" i="2"/>
  <c r="GQ291" i="2" s="1"/>
  <c r="DU291" i="2" s="1"/>
  <c r="GN291" i="2"/>
  <c r="GO291" i="2" s="1"/>
  <c r="GL291" i="2"/>
  <c r="GM291" i="2" s="1"/>
  <c r="GH291" i="2"/>
  <c r="GG291" i="2"/>
  <c r="GI291" i="2" s="1"/>
  <c r="GD291" i="2"/>
  <c r="GC291" i="2"/>
  <c r="GB291" i="2"/>
  <c r="FY291" i="2"/>
  <c r="FS291" i="2"/>
  <c r="FT291" i="2" s="1"/>
  <c r="EW291" i="2"/>
  <c r="ET291" i="2"/>
  <c r="EU291" i="2" s="1"/>
  <c r="EQ291" i="2"/>
  <c r="ER291" i="2" s="1"/>
  <c r="EJ291" i="2"/>
  <c r="EE291" i="2"/>
  <c r="EF291" i="2" s="1"/>
  <c r="DX291" i="2"/>
  <c r="DP291" i="2"/>
  <c r="DF291" i="2"/>
  <c r="DH291" i="2" s="1"/>
  <c r="DE291" i="2"/>
  <c r="CY291" i="2"/>
  <c r="CZ291" i="2" s="1"/>
  <c r="CF291" i="2"/>
  <c r="CH291" i="2"/>
  <c r="CA291" i="2"/>
  <c r="CW291" i="2"/>
  <c r="BO291" i="2"/>
  <c r="BJ291" i="2"/>
  <c r="BK291" i="2" s="1"/>
  <c r="CL291" i="2" s="1"/>
  <c r="BC291" i="2"/>
  <c r="AZ291" i="2"/>
  <c r="AY291" i="2"/>
  <c r="AO291" i="2"/>
  <c r="AN291" i="2"/>
  <c r="AM291" i="2"/>
  <c r="AL291" i="2"/>
  <c r="AK291" i="2"/>
  <c r="AG291" i="2"/>
  <c r="AE291" i="2"/>
  <c r="AF291" i="2" s="1"/>
  <c r="U291" i="2"/>
  <c r="S291" i="2"/>
  <c r="R291" i="2"/>
  <c r="X291" i="2" s="1"/>
  <c r="AA291" i="2" s="1"/>
  <c r="E291" i="2"/>
  <c r="GR290" i="2"/>
  <c r="GS290" i="2" s="1"/>
  <c r="GP290" i="2"/>
  <c r="GQ290" i="2" s="1"/>
  <c r="DU290" i="2" s="1"/>
  <c r="GN290" i="2"/>
  <c r="GO290" i="2" s="1"/>
  <c r="GL290" i="2"/>
  <c r="GM290" i="2" s="1"/>
  <c r="GH290" i="2"/>
  <c r="GG290" i="2"/>
  <c r="GI290" i="2" s="1"/>
  <c r="GD290" i="2"/>
  <c r="GC290" i="2"/>
  <c r="GB290" i="2"/>
  <c r="FY290" i="2"/>
  <c r="FS290" i="2"/>
  <c r="FT290" i="2" s="1"/>
  <c r="EW290" i="2"/>
  <c r="ET290" i="2"/>
  <c r="EU290" i="2" s="1"/>
  <c r="EQ290" i="2"/>
  <c r="ER290" i="2" s="1"/>
  <c r="EJ290" i="2"/>
  <c r="EE290" i="2"/>
  <c r="EF290" i="2" s="1"/>
  <c r="DX290" i="2"/>
  <c r="DP290" i="2"/>
  <c r="DF290" i="2"/>
  <c r="DH290" i="2" s="1"/>
  <c r="DE290" i="2"/>
  <c r="CY290" i="2"/>
  <c r="CZ290" i="2" s="1"/>
  <c r="CF290" i="2"/>
  <c r="CH290" i="2"/>
  <c r="CA290" i="2"/>
  <c r="CW290" i="2"/>
  <c r="BO290" i="2"/>
  <c r="BJ290" i="2"/>
  <c r="BC290" i="2"/>
  <c r="AZ290" i="2"/>
  <c r="AY290" i="2"/>
  <c r="AO290" i="2"/>
  <c r="AN290" i="2"/>
  <c r="AM290" i="2"/>
  <c r="AL290" i="2"/>
  <c r="AK290" i="2"/>
  <c r="AG290" i="2"/>
  <c r="AE290" i="2"/>
  <c r="AF290" i="2" s="1"/>
  <c r="U290" i="2"/>
  <c r="S290" i="2"/>
  <c r="R290" i="2"/>
  <c r="X290" i="2" s="1"/>
  <c r="AA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BO289" i="2"/>
  <c r="BJ289" i="2"/>
  <c r="BK289" i="2" s="1"/>
  <c r="CL289" i="2" s="1"/>
  <c r="BC289" i="2"/>
  <c r="AZ289" i="2"/>
  <c r="AY289" i="2"/>
  <c r="AO289" i="2"/>
  <c r="AN289" i="2"/>
  <c r="AM289" i="2"/>
  <c r="AL289" i="2"/>
  <c r="AK289" i="2"/>
  <c r="AG289" i="2"/>
  <c r="AE289" i="2"/>
  <c r="AF289" i="2" s="1"/>
  <c r="U289" i="2"/>
  <c r="S289" i="2"/>
  <c r="T289" i="2" s="1"/>
  <c r="R289" i="2"/>
  <c r="Y289" i="2" s="1"/>
  <c r="AB289" i="2" s="1"/>
  <c r="E289" i="2"/>
  <c r="GR288" i="2"/>
  <c r="GS288" i="2" s="1"/>
  <c r="GP288" i="2"/>
  <c r="GQ288" i="2" s="1"/>
  <c r="GN288" i="2"/>
  <c r="GO288" i="2" s="1"/>
  <c r="GL288" i="2"/>
  <c r="GM288" i="2" s="1"/>
  <c r="GH288" i="2"/>
  <c r="GG288" i="2"/>
  <c r="GI288" i="2" s="1"/>
  <c r="GD288" i="2"/>
  <c r="GC288" i="2"/>
  <c r="GB288" i="2"/>
  <c r="FY288" i="2"/>
  <c r="FZ288" i="2" s="1"/>
  <c r="FS288" i="2"/>
  <c r="FT288" i="2" s="1"/>
  <c r="EW288" i="2"/>
  <c r="ET288" i="2"/>
  <c r="EU288" i="2" s="1"/>
  <c r="EQ288" i="2"/>
  <c r="ER288" i="2" s="1"/>
  <c r="EJ288" i="2"/>
  <c r="EE288" i="2"/>
  <c r="EF288" i="2" s="1"/>
  <c r="DX288" i="2"/>
  <c r="DP288" i="2"/>
  <c r="DF288" i="2"/>
  <c r="DG288" i="2" s="1"/>
  <c r="DE288" i="2"/>
  <c r="CY288" i="2"/>
  <c r="CZ288" i="2" s="1"/>
  <c r="CF288" i="2"/>
  <c r="CH288" i="2"/>
  <c r="CA288" i="2"/>
  <c r="BO288" i="2"/>
  <c r="BJ288" i="2"/>
  <c r="BK288" i="2" s="1"/>
  <c r="CL288" i="2" s="1"/>
  <c r="BC288" i="2"/>
  <c r="AZ288" i="2"/>
  <c r="AY288" i="2"/>
  <c r="AO288" i="2"/>
  <c r="AN288" i="2"/>
  <c r="AM288" i="2"/>
  <c r="AL288" i="2"/>
  <c r="AK288" i="2"/>
  <c r="AG288" i="2"/>
  <c r="AE288" i="2"/>
  <c r="AF288" i="2" s="1"/>
  <c r="U288" i="2"/>
  <c r="S288" i="2"/>
  <c r="R288" i="2"/>
  <c r="Y288" i="2" s="1"/>
  <c r="AB288" i="2" s="1"/>
  <c r="E288" i="2"/>
  <c r="GR287" i="2"/>
  <c r="GS287" i="2" s="1"/>
  <c r="GP287" i="2"/>
  <c r="GQ287" i="2" s="1"/>
  <c r="DU287" i="2" s="1"/>
  <c r="GN287" i="2"/>
  <c r="GO287" i="2" s="1"/>
  <c r="GL287" i="2"/>
  <c r="GM287" i="2" s="1"/>
  <c r="GH287" i="2"/>
  <c r="GG287" i="2"/>
  <c r="GI287" i="2" s="1"/>
  <c r="GD287" i="2"/>
  <c r="GC287" i="2"/>
  <c r="GB287" i="2"/>
  <c r="FY287" i="2"/>
  <c r="FZ287" i="2" s="1"/>
  <c r="FS287" i="2"/>
  <c r="FT287" i="2" s="1"/>
  <c r="EW287" i="2"/>
  <c r="ET287" i="2"/>
  <c r="EU287" i="2" s="1"/>
  <c r="EQ287" i="2"/>
  <c r="ER287" i="2" s="1"/>
  <c r="EJ287" i="2"/>
  <c r="EE287" i="2"/>
  <c r="EF287" i="2" s="1"/>
  <c r="DX287" i="2"/>
  <c r="DP287" i="2"/>
  <c r="DF287" i="2"/>
  <c r="DH287" i="2" s="1"/>
  <c r="DE287" i="2"/>
  <c r="CY287" i="2"/>
  <c r="CZ287" i="2" s="1"/>
  <c r="CF287" i="2"/>
  <c r="CH287" i="2"/>
  <c r="CA287" i="2"/>
  <c r="CR287" i="2"/>
  <c r="BO287" i="2"/>
  <c r="BJ287" i="2"/>
  <c r="BM287" i="2" s="1"/>
  <c r="BN287" i="2" s="1"/>
  <c r="BC287" i="2"/>
  <c r="AZ287" i="2"/>
  <c r="AY287" i="2"/>
  <c r="AO287" i="2"/>
  <c r="AN287" i="2"/>
  <c r="AM287" i="2"/>
  <c r="AL287" i="2"/>
  <c r="AK287" i="2"/>
  <c r="AG287" i="2"/>
  <c r="AE287" i="2"/>
  <c r="AF287" i="2" s="1"/>
  <c r="U287" i="2"/>
  <c r="S287" i="2"/>
  <c r="R287" i="2"/>
  <c r="E287" i="2"/>
  <c r="GR286" i="2"/>
  <c r="GS286" i="2" s="1"/>
  <c r="GP286" i="2"/>
  <c r="GQ286" i="2" s="1"/>
  <c r="GN286" i="2"/>
  <c r="GO286" i="2" s="1"/>
  <c r="GL286" i="2"/>
  <c r="GM286" i="2" s="1"/>
  <c r="GH286" i="2"/>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CW286" i="2"/>
  <c r="BO286" i="2"/>
  <c r="BJ286" i="2"/>
  <c r="BM286" i="2" s="1"/>
  <c r="BN286" i="2" s="1"/>
  <c r="BC286" i="2"/>
  <c r="AZ286" i="2"/>
  <c r="AY286" i="2"/>
  <c r="AO286" i="2"/>
  <c r="AN286" i="2"/>
  <c r="AM286" i="2"/>
  <c r="AL286" i="2"/>
  <c r="AK286" i="2"/>
  <c r="AG286" i="2"/>
  <c r="AE286" i="2"/>
  <c r="AF286" i="2" s="1"/>
  <c r="U286" i="2"/>
  <c r="S286" i="2"/>
  <c r="R286" i="2"/>
  <c r="E286" i="2"/>
  <c r="GR285" i="2"/>
  <c r="GS285" i="2" s="1"/>
  <c r="GP285" i="2"/>
  <c r="GQ285" i="2" s="1"/>
  <c r="GN285" i="2"/>
  <c r="GO285" i="2" s="1"/>
  <c r="GL285" i="2"/>
  <c r="GM285" i="2" s="1"/>
  <c r="GH285" i="2"/>
  <c r="GG285" i="2"/>
  <c r="GI285" i="2" s="1"/>
  <c r="GD285" i="2"/>
  <c r="GC285" i="2"/>
  <c r="GB285" i="2"/>
  <c r="FY285" i="2"/>
  <c r="GA285" i="2" s="1"/>
  <c r="FS285" i="2"/>
  <c r="FT285" i="2" s="1"/>
  <c r="EW285" i="2"/>
  <c r="ET285" i="2"/>
  <c r="EU285" i="2" s="1"/>
  <c r="EQ285" i="2"/>
  <c r="ER285" i="2" s="1"/>
  <c r="EJ285" i="2"/>
  <c r="EE285" i="2"/>
  <c r="EF285" i="2" s="1"/>
  <c r="DX285" i="2"/>
  <c r="DP285" i="2"/>
  <c r="DF285" i="2"/>
  <c r="DE285" i="2"/>
  <c r="CY285" i="2"/>
  <c r="CZ285" i="2" s="1"/>
  <c r="CF285" i="2"/>
  <c r="CH285" i="2"/>
  <c r="CA285" i="2"/>
  <c r="CW285" i="2"/>
  <c r="BO285" i="2"/>
  <c r="BJ285" i="2"/>
  <c r="BM285" i="2" s="1"/>
  <c r="BN285" i="2" s="1"/>
  <c r="BC285" i="2"/>
  <c r="AZ285" i="2"/>
  <c r="AY285" i="2"/>
  <c r="AO285" i="2"/>
  <c r="AN285" i="2"/>
  <c r="AM285" i="2"/>
  <c r="AL285" i="2"/>
  <c r="AK285" i="2"/>
  <c r="AG285" i="2"/>
  <c r="AE285" i="2"/>
  <c r="AF285" i="2" s="1"/>
  <c r="U285" i="2"/>
  <c r="S285" i="2"/>
  <c r="R285" i="2"/>
  <c r="E285" i="2"/>
  <c r="GR284" i="2"/>
  <c r="GS284" i="2" s="1"/>
  <c r="GP284" i="2"/>
  <c r="GQ284" i="2" s="1"/>
  <c r="GN284" i="2"/>
  <c r="GO284" i="2" s="1"/>
  <c r="GL284" i="2"/>
  <c r="GM284" i="2" s="1"/>
  <c r="GH284" i="2"/>
  <c r="GG284" i="2"/>
  <c r="GI284" i="2" s="1"/>
  <c r="GD284" i="2"/>
  <c r="GC284" i="2"/>
  <c r="GB284" i="2"/>
  <c r="FY284" i="2"/>
  <c r="GA284" i="2" s="1"/>
  <c r="FS284" i="2"/>
  <c r="FT284" i="2" s="1"/>
  <c r="EW284" i="2"/>
  <c r="ET284" i="2"/>
  <c r="EU284" i="2" s="1"/>
  <c r="EQ284" i="2"/>
  <c r="ER284" i="2" s="1"/>
  <c r="EJ284" i="2"/>
  <c r="EE284" i="2"/>
  <c r="EF284" i="2" s="1"/>
  <c r="DX284" i="2"/>
  <c r="DP284" i="2"/>
  <c r="DF284" i="2"/>
  <c r="DH284" i="2" s="1"/>
  <c r="DE284" i="2"/>
  <c r="CY284" i="2"/>
  <c r="CZ284" i="2" s="1"/>
  <c r="CF284" i="2"/>
  <c r="CH284" i="2"/>
  <c r="CA284" i="2"/>
  <c r="CW284" i="2"/>
  <c r="BO284" i="2"/>
  <c r="BJ284" i="2"/>
  <c r="BM284" i="2" s="1"/>
  <c r="BN284" i="2" s="1"/>
  <c r="BC284" i="2"/>
  <c r="AZ284" i="2"/>
  <c r="AY284" i="2"/>
  <c r="AO284" i="2"/>
  <c r="AN284" i="2"/>
  <c r="AM284" i="2"/>
  <c r="AL284" i="2"/>
  <c r="AK284" i="2"/>
  <c r="AG284" i="2"/>
  <c r="AE284" i="2"/>
  <c r="AF284" i="2" s="1"/>
  <c r="U284" i="2"/>
  <c r="S284" i="2"/>
  <c r="R284" i="2"/>
  <c r="E284" i="2"/>
  <c r="GR283" i="2"/>
  <c r="GS283" i="2" s="1"/>
  <c r="GP283" i="2"/>
  <c r="GQ283" i="2" s="1"/>
  <c r="GN283" i="2"/>
  <c r="GO283" i="2" s="1"/>
  <c r="GL283" i="2"/>
  <c r="GM283" i="2" s="1"/>
  <c r="GH283" i="2"/>
  <c r="GG283" i="2"/>
  <c r="GI283" i="2" s="1"/>
  <c r="GD283" i="2"/>
  <c r="GC283" i="2"/>
  <c r="GB283" i="2"/>
  <c r="FY283" i="2"/>
  <c r="GA283" i="2" s="1"/>
  <c r="FS283" i="2"/>
  <c r="FT283" i="2" s="1"/>
  <c r="EW283" i="2"/>
  <c r="ET283" i="2"/>
  <c r="EU283" i="2" s="1"/>
  <c r="EQ283" i="2"/>
  <c r="ER283" i="2" s="1"/>
  <c r="EJ283" i="2"/>
  <c r="EE283" i="2"/>
  <c r="EF283" i="2" s="1"/>
  <c r="DX283" i="2"/>
  <c r="DP283" i="2"/>
  <c r="DF283" i="2"/>
  <c r="DH283" i="2" s="1"/>
  <c r="DE283" i="2"/>
  <c r="CY283" i="2"/>
  <c r="CZ283" i="2" s="1"/>
  <c r="CF283" i="2"/>
  <c r="CH283" i="2"/>
  <c r="CA283" i="2"/>
  <c r="CW283" i="2"/>
  <c r="BO283" i="2"/>
  <c r="BJ283" i="2"/>
  <c r="BM283" i="2" s="1"/>
  <c r="BN283" i="2" s="1"/>
  <c r="BC283" i="2"/>
  <c r="AZ283" i="2"/>
  <c r="AY283" i="2"/>
  <c r="AO283" i="2"/>
  <c r="AN283" i="2"/>
  <c r="AM283" i="2"/>
  <c r="AL283" i="2"/>
  <c r="AK283" i="2"/>
  <c r="AG283" i="2"/>
  <c r="AE283" i="2"/>
  <c r="AF283" i="2" s="1"/>
  <c r="U283" i="2"/>
  <c r="S283" i="2"/>
  <c r="R283" i="2"/>
  <c r="E283" i="2"/>
  <c r="GR282" i="2"/>
  <c r="GS282" i="2" s="1"/>
  <c r="GP282" i="2"/>
  <c r="GQ282" i="2" s="1"/>
  <c r="GN282" i="2"/>
  <c r="GO282" i="2" s="1"/>
  <c r="GL282" i="2"/>
  <c r="GM282" i="2" s="1"/>
  <c r="GH282" i="2"/>
  <c r="GG282" i="2"/>
  <c r="GI282" i="2" s="1"/>
  <c r="GD282" i="2"/>
  <c r="GC282" i="2"/>
  <c r="GB282" i="2"/>
  <c r="FY282" i="2"/>
  <c r="GA282" i="2" s="1"/>
  <c r="FS282" i="2"/>
  <c r="FT282" i="2" s="1"/>
  <c r="EW282" i="2"/>
  <c r="ET282" i="2"/>
  <c r="EU282" i="2" s="1"/>
  <c r="EQ282" i="2"/>
  <c r="ER282" i="2" s="1"/>
  <c r="EJ282" i="2"/>
  <c r="EE282" i="2"/>
  <c r="EF282" i="2" s="1"/>
  <c r="DX282" i="2"/>
  <c r="DP282" i="2"/>
  <c r="DF282" i="2"/>
  <c r="DH282" i="2" s="1"/>
  <c r="DE282" i="2"/>
  <c r="CY282" i="2"/>
  <c r="CZ282" i="2" s="1"/>
  <c r="CF282" i="2"/>
  <c r="CH282" i="2"/>
  <c r="CA282" i="2"/>
  <c r="CW282" i="2"/>
  <c r="BO282" i="2"/>
  <c r="BJ282" i="2"/>
  <c r="BM282" i="2" s="1"/>
  <c r="BN282" i="2" s="1"/>
  <c r="BC282" i="2"/>
  <c r="AZ282" i="2"/>
  <c r="AY282" i="2"/>
  <c r="AO282" i="2"/>
  <c r="AN282" i="2"/>
  <c r="AM282" i="2"/>
  <c r="AL282" i="2"/>
  <c r="AK282" i="2"/>
  <c r="AG282" i="2"/>
  <c r="AE282" i="2"/>
  <c r="AF282" i="2" s="1"/>
  <c r="U282" i="2"/>
  <c r="S282" i="2"/>
  <c r="R282" i="2"/>
  <c r="E282"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H281" i="2" s="1"/>
  <c r="DE281" i="2"/>
  <c r="CY281" i="2"/>
  <c r="CZ281" i="2" s="1"/>
  <c r="CF281" i="2"/>
  <c r="CH281" i="2"/>
  <c r="CA281" i="2"/>
  <c r="CW281" i="2"/>
  <c r="BO281" i="2"/>
  <c r="BJ281" i="2"/>
  <c r="BM281" i="2" s="1"/>
  <c r="BN281" i="2" s="1"/>
  <c r="BC281" i="2"/>
  <c r="AZ281" i="2"/>
  <c r="AY281" i="2"/>
  <c r="AO281" i="2"/>
  <c r="AN281" i="2"/>
  <c r="AM281" i="2"/>
  <c r="AL281" i="2"/>
  <c r="AK281" i="2"/>
  <c r="AG281" i="2"/>
  <c r="AE281" i="2"/>
  <c r="AF281" i="2" s="1"/>
  <c r="U281" i="2"/>
  <c r="S281" i="2"/>
  <c r="R281" i="2"/>
  <c r="E281" i="2"/>
  <c r="GR280" i="2"/>
  <c r="GS280" i="2" s="1"/>
  <c r="GP280" i="2"/>
  <c r="GQ280" i="2" s="1"/>
  <c r="GN280" i="2"/>
  <c r="GO280" i="2" s="1"/>
  <c r="GL280" i="2"/>
  <c r="GM280" i="2" s="1"/>
  <c r="GH280" i="2"/>
  <c r="GG280" i="2"/>
  <c r="GI280" i="2" s="1"/>
  <c r="GD280" i="2"/>
  <c r="GC280" i="2"/>
  <c r="GB280" i="2"/>
  <c r="FY280" i="2"/>
  <c r="GA280" i="2" s="1"/>
  <c r="FS280" i="2"/>
  <c r="FT280" i="2" s="1"/>
  <c r="EW280" i="2"/>
  <c r="ET280" i="2"/>
  <c r="EU280" i="2" s="1"/>
  <c r="EQ280" i="2"/>
  <c r="ER280" i="2" s="1"/>
  <c r="EJ280" i="2"/>
  <c r="EE280" i="2"/>
  <c r="EF280" i="2" s="1"/>
  <c r="DX280" i="2"/>
  <c r="DP280" i="2"/>
  <c r="DF280" i="2"/>
  <c r="DH280" i="2" s="1"/>
  <c r="DE280" i="2"/>
  <c r="CY280" i="2"/>
  <c r="CZ280" i="2" s="1"/>
  <c r="CF280" i="2"/>
  <c r="CH280" i="2"/>
  <c r="CA280" i="2"/>
  <c r="CW280" i="2"/>
  <c r="BO280" i="2"/>
  <c r="BJ280" i="2"/>
  <c r="BM280" i="2" s="1"/>
  <c r="BN280" i="2" s="1"/>
  <c r="BC280" i="2"/>
  <c r="AZ280" i="2"/>
  <c r="AY280" i="2"/>
  <c r="AO280" i="2"/>
  <c r="AN280" i="2"/>
  <c r="AM280" i="2"/>
  <c r="AL280" i="2"/>
  <c r="AK280" i="2"/>
  <c r="AG280" i="2"/>
  <c r="AE280" i="2"/>
  <c r="AF280" i="2" s="1"/>
  <c r="U280" i="2"/>
  <c r="S280" i="2"/>
  <c r="T280" i="2" s="1"/>
  <c r="R280" i="2"/>
  <c r="E280" i="2"/>
  <c r="GR279" i="2"/>
  <c r="GS279" i="2" s="1"/>
  <c r="GP279" i="2"/>
  <c r="GQ279" i="2" s="1"/>
  <c r="DU279" i="2" s="1"/>
  <c r="GN279" i="2"/>
  <c r="GO279" i="2" s="1"/>
  <c r="GL279" i="2"/>
  <c r="GM279" i="2" s="1"/>
  <c r="GH279" i="2"/>
  <c r="GG279" i="2"/>
  <c r="GI279" i="2" s="1"/>
  <c r="GD279" i="2"/>
  <c r="GC279" i="2"/>
  <c r="GB279" i="2"/>
  <c r="FY279" i="2"/>
  <c r="FS279" i="2"/>
  <c r="FT279" i="2" s="1"/>
  <c r="EW279" i="2"/>
  <c r="ET279" i="2"/>
  <c r="EU279" i="2" s="1"/>
  <c r="EQ279" i="2"/>
  <c r="ER279" i="2" s="1"/>
  <c r="EJ279" i="2"/>
  <c r="EE279" i="2"/>
  <c r="EF279" i="2" s="1"/>
  <c r="DX279" i="2"/>
  <c r="DP279" i="2"/>
  <c r="DF279" i="2"/>
  <c r="DH279" i="2" s="1"/>
  <c r="DE279" i="2"/>
  <c r="CY279" i="2"/>
  <c r="CZ279" i="2" s="1"/>
  <c r="CF279" i="2"/>
  <c r="CH279" i="2"/>
  <c r="CA279" i="2"/>
  <c r="CW279" i="2"/>
  <c r="BO279" i="2"/>
  <c r="BJ279" i="2"/>
  <c r="BM279" i="2" s="1"/>
  <c r="BN279" i="2" s="1"/>
  <c r="BC279" i="2"/>
  <c r="AZ279" i="2"/>
  <c r="AY279" i="2"/>
  <c r="AO279" i="2"/>
  <c r="AN279" i="2"/>
  <c r="AM279" i="2"/>
  <c r="AL279" i="2"/>
  <c r="AK279" i="2"/>
  <c r="AG279" i="2"/>
  <c r="AE279" i="2"/>
  <c r="AF279" i="2" s="1"/>
  <c r="U279" i="2"/>
  <c r="S279" i="2"/>
  <c r="T279" i="2" s="1"/>
  <c r="R279" i="2"/>
  <c r="E279" i="2"/>
  <c r="GR278" i="2"/>
  <c r="GS278" i="2" s="1"/>
  <c r="GP278" i="2"/>
  <c r="GQ278" i="2" s="1"/>
  <c r="DU278" i="2" s="1"/>
  <c r="GN278" i="2"/>
  <c r="GO278" i="2" s="1"/>
  <c r="GL278" i="2"/>
  <c r="GM278" i="2" s="1"/>
  <c r="GH278" i="2"/>
  <c r="GG278" i="2"/>
  <c r="GI278" i="2" s="1"/>
  <c r="GD278" i="2"/>
  <c r="GC278" i="2"/>
  <c r="GB278" i="2"/>
  <c r="FY278" i="2"/>
  <c r="FS278" i="2"/>
  <c r="FT278" i="2" s="1"/>
  <c r="EW278" i="2"/>
  <c r="ET278" i="2"/>
  <c r="EU278" i="2" s="1"/>
  <c r="EQ278" i="2"/>
  <c r="ER278" i="2" s="1"/>
  <c r="EJ278" i="2"/>
  <c r="EE278" i="2"/>
  <c r="EF278" i="2" s="1"/>
  <c r="DX278" i="2"/>
  <c r="DP278" i="2"/>
  <c r="DF278" i="2"/>
  <c r="DH278" i="2" s="1"/>
  <c r="DE278" i="2"/>
  <c r="CY278" i="2"/>
  <c r="CZ278" i="2" s="1"/>
  <c r="CF278" i="2"/>
  <c r="CH278" i="2"/>
  <c r="CA278" i="2"/>
  <c r="CW278" i="2"/>
  <c r="BO278" i="2"/>
  <c r="BJ278" i="2"/>
  <c r="BM278" i="2" s="1"/>
  <c r="BN278" i="2" s="1"/>
  <c r="BC278" i="2"/>
  <c r="AZ278" i="2"/>
  <c r="AY278" i="2"/>
  <c r="AO278" i="2"/>
  <c r="AN278" i="2"/>
  <c r="AM278" i="2"/>
  <c r="AL278" i="2"/>
  <c r="AK278" i="2"/>
  <c r="AG278" i="2"/>
  <c r="AE278" i="2"/>
  <c r="AF278" i="2" s="1"/>
  <c r="U278" i="2"/>
  <c r="S278" i="2"/>
  <c r="T278" i="2" s="1"/>
  <c r="R278" i="2"/>
  <c r="E278" i="2"/>
  <c r="GR277" i="2"/>
  <c r="GS277" i="2" s="1"/>
  <c r="GP277" i="2"/>
  <c r="GQ277" i="2" s="1"/>
  <c r="GN277" i="2"/>
  <c r="GO277" i="2" s="1"/>
  <c r="GL277" i="2"/>
  <c r="GM277" i="2" s="1"/>
  <c r="GH277" i="2"/>
  <c r="GG277" i="2"/>
  <c r="GI277" i="2" s="1"/>
  <c r="GD277" i="2"/>
  <c r="GC277" i="2"/>
  <c r="GB277" i="2"/>
  <c r="FY277" i="2"/>
  <c r="FS277" i="2"/>
  <c r="FT277" i="2" s="1"/>
  <c r="EW277" i="2"/>
  <c r="ET277" i="2"/>
  <c r="EU277" i="2" s="1"/>
  <c r="EQ277" i="2"/>
  <c r="ER277" i="2" s="1"/>
  <c r="EJ277" i="2"/>
  <c r="EE277" i="2"/>
  <c r="EF277" i="2" s="1"/>
  <c r="DX277" i="2"/>
  <c r="DP277" i="2"/>
  <c r="DF277" i="2"/>
  <c r="DH277" i="2" s="1"/>
  <c r="DE277" i="2"/>
  <c r="CY277" i="2"/>
  <c r="CZ277" i="2" s="1"/>
  <c r="CF277" i="2"/>
  <c r="CH277" i="2"/>
  <c r="CA277" i="2"/>
  <c r="CW277" i="2"/>
  <c r="BO277" i="2"/>
  <c r="BJ277" i="2"/>
  <c r="BM277" i="2" s="1"/>
  <c r="BN277" i="2" s="1"/>
  <c r="BC277" i="2"/>
  <c r="AZ277" i="2"/>
  <c r="AY277" i="2"/>
  <c r="AO277" i="2"/>
  <c r="AN277" i="2"/>
  <c r="AM277" i="2"/>
  <c r="AL277" i="2"/>
  <c r="AK277" i="2"/>
  <c r="AG277" i="2"/>
  <c r="AE277" i="2"/>
  <c r="AF277" i="2" s="1"/>
  <c r="U277" i="2"/>
  <c r="S277" i="2"/>
  <c r="T277" i="2" s="1"/>
  <c r="R277" i="2"/>
  <c r="E277" i="2"/>
  <c r="GR276" i="2"/>
  <c r="GS276" i="2" s="1"/>
  <c r="GP276" i="2"/>
  <c r="GQ276" i="2" s="1"/>
  <c r="GN276" i="2"/>
  <c r="GO276" i="2" s="1"/>
  <c r="GL276" i="2"/>
  <c r="GM276" i="2" s="1"/>
  <c r="GH276" i="2"/>
  <c r="GG276" i="2"/>
  <c r="GI276" i="2" s="1"/>
  <c r="GD276" i="2"/>
  <c r="GC276" i="2"/>
  <c r="GB276" i="2"/>
  <c r="FY276" i="2"/>
  <c r="GA276" i="2" s="1"/>
  <c r="FS276" i="2"/>
  <c r="FT276" i="2" s="1"/>
  <c r="EW276" i="2"/>
  <c r="ET276" i="2"/>
  <c r="EU276" i="2" s="1"/>
  <c r="EQ276" i="2"/>
  <c r="ER276" i="2" s="1"/>
  <c r="EJ276" i="2"/>
  <c r="EE276" i="2"/>
  <c r="EF276" i="2" s="1"/>
  <c r="DX276" i="2"/>
  <c r="DP276" i="2"/>
  <c r="DF276" i="2"/>
  <c r="DE276" i="2"/>
  <c r="CY276" i="2"/>
  <c r="CZ276" i="2" s="1"/>
  <c r="CF276" i="2"/>
  <c r="CH276" i="2"/>
  <c r="CA276" i="2"/>
  <c r="CW276" i="2"/>
  <c r="BO276" i="2"/>
  <c r="BJ276" i="2"/>
  <c r="BM276" i="2" s="1"/>
  <c r="BN276" i="2" s="1"/>
  <c r="BC276" i="2"/>
  <c r="AZ276" i="2"/>
  <c r="AY276" i="2"/>
  <c r="AO276" i="2"/>
  <c r="AN276" i="2"/>
  <c r="AM276" i="2"/>
  <c r="AL276" i="2"/>
  <c r="AK276" i="2"/>
  <c r="AG276" i="2"/>
  <c r="AE276" i="2"/>
  <c r="AF276" i="2" s="1"/>
  <c r="U276" i="2"/>
  <c r="S276" i="2"/>
  <c r="T276" i="2" s="1"/>
  <c r="R276" i="2"/>
  <c r="E276" i="2"/>
  <c r="GR275" i="2"/>
  <c r="GS275" i="2" s="1"/>
  <c r="GP275" i="2"/>
  <c r="GQ275" i="2" s="1"/>
  <c r="DO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CW275" i="2"/>
  <c r="BO275" i="2"/>
  <c r="BJ275" i="2"/>
  <c r="BC275" i="2"/>
  <c r="AZ275" i="2"/>
  <c r="AY275" i="2"/>
  <c r="AO275" i="2"/>
  <c r="AN275" i="2"/>
  <c r="AM275" i="2"/>
  <c r="AL275" i="2"/>
  <c r="AK275" i="2"/>
  <c r="AG275" i="2"/>
  <c r="AE275" i="2"/>
  <c r="AF275" i="2" s="1"/>
  <c r="U275" i="2"/>
  <c r="S275" i="2"/>
  <c r="T275" i="2" s="1"/>
  <c r="R275" i="2"/>
  <c r="E275" i="2"/>
  <c r="GR274" i="2"/>
  <c r="GS274" i="2" s="1"/>
  <c r="GP274" i="2"/>
  <c r="GQ274" i="2" s="1"/>
  <c r="GN274" i="2"/>
  <c r="GO274" i="2" s="1"/>
  <c r="GL274" i="2"/>
  <c r="GM274" i="2" s="1"/>
  <c r="GH274" i="2"/>
  <c r="GG274" i="2"/>
  <c r="GI274" i="2" s="1"/>
  <c r="GD274" i="2"/>
  <c r="GC274" i="2"/>
  <c r="GB274" i="2"/>
  <c r="FY274" i="2"/>
  <c r="FS274" i="2"/>
  <c r="FT274" i="2" s="1"/>
  <c r="EW274" i="2"/>
  <c r="ET274" i="2"/>
  <c r="EU274" i="2" s="1"/>
  <c r="EQ274" i="2"/>
  <c r="ER274" i="2" s="1"/>
  <c r="EJ274" i="2"/>
  <c r="EE274" i="2"/>
  <c r="EF274" i="2" s="1"/>
  <c r="DX274" i="2"/>
  <c r="DP274" i="2"/>
  <c r="DF274" i="2"/>
  <c r="DH274" i="2" s="1"/>
  <c r="DE274" i="2"/>
  <c r="CY274" i="2"/>
  <c r="CZ274" i="2" s="1"/>
  <c r="CF274" i="2"/>
  <c r="CH274" i="2"/>
  <c r="CA274" i="2"/>
  <c r="BO274" i="2"/>
  <c r="BJ274" i="2"/>
  <c r="BM274" i="2" s="1"/>
  <c r="BN274" i="2" s="1"/>
  <c r="BC274" i="2"/>
  <c r="AZ274" i="2"/>
  <c r="AY274" i="2"/>
  <c r="AO274" i="2"/>
  <c r="AN274" i="2"/>
  <c r="AM274" i="2"/>
  <c r="AL274" i="2"/>
  <c r="AK274" i="2"/>
  <c r="AG274" i="2"/>
  <c r="AE274" i="2"/>
  <c r="AF274" i="2" s="1"/>
  <c r="U274" i="2"/>
  <c r="S274" i="2"/>
  <c r="R274" i="2"/>
  <c r="Y274" i="2" s="1"/>
  <c r="AB274" i="2" s="1"/>
  <c r="E274" i="2"/>
  <c r="GR273" i="2"/>
  <c r="GS273" i="2" s="1"/>
  <c r="GP273" i="2"/>
  <c r="GQ273" i="2" s="1"/>
  <c r="GN273" i="2"/>
  <c r="GO273" i="2" s="1"/>
  <c r="GL273" i="2"/>
  <c r="GM273" i="2" s="1"/>
  <c r="GH273" i="2"/>
  <c r="GG273" i="2"/>
  <c r="GI273" i="2" s="1"/>
  <c r="GD273" i="2"/>
  <c r="GC273" i="2"/>
  <c r="GB273" i="2"/>
  <c r="FY273" i="2"/>
  <c r="FS273" i="2"/>
  <c r="FT273" i="2" s="1"/>
  <c r="EW273" i="2"/>
  <c r="ET273" i="2"/>
  <c r="EU273" i="2" s="1"/>
  <c r="EQ273" i="2"/>
  <c r="ER273" i="2" s="1"/>
  <c r="EJ273" i="2"/>
  <c r="EE273" i="2"/>
  <c r="EF273" i="2" s="1"/>
  <c r="DX273" i="2"/>
  <c r="DP273" i="2"/>
  <c r="DF273" i="2"/>
  <c r="DH273" i="2" s="1"/>
  <c r="DE273" i="2"/>
  <c r="CY273" i="2"/>
  <c r="CZ273" i="2" s="1"/>
  <c r="CF273" i="2"/>
  <c r="CH273" i="2"/>
  <c r="CA273" i="2"/>
  <c r="BO273" i="2"/>
  <c r="BJ273" i="2"/>
  <c r="BM273" i="2" s="1"/>
  <c r="BN273" i="2" s="1"/>
  <c r="AZ273" i="2"/>
  <c r="AY273" i="2"/>
  <c r="AO273" i="2"/>
  <c r="AN273" i="2"/>
  <c r="AM273" i="2"/>
  <c r="AL273" i="2"/>
  <c r="AK273" i="2"/>
  <c r="AG273" i="2"/>
  <c r="AE273" i="2"/>
  <c r="AF273" i="2" s="1"/>
  <c r="U273" i="2"/>
  <c r="S273" i="2"/>
  <c r="T273" i="2" s="1"/>
  <c r="R273" i="2"/>
  <c r="X273" i="2" s="1"/>
  <c r="E273" i="2"/>
  <c r="GR272" i="2"/>
  <c r="GS272" i="2" s="1"/>
  <c r="GP272" i="2"/>
  <c r="GQ272" i="2" s="1"/>
  <c r="GN272" i="2"/>
  <c r="GO272" i="2" s="1"/>
  <c r="GL272" i="2"/>
  <c r="GM272" i="2" s="1"/>
  <c r="GH272" i="2"/>
  <c r="GG272" i="2"/>
  <c r="GI272" i="2" s="1"/>
  <c r="GD272" i="2"/>
  <c r="GC272" i="2"/>
  <c r="GB272" i="2"/>
  <c r="FY272" i="2"/>
  <c r="GA272" i="2" s="1"/>
  <c r="FS272" i="2"/>
  <c r="FT272" i="2" s="1"/>
  <c r="EW272" i="2"/>
  <c r="ET272" i="2"/>
  <c r="EU272" i="2" s="1"/>
  <c r="EQ272" i="2"/>
  <c r="ER272" i="2" s="1"/>
  <c r="EJ272" i="2"/>
  <c r="EE272" i="2"/>
  <c r="EF272" i="2" s="1"/>
  <c r="DX272" i="2"/>
  <c r="DP272" i="2"/>
  <c r="DF272" i="2"/>
  <c r="DH272" i="2" s="1"/>
  <c r="DE272" i="2"/>
  <c r="CY272" i="2"/>
  <c r="CZ272" i="2" s="1"/>
  <c r="CF272" i="2"/>
  <c r="CH272" i="2"/>
  <c r="CA272" i="2"/>
  <c r="BO272" i="2"/>
  <c r="BJ272" i="2"/>
  <c r="BM272" i="2" s="1"/>
  <c r="BN272" i="2" s="1"/>
  <c r="BC272" i="2"/>
  <c r="AZ272" i="2"/>
  <c r="AY272" i="2"/>
  <c r="AO272" i="2"/>
  <c r="AN272" i="2"/>
  <c r="AM272" i="2"/>
  <c r="AL272" i="2"/>
  <c r="AK272" i="2"/>
  <c r="AG272" i="2"/>
  <c r="AE272" i="2"/>
  <c r="AF272" i="2" s="1"/>
  <c r="U272" i="2"/>
  <c r="S272" i="2"/>
  <c r="T272" i="2" s="1"/>
  <c r="R272" i="2"/>
  <c r="Y272" i="2" s="1"/>
  <c r="AB272" i="2" s="1"/>
  <c r="E272" i="2"/>
  <c r="GR271" i="2"/>
  <c r="GS271" i="2" s="1"/>
  <c r="GP271" i="2"/>
  <c r="GQ271" i="2" s="1"/>
  <c r="GN271" i="2"/>
  <c r="GO271" i="2" s="1"/>
  <c r="GL271" i="2"/>
  <c r="GM271" i="2" s="1"/>
  <c r="GH271" i="2"/>
  <c r="GG271" i="2"/>
  <c r="GI271" i="2" s="1"/>
  <c r="GD271" i="2"/>
  <c r="GC271" i="2"/>
  <c r="GB271" i="2"/>
  <c r="FY271" i="2"/>
  <c r="FS271" i="2"/>
  <c r="FT271" i="2" s="1"/>
  <c r="EW271" i="2"/>
  <c r="ET271" i="2"/>
  <c r="EU271" i="2" s="1"/>
  <c r="EQ271" i="2"/>
  <c r="ER271" i="2" s="1"/>
  <c r="EJ271" i="2"/>
  <c r="EE271" i="2"/>
  <c r="EF271" i="2" s="1"/>
  <c r="DX271" i="2"/>
  <c r="DP271" i="2"/>
  <c r="DF271" i="2"/>
  <c r="DH271" i="2" s="1"/>
  <c r="DE271" i="2"/>
  <c r="CY271" i="2"/>
  <c r="CZ271" i="2" s="1"/>
  <c r="CF271" i="2"/>
  <c r="CH271" i="2"/>
  <c r="CA271" i="2"/>
  <c r="BO271" i="2"/>
  <c r="BJ271" i="2"/>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EE270" i="2"/>
  <c r="EF270" i="2" s="1"/>
  <c r="DX270" i="2"/>
  <c r="DP270" i="2"/>
  <c r="DF270" i="2"/>
  <c r="DH270" i="2" s="1"/>
  <c r="DE270" i="2"/>
  <c r="CY270" i="2"/>
  <c r="CZ270" i="2" s="1"/>
  <c r="CF270" i="2"/>
  <c r="CH270" i="2"/>
  <c r="CA270" i="2"/>
  <c r="BO270" i="2"/>
  <c r="BJ270" i="2"/>
  <c r="BM270" i="2" s="1"/>
  <c r="BN270" i="2" s="1"/>
  <c r="BC270" i="2"/>
  <c r="AZ270" i="2"/>
  <c r="AY270" i="2"/>
  <c r="AO270" i="2"/>
  <c r="AN270" i="2"/>
  <c r="AM270" i="2"/>
  <c r="AL270" i="2"/>
  <c r="AK270" i="2"/>
  <c r="AG270" i="2"/>
  <c r="AE270" i="2"/>
  <c r="AF270" i="2" s="1"/>
  <c r="U270" i="2"/>
  <c r="S270" i="2"/>
  <c r="T270" i="2" s="1"/>
  <c r="R270" i="2"/>
  <c r="Y270" i="2" s="1"/>
  <c r="AB270" i="2" s="1"/>
  <c r="E270" i="2"/>
  <c r="GR269" i="2"/>
  <c r="GS269" i="2" s="1"/>
  <c r="GP269" i="2"/>
  <c r="GQ269" i="2" s="1"/>
  <c r="GN269" i="2"/>
  <c r="GO269" i="2" s="1"/>
  <c r="GL269" i="2"/>
  <c r="GM269" i="2" s="1"/>
  <c r="GH269" i="2"/>
  <c r="GG269" i="2"/>
  <c r="GI269" i="2" s="1"/>
  <c r="GD269" i="2"/>
  <c r="GC269" i="2"/>
  <c r="GB269" i="2"/>
  <c r="FY269" i="2"/>
  <c r="FS269" i="2"/>
  <c r="FT269" i="2" s="1"/>
  <c r="EW269" i="2"/>
  <c r="ET269" i="2"/>
  <c r="EU269" i="2" s="1"/>
  <c r="EQ269" i="2"/>
  <c r="ER269" i="2" s="1"/>
  <c r="EJ269" i="2"/>
  <c r="EE269" i="2"/>
  <c r="EF269" i="2" s="1"/>
  <c r="DX269" i="2"/>
  <c r="DP269" i="2"/>
  <c r="DF269" i="2"/>
  <c r="DH269" i="2" s="1"/>
  <c r="DE269" i="2"/>
  <c r="CY269" i="2"/>
  <c r="CZ269" i="2" s="1"/>
  <c r="CF269" i="2"/>
  <c r="CH269" i="2"/>
  <c r="CA269" i="2"/>
  <c r="BO269" i="2"/>
  <c r="BJ269" i="2"/>
  <c r="BM269" i="2" s="1"/>
  <c r="BN269" i="2" s="1"/>
  <c r="BC269" i="2"/>
  <c r="AZ269" i="2"/>
  <c r="AY269" i="2"/>
  <c r="AO269" i="2"/>
  <c r="AN269" i="2"/>
  <c r="AM269" i="2"/>
  <c r="AL269" i="2"/>
  <c r="AK269" i="2"/>
  <c r="AG269" i="2"/>
  <c r="AE269" i="2"/>
  <c r="AF269" i="2" s="1"/>
  <c r="U269" i="2"/>
  <c r="S269" i="2"/>
  <c r="T269" i="2" s="1"/>
  <c r="R269" i="2"/>
  <c r="Y269" i="2" s="1"/>
  <c r="AB269" i="2" s="1"/>
  <c r="E269" i="2"/>
  <c r="GR268" i="2"/>
  <c r="GS268" i="2" s="1"/>
  <c r="GP268" i="2"/>
  <c r="GQ268" i="2" s="1"/>
  <c r="DO268" i="2" s="1"/>
  <c r="DQ268" i="2" s="1"/>
  <c r="DR268" i="2" s="1"/>
  <c r="GN268" i="2"/>
  <c r="GO268" i="2" s="1"/>
  <c r="GL268" i="2"/>
  <c r="GM268" i="2" s="1"/>
  <c r="GH268" i="2"/>
  <c r="GG268" i="2"/>
  <c r="GI268" i="2" s="1"/>
  <c r="GD268" i="2"/>
  <c r="GC268" i="2"/>
  <c r="GB268" i="2"/>
  <c r="FY268" i="2"/>
  <c r="FS268" i="2"/>
  <c r="FT268" i="2" s="1"/>
  <c r="EW268" i="2"/>
  <c r="ET268" i="2"/>
  <c r="EU268" i="2" s="1"/>
  <c r="EQ268" i="2"/>
  <c r="ER268" i="2" s="1"/>
  <c r="EJ268" i="2"/>
  <c r="EE268" i="2"/>
  <c r="EF268" i="2" s="1"/>
  <c r="DX268" i="2"/>
  <c r="DP268" i="2"/>
  <c r="DF268" i="2"/>
  <c r="DH268" i="2" s="1"/>
  <c r="DE268" i="2"/>
  <c r="CY268" i="2"/>
  <c r="CZ268" i="2" s="1"/>
  <c r="CF268" i="2"/>
  <c r="CH268" i="2"/>
  <c r="CA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35" i="2"/>
  <c r="GS235" i="2" s="1"/>
  <c r="GP235" i="2"/>
  <c r="GQ235" i="2" s="1"/>
  <c r="DO235" i="2" s="1"/>
  <c r="DS235" i="2" s="1"/>
  <c r="GL235" i="2"/>
  <c r="GM235" i="2" s="1"/>
  <c r="GG235" i="2"/>
  <c r="GI235" i="2" s="1"/>
  <c r="GD235" i="2"/>
  <c r="GC235" i="2"/>
  <c r="GB235" i="2"/>
  <c r="FY235" i="2"/>
  <c r="FZ235" i="2" s="1"/>
  <c r="FS235" i="2"/>
  <c r="FT235" i="2" s="1"/>
  <c r="EW235" i="2"/>
  <c r="ET235" i="2"/>
  <c r="EU235" i="2" s="1"/>
  <c r="EQ235" i="2"/>
  <c r="ER235" i="2" s="1"/>
  <c r="EJ235" i="2"/>
  <c r="EE235" i="2"/>
  <c r="EF235" i="2" s="1"/>
  <c r="DX235" i="2"/>
  <c r="DP235" i="2"/>
  <c r="DF235" i="2"/>
  <c r="DE235" i="2"/>
  <c r="CY235" i="2"/>
  <c r="CF235" i="2"/>
  <c r="CH235" i="2"/>
  <c r="CA235" i="2"/>
  <c r="BO235" i="2"/>
  <c r="BJ235" i="2"/>
  <c r="BM235" i="2" s="1"/>
  <c r="BN235" i="2" s="1"/>
  <c r="BC235" i="2"/>
  <c r="AZ235" i="2"/>
  <c r="AY235" i="2"/>
  <c r="AO235" i="2"/>
  <c r="AN235" i="2"/>
  <c r="AM235" i="2"/>
  <c r="AL235" i="2"/>
  <c r="AK235" i="2"/>
  <c r="AG235" i="2"/>
  <c r="AE235" i="2"/>
  <c r="AF235" i="2" s="1"/>
  <c r="S235" i="2"/>
  <c r="T235" i="2" s="1"/>
  <c r="U235" i="2" s="1"/>
  <c r="R235" i="2"/>
  <c r="Y235" i="2" s="1"/>
  <c r="AB235" i="2" s="1"/>
  <c r="E235" i="2"/>
  <c r="GP244" i="2"/>
  <c r="GQ244" i="2" s="1"/>
  <c r="DO244" i="2" s="1"/>
  <c r="GL244" i="2"/>
  <c r="GM244" i="2" s="1"/>
  <c r="GG244" i="2"/>
  <c r="GI244" i="2" s="1"/>
  <c r="GD244" i="2"/>
  <c r="GC244" i="2"/>
  <c r="GB244" i="2"/>
  <c r="FY244" i="2"/>
  <c r="FS244" i="2"/>
  <c r="FT244" i="2" s="1"/>
  <c r="EW244" i="2"/>
  <c r="ET244" i="2"/>
  <c r="EU244" i="2" s="1"/>
  <c r="EQ244" i="2"/>
  <c r="ER244" i="2" s="1"/>
  <c r="FJ244" i="2" s="1"/>
  <c r="EJ244" i="2"/>
  <c r="EE244" i="2"/>
  <c r="EF244" i="2" s="1"/>
  <c r="DX244" i="2"/>
  <c r="DP244" i="2"/>
  <c r="DF244" i="2"/>
  <c r="DE244" i="2"/>
  <c r="CY244" i="2"/>
  <c r="CF244" i="2"/>
  <c r="CA244" i="2"/>
  <c r="BO244" i="2"/>
  <c r="BJ244" i="2"/>
  <c r="BM244" i="2" s="1"/>
  <c r="BN244" i="2" s="1"/>
  <c r="BC244" i="2"/>
  <c r="AZ244" i="2"/>
  <c r="AY244" i="2"/>
  <c r="AO244" i="2"/>
  <c r="AN244" i="2"/>
  <c r="AM244" i="2"/>
  <c r="AL244" i="2"/>
  <c r="AK244" i="2"/>
  <c r="AG244" i="2"/>
  <c r="AE244" i="2"/>
  <c r="AF244" i="2" s="1"/>
  <c r="S244" i="2"/>
  <c r="T244" i="2" s="1"/>
  <c r="U244" i="2" s="1"/>
  <c r="R244" i="2"/>
  <c r="Y244" i="2" s="1"/>
  <c r="AB244" i="2" s="1"/>
  <c r="E244" i="2"/>
  <c r="GR262" i="2"/>
  <c r="GS262" i="2" s="1"/>
  <c r="GP262" i="2"/>
  <c r="GQ262" i="2" s="1"/>
  <c r="DU262" i="2" s="1"/>
  <c r="GN262" i="2"/>
  <c r="GO262" i="2" s="1"/>
  <c r="GL262" i="2"/>
  <c r="GM262" i="2" s="1"/>
  <c r="GH262" i="2"/>
  <c r="GG262" i="2"/>
  <c r="GI262" i="2" s="1"/>
  <c r="GD262" i="2"/>
  <c r="GC262" i="2"/>
  <c r="GB262" i="2"/>
  <c r="FY262" i="2"/>
  <c r="GA262" i="2" s="1"/>
  <c r="FS262" i="2"/>
  <c r="FT262" i="2" s="1"/>
  <c r="EW262" i="2"/>
  <c r="ET262" i="2"/>
  <c r="EU262" i="2" s="1"/>
  <c r="EQ262" i="2"/>
  <c r="ER262" i="2" s="1"/>
  <c r="EJ262" i="2"/>
  <c r="EE262" i="2"/>
  <c r="EF262" i="2" s="1"/>
  <c r="DX262" i="2"/>
  <c r="DP262" i="2"/>
  <c r="DF262" i="2"/>
  <c r="DG262" i="2" s="1"/>
  <c r="DE262" i="2"/>
  <c r="CY262" i="2"/>
  <c r="CZ262" i="2" s="1"/>
  <c r="CF262" i="2"/>
  <c r="CA262" i="2"/>
  <c r="DA262" i="2"/>
  <c r="DB262" i="2" s="1"/>
  <c r="BO262" i="2"/>
  <c r="BJ262" i="2"/>
  <c r="BM262" i="2" s="1"/>
  <c r="BN262" i="2" s="1"/>
  <c r="BC262" i="2"/>
  <c r="AZ262" i="2"/>
  <c r="AY262" i="2"/>
  <c r="AO262" i="2"/>
  <c r="AN262" i="2"/>
  <c r="AM262" i="2"/>
  <c r="AL262" i="2"/>
  <c r="AK262" i="2"/>
  <c r="AG262" i="2"/>
  <c r="AE262" i="2"/>
  <c r="AF262" i="2" s="1"/>
  <c r="U262" i="2"/>
  <c r="S262" i="2"/>
  <c r="T262" i="2" s="1"/>
  <c r="R262" i="2"/>
  <c r="Y262" i="2" s="1"/>
  <c r="AB262" i="2" s="1"/>
  <c r="E262" i="2"/>
  <c r="GR263" i="2"/>
  <c r="GS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H263" i="2" s="1"/>
  <c r="DE263" i="2"/>
  <c r="CY263" i="2"/>
  <c r="CZ263" i="2" s="1"/>
  <c r="CF263" i="2"/>
  <c r="CA263" i="2"/>
  <c r="BO263" i="2"/>
  <c r="BJ263" i="2"/>
  <c r="BM263" i="2" s="1"/>
  <c r="BN263" i="2" s="1"/>
  <c r="BC263" i="2"/>
  <c r="AZ263" i="2"/>
  <c r="AY263" i="2"/>
  <c r="AO263" i="2"/>
  <c r="AN263" i="2"/>
  <c r="AM263" i="2"/>
  <c r="AL263" i="2"/>
  <c r="AK263" i="2"/>
  <c r="AG263" i="2"/>
  <c r="AE263" i="2"/>
  <c r="AF263" i="2" s="1"/>
  <c r="U263" i="2"/>
  <c r="S263" i="2"/>
  <c r="T263" i="2" s="1"/>
  <c r="R263" i="2"/>
  <c r="Y263" i="2" s="1"/>
  <c r="AB263" i="2" s="1"/>
  <c r="E263" i="2"/>
  <c r="GR260" i="2"/>
  <c r="GS260" i="2" s="1"/>
  <c r="GP260" i="2"/>
  <c r="GQ260" i="2" s="1"/>
  <c r="GN260" i="2"/>
  <c r="GO260" i="2" s="1"/>
  <c r="GL260" i="2"/>
  <c r="GM260" i="2" s="1"/>
  <c r="GH260" i="2"/>
  <c r="GG260" i="2"/>
  <c r="GI260" i="2" s="1"/>
  <c r="GD260" i="2"/>
  <c r="GC260" i="2"/>
  <c r="GB260" i="2"/>
  <c r="FY260" i="2"/>
  <c r="FS260" i="2"/>
  <c r="FT260" i="2" s="1"/>
  <c r="EW260" i="2"/>
  <c r="ET260" i="2"/>
  <c r="EU260" i="2" s="1"/>
  <c r="EQ260" i="2"/>
  <c r="ER260" i="2" s="1"/>
  <c r="EJ260" i="2"/>
  <c r="DX260" i="2"/>
  <c r="DP260" i="2"/>
  <c r="DF260" i="2"/>
  <c r="DH260" i="2" s="1"/>
  <c r="DE260" i="2"/>
  <c r="CY260" i="2"/>
  <c r="CZ260" i="2" s="1"/>
  <c r="CF260" i="2"/>
  <c r="CA260" i="2"/>
  <c r="BO260" i="2"/>
  <c r="BJ260" i="2"/>
  <c r="BM260" i="2" s="1"/>
  <c r="BN260" i="2" s="1"/>
  <c r="BC260" i="2"/>
  <c r="AZ260" i="2"/>
  <c r="AY260" i="2"/>
  <c r="AO260" i="2"/>
  <c r="AN260" i="2"/>
  <c r="AM260" i="2"/>
  <c r="AL260" i="2"/>
  <c r="AK260" i="2"/>
  <c r="AG260" i="2"/>
  <c r="AE260" i="2"/>
  <c r="AF260" i="2" s="1"/>
  <c r="U260" i="2"/>
  <c r="S260" i="2"/>
  <c r="T260" i="2" s="1"/>
  <c r="R260" i="2"/>
  <c r="Y260" i="2" s="1"/>
  <c r="AB260" i="2" s="1"/>
  <c r="E260" i="2"/>
  <c r="GR259" i="2"/>
  <c r="GS259" i="2" s="1"/>
  <c r="GP259" i="2"/>
  <c r="GQ259" i="2" s="1"/>
  <c r="DO259" i="2" s="1"/>
  <c r="DQ259" i="2" s="1"/>
  <c r="DR259" i="2" s="1"/>
  <c r="GN259" i="2"/>
  <c r="GO259" i="2" s="1"/>
  <c r="GL259" i="2"/>
  <c r="GM259" i="2" s="1"/>
  <c r="GG259" i="2"/>
  <c r="GI259" i="2" s="1"/>
  <c r="GD259" i="2"/>
  <c r="GC259" i="2"/>
  <c r="GB259" i="2"/>
  <c r="FY259" i="2"/>
  <c r="FS259" i="2"/>
  <c r="FT259" i="2" s="1"/>
  <c r="EW259" i="2"/>
  <c r="ET259" i="2"/>
  <c r="EU259" i="2" s="1"/>
  <c r="EQ259" i="2"/>
  <c r="ER259" i="2" s="1"/>
  <c r="EJ259" i="2"/>
  <c r="EE259" i="2"/>
  <c r="EF259" i="2" s="1"/>
  <c r="DX259" i="2"/>
  <c r="DP259" i="2"/>
  <c r="DF259" i="2"/>
  <c r="DH259" i="2" s="1"/>
  <c r="DE259" i="2"/>
  <c r="CY259" i="2"/>
  <c r="CZ259" i="2" s="1"/>
  <c r="CF259" i="2"/>
  <c r="CH259" i="2"/>
  <c r="CA259" i="2"/>
  <c r="BO259" i="2"/>
  <c r="BJ259" i="2"/>
  <c r="BM259" i="2" s="1"/>
  <c r="BN259" i="2" s="1"/>
  <c r="BC259" i="2"/>
  <c r="AZ259" i="2"/>
  <c r="AY259" i="2"/>
  <c r="AO259" i="2"/>
  <c r="AN259" i="2"/>
  <c r="AM259" i="2"/>
  <c r="AL259" i="2"/>
  <c r="AK259" i="2"/>
  <c r="AG259" i="2"/>
  <c r="AE259" i="2"/>
  <c r="AF259" i="2" s="1"/>
  <c r="S259" i="2"/>
  <c r="T259" i="2" s="1"/>
  <c r="U259" i="2" s="1"/>
  <c r="R259" i="2"/>
  <c r="E259" i="2"/>
  <c r="GN258" i="2"/>
  <c r="GO258" i="2" s="1"/>
  <c r="GL258" i="2"/>
  <c r="GM258" i="2" s="1"/>
  <c r="GH258" i="2"/>
  <c r="GG258" i="2"/>
  <c r="GI258" i="2" s="1"/>
  <c r="GD258" i="2"/>
  <c r="GC258" i="2"/>
  <c r="GB258" i="2"/>
  <c r="FY258" i="2"/>
  <c r="FS258" i="2"/>
  <c r="FT258" i="2" s="1"/>
  <c r="EW258" i="2"/>
  <c r="ET258" i="2"/>
  <c r="EU258" i="2" s="1"/>
  <c r="EQ258" i="2"/>
  <c r="ER258" i="2" s="1"/>
  <c r="EJ258" i="2"/>
  <c r="EE258" i="2"/>
  <c r="EF258" i="2" s="1"/>
  <c r="DX258" i="2"/>
  <c r="DP258" i="2"/>
  <c r="DF258" i="2"/>
  <c r="DH258" i="2" s="1"/>
  <c r="DE258" i="2"/>
  <c r="CY258" i="2"/>
  <c r="CZ258" i="2" s="1"/>
  <c r="CF258" i="2"/>
  <c r="CH258" i="2"/>
  <c r="CA258" i="2"/>
  <c r="BO258" i="2"/>
  <c r="BJ258" i="2"/>
  <c r="BM258" i="2" s="1"/>
  <c r="BN258" i="2" s="1"/>
  <c r="BC258" i="2"/>
  <c r="AZ258" i="2"/>
  <c r="AY258" i="2"/>
  <c r="AO258" i="2"/>
  <c r="AN258" i="2"/>
  <c r="AM258" i="2"/>
  <c r="AL258" i="2"/>
  <c r="AK258" i="2"/>
  <c r="AG258" i="2"/>
  <c r="AE258" i="2"/>
  <c r="AF258" i="2" s="1"/>
  <c r="U258" i="2"/>
  <c r="S258" i="2"/>
  <c r="T258" i="2" s="1"/>
  <c r="R258" i="2"/>
  <c r="E258" i="2"/>
  <c r="GP311" i="2"/>
  <c r="GQ311" i="2" s="1"/>
  <c r="GL311" i="2"/>
  <c r="GM311" i="2" s="1"/>
  <c r="GG311" i="2"/>
  <c r="GI311" i="2" s="1"/>
  <c r="GD311" i="2"/>
  <c r="GC311" i="2"/>
  <c r="GB311" i="2"/>
  <c r="FY311" i="2"/>
  <c r="FS311" i="2"/>
  <c r="FT311" i="2" s="1"/>
  <c r="EW311" i="2"/>
  <c r="ET311" i="2"/>
  <c r="EU311" i="2" s="1"/>
  <c r="EQ311" i="2"/>
  <c r="ER311" i="2" s="1"/>
  <c r="FJ311" i="2" s="1"/>
  <c r="EJ311" i="2"/>
  <c r="EE311" i="2"/>
  <c r="EF311" i="2" s="1"/>
  <c r="DX311" i="2"/>
  <c r="DP311" i="2"/>
  <c r="DF311" i="2"/>
  <c r="DE311" i="2"/>
  <c r="CY311" i="2"/>
  <c r="CF311" i="2"/>
  <c r="CH311" i="2"/>
  <c r="CA311" i="2"/>
  <c r="BO311" i="2"/>
  <c r="BJ311" i="2"/>
  <c r="BK311" i="2" s="1"/>
  <c r="CL311" i="2" s="1"/>
  <c r="BC311" i="2"/>
  <c r="AZ311" i="2"/>
  <c r="AY311" i="2"/>
  <c r="AO311" i="2"/>
  <c r="AN311" i="2"/>
  <c r="AM311" i="2"/>
  <c r="AL311" i="2"/>
  <c r="AK311" i="2"/>
  <c r="AG311" i="2"/>
  <c r="AE311" i="2"/>
  <c r="AF311" i="2" s="1"/>
  <c r="S311" i="2"/>
  <c r="T311" i="2" s="1"/>
  <c r="U311" i="2" s="1"/>
  <c r="R311" i="2"/>
  <c r="Y311" i="2" s="1"/>
  <c r="AB311" i="2" s="1"/>
  <c r="E311" i="2"/>
  <c r="GR256" i="2"/>
  <c r="GS256" i="2" s="1"/>
  <c r="GP256" i="2"/>
  <c r="GQ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H256" i="2" s="1"/>
  <c r="DE256" i="2"/>
  <c r="CY256" i="2"/>
  <c r="CZ256" i="2" s="1"/>
  <c r="CF256" i="2"/>
  <c r="CH256" i="2"/>
  <c r="CA256" i="2"/>
  <c r="CR256" i="2"/>
  <c r="BO256" i="2"/>
  <c r="BJ256" i="2"/>
  <c r="BK256" i="2" s="1"/>
  <c r="CL256" i="2" s="1"/>
  <c r="BC256" i="2"/>
  <c r="AZ256" i="2"/>
  <c r="AY256" i="2"/>
  <c r="AO256" i="2"/>
  <c r="AN256" i="2"/>
  <c r="AM256" i="2"/>
  <c r="AL256" i="2"/>
  <c r="AK256" i="2"/>
  <c r="AG256" i="2"/>
  <c r="AE256" i="2"/>
  <c r="AF256" i="2" s="1"/>
  <c r="U256" i="2"/>
  <c r="S256" i="2"/>
  <c r="T256" i="2" s="1"/>
  <c r="R256" i="2"/>
  <c r="Y256" i="2" s="1"/>
  <c r="AB256" i="2" s="1"/>
  <c r="E256" i="2"/>
  <c r="GR255" i="2"/>
  <c r="GS255" i="2" s="1"/>
  <c r="GP255" i="2"/>
  <c r="GQ255" i="2" s="1"/>
  <c r="GN255" i="2"/>
  <c r="GO255" i="2" s="1"/>
  <c r="GL255" i="2"/>
  <c r="GM255" i="2" s="1"/>
  <c r="GH255" i="2"/>
  <c r="GG255" i="2"/>
  <c r="GI255" i="2" s="1"/>
  <c r="GD255" i="2"/>
  <c r="GC255" i="2"/>
  <c r="GB255" i="2"/>
  <c r="FY255" i="2"/>
  <c r="FS255" i="2"/>
  <c r="FT255" i="2" s="1"/>
  <c r="EW255" i="2"/>
  <c r="ET255" i="2"/>
  <c r="EU255" i="2" s="1"/>
  <c r="EQ255" i="2"/>
  <c r="ER255" i="2" s="1"/>
  <c r="EJ255" i="2"/>
  <c r="EE255" i="2"/>
  <c r="EF255" i="2" s="1"/>
  <c r="DX255" i="2"/>
  <c r="DP255" i="2"/>
  <c r="DF255" i="2"/>
  <c r="DH255" i="2" s="1"/>
  <c r="DE255" i="2"/>
  <c r="CY255" i="2"/>
  <c r="CZ255" i="2" s="1"/>
  <c r="CF255" i="2"/>
  <c r="CH255" i="2"/>
  <c r="CA255" i="2"/>
  <c r="CR255" i="2"/>
  <c r="BO255" i="2"/>
  <c r="BJ255" i="2"/>
  <c r="BK255" i="2" s="1"/>
  <c r="CL255" i="2" s="1"/>
  <c r="BC255" i="2"/>
  <c r="AZ255" i="2"/>
  <c r="AY255" i="2"/>
  <c r="AO255" i="2"/>
  <c r="AN255" i="2"/>
  <c r="AM255" i="2"/>
  <c r="AL255" i="2"/>
  <c r="AK255" i="2"/>
  <c r="AG255" i="2"/>
  <c r="AE255" i="2"/>
  <c r="AF255" i="2" s="1"/>
  <c r="U255" i="2"/>
  <c r="S255" i="2"/>
  <c r="T255" i="2" s="1"/>
  <c r="R255" i="2"/>
  <c r="Y255" i="2" s="1"/>
  <c r="AB255" i="2" s="1"/>
  <c r="E255" i="2"/>
  <c r="GR254" i="2"/>
  <c r="GS254" i="2" s="1"/>
  <c r="GP254" i="2"/>
  <c r="GQ254" i="2" s="1"/>
  <c r="DO254" i="2" s="1"/>
  <c r="GN254" i="2"/>
  <c r="GO254" i="2" s="1"/>
  <c r="GL254" i="2"/>
  <c r="GM254" i="2" s="1"/>
  <c r="GH254" i="2"/>
  <c r="GG254" i="2"/>
  <c r="GI254" i="2" s="1"/>
  <c r="GD254" i="2"/>
  <c r="GC254" i="2"/>
  <c r="GB254" i="2"/>
  <c r="FY254" i="2"/>
  <c r="FS254" i="2"/>
  <c r="FT254" i="2" s="1"/>
  <c r="EW254" i="2"/>
  <c r="ET254" i="2"/>
  <c r="EU254" i="2" s="1"/>
  <c r="EQ254" i="2"/>
  <c r="ER254" i="2" s="1"/>
  <c r="EJ254" i="2"/>
  <c r="EE254" i="2"/>
  <c r="EF254" i="2" s="1"/>
  <c r="DX254" i="2"/>
  <c r="DP254" i="2"/>
  <c r="DF254" i="2"/>
  <c r="DH254" i="2" s="1"/>
  <c r="DE254" i="2"/>
  <c r="CY254" i="2"/>
  <c r="CZ254" i="2" s="1"/>
  <c r="CF254" i="2"/>
  <c r="CH254" i="2"/>
  <c r="CA254" i="2"/>
  <c r="CR254" i="2"/>
  <c r="BO254" i="2"/>
  <c r="BJ254" i="2"/>
  <c r="BK254" i="2" s="1"/>
  <c r="CL254" i="2" s="1"/>
  <c r="BC254" i="2"/>
  <c r="AZ254" i="2"/>
  <c r="AY254" i="2"/>
  <c r="AO254" i="2"/>
  <c r="AN254" i="2"/>
  <c r="AM254" i="2"/>
  <c r="AL254" i="2"/>
  <c r="AK254" i="2"/>
  <c r="AG254" i="2"/>
  <c r="AE254" i="2"/>
  <c r="AF254" i="2" s="1"/>
  <c r="U254" i="2"/>
  <c r="S254" i="2"/>
  <c r="T254" i="2" s="1"/>
  <c r="R254" i="2"/>
  <c r="Y254" i="2" s="1"/>
  <c r="AB254" i="2" s="1"/>
  <c r="E254" i="2"/>
  <c r="GR253" i="2"/>
  <c r="GS253" i="2" s="1"/>
  <c r="GP253" i="2"/>
  <c r="GQ253" i="2" s="1"/>
  <c r="GN253" i="2"/>
  <c r="GO253" i="2" s="1"/>
  <c r="GL253" i="2"/>
  <c r="GM253" i="2" s="1"/>
  <c r="GH253" i="2"/>
  <c r="GG253" i="2"/>
  <c r="GI253" i="2" s="1"/>
  <c r="GD253" i="2"/>
  <c r="GC253" i="2"/>
  <c r="GB253" i="2"/>
  <c r="FY253" i="2"/>
  <c r="GA253" i="2" s="1"/>
  <c r="FS253" i="2"/>
  <c r="FT253" i="2" s="1"/>
  <c r="EW253" i="2"/>
  <c r="ET253" i="2"/>
  <c r="EU253" i="2" s="1"/>
  <c r="EQ253" i="2"/>
  <c r="ER253" i="2" s="1"/>
  <c r="EJ253" i="2"/>
  <c r="EE253" i="2"/>
  <c r="EF253" i="2" s="1"/>
  <c r="DX253" i="2"/>
  <c r="DP253" i="2"/>
  <c r="DF253" i="2"/>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P390" i="2"/>
  <c r="GQ390" i="2" s="1"/>
  <c r="DO390" i="2" s="1"/>
  <c r="GN390" i="2"/>
  <c r="GO390" i="2" s="1"/>
  <c r="GL390" i="2"/>
  <c r="GM390" i="2" s="1"/>
  <c r="GG390" i="2"/>
  <c r="GI390" i="2" s="1"/>
  <c r="GD390" i="2"/>
  <c r="GC390" i="2"/>
  <c r="GB390" i="2"/>
  <c r="FY390" i="2"/>
  <c r="FS390" i="2"/>
  <c r="FT390" i="2" s="1"/>
  <c r="EW390" i="2"/>
  <c r="ET390" i="2"/>
  <c r="EU390" i="2" s="1"/>
  <c r="EQ390" i="2"/>
  <c r="ER390" i="2" s="1"/>
  <c r="FJ390" i="2" s="1"/>
  <c r="EJ390" i="2"/>
  <c r="EE390" i="2"/>
  <c r="EF390" i="2" s="1"/>
  <c r="DX390" i="2"/>
  <c r="DP390" i="2"/>
  <c r="DF390" i="2"/>
  <c r="DE390" i="2"/>
  <c r="CY390" i="2"/>
  <c r="CZ390" i="2" s="1"/>
  <c r="CF390" i="2"/>
  <c r="CH390" i="2"/>
  <c r="CA390" i="2"/>
  <c r="BO390" i="2"/>
  <c r="BJ390" i="2"/>
  <c r="BM390" i="2" s="1"/>
  <c r="BN390" i="2" s="1"/>
  <c r="BC390" i="2"/>
  <c r="AZ390" i="2"/>
  <c r="AY390" i="2"/>
  <c r="AO390" i="2"/>
  <c r="AM390" i="2"/>
  <c r="AL390" i="2" s="1"/>
  <c r="AK390" i="2"/>
  <c r="AG390" i="2"/>
  <c r="AE390" i="2"/>
  <c r="AF390" i="2" s="1"/>
  <c r="S390" i="2"/>
  <c r="R390" i="2"/>
  <c r="Y390" i="2" s="1"/>
  <c r="AB390" i="2" s="1"/>
  <c r="E390" i="2"/>
  <c r="GP261" i="2"/>
  <c r="GQ261" i="2" s="1"/>
  <c r="DO261" i="2" s="1"/>
  <c r="EC261" i="2" s="1"/>
  <c r="GN261" i="2"/>
  <c r="GO261" i="2" s="1"/>
  <c r="GL261" i="2"/>
  <c r="GM261" i="2" s="1"/>
  <c r="GG261" i="2"/>
  <c r="GI261" i="2" s="1"/>
  <c r="GD261" i="2"/>
  <c r="GC261" i="2"/>
  <c r="GB261" i="2"/>
  <c r="FY261" i="2"/>
  <c r="FS261" i="2"/>
  <c r="FT261" i="2" s="1"/>
  <c r="EW261" i="2"/>
  <c r="ET261" i="2"/>
  <c r="EU261" i="2" s="1"/>
  <c r="EQ261" i="2"/>
  <c r="ER261" i="2" s="1"/>
  <c r="EJ261" i="2"/>
  <c r="EE261" i="2"/>
  <c r="EF261" i="2" s="1"/>
  <c r="DX261" i="2"/>
  <c r="DP261" i="2"/>
  <c r="DF261" i="2"/>
  <c r="DE261" i="2"/>
  <c r="CY261" i="2"/>
  <c r="CZ261" i="2" s="1"/>
  <c r="CF261" i="2"/>
  <c r="CH261" i="2"/>
  <c r="CA261" i="2"/>
  <c r="BO261" i="2"/>
  <c r="BJ261" i="2"/>
  <c r="BM261" i="2" s="1"/>
  <c r="BN261" i="2" s="1"/>
  <c r="BC261" i="2"/>
  <c r="AZ261" i="2"/>
  <c r="AY261" i="2"/>
  <c r="AO261" i="2"/>
  <c r="AN261" i="2"/>
  <c r="AM261" i="2"/>
  <c r="AL261" i="2"/>
  <c r="AK261" i="2"/>
  <c r="AG261" i="2"/>
  <c r="AE261" i="2"/>
  <c r="AF261" i="2" s="1"/>
  <c r="S261" i="2"/>
  <c r="T261" i="2" s="1"/>
  <c r="U261" i="2" s="1"/>
  <c r="R261" i="2"/>
  <c r="E261"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08" i="2"/>
  <c r="GS308" i="2" s="1"/>
  <c r="GP308" i="2"/>
  <c r="GQ308" i="2" s="1"/>
  <c r="GN308" i="2"/>
  <c r="GO308" i="2" s="1"/>
  <c r="GL308" i="2"/>
  <c r="GM308" i="2" s="1"/>
  <c r="GG308" i="2"/>
  <c r="GI308" i="2" s="1"/>
  <c r="GD308" i="2"/>
  <c r="GC308" i="2"/>
  <c r="GB308" i="2"/>
  <c r="FY308" i="2"/>
  <c r="FS308" i="2"/>
  <c r="FT308" i="2" s="1"/>
  <c r="EW308" i="2"/>
  <c r="ET308" i="2"/>
  <c r="EU308" i="2" s="1"/>
  <c r="EQ308" i="2"/>
  <c r="ER308" i="2" s="1"/>
  <c r="EJ308" i="2"/>
  <c r="EE308" i="2"/>
  <c r="EF308" i="2" s="1"/>
  <c r="DX308" i="2"/>
  <c r="DP308" i="2"/>
  <c r="DF308" i="2"/>
  <c r="DH308" i="2" s="1"/>
  <c r="DE308" i="2"/>
  <c r="CY308" i="2"/>
  <c r="CZ308" i="2" s="1"/>
  <c r="CF308" i="2"/>
  <c r="CA308" i="2"/>
  <c r="CR308" i="2"/>
  <c r="BO308" i="2"/>
  <c r="BJ308" i="2"/>
  <c r="BC308" i="2"/>
  <c r="AZ308" i="2"/>
  <c r="AY308" i="2"/>
  <c r="AO308" i="2"/>
  <c r="AM308" i="2"/>
  <c r="AL308" i="2" s="1"/>
  <c r="AK308" i="2"/>
  <c r="AG308" i="2"/>
  <c r="AE308" i="2"/>
  <c r="AF308" i="2" s="1"/>
  <c r="S308" i="2"/>
  <c r="AN308" i="2" s="1"/>
  <c r="R308" i="2"/>
  <c r="E308" i="2"/>
  <c r="GL265" i="2"/>
  <c r="GM265" i="2" s="1"/>
  <c r="GH265" i="2"/>
  <c r="GG265" i="2"/>
  <c r="GI265" i="2" s="1"/>
  <c r="GD265" i="2"/>
  <c r="GC265" i="2"/>
  <c r="GB265" i="2"/>
  <c r="FY265" i="2"/>
  <c r="FS265" i="2"/>
  <c r="FT265" i="2" s="1"/>
  <c r="EW265" i="2"/>
  <c r="ET265" i="2"/>
  <c r="EU265" i="2" s="1"/>
  <c r="EQ265" i="2"/>
  <c r="ER265" i="2" s="1"/>
  <c r="EJ265" i="2"/>
  <c r="EE265" i="2"/>
  <c r="EF265" i="2" s="1"/>
  <c r="DX265" i="2"/>
  <c r="DP265" i="2"/>
  <c r="DF265" i="2"/>
  <c r="DE265" i="2"/>
  <c r="CY265" i="2"/>
  <c r="CF265" i="2"/>
  <c r="CA265" i="2"/>
  <c r="DA265" i="2"/>
  <c r="DB265" i="2" s="1"/>
  <c r="BO265" i="2"/>
  <c r="BJ265" i="2"/>
  <c r="BC265" i="2"/>
  <c r="AZ265" i="2"/>
  <c r="AY265" i="2"/>
  <c r="AO265" i="2"/>
  <c r="AN265" i="2"/>
  <c r="AM265" i="2"/>
  <c r="AL265" i="2"/>
  <c r="AK265" i="2"/>
  <c r="AG265" i="2"/>
  <c r="AE265" i="2"/>
  <c r="AF265" i="2" s="1"/>
  <c r="U265" i="2"/>
  <c r="S265" i="2"/>
  <c r="T265" i="2" s="1"/>
  <c r="R265" i="2"/>
  <c r="Y265" i="2" s="1"/>
  <c r="AB265" i="2" s="1"/>
  <c r="E265" i="2"/>
  <c r="GR267" i="2"/>
  <c r="GS267" i="2" s="1"/>
  <c r="GP267" i="2"/>
  <c r="GQ267" i="2" s="1"/>
  <c r="GN267" i="2"/>
  <c r="GO267" i="2" s="1"/>
  <c r="GL267" i="2"/>
  <c r="GM267" i="2" s="1"/>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BO267" i="2"/>
  <c r="BJ267" i="2"/>
  <c r="BC267" i="2"/>
  <c r="AZ267" i="2"/>
  <c r="AY267" i="2"/>
  <c r="AO267" i="2"/>
  <c r="AN267" i="2"/>
  <c r="AM267" i="2"/>
  <c r="AL267" i="2"/>
  <c r="AK267" i="2"/>
  <c r="AG267" i="2"/>
  <c r="AE267" i="2"/>
  <c r="AF267" i="2" s="1"/>
  <c r="S267" i="2"/>
  <c r="T267" i="2" s="1"/>
  <c r="U267" i="2" s="1"/>
  <c r="R267" i="2"/>
  <c r="Y267" i="2" s="1"/>
  <c r="AB267" i="2" s="1"/>
  <c r="E267" i="2"/>
  <c r="GP392" i="2"/>
  <c r="GQ392" i="2" s="1"/>
  <c r="GN392" i="2"/>
  <c r="GO392" i="2" s="1"/>
  <c r="GL392" i="2"/>
  <c r="GM392" i="2" s="1"/>
  <c r="GG392" i="2"/>
  <c r="GI392" i="2" s="1"/>
  <c r="GD392" i="2"/>
  <c r="GC392" i="2"/>
  <c r="GB392" i="2"/>
  <c r="FY392" i="2"/>
  <c r="FS392" i="2"/>
  <c r="FT392" i="2" s="1"/>
  <c r="EW392" i="2"/>
  <c r="ET392" i="2"/>
  <c r="EU392" i="2" s="1"/>
  <c r="EQ392" i="2"/>
  <c r="ER392" i="2" s="1"/>
  <c r="EJ392" i="2"/>
  <c r="EE392" i="2"/>
  <c r="EF392" i="2" s="1"/>
  <c r="DX392" i="2"/>
  <c r="DP392" i="2"/>
  <c r="DF392" i="2"/>
  <c r="DE392" i="2"/>
  <c r="CY392" i="2"/>
  <c r="CZ392" i="2" s="1"/>
  <c r="CF392" i="2"/>
  <c r="CH392" i="2"/>
  <c r="CA392" i="2"/>
  <c r="DA392" i="2"/>
  <c r="DB392" i="2" s="1"/>
  <c r="BO392" i="2"/>
  <c r="BJ392" i="2"/>
  <c r="BM392" i="2" s="1"/>
  <c r="BN392" i="2" s="1"/>
  <c r="BC392" i="2"/>
  <c r="AZ392" i="2"/>
  <c r="AY392" i="2"/>
  <c r="AO392" i="2"/>
  <c r="AN392" i="2"/>
  <c r="AM392" i="2"/>
  <c r="AL392" i="2"/>
  <c r="AK392" i="2"/>
  <c r="AG392" i="2"/>
  <c r="AE392" i="2"/>
  <c r="AF392" i="2" s="1"/>
  <c r="S392" i="2"/>
  <c r="T392" i="2" s="1"/>
  <c r="U392" i="2" s="1"/>
  <c r="R392" i="2"/>
  <c r="X392" i="2" s="1"/>
  <c r="E392" i="2"/>
  <c r="GP167" i="2"/>
  <c r="GQ167" i="2" s="1"/>
  <c r="GL167" i="2"/>
  <c r="GM167" i="2" s="1"/>
  <c r="GG167" i="2"/>
  <c r="GI167" i="2" s="1"/>
  <c r="GD167" i="2"/>
  <c r="GC167" i="2"/>
  <c r="GB167" i="2"/>
  <c r="FY167" i="2"/>
  <c r="FS167" i="2"/>
  <c r="FT167" i="2" s="1"/>
  <c r="EW167" i="2"/>
  <c r="ET167" i="2"/>
  <c r="EU167" i="2" s="1"/>
  <c r="EQ167" i="2"/>
  <c r="ER167" i="2" s="1"/>
  <c r="EJ167" i="2"/>
  <c r="EE167" i="2"/>
  <c r="EF167" i="2" s="1"/>
  <c r="DX167" i="2"/>
  <c r="DP167" i="2"/>
  <c r="DF167" i="2"/>
  <c r="DE167" i="2"/>
  <c r="CY167" i="2"/>
  <c r="CF167" i="2"/>
  <c r="CH167" i="2"/>
  <c r="CA167" i="2"/>
  <c r="DA167" i="2"/>
  <c r="DB167" i="2" s="1"/>
  <c r="BO167" i="2"/>
  <c r="BJ167" i="2"/>
  <c r="BM167" i="2" s="1"/>
  <c r="BN167" i="2" s="1"/>
  <c r="BC167" i="2"/>
  <c r="AZ167" i="2"/>
  <c r="AY167" i="2"/>
  <c r="AO167" i="2"/>
  <c r="AN167" i="2"/>
  <c r="AM167" i="2"/>
  <c r="AL167" i="2"/>
  <c r="AK167" i="2"/>
  <c r="AG167" i="2"/>
  <c r="AE167" i="2"/>
  <c r="AF167" i="2" s="1"/>
  <c r="S167" i="2"/>
  <c r="T167" i="2" s="1"/>
  <c r="U167" i="2" s="1"/>
  <c r="R167" i="2"/>
  <c r="GH167" i="2" s="1"/>
  <c r="E167" i="2"/>
  <c r="GP257" i="2"/>
  <c r="GQ257" i="2" s="1"/>
  <c r="GL257" i="2"/>
  <c r="GM257" i="2" s="1"/>
  <c r="GG257" i="2"/>
  <c r="GI257" i="2" s="1"/>
  <c r="GD257" i="2"/>
  <c r="GC257" i="2"/>
  <c r="GB257" i="2"/>
  <c r="FY257" i="2"/>
  <c r="FS257" i="2"/>
  <c r="FT257" i="2" s="1"/>
  <c r="EW257" i="2"/>
  <c r="ET257" i="2"/>
  <c r="EU257" i="2" s="1"/>
  <c r="EQ257" i="2"/>
  <c r="ER257" i="2" s="1"/>
  <c r="EJ257" i="2"/>
  <c r="EE257" i="2"/>
  <c r="EF257" i="2" s="1"/>
  <c r="DX257" i="2"/>
  <c r="DP257" i="2"/>
  <c r="DF257" i="2"/>
  <c r="DE257" i="2"/>
  <c r="CY257" i="2"/>
  <c r="CF257" i="2"/>
  <c r="CH257" i="2"/>
  <c r="CA257" i="2"/>
  <c r="DA257" i="2"/>
  <c r="DB257" i="2" s="1"/>
  <c r="BO257" i="2"/>
  <c r="BJ257" i="2"/>
  <c r="BM257" i="2" s="1"/>
  <c r="BN257" i="2" s="1"/>
  <c r="BC257" i="2"/>
  <c r="AZ257" i="2"/>
  <c r="AY257" i="2"/>
  <c r="AO257" i="2"/>
  <c r="AN257" i="2"/>
  <c r="AM257" i="2"/>
  <c r="AL257" i="2"/>
  <c r="AK257" i="2"/>
  <c r="AG257" i="2"/>
  <c r="AE257" i="2"/>
  <c r="AF257" i="2" s="1"/>
  <c r="S257" i="2"/>
  <c r="T257" i="2" s="1"/>
  <c r="U257" i="2" s="1"/>
  <c r="R257" i="2"/>
  <c r="GH257" i="2" s="1"/>
  <c r="E257" i="2"/>
  <c r="GN252" i="2"/>
  <c r="GO252" i="2" s="1"/>
  <c r="GL252" i="2"/>
  <c r="GM252" i="2" s="1"/>
  <c r="GH252" i="2"/>
  <c r="GG252" i="2"/>
  <c r="GI252" i="2" s="1"/>
  <c r="GD252" i="2"/>
  <c r="GC252" i="2"/>
  <c r="GB252" i="2"/>
  <c r="FY252" i="2"/>
  <c r="FS252" i="2"/>
  <c r="FT252" i="2" s="1"/>
  <c r="EW252" i="2"/>
  <c r="ET252" i="2"/>
  <c r="EU252" i="2" s="1"/>
  <c r="EQ252" i="2"/>
  <c r="ER252" i="2" s="1"/>
  <c r="EJ252" i="2"/>
  <c r="EE252" i="2"/>
  <c r="EF252" i="2" s="1"/>
  <c r="DX252" i="2"/>
  <c r="DP252" i="2"/>
  <c r="DF252" i="2"/>
  <c r="DE252" i="2"/>
  <c r="CY252" i="2"/>
  <c r="CZ252" i="2" s="1"/>
  <c r="CF252" i="2"/>
  <c r="CH252" i="2"/>
  <c r="CA252" i="2"/>
  <c r="DA252" i="2"/>
  <c r="DB252" i="2" s="1"/>
  <c r="BO252" i="2"/>
  <c r="BJ252" i="2"/>
  <c r="BM252" i="2" s="1"/>
  <c r="BN252" i="2" s="1"/>
  <c r="BC252" i="2"/>
  <c r="AZ252" i="2"/>
  <c r="AY252" i="2"/>
  <c r="AO252" i="2"/>
  <c r="AN252" i="2"/>
  <c r="AM252" i="2"/>
  <c r="AL252" i="2"/>
  <c r="AK252" i="2"/>
  <c r="AG252" i="2"/>
  <c r="AE252" i="2"/>
  <c r="AF252" i="2" s="1"/>
  <c r="U252" i="2"/>
  <c r="S252" i="2"/>
  <c r="T252" i="2" s="1"/>
  <c r="R252" i="2"/>
  <c r="E252" i="2"/>
  <c r="GR251" i="2"/>
  <c r="GS251" i="2" s="1"/>
  <c r="GP251" i="2"/>
  <c r="GQ251" i="2" s="1"/>
  <c r="GN251" i="2"/>
  <c r="GO251" i="2" s="1"/>
  <c r="GL251" i="2"/>
  <c r="GM251" i="2" s="1"/>
  <c r="GH251" i="2"/>
  <c r="GG251" i="2"/>
  <c r="GI251" i="2" s="1"/>
  <c r="GD251" i="2"/>
  <c r="GC251" i="2"/>
  <c r="GB251" i="2"/>
  <c r="FY251" i="2"/>
  <c r="GA251" i="2" s="1"/>
  <c r="FS251" i="2"/>
  <c r="FT251" i="2" s="1"/>
  <c r="EW251" i="2"/>
  <c r="ET251" i="2"/>
  <c r="EU251" i="2" s="1"/>
  <c r="EQ251" i="2"/>
  <c r="ER251" i="2" s="1"/>
  <c r="EJ251" i="2"/>
  <c r="EE251" i="2"/>
  <c r="EF251" i="2" s="1"/>
  <c r="DX251" i="2"/>
  <c r="DP251" i="2"/>
  <c r="DF251" i="2"/>
  <c r="DE251" i="2"/>
  <c r="CY251" i="2"/>
  <c r="CZ251" i="2" s="1"/>
  <c r="CF251" i="2"/>
  <c r="CH251" i="2"/>
  <c r="CA251" i="2"/>
  <c r="DA251" i="2"/>
  <c r="DB251" i="2" s="1"/>
  <c r="BO251" i="2"/>
  <c r="BJ251" i="2"/>
  <c r="BM251" i="2" s="1"/>
  <c r="BN251" i="2" s="1"/>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S250" i="2"/>
  <c r="FT250" i="2" s="1"/>
  <c r="EW250" i="2"/>
  <c r="ET250" i="2"/>
  <c r="EU250" i="2" s="1"/>
  <c r="EQ250" i="2"/>
  <c r="ER250" i="2" s="1"/>
  <c r="EJ250" i="2"/>
  <c r="EE250" i="2"/>
  <c r="EF250" i="2" s="1"/>
  <c r="DX250" i="2"/>
  <c r="DP250" i="2"/>
  <c r="DF250" i="2"/>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X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H249" i="2" s="1"/>
  <c r="DE249" i="2"/>
  <c r="CY249" i="2"/>
  <c r="CZ249" i="2" s="1"/>
  <c r="CF249" i="2"/>
  <c r="CH249" i="2"/>
  <c r="CA249" i="2"/>
  <c r="CR249" i="2"/>
  <c r="BO249" i="2"/>
  <c r="BJ249" i="2"/>
  <c r="BC249" i="2"/>
  <c r="AZ249" i="2"/>
  <c r="AY249" i="2"/>
  <c r="AO249" i="2"/>
  <c r="AN249" i="2"/>
  <c r="AM249" i="2"/>
  <c r="AL249" i="2"/>
  <c r="AK249" i="2"/>
  <c r="AG249" i="2"/>
  <c r="AE249" i="2"/>
  <c r="AF249" i="2" s="1"/>
  <c r="U249" i="2"/>
  <c r="S249" i="2"/>
  <c r="T249" i="2" s="1"/>
  <c r="R249" i="2"/>
  <c r="X249" i="2" s="1"/>
  <c r="E249" i="2"/>
  <c r="GR248" i="2"/>
  <c r="GS248" i="2" s="1"/>
  <c r="GP248" i="2"/>
  <c r="GQ248" i="2" s="1"/>
  <c r="GN248" i="2"/>
  <c r="GO248" i="2" s="1"/>
  <c r="GL248" i="2"/>
  <c r="GM248" i="2" s="1"/>
  <c r="GH248" i="2"/>
  <c r="GG248" i="2"/>
  <c r="GI248" i="2" s="1"/>
  <c r="GD248" i="2"/>
  <c r="GC248" i="2"/>
  <c r="GB248" i="2"/>
  <c r="FY248" i="2"/>
  <c r="GA248" i="2" s="1"/>
  <c r="FS248" i="2"/>
  <c r="FT248" i="2" s="1"/>
  <c r="EW248" i="2"/>
  <c r="ET248" i="2"/>
  <c r="EU248" i="2" s="1"/>
  <c r="EQ248" i="2"/>
  <c r="ER248" i="2" s="1"/>
  <c r="EJ248" i="2"/>
  <c r="EE248" i="2"/>
  <c r="EF248" i="2" s="1"/>
  <c r="DX248" i="2"/>
  <c r="DP248" i="2"/>
  <c r="DF248" i="2"/>
  <c r="DH248" i="2" s="1"/>
  <c r="DE248" i="2"/>
  <c r="CY248" i="2"/>
  <c r="CZ248" i="2" s="1"/>
  <c r="CF248" i="2"/>
  <c r="CH248" i="2"/>
  <c r="CA248" i="2"/>
  <c r="CR248" i="2"/>
  <c r="BO248" i="2"/>
  <c r="BJ248" i="2"/>
  <c r="BC248" i="2"/>
  <c r="AZ248" i="2"/>
  <c r="AY248" i="2"/>
  <c r="AO248" i="2"/>
  <c r="AN248" i="2"/>
  <c r="AM248" i="2"/>
  <c r="AL248" i="2"/>
  <c r="AK248" i="2"/>
  <c r="AG248" i="2"/>
  <c r="AE248" i="2"/>
  <c r="AF248" i="2" s="1"/>
  <c r="U248" i="2"/>
  <c r="S248" i="2"/>
  <c r="T248" i="2" s="1"/>
  <c r="R248" i="2"/>
  <c r="Y248" i="2" s="1"/>
  <c r="AB248" i="2" s="1"/>
  <c r="E248" i="2"/>
  <c r="GR247" i="2"/>
  <c r="GS247" i="2" s="1"/>
  <c r="GP247" i="2"/>
  <c r="GQ247" i="2" s="1"/>
  <c r="DO247" i="2" s="1"/>
  <c r="EC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H247" i="2" s="1"/>
  <c r="DE247" i="2"/>
  <c r="CY247" i="2"/>
  <c r="CZ247" i="2" s="1"/>
  <c r="CF247" i="2"/>
  <c r="CA247" i="2"/>
  <c r="CR247" i="2"/>
  <c r="BO247" i="2"/>
  <c r="BJ247" i="2"/>
  <c r="BC247" i="2"/>
  <c r="AZ247" i="2"/>
  <c r="AY247" i="2"/>
  <c r="AO247" i="2"/>
  <c r="AN247" i="2"/>
  <c r="AM247" i="2"/>
  <c r="AL247" i="2"/>
  <c r="AK247" i="2"/>
  <c r="AG247" i="2"/>
  <c r="AE247" i="2"/>
  <c r="AF247" i="2" s="1"/>
  <c r="U247" i="2"/>
  <c r="S247" i="2"/>
  <c r="T247" i="2" s="1"/>
  <c r="R247" i="2"/>
  <c r="Y247" i="2" s="1"/>
  <c r="AB247" i="2" s="1"/>
  <c r="E247" i="2"/>
  <c r="GR246" i="2"/>
  <c r="GS246" i="2" s="1"/>
  <c r="GP246" i="2"/>
  <c r="GQ246" i="2" s="1"/>
  <c r="DO246" i="2" s="1"/>
  <c r="EC246" i="2" s="1"/>
  <c r="GN246" i="2"/>
  <c r="GO246" i="2" s="1"/>
  <c r="GL246" i="2"/>
  <c r="GM246" i="2" s="1"/>
  <c r="GH246" i="2"/>
  <c r="GG246" i="2"/>
  <c r="GI246" i="2" s="1"/>
  <c r="GD246" i="2"/>
  <c r="GC246" i="2"/>
  <c r="GB246" i="2"/>
  <c r="FY246" i="2"/>
  <c r="FZ246" i="2" s="1"/>
  <c r="FS246" i="2"/>
  <c r="FT246" i="2" s="1"/>
  <c r="EW246" i="2"/>
  <c r="ET246" i="2"/>
  <c r="EU246" i="2" s="1"/>
  <c r="EQ246" i="2"/>
  <c r="ER246" i="2" s="1"/>
  <c r="EJ246" i="2"/>
  <c r="EE246" i="2"/>
  <c r="EF246" i="2" s="1"/>
  <c r="DX246" i="2"/>
  <c r="DP246" i="2"/>
  <c r="DF246" i="2"/>
  <c r="DH246" i="2" s="1"/>
  <c r="DE246" i="2"/>
  <c r="CY246" i="2"/>
  <c r="CZ246" i="2" s="1"/>
  <c r="CF246" i="2"/>
  <c r="CA246" i="2"/>
  <c r="BO246" i="2"/>
  <c r="BJ246" i="2"/>
  <c r="BM246" i="2" s="1"/>
  <c r="BN246" i="2" s="1"/>
  <c r="BC246" i="2"/>
  <c r="AZ246" i="2"/>
  <c r="AY246" i="2"/>
  <c r="AO246" i="2"/>
  <c r="AN246" i="2"/>
  <c r="AM246" i="2"/>
  <c r="AL246" i="2"/>
  <c r="AK246" i="2"/>
  <c r="AG246" i="2"/>
  <c r="AE246" i="2"/>
  <c r="AF246" i="2" s="1"/>
  <c r="U246" i="2"/>
  <c r="S246" i="2"/>
  <c r="T246" i="2" s="1"/>
  <c r="R246" i="2"/>
  <c r="Y246" i="2" s="1"/>
  <c r="AB246" i="2" s="1"/>
  <c r="E246" i="2"/>
  <c r="GR245" i="2"/>
  <c r="GS245" i="2" s="1"/>
  <c r="GP245" i="2"/>
  <c r="GQ245" i="2" s="1"/>
  <c r="DO245" i="2" s="1"/>
  <c r="EC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BO245" i="2"/>
  <c r="BJ245" i="2"/>
  <c r="BC245" i="2"/>
  <c r="AZ245" i="2"/>
  <c r="AY245" i="2"/>
  <c r="AO245" i="2"/>
  <c r="AN245" i="2"/>
  <c r="AM245" i="2"/>
  <c r="AL245" i="2"/>
  <c r="AK245" i="2"/>
  <c r="AG245" i="2"/>
  <c r="AE245" i="2"/>
  <c r="AF245" i="2" s="1"/>
  <c r="U245" i="2"/>
  <c r="S245" i="2"/>
  <c r="T245" i="2" s="1"/>
  <c r="R245" i="2"/>
  <c r="Y245" i="2" s="1"/>
  <c r="AB245" i="2" s="1"/>
  <c r="E245" i="2"/>
  <c r="GR243" i="2"/>
  <c r="GS243" i="2" s="1"/>
  <c r="GP243" i="2"/>
  <c r="GQ243" i="2" s="1"/>
  <c r="DU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A243" i="2"/>
  <c r="CR243" i="2"/>
  <c r="BO243" i="2"/>
  <c r="BJ243" i="2"/>
  <c r="BK243" i="2" s="1"/>
  <c r="CL243" i="2" s="1"/>
  <c r="BC243" i="2"/>
  <c r="AZ243" i="2"/>
  <c r="AY243" i="2"/>
  <c r="AO243" i="2"/>
  <c r="AN243" i="2"/>
  <c r="AM243" i="2"/>
  <c r="AL243" i="2"/>
  <c r="AK243" i="2"/>
  <c r="AG243" i="2"/>
  <c r="AE243" i="2"/>
  <c r="AF243" i="2" s="1"/>
  <c r="U243" i="2"/>
  <c r="S243" i="2"/>
  <c r="T243" i="2" s="1"/>
  <c r="R243" i="2"/>
  <c r="Y243" i="2" s="1"/>
  <c r="AB243" i="2" s="1"/>
  <c r="E243" i="2"/>
  <c r="GR242" i="2"/>
  <c r="GS242" i="2" s="1"/>
  <c r="GP242" i="2"/>
  <c r="GQ242" i="2" s="1"/>
  <c r="DO242" i="2" s="1"/>
  <c r="GN242" i="2"/>
  <c r="GO242" i="2" s="1"/>
  <c r="GL242" i="2"/>
  <c r="GM242" i="2" s="1"/>
  <c r="GH242" i="2"/>
  <c r="GG242" i="2"/>
  <c r="GI242" i="2" s="1"/>
  <c r="GD242" i="2"/>
  <c r="GC242" i="2"/>
  <c r="GB242" i="2"/>
  <c r="FY242" i="2"/>
  <c r="FS242" i="2"/>
  <c r="FT242" i="2" s="1"/>
  <c r="EW242" i="2"/>
  <c r="ET242" i="2"/>
  <c r="EU242" i="2" s="1"/>
  <c r="EQ242" i="2"/>
  <c r="ER242" i="2" s="1"/>
  <c r="EJ242" i="2"/>
  <c r="EE242" i="2"/>
  <c r="EF242" i="2" s="1"/>
  <c r="DX242" i="2"/>
  <c r="DP242" i="2"/>
  <c r="DF242" i="2"/>
  <c r="DG242" i="2" s="1"/>
  <c r="DE242" i="2"/>
  <c r="CY242" i="2"/>
  <c r="CZ242" i="2" s="1"/>
  <c r="CF242" i="2"/>
  <c r="CH242" i="2"/>
  <c r="CA242" i="2"/>
  <c r="CR242" i="2"/>
  <c r="BO242" i="2"/>
  <c r="BJ242" i="2"/>
  <c r="BM242" i="2" s="1"/>
  <c r="BN242" i="2" s="1"/>
  <c r="BC242" i="2"/>
  <c r="AZ242" i="2"/>
  <c r="AY242" i="2"/>
  <c r="AO242" i="2"/>
  <c r="AN242" i="2"/>
  <c r="AM242" i="2"/>
  <c r="AL242" i="2"/>
  <c r="AK242" i="2"/>
  <c r="AG242" i="2"/>
  <c r="AE242" i="2"/>
  <c r="AF242" i="2" s="1"/>
  <c r="U242" i="2"/>
  <c r="S242" i="2"/>
  <c r="T242" i="2" s="1"/>
  <c r="R242" i="2"/>
  <c r="X242" i="2" s="1"/>
  <c r="E242" i="2"/>
  <c r="GR241" i="2"/>
  <c r="GS241" i="2" s="1"/>
  <c r="GP241" i="2"/>
  <c r="GQ241" i="2" s="1"/>
  <c r="DO241" i="2" s="1"/>
  <c r="GN241" i="2"/>
  <c r="GO241" i="2" s="1"/>
  <c r="GL241" i="2"/>
  <c r="GM241" i="2" s="1"/>
  <c r="GH241" i="2"/>
  <c r="GG241" i="2"/>
  <c r="GI241" i="2" s="1"/>
  <c r="GD241" i="2"/>
  <c r="GC241" i="2"/>
  <c r="GB241" i="2"/>
  <c r="FY241" i="2"/>
  <c r="FZ241" i="2" s="1"/>
  <c r="FS241" i="2"/>
  <c r="FT241" i="2" s="1"/>
  <c r="EW241" i="2"/>
  <c r="ET241" i="2"/>
  <c r="EU241" i="2" s="1"/>
  <c r="EQ241" i="2"/>
  <c r="ER241" i="2" s="1"/>
  <c r="EJ241" i="2"/>
  <c r="EE241" i="2"/>
  <c r="EF241" i="2" s="1"/>
  <c r="DX241" i="2"/>
  <c r="DP241" i="2"/>
  <c r="DF241" i="2"/>
  <c r="DG241" i="2" s="1"/>
  <c r="DE241" i="2"/>
  <c r="CY241" i="2"/>
  <c r="CZ241" i="2" s="1"/>
  <c r="CF241" i="2"/>
  <c r="CH241" i="2"/>
  <c r="CA241" i="2"/>
  <c r="BO241" i="2"/>
  <c r="BJ241" i="2"/>
  <c r="BM241" i="2" s="1"/>
  <c r="BN241" i="2" s="1"/>
  <c r="BC241" i="2"/>
  <c r="AZ241" i="2"/>
  <c r="AY241" i="2"/>
  <c r="AO241" i="2"/>
  <c r="AN241" i="2"/>
  <c r="AM241" i="2"/>
  <c r="AL241" i="2"/>
  <c r="AK241" i="2"/>
  <c r="AG241" i="2"/>
  <c r="AE241" i="2"/>
  <c r="AF241" i="2" s="1"/>
  <c r="U241" i="2"/>
  <c r="S241" i="2"/>
  <c r="T241" i="2" s="1"/>
  <c r="R241" i="2"/>
  <c r="Y241" i="2" s="1"/>
  <c r="AB241" i="2" s="1"/>
  <c r="E241" i="2"/>
  <c r="GR240" i="2"/>
  <c r="GS240" i="2" s="1"/>
  <c r="GP240" i="2"/>
  <c r="GQ240" i="2" s="1"/>
  <c r="GN240" i="2"/>
  <c r="GO240" i="2" s="1"/>
  <c r="GL240" i="2"/>
  <c r="GM240" i="2" s="1"/>
  <c r="GH240" i="2"/>
  <c r="GG240" i="2"/>
  <c r="GI240" i="2" s="1"/>
  <c r="GD240" i="2"/>
  <c r="GC240" i="2"/>
  <c r="GB240" i="2"/>
  <c r="FY240" i="2"/>
  <c r="FS240" i="2"/>
  <c r="FT240" i="2" s="1"/>
  <c r="EW240" i="2"/>
  <c r="ET240" i="2"/>
  <c r="EU240" i="2" s="1"/>
  <c r="EQ240" i="2"/>
  <c r="ER240" i="2" s="1"/>
  <c r="EJ240" i="2"/>
  <c r="DX240" i="2"/>
  <c r="DP240" i="2"/>
  <c r="DF240" i="2"/>
  <c r="DG240" i="2" s="1"/>
  <c r="DE240" i="2"/>
  <c r="CY240" i="2"/>
  <c r="CZ240" i="2" s="1"/>
  <c r="CF240" i="2"/>
  <c r="CA240" i="2"/>
  <c r="CR240" i="2"/>
  <c r="BO240" i="2"/>
  <c r="BJ240" i="2"/>
  <c r="BK240" i="2" s="1"/>
  <c r="CL240" i="2" s="1"/>
  <c r="BC240" i="2"/>
  <c r="AZ240" i="2"/>
  <c r="AY240" i="2"/>
  <c r="AO240" i="2"/>
  <c r="AN240" i="2"/>
  <c r="AM240" i="2"/>
  <c r="AL240" i="2"/>
  <c r="AK240" i="2"/>
  <c r="AG240" i="2"/>
  <c r="AE240" i="2"/>
  <c r="AF240" i="2" s="1"/>
  <c r="U240" i="2"/>
  <c r="S240" i="2"/>
  <c r="T240" i="2" s="1"/>
  <c r="R240" i="2"/>
  <c r="X240" i="2" s="1"/>
  <c r="AA240" i="2" s="1"/>
  <c r="E240" i="2"/>
  <c r="GR239" i="2"/>
  <c r="GS239" i="2" s="1"/>
  <c r="GP239" i="2"/>
  <c r="GQ239" i="2" s="1"/>
  <c r="DO239" i="2" s="1"/>
  <c r="DS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E239" i="2"/>
  <c r="CY239" i="2"/>
  <c r="CZ239" i="2" s="1"/>
  <c r="CF239" i="2"/>
  <c r="CH239" i="2"/>
  <c r="CA239" i="2"/>
  <c r="CR239" i="2"/>
  <c r="BO239" i="2"/>
  <c r="BJ239" i="2"/>
  <c r="BC239" i="2"/>
  <c r="AZ239" i="2"/>
  <c r="AY239" i="2"/>
  <c r="AO239" i="2"/>
  <c r="AN239" i="2"/>
  <c r="AM239" i="2"/>
  <c r="AL239" i="2"/>
  <c r="AK239" i="2"/>
  <c r="AG239" i="2"/>
  <c r="AE239" i="2"/>
  <c r="AF239" i="2" s="1"/>
  <c r="U239" i="2"/>
  <c r="S239" i="2"/>
  <c r="T239" i="2" s="1"/>
  <c r="R239" i="2"/>
  <c r="E239" i="2"/>
  <c r="GR238" i="2"/>
  <c r="GS238" i="2" s="1"/>
  <c r="GP238" i="2"/>
  <c r="GQ238" i="2" s="1"/>
  <c r="GN238" i="2"/>
  <c r="GO238" i="2" s="1"/>
  <c r="GL238" i="2"/>
  <c r="GM238" i="2" s="1"/>
  <c r="GH238" i="2"/>
  <c r="GG238" i="2"/>
  <c r="GI238" i="2" s="1"/>
  <c r="GD238" i="2"/>
  <c r="GC238" i="2"/>
  <c r="GB238" i="2"/>
  <c r="FY238" i="2"/>
  <c r="FZ238" i="2" s="1"/>
  <c r="FS238" i="2"/>
  <c r="FT238" i="2" s="1"/>
  <c r="EW238" i="2"/>
  <c r="ET238" i="2"/>
  <c r="EU238" i="2" s="1"/>
  <c r="EQ238" i="2"/>
  <c r="ER238" i="2" s="1"/>
  <c r="EJ238" i="2"/>
  <c r="EE238" i="2"/>
  <c r="EF238" i="2" s="1"/>
  <c r="DX238" i="2"/>
  <c r="DP238" i="2"/>
  <c r="DF238" i="2"/>
  <c r="DH238" i="2" s="1"/>
  <c r="DE238" i="2"/>
  <c r="CY238" i="2"/>
  <c r="CZ238" i="2" s="1"/>
  <c r="CF238" i="2"/>
  <c r="CH238" i="2"/>
  <c r="CA238" i="2"/>
  <c r="CR238" i="2"/>
  <c r="BO238" i="2"/>
  <c r="BJ238" i="2"/>
  <c r="BM238" i="2" s="1"/>
  <c r="BN238" i="2" s="1"/>
  <c r="BC238" i="2"/>
  <c r="AZ238" i="2"/>
  <c r="AY238" i="2"/>
  <c r="AO238" i="2"/>
  <c r="AN238" i="2"/>
  <c r="AM238" i="2"/>
  <c r="AL238" i="2"/>
  <c r="AK238" i="2"/>
  <c r="AG238" i="2"/>
  <c r="AE238" i="2"/>
  <c r="AF238" i="2" s="1"/>
  <c r="U238" i="2"/>
  <c r="S238" i="2"/>
  <c r="T238" i="2" s="1"/>
  <c r="R238" i="2"/>
  <c r="Y238" i="2" s="1"/>
  <c r="AB238" i="2" s="1"/>
  <c r="E238" i="2"/>
  <c r="GR237" i="2"/>
  <c r="GS237" i="2" s="1"/>
  <c r="GP237" i="2"/>
  <c r="GQ237" i="2" s="1"/>
  <c r="DO237" i="2" s="1"/>
  <c r="DQ237" i="2" s="1"/>
  <c r="DR237" i="2" s="1"/>
  <c r="GN237" i="2"/>
  <c r="GO237" i="2" s="1"/>
  <c r="GL237" i="2"/>
  <c r="GM237" i="2" s="1"/>
  <c r="GH237" i="2"/>
  <c r="GG237" i="2"/>
  <c r="GI237" i="2" s="1"/>
  <c r="GD237" i="2"/>
  <c r="GC237" i="2"/>
  <c r="GB237" i="2"/>
  <c r="FY237" i="2"/>
  <c r="FZ237" i="2" s="1"/>
  <c r="FS237" i="2"/>
  <c r="FT237" i="2" s="1"/>
  <c r="EW237" i="2"/>
  <c r="ET237" i="2"/>
  <c r="EU237" i="2" s="1"/>
  <c r="EQ237" i="2"/>
  <c r="ER237" i="2" s="1"/>
  <c r="EJ237" i="2"/>
  <c r="EE237" i="2"/>
  <c r="EF237" i="2" s="1"/>
  <c r="DX237" i="2"/>
  <c r="DP237" i="2"/>
  <c r="DF237" i="2"/>
  <c r="DH237" i="2" s="1"/>
  <c r="DE237" i="2"/>
  <c r="CY237" i="2"/>
  <c r="CZ237" i="2" s="1"/>
  <c r="CF237" i="2"/>
  <c r="CH237" i="2"/>
  <c r="CA237" i="2"/>
  <c r="CR237" i="2"/>
  <c r="BO237" i="2"/>
  <c r="BJ237" i="2"/>
  <c r="BM237" i="2" s="1"/>
  <c r="BN237" i="2" s="1"/>
  <c r="BC237" i="2"/>
  <c r="AZ237" i="2"/>
  <c r="AY237" i="2"/>
  <c r="AO237" i="2"/>
  <c r="AN237" i="2"/>
  <c r="AM237" i="2"/>
  <c r="AL237" i="2"/>
  <c r="AK237" i="2"/>
  <c r="AG237" i="2"/>
  <c r="AE237" i="2"/>
  <c r="AF237" i="2" s="1"/>
  <c r="U237" i="2"/>
  <c r="S237" i="2"/>
  <c r="T237" i="2" s="1"/>
  <c r="R237" i="2"/>
  <c r="E237" i="2"/>
  <c r="GR236" i="2"/>
  <c r="GS236" i="2" s="1"/>
  <c r="GP236" i="2"/>
  <c r="GQ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H236" i="2" s="1"/>
  <c r="DE236" i="2"/>
  <c r="CY236" i="2"/>
  <c r="CZ236" i="2" s="1"/>
  <c r="CF236" i="2"/>
  <c r="CH236" i="2"/>
  <c r="CA236" i="2"/>
  <c r="CR236" i="2"/>
  <c r="BO236" i="2"/>
  <c r="BJ236" i="2"/>
  <c r="BM236" i="2" s="1"/>
  <c r="BN236" i="2" s="1"/>
  <c r="BC236" i="2"/>
  <c r="AZ236" i="2"/>
  <c r="AY236" i="2"/>
  <c r="AO236" i="2"/>
  <c r="AN236" i="2"/>
  <c r="AM236" i="2"/>
  <c r="AL236" i="2"/>
  <c r="AK236" i="2"/>
  <c r="AG236" i="2"/>
  <c r="AE236" i="2"/>
  <c r="AF236" i="2" s="1"/>
  <c r="U236" i="2"/>
  <c r="S236" i="2"/>
  <c r="T236" i="2" s="1"/>
  <c r="R236" i="2"/>
  <c r="X236" i="2" s="1"/>
  <c r="E236" i="2"/>
  <c r="GR234" i="2"/>
  <c r="GS234" i="2" s="1"/>
  <c r="GP234" i="2"/>
  <c r="GQ234" i="2" s="1"/>
  <c r="DU234" i="2" s="1"/>
  <c r="GN234" i="2"/>
  <c r="GO234" i="2" s="1"/>
  <c r="GL234" i="2"/>
  <c r="GM234" i="2" s="1"/>
  <c r="GH234" i="2"/>
  <c r="GG234" i="2"/>
  <c r="GI234" i="2" s="1"/>
  <c r="GD234" i="2"/>
  <c r="GC234" i="2"/>
  <c r="GB234" i="2"/>
  <c r="FY234" i="2"/>
  <c r="FZ234" i="2" s="1"/>
  <c r="FS234" i="2"/>
  <c r="FT234" i="2" s="1"/>
  <c r="EW234" i="2"/>
  <c r="ET234" i="2"/>
  <c r="EU234" i="2" s="1"/>
  <c r="EQ234" i="2"/>
  <c r="ER234" i="2" s="1"/>
  <c r="EJ234" i="2"/>
  <c r="EE234" i="2"/>
  <c r="EF234" i="2" s="1"/>
  <c r="DX234" i="2"/>
  <c r="DP234" i="2"/>
  <c r="DF234" i="2"/>
  <c r="DE234" i="2"/>
  <c r="CY234" i="2"/>
  <c r="CZ234" i="2" s="1"/>
  <c r="CF234" i="2"/>
  <c r="CA234" i="2"/>
  <c r="CR234" i="2"/>
  <c r="BO234" i="2"/>
  <c r="BJ234" i="2"/>
  <c r="BM234" i="2" s="1"/>
  <c r="BN234" i="2" s="1"/>
  <c r="BC234" i="2"/>
  <c r="AZ234" i="2"/>
  <c r="AY234" i="2"/>
  <c r="AO234" i="2"/>
  <c r="AN234" i="2"/>
  <c r="AM234" i="2"/>
  <c r="AL234" i="2"/>
  <c r="AK234" i="2"/>
  <c r="AG234" i="2"/>
  <c r="AE234" i="2"/>
  <c r="AF234" i="2" s="1"/>
  <c r="U234" i="2"/>
  <c r="S234" i="2"/>
  <c r="T234" i="2" s="1"/>
  <c r="R234" i="2"/>
  <c r="Y234" i="2" s="1"/>
  <c r="E234" i="2"/>
  <c r="GR233" i="2"/>
  <c r="GS233" i="2" s="1"/>
  <c r="GP233" i="2"/>
  <c r="GQ233" i="2" s="1"/>
  <c r="DU233" i="2" s="1"/>
  <c r="GN233" i="2"/>
  <c r="GO233" i="2" s="1"/>
  <c r="GL233" i="2"/>
  <c r="GM233" i="2" s="1"/>
  <c r="GH233" i="2"/>
  <c r="GG233" i="2"/>
  <c r="GI233" i="2" s="1"/>
  <c r="GD233" i="2"/>
  <c r="GC233" i="2"/>
  <c r="GB233" i="2"/>
  <c r="FY233" i="2"/>
  <c r="FZ233" i="2" s="1"/>
  <c r="FS233" i="2"/>
  <c r="FT233" i="2" s="1"/>
  <c r="EW233" i="2"/>
  <c r="ET233" i="2"/>
  <c r="EU233" i="2" s="1"/>
  <c r="EQ233" i="2"/>
  <c r="ER233" i="2" s="1"/>
  <c r="EJ233" i="2"/>
  <c r="EE233" i="2"/>
  <c r="EF233" i="2" s="1"/>
  <c r="DX233" i="2"/>
  <c r="DP233" i="2"/>
  <c r="DF233" i="2"/>
  <c r="DE233" i="2"/>
  <c r="CY233" i="2"/>
  <c r="CZ233" i="2" s="1"/>
  <c r="CF233" i="2"/>
  <c r="CA233" i="2"/>
  <c r="CR233" i="2"/>
  <c r="BO233" i="2"/>
  <c r="BJ233" i="2"/>
  <c r="BC233" i="2"/>
  <c r="AZ233" i="2"/>
  <c r="AY233" i="2"/>
  <c r="AO233" i="2"/>
  <c r="AN233" i="2"/>
  <c r="AM233" i="2"/>
  <c r="AL233" i="2"/>
  <c r="AK233" i="2"/>
  <c r="AG233" i="2"/>
  <c r="AE233" i="2"/>
  <c r="AF233" i="2" s="1"/>
  <c r="U233" i="2"/>
  <c r="S233" i="2"/>
  <c r="T233" i="2" s="1"/>
  <c r="R233" i="2"/>
  <c r="Y233" i="2" s="1"/>
  <c r="E233" i="2"/>
  <c r="GR232" i="2"/>
  <c r="GS232" i="2" s="1"/>
  <c r="GP232" i="2"/>
  <c r="GQ232" i="2" s="1"/>
  <c r="DU232" i="2" s="1"/>
  <c r="GN232" i="2"/>
  <c r="GO232" i="2" s="1"/>
  <c r="GL232" i="2"/>
  <c r="GM232" i="2" s="1"/>
  <c r="GH232" i="2"/>
  <c r="GG232" i="2"/>
  <c r="GI232" i="2" s="1"/>
  <c r="GD232" i="2"/>
  <c r="GC232" i="2"/>
  <c r="GB232" i="2"/>
  <c r="FY232" i="2"/>
  <c r="FZ232" i="2" s="1"/>
  <c r="FS232" i="2"/>
  <c r="FT232" i="2" s="1"/>
  <c r="EW232" i="2"/>
  <c r="ET232" i="2"/>
  <c r="EU232" i="2" s="1"/>
  <c r="EQ232" i="2"/>
  <c r="ER232" i="2" s="1"/>
  <c r="EJ232" i="2"/>
  <c r="EE232" i="2"/>
  <c r="EF232" i="2" s="1"/>
  <c r="DX232" i="2"/>
  <c r="DP232" i="2"/>
  <c r="DF232" i="2"/>
  <c r="DE232" i="2"/>
  <c r="CY232" i="2"/>
  <c r="CZ232" i="2" s="1"/>
  <c r="CF232" i="2"/>
  <c r="CA232" i="2"/>
  <c r="CR232" i="2"/>
  <c r="BO232" i="2"/>
  <c r="BJ232" i="2"/>
  <c r="BM232" i="2" s="1"/>
  <c r="BN232" i="2" s="1"/>
  <c r="BC232" i="2"/>
  <c r="AZ232" i="2"/>
  <c r="AY232" i="2"/>
  <c r="AO232" i="2"/>
  <c r="AN232" i="2"/>
  <c r="AM232" i="2"/>
  <c r="AL232" i="2"/>
  <c r="AK232" i="2"/>
  <c r="AG232" i="2"/>
  <c r="AE232" i="2"/>
  <c r="AF232" i="2" s="1"/>
  <c r="U232" i="2"/>
  <c r="S232" i="2"/>
  <c r="T232" i="2" s="1"/>
  <c r="R232" i="2"/>
  <c r="Y232" i="2" s="1"/>
  <c r="E232" i="2"/>
  <c r="GR231" i="2"/>
  <c r="GS231" i="2" s="1"/>
  <c r="GP231" i="2"/>
  <c r="GQ231" i="2" s="1"/>
  <c r="DU231" i="2" s="1"/>
  <c r="GN231" i="2"/>
  <c r="GO231" i="2" s="1"/>
  <c r="GL231" i="2"/>
  <c r="GM231" i="2" s="1"/>
  <c r="GH231" i="2"/>
  <c r="GG231" i="2"/>
  <c r="GI231" i="2" s="1"/>
  <c r="GD231" i="2"/>
  <c r="GC231" i="2"/>
  <c r="GB231" i="2"/>
  <c r="FY231" i="2"/>
  <c r="FZ231" i="2" s="1"/>
  <c r="FS231" i="2"/>
  <c r="FT231" i="2" s="1"/>
  <c r="EW231" i="2"/>
  <c r="ET231" i="2"/>
  <c r="EU231" i="2" s="1"/>
  <c r="EQ231" i="2"/>
  <c r="ER231" i="2" s="1"/>
  <c r="EJ231" i="2"/>
  <c r="EE231" i="2"/>
  <c r="EF231" i="2" s="1"/>
  <c r="DX231" i="2"/>
  <c r="DP231" i="2"/>
  <c r="DF231" i="2"/>
  <c r="DG231" i="2" s="1"/>
  <c r="DE231" i="2"/>
  <c r="CY231" i="2"/>
  <c r="CZ231" i="2" s="1"/>
  <c r="CF231" i="2"/>
  <c r="CA231" i="2"/>
  <c r="CR231" i="2"/>
  <c r="BO231" i="2"/>
  <c r="BJ231" i="2"/>
  <c r="BM231" i="2" s="1"/>
  <c r="BN231" i="2" s="1"/>
  <c r="BC231" i="2"/>
  <c r="AZ231" i="2"/>
  <c r="AY231" i="2"/>
  <c r="AO231" i="2"/>
  <c r="AN231" i="2"/>
  <c r="AM231" i="2"/>
  <c r="AL231" i="2"/>
  <c r="AK231" i="2"/>
  <c r="AG231" i="2"/>
  <c r="AE231" i="2"/>
  <c r="AF231" i="2" s="1"/>
  <c r="U231" i="2"/>
  <c r="S231" i="2"/>
  <c r="T231" i="2" s="1"/>
  <c r="R231" i="2"/>
  <c r="Y231" i="2" s="1"/>
  <c r="E231" i="2"/>
  <c r="GR230" i="2"/>
  <c r="GS230" i="2" s="1"/>
  <c r="GP230" i="2"/>
  <c r="GQ230" i="2" s="1"/>
  <c r="DU230" i="2" s="1"/>
  <c r="GN230" i="2"/>
  <c r="GO230" i="2" s="1"/>
  <c r="GL230" i="2"/>
  <c r="GM230" i="2" s="1"/>
  <c r="GH230" i="2"/>
  <c r="GG230" i="2"/>
  <c r="GI230" i="2" s="1"/>
  <c r="GD230" i="2"/>
  <c r="GC230" i="2"/>
  <c r="GB230" i="2"/>
  <c r="FY230" i="2"/>
  <c r="GA230" i="2" s="1"/>
  <c r="FS230" i="2"/>
  <c r="FT230" i="2" s="1"/>
  <c r="EW230" i="2"/>
  <c r="ET230" i="2"/>
  <c r="EU230" i="2" s="1"/>
  <c r="EQ230" i="2"/>
  <c r="ER230" i="2" s="1"/>
  <c r="EJ230" i="2"/>
  <c r="EE230" i="2"/>
  <c r="EF230" i="2" s="1"/>
  <c r="DX230" i="2"/>
  <c r="DP230" i="2"/>
  <c r="DF230" i="2"/>
  <c r="DG230" i="2" s="1"/>
  <c r="DE230" i="2"/>
  <c r="CY230" i="2"/>
  <c r="CZ230" i="2" s="1"/>
  <c r="CF230" i="2"/>
  <c r="CA230" i="2"/>
  <c r="CR230" i="2"/>
  <c r="BO230" i="2"/>
  <c r="BJ230" i="2"/>
  <c r="BC230" i="2"/>
  <c r="AZ230" i="2"/>
  <c r="AY230" i="2"/>
  <c r="AO230" i="2"/>
  <c r="AN230" i="2"/>
  <c r="AM230" i="2"/>
  <c r="AL230" i="2"/>
  <c r="AK230" i="2"/>
  <c r="AG230" i="2"/>
  <c r="AE230" i="2"/>
  <c r="AF230" i="2" s="1"/>
  <c r="U230" i="2"/>
  <c r="S230" i="2"/>
  <c r="T230" i="2" s="1"/>
  <c r="R230" i="2"/>
  <c r="Y230" i="2" s="1"/>
  <c r="E230" i="2"/>
  <c r="GR226" i="2"/>
  <c r="GS226" i="2" s="1"/>
  <c r="GP226" i="2"/>
  <c r="GQ226" i="2" s="1"/>
  <c r="DU226" i="2" s="1"/>
  <c r="GN226" i="2"/>
  <c r="GO226" i="2" s="1"/>
  <c r="GL226" i="2"/>
  <c r="GM226" i="2" s="1"/>
  <c r="GH226" i="2"/>
  <c r="GG226" i="2"/>
  <c r="GI226" i="2" s="1"/>
  <c r="GD226" i="2"/>
  <c r="GC226" i="2"/>
  <c r="GB226" i="2"/>
  <c r="FY226" i="2"/>
  <c r="GA226" i="2" s="1"/>
  <c r="FS226" i="2"/>
  <c r="FT226" i="2" s="1"/>
  <c r="EW226" i="2"/>
  <c r="ET226" i="2"/>
  <c r="EU226" i="2" s="1"/>
  <c r="EQ226" i="2"/>
  <c r="ER226" i="2" s="1"/>
  <c r="EJ226" i="2"/>
  <c r="EE226" i="2"/>
  <c r="EF226" i="2" s="1"/>
  <c r="DX226" i="2"/>
  <c r="DP226" i="2"/>
  <c r="DF226" i="2"/>
  <c r="DE226" i="2"/>
  <c r="CY226" i="2"/>
  <c r="CZ226" i="2" s="1"/>
  <c r="CF226" i="2"/>
  <c r="CA226" i="2"/>
  <c r="CR226" i="2"/>
  <c r="BO226" i="2"/>
  <c r="BJ226" i="2"/>
  <c r="BM226" i="2" s="1"/>
  <c r="BN226" i="2" s="1"/>
  <c r="BC226" i="2"/>
  <c r="AZ226" i="2"/>
  <c r="AY226" i="2"/>
  <c r="AO226" i="2"/>
  <c r="AN226" i="2"/>
  <c r="AM226" i="2"/>
  <c r="AL226" i="2"/>
  <c r="AK226" i="2"/>
  <c r="AG226" i="2"/>
  <c r="AE226" i="2"/>
  <c r="AF226" i="2" s="1"/>
  <c r="U226" i="2"/>
  <c r="S226" i="2"/>
  <c r="T226" i="2" s="1"/>
  <c r="R226" i="2"/>
  <c r="Y226" i="2" s="1"/>
  <c r="E226" i="2"/>
  <c r="GR225" i="2"/>
  <c r="GS225" i="2" s="1"/>
  <c r="GP225" i="2"/>
  <c r="GQ225" i="2" s="1"/>
  <c r="DU225" i="2" s="1"/>
  <c r="GN225" i="2"/>
  <c r="GO225" i="2" s="1"/>
  <c r="GL225" i="2"/>
  <c r="GM225" i="2" s="1"/>
  <c r="GH225" i="2"/>
  <c r="GG225" i="2"/>
  <c r="GI225" i="2" s="1"/>
  <c r="GD225" i="2"/>
  <c r="GC225" i="2"/>
  <c r="GB225" i="2"/>
  <c r="FY225" i="2"/>
  <c r="FZ225" i="2" s="1"/>
  <c r="FS225" i="2"/>
  <c r="FT225" i="2" s="1"/>
  <c r="EW225" i="2"/>
  <c r="ET225" i="2"/>
  <c r="EU225" i="2" s="1"/>
  <c r="EQ225" i="2"/>
  <c r="ER225" i="2" s="1"/>
  <c r="EJ225" i="2"/>
  <c r="EE225" i="2"/>
  <c r="EF225" i="2" s="1"/>
  <c r="DX225" i="2"/>
  <c r="DP225" i="2"/>
  <c r="DF225" i="2"/>
  <c r="DG225" i="2" s="1"/>
  <c r="DE225" i="2"/>
  <c r="CY225" i="2"/>
  <c r="CZ225" i="2" s="1"/>
  <c r="CF225" i="2"/>
  <c r="CA225" i="2"/>
  <c r="BO225" i="2"/>
  <c r="BJ225" i="2"/>
  <c r="BM225" i="2" s="1"/>
  <c r="BN225" i="2" s="1"/>
  <c r="BC225" i="2"/>
  <c r="AZ225" i="2"/>
  <c r="AY225" i="2"/>
  <c r="AO225" i="2"/>
  <c r="AN225" i="2"/>
  <c r="AM225" i="2"/>
  <c r="AL225" i="2"/>
  <c r="AK225" i="2"/>
  <c r="AG225" i="2"/>
  <c r="AE225" i="2"/>
  <c r="AF225" i="2" s="1"/>
  <c r="U225" i="2"/>
  <c r="S225" i="2"/>
  <c r="T225" i="2" s="1"/>
  <c r="R225" i="2"/>
  <c r="Y225" i="2" s="1"/>
  <c r="E225" i="2"/>
  <c r="GR224" i="2"/>
  <c r="GS224" i="2" s="1"/>
  <c r="GP224" i="2"/>
  <c r="GQ224" i="2" s="1"/>
  <c r="DU224" i="2" s="1"/>
  <c r="GN224" i="2"/>
  <c r="GO224" i="2" s="1"/>
  <c r="GL224" i="2"/>
  <c r="GM224" i="2" s="1"/>
  <c r="GH224" i="2"/>
  <c r="GG224" i="2"/>
  <c r="GI224" i="2" s="1"/>
  <c r="GD224" i="2"/>
  <c r="GC224" i="2"/>
  <c r="GB224" i="2"/>
  <c r="FY224" i="2"/>
  <c r="FZ224" i="2" s="1"/>
  <c r="FS224" i="2"/>
  <c r="FT224" i="2" s="1"/>
  <c r="EW224" i="2"/>
  <c r="ET224" i="2"/>
  <c r="EU224" i="2" s="1"/>
  <c r="EQ224" i="2"/>
  <c r="ER224" i="2" s="1"/>
  <c r="EJ224" i="2"/>
  <c r="EE224" i="2"/>
  <c r="EF224" i="2" s="1"/>
  <c r="DX224" i="2"/>
  <c r="DP224" i="2"/>
  <c r="DF224" i="2"/>
  <c r="DG224" i="2" s="1"/>
  <c r="DE224" i="2"/>
  <c r="CY224" i="2"/>
  <c r="CZ224" i="2" s="1"/>
  <c r="CF224" i="2"/>
  <c r="CA224" i="2"/>
  <c r="CW224" i="2"/>
  <c r="BO224" i="2"/>
  <c r="BJ224" i="2"/>
  <c r="BM224" i="2" s="1"/>
  <c r="BN224" i="2" s="1"/>
  <c r="BC224" i="2"/>
  <c r="AZ224" i="2"/>
  <c r="AY224" i="2"/>
  <c r="AO224" i="2"/>
  <c r="AN224" i="2"/>
  <c r="AM224" i="2"/>
  <c r="AL224" i="2"/>
  <c r="AK224" i="2"/>
  <c r="AG224" i="2"/>
  <c r="AE224" i="2"/>
  <c r="AF224" i="2" s="1"/>
  <c r="U224" i="2"/>
  <c r="S224" i="2"/>
  <c r="T224" i="2" s="1"/>
  <c r="R224" i="2"/>
  <c r="Y224" i="2" s="1"/>
  <c r="E224" i="2"/>
  <c r="GR223" i="2"/>
  <c r="GS223" i="2" s="1"/>
  <c r="GP223" i="2"/>
  <c r="GQ223" i="2" s="1"/>
  <c r="DU223" i="2" s="1"/>
  <c r="GN223" i="2"/>
  <c r="GO223" i="2" s="1"/>
  <c r="GL223" i="2"/>
  <c r="GM223" i="2" s="1"/>
  <c r="GH223" i="2"/>
  <c r="GG223" i="2"/>
  <c r="GI223" i="2" s="1"/>
  <c r="GD223" i="2"/>
  <c r="GC223" i="2"/>
  <c r="GB223" i="2"/>
  <c r="FY223" i="2"/>
  <c r="FZ223" i="2" s="1"/>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M223" i="2" s="1"/>
  <c r="BN223" i="2" s="1"/>
  <c r="BC223" i="2"/>
  <c r="AZ223" i="2"/>
  <c r="AY223" i="2"/>
  <c r="AO223" i="2"/>
  <c r="AN223" i="2"/>
  <c r="AM223" i="2"/>
  <c r="AL223" i="2"/>
  <c r="AK223" i="2"/>
  <c r="AG223" i="2"/>
  <c r="AE223" i="2"/>
  <c r="AF223" i="2" s="1"/>
  <c r="U223" i="2"/>
  <c r="S223" i="2"/>
  <c r="T223" i="2" s="1"/>
  <c r="R223" i="2"/>
  <c r="Y223" i="2" s="1"/>
  <c r="AB223" i="2" s="1"/>
  <c r="E223" i="2"/>
  <c r="GR222" i="2"/>
  <c r="GS222" i="2" s="1"/>
  <c r="GP222" i="2"/>
  <c r="GQ222" i="2" s="1"/>
  <c r="GN222" i="2"/>
  <c r="GO222" i="2" s="1"/>
  <c r="GL222" i="2"/>
  <c r="GM222" i="2" s="1"/>
  <c r="GH222" i="2"/>
  <c r="GG222" i="2"/>
  <c r="GI222" i="2" s="1"/>
  <c r="GD222" i="2"/>
  <c r="GC222" i="2"/>
  <c r="GB222" i="2"/>
  <c r="FY222" i="2"/>
  <c r="FZ222" i="2" s="1"/>
  <c r="FS222" i="2"/>
  <c r="FT222" i="2" s="1"/>
  <c r="EW222" i="2"/>
  <c r="ET222" i="2"/>
  <c r="EU222" i="2" s="1"/>
  <c r="EQ222" i="2"/>
  <c r="ER222" i="2" s="1"/>
  <c r="EJ222" i="2"/>
  <c r="EE222" i="2"/>
  <c r="EF222" i="2" s="1"/>
  <c r="DX222" i="2"/>
  <c r="DP222" i="2"/>
  <c r="DF222" i="2"/>
  <c r="DG222" i="2" s="1"/>
  <c r="DE222" i="2"/>
  <c r="CY222" i="2"/>
  <c r="CZ222" i="2" s="1"/>
  <c r="CF222" i="2"/>
  <c r="CA222" i="2"/>
  <c r="CW222" i="2"/>
  <c r="BO222" i="2"/>
  <c r="BJ222" i="2"/>
  <c r="BM222" i="2" s="1"/>
  <c r="BN222" i="2" s="1"/>
  <c r="BC222" i="2"/>
  <c r="AZ222" i="2"/>
  <c r="AY222" i="2"/>
  <c r="AO222" i="2"/>
  <c r="AN222" i="2"/>
  <c r="AM222" i="2"/>
  <c r="AL222" i="2"/>
  <c r="AK222" i="2"/>
  <c r="AG222" i="2"/>
  <c r="AE222" i="2"/>
  <c r="AF222" i="2" s="1"/>
  <c r="U222" i="2"/>
  <c r="S222" i="2"/>
  <c r="T222" i="2" s="1"/>
  <c r="R222" i="2"/>
  <c r="Y222" i="2" s="1"/>
  <c r="AB222" i="2" s="1"/>
  <c r="E222" i="2"/>
  <c r="GR221" i="2"/>
  <c r="GS221" i="2" s="1"/>
  <c r="GP221" i="2"/>
  <c r="GQ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G221" i="2" s="1"/>
  <c r="DE221" i="2"/>
  <c r="CY221" i="2"/>
  <c r="CZ221" i="2" s="1"/>
  <c r="CF221" i="2"/>
  <c r="CH221" i="2"/>
  <c r="CA221" i="2"/>
  <c r="BO221" i="2"/>
  <c r="BJ221" i="2"/>
  <c r="BC221" i="2"/>
  <c r="AZ221" i="2"/>
  <c r="AY221" i="2"/>
  <c r="AO221" i="2"/>
  <c r="AN221" i="2"/>
  <c r="AM221" i="2"/>
  <c r="AL221" i="2"/>
  <c r="AK221" i="2"/>
  <c r="AG221" i="2"/>
  <c r="AE221" i="2"/>
  <c r="AF221" i="2" s="1"/>
  <c r="U221" i="2"/>
  <c r="S221" i="2"/>
  <c r="T221" i="2" s="1"/>
  <c r="R221" i="2"/>
  <c r="Y221" i="2" s="1"/>
  <c r="AB221" i="2" s="1"/>
  <c r="E221" i="2"/>
  <c r="GR220" i="2"/>
  <c r="GS220" i="2" s="1"/>
  <c r="GP220" i="2"/>
  <c r="GQ220" i="2" s="1"/>
  <c r="GN220" i="2"/>
  <c r="GO220" i="2" s="1"/>
  <c r="GL220" i="2"/>
  <c r="GM220" i="2" s="1"/>
  <c r="GH220" i="2"/>
  <c r="GG220" i="2"/>
  <c r="GI220" i="2" s="1"/>
  <c r="GD220" i="2"/>
  <c r="GC220" i="2"/>
  <c r="GB220" i="2"/>
  <c r="FY220" i="2"/>
  <c r="FZ220" i="2" s="1"/>
  <c r="FS220" i="2"/>
  <c r="FT220" i="2" s="1"/>
  <c r="EW220" i="2"/>
  <c r="ET220" i="2"/>
  <c r="EU220" i="2" s="1"/>
  <c r="EQ220" i="2"/>
  <c r="ER220" i="2" s="1"/>
  <c r="EJ220" i="2"/>
  <c r="EE220" i="2"/>
  <c r="EF220" i="2" s="1"/>
  <c r="DX220" i="2"/>
  <c r="DP220" i="2"/>
  <c r="DF220" i="2"/>
  <c r="DG220" i="2" s="1"/>
  <c r="DE220" i="2"/>
  <c r="CY220" i="2"/>
  <c r="CZ220" i="2" s="1"/>
  <c r="CF220" i="2"/>
  <c r="CH220" i="2"/>
  <c r="CA220" i="2"/>
  <c r="BO220" i="2"/>
  <c r="BJ220" i="2"/>
  <c r="BM220" i="2" s="1"/>
  <c r="BN220" i="2" s="1"/>
  <c r="BC220" i="2"/>
  <c r="AZ220" i="2"/>
  <c r="AY220" i="2"/>
  <c r="AO220" i="2"/>
  <c r="AN220" i="2"/>
  <c r="AM220" i="2"/>
  <c r="AL220" i="2"/>
  <c r="AK220" i="2"/>
  <c r="AG220" i="2"/>
  <c r="AE220" i="2"/>
  <c r="AF220" i="2" s="1"/>
  <c r="U220" i="2"/>
  <c r="S220" i="2"/>
  <c r="T220" i="2" s="1"/>
  <c r="R220" i="2"/>
  <c r="Y220" i="2" s="1"/>
  <c r="E220" i="2"/>
  <c r="GR219" i="2"/>
  <c r="GS219" i="2" s="1"/>
  <c r="GP219" i="2"/>
  <c r="GQ219" i="2" s="1"/>
  <c r="GN219" i="2"/>
  <c r="GO219" i="2" s="1"/>
  <c r="GL219" i="2"/>
  <c r="GM219" i="2" s="1"/>
  <c r="GH219" i="2"/>
  <c r="GG219" i="2"/>
  <c r="GI219" i="2" s="1"/>
  <c r="GD219" i="2"/>
  <c r="GC219" i="2"/>
  <c r="GB219" i="2"/>
  <c r="FY219" i="2"/>
  <c r="GA219" i="2" s="1"/>
  <c r="FS219" i="2"/>
  <c r="FT219" i="2" s="1"/>
  <c r="EW219" i="2"/>
  <c r="ET219" i="2"/>
  <c r="EU219" i="2" s="1"/>
  <c r="EQ219" i="2"/>
  <c r="ER219" i="2" s="1"/>
  <c r="EJ219" i="2"/>
  <c r="EE219" i="2"/>
  <c r="EF219" i="2" s="1"/>
  <c r="DX219" i="2"/>
  <c r="DP219" i="2"/>
  <c r="DF219" i="2"/>
  <c r="DE219" i="2"/>
  <c r="CY219" i="2"/>
  <c r="CZ219" i="2" s="1"/>
  <c r="CF219" i="2"/>
  <c r="CH219" i="2"/>
  <c r="CA219" i="2"/>
  <c r="DA219" i="2"/>
  <c r="DB219" i="2" s="1"/>
  <c r="BO219" i="2"/>
  <c r="BJ219" i="2"/>
  <c r="BC219" i="2"/>
  <c r="AZ219" i="2"/>
  <c r="AY219" i="2"/>
  <c r="AO219" i="2"/>
  <c r="AN219" i="2"/>
  <c r="AM219" i="2"/>
  <c r="AL219" i="2"/>
  <c r="AK219" i="2"/>
  <c r="AG219" i="2"/>
  <c r="AE219" i="2"/>
  <c r="AF219" i="2" s="1"/>
  <c r="U219" i="2"/>
  <c r="S219" i="2"/>
  <c r="T219" i="2" s="1"/>
  <c r="R219" i="2"/>
  <c r="E219" i="2"/>
  <c r="GR292" i="2"/>
  <c r="GS292" i="2" s="1"/>
  <c r="GP292" i="2"/>
  <c r="GQ292" i="2" s="1"/>
  <c r="GL292" i="2"/>
  <c r="GM292" i="2" s="1"/>
  <c r="GG292" i="2"/>
  <c r="GI292" i="2" s="1"/>
  <c r="GD292" i="2"/>
  <c r="GC292" i="2"/>
  <c r="GB292" i="2"/>
  <c r="FY292" i="2"/>
  <c r="GA292" i="2" s="1"/>
  <c r="FS292" i="2"/>
  <c r="FT292" i="2" s="1"/>
  <c r="EW292" i="2"/>
  <c r="ET292" i="2"/>
  <c r="EU292" i="2" s="1"/>
  <c r="EQ292" i="2"/>
  <c r="ER292" i="2" s="1"/>
  <c r="EJ292" i="2"/>
  <c r="EE292" i="2"/>
  <c r="EF292" i="2" s="1"/>
  <c r="DX292" i="2"/>
  <c r="DP292" i="2"/>
  <c r="DF292" i="2"/>
  <c r="DE292" i="2"/>
  <c r="CY292" i="2"/>
  <c r="CF292" i="2"/>
  <c r="CA292" i="2"/>
  <c r="DA292" i="2"/>
  <c r="DB292" i="2" s="1"/>
  <c r="BO292" i="2"/>
  <c r="BJ292" i="2"/>
  <c r="BC292" i="2"/>
  <c r="AZ292" i="2"/>
  <c r="AY292" i="2"/>
  <c r="AO292" i="2"/>
  <c r="AN292" i="2"/>
  <c r="AM292" i="2"/>
  <c r="AL292" i="2"/>
  <c r="AK292" i="2"/>
  <c r="AG292" i="2"/>
  <c r="AE292" i="2"/>
  <c r="AF292" i="2" s="1"/>
  <c r="S292" i="2"/>
  <c r="T292" i="2" s="1"/>
  <c r="U292" i="2" s="1"/>
  <c r="R292" i="2"/>
  <c r="Y292" i="2" s="1"/>
  <c r="AB292" i="2" s="1"/>
  <c r="E292" i="2"/>
  <c r="GR218" i="2"/>
  <c r="GS218" i="2" s="1"/>
  <c r="GP218" i="2"/>
  <c r="GQ218" i="2" s="1"/>
  <c r="GN218" i="2"/>
  <c r="GO218" i="2" s="1"/>
  <c r="GL218" i="2"/>
  <c r="GM218" i="2" s="1"/>
  <c r="GH218" i="2"/>
  <c r="GG218" i="2"/>
  <c r="GI218" i="2" s="1"/>
  <c r="GD218" i="2"/>
  <c r="GC218" i="2"/>
  <c r="GB218" i="2"/>
  <c r="FY218" i="2"/>
  <c r="GA218" i="2" s="1"/>
  <c r="FS218" i="2"/>
  <c r="FT218" i="2" s="1"/>
  <c r="EW218" i="2"/>
  <c r="ET218" i="2"/>
  <c r="EU218" i="2" s="1"/>
  <c r="EQ218" i="2"/>
  <c r="ER218" i="2" s="1"/>
  <c r="EJ218" i="2"/>
  <c r="EE218" i="2"/>
  <c r="EF218" i="2" s="1"/>
  <c r="DX218" i="2"/>
  <c r="DP218" i="2"/>
  <c r="DF218" i="2"/>
  <c r="DG218" i="2" s="1"/>
  <c r="DE218" i="2"/>
  <c r="CY218" i="2"/>
  <c r="CZ218" i="2" s="1"/>
  <c r="CF218" i="2"/>
  <c r="CH218" i="2"/>
  <c r="CA218" i="2"/>
  <c r="DA218" i="2"/>
  <c r="DB218" i="2" s="1"/>
  <c r="BO218" i="2"/>
  <c r="BJ218" i="2"/>
  <c r="BM218" i="2" s="1"/>
  <c r="BN218" i="2" s="1"/>
  <c r="BC218" i="2"/>
  <c r="AZ218" i="2"/>
  <c r="AY218" i="2"/>
  <c r="AO218" i="2"/>
  <c r="AN218" i="2"/>
  <c r="AM218" i="2"/>
  <c r="AL218" i="2"/>
  <c r="AK218" i="2"/>
  <c r="AG218" i="2"/>
  <c r="AE218" i="2"/>
  <c r="AF218" i="2" s="1"/>
  <c r="U218" i="2"/>
  <c r="S218" i="2"/>
  <c r="T218" i="2" s="1"/>
  <c r="R218" i="2"/>
  <c r="Y218" i="2" s="1"/>
  <c r="E218" i="2"/>
  <c r="GR217" i="2"/>
  <c r="GS217" i="2" s="1"/>
  <c r="GP217" i="2"/>
  <c r="GQ217" i="2" s="1"/>
  <c r="GN217" i="2"/>
  <c r="GO217" i="2" s="1"/>
  <c r="GL217" i="2"/>
  <c r="GM217" i="2" s="1"/>
  <c r="GH217" i="2"/>
  <c r="GG217" i="2"/>
  <c r="GI217" i="2" s="1"/>
  <c r="GD217" i="2"/>
  <c r="GC217" i="2"/>
  <c r="GB217" i="2"/>
  <c r="FY217" i="2"/>
  <c r="GA217" i="2" s="1"/>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R217" i="2"/>
  <c r="Y217" i="2" s="1"/>
  <c r="AB217" i="2" s="1"/>
  <c r="E217" i="2"/>
  <c r="GR216" i="2"/>
  <c r="GS216" i="2" s="1"/>
  <c r="GP216" i="2"/>
  <c r="GQ216" i="2" s="1"/>
  <c r="GN216" i="2"/>
  <c r="GO216" i="2" s="1"/>
  <c r="GL216" i="2"/>
  <c r="GM216" i="2" s="1"/>
  <c r="GH216" i="2"/>
  <c r="GG216" i="2"/>
  <c r="GI216" i="2" s="1"/>
  <c r="GD216" i="2"/>
  <c r="GC216" i="2"/>
  <c r="GB216" i="2"/>
  <c r="FY216" i="2"/>
  <c r="GA216" i="2" s="1"/>
  <c r="FS216" i="2"/>
  <c r="FT216" i="2" s="1"/>
  <c r="EW216" i="2"/>
  <c r="ET216" i="2"/>
  <c r="EU216" i="2" s="1"/>
  <c r="EQ216" i="2"/>
  <c r="ER216" i="2" s="1"/>
  <c r="EJ216" i="2"/>
  <c r="EE216" i="2"/>
  <c r="EF216" i="2" s="1"/>
  <c r="DX216" i="2"/>
  <c r="DP216" i="2"/>
  <c r="DF216" i="2"/>
  <c r="DH216" i="2" s="1"/>
  <c r="DE216" i="2"/>
  <c r="CY216" i="2"/>
  <c r="CZ216" i="2" s="1"/>
  <c r="CF216" i="2"/>
  <c r="CH216" i="2"/>
  <c r="CA216" i="2"/>
  <c r="CR216" i="2"/>
  <c r="BO216" i="2"/>
  <c r="BJ216" i="2"/>
  <c r="BM216" i="2" s="1"/>
  <c r="BN216" i="2" s="1"/>
  <c r="BC216" i="2"/>
  <c r="AZ216" i="2"/>
  <c r="AY216" i="2"/>
  <c r="AO216" i="2"/>
  <c r="AN216" i="2"/>
  <c r="AM216" i="2"/>
  <c r="AL216" i="2"/>
  <c r="AK216" i="2"/>
  <c r="AG216" i="2"/>
  <c r="AE216" i="2"/>
  <c r="AF216" i="2" s="1"/>
  <c r="U216" i="2"/>
  <c r="S216" i="2"/>
  <c r="R216" i="2"/>
  <c r="Y216" i="2" s="1"/>
  <c r="AB216" i="2" s="1"/>
  <c r="E216" i="2"/>
  <c r="GR215" i="2"/>
  <c r="GS215" i="2" s="1"/>
  <c r="GP215" i="2"/>
  <c r="GQ215" i="2" s="1"/>
  <c r="GN215" i="2"/>
  <c r="GO215" i="2" s="1"/>
  <c r="GL215" i="2"/>
  <c r="GM215" i="2" s="1"/>
  <c r="GH215" i="2"/>
  <c r="GG215" i="2"/>
  <c r="GI215" i="2" s="1"/>
  <c r="GD215" i="2"/>
  <c r="GC215" i="2"/>
  <c r="GB215" i="2"/>
  <c r="FY215" i="2"/>
  <c r="GA215" i="2" s="1"/>
  <c r="FS215" i="2"/>
  <c r="FT215" i="2" s="1"/>
  <c r="EW215" i="2"/>
  <c r="ET215" i="2"/>
  <c r="EU215" i="2" s="1"/>
  <c r="EQ215" i="2"/>
  <c r="ER215" i="2" s="1"/>
  <c r="EJ215" i="2"/>
  <c r="EE215" i="2"/>
  <c r="EF215" i="2" s="1"/>
  <c r="DX215" i="2"/>
  <c r="DP215" i="2"/>
  <c r="DF215" i="2"/>
  <c r="DH215" i="2" s="1"/>
  <c r="DE215" i="2"/>
  <c r="CY215" i="2"/>
  <c r="CZ215" i="2" s="1"/>
  <c r="CF215" i="2"/>
  <c r="CH215" i="2"/>
  <c r="CA215" i="2"/>
  <c r="CR215" i="2"/>
  <c r="BO215" i="2"/>
  <c r="BJ215" i="2"/>
  <c r="BM215" i="2" s="1"/>
  <c r="BN215" i="2" s="1"/>
  <c r="BC215" i="2"/>
  <c r="AZ215" i="2"/>
  <c r="AY215" i="2"/>
  <c r="AO215" i="2"/>
  <c r="AN215" i="2"/>
  <c r="AM215" i="2"/>
  <c r="AL215" i="2"/>
  <c r="AK215" i="2"/>
  <c r="AG215" i="2"/>
  <c r="AE215" i="2"/>
  <c r="AF215" i="2" s="1"/>
  <c r="U215" i="2"/>
  <c r="S215" i="2"/>
  <c r="R215" i="2"/>
  <c r="Y215" i="2" s="1"/>
  <c r="AB215" i="2" s="1"/>
  <c r="E215" i="2"/>
  <c r="GR214" i="2"/>
  <c r="GS214" i="2" s="1"/>
  <c r="GP214" i="2"/>
  <c r="GQ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H214" i="2" s="1"/>
  <c r="DE214" i="2"/>
  <c r="CY214" i="2"/>
  <c r="CZ214" i="2" s="1"/>
  <c r="CF214" i="2"/>
  <c r="CH214" i="2"/>
  <c r="CA214" i="2"/>
  <c r="CR214" i="2"/>
  <c r="BO214" i="2"/>
  <c r="BJ214" i="2"/>
  <c r="BM214" i="2" s="1"/>
  <c r="BN214" i="2" s="1"/>
  <c r="BC214" i="2"/>
  <c r="AZ214" i="2"/>
  <c r="AY214" i="2"/>
  <c r="AO214" i="2"/>
  <c r="AN214" i="2"/>
  <c r="AM214" i="2"/>
  <c r="AL214" i="2"/>
  <c r="AK214" i="2"/>
  <c r="AG214" i="2"/>
  <c r="AE214" i="2"/>
  <c r="AF214" i="2" s="1"/>
  <c r="U214" i="2"/>
  <c r="S214" i="2"/>
  <c r="R214" i="2"/>
  <c r="Y214" i="2" s="1"/>
  <c r="AB214" i="2" s="1"/>
  <c r="E214" i="2"/>
  <c r="GR213" i="2"/>
  <c r="GS213" i="2" s="1"/>
  <c r="GP213" i="2"/>
  <c r="GQ213" i="2" s="1"/>
  <c r="GN213" i="2"/>
  <c r="GO213" i="2" s="1"/>
  <c r="GL213" i="2"/>
  <c r="GM213" i="2" s="1"/>
  <c r="GH213" i="2"/>
  <c r="GG213" i="2"/>
  <c r="GI213" i="2" s="1"/>
  <c r="GD213" i="2"/>
  <c r="GC213" i="2"/>
  <c r="GB213" i="2"/>
  <c r="FY213" i="2"/>
  <c r="GA213" i="2" s="1"/>
  <c r="FS213" i="2"/>
  <c r="FT213" i="2" s="1"/>
  <c r="EW213" i="2"/>
  <c r="ET213" i="2"/>
  <c r="EU213" i="2" s="1"/>
  <c r="EQ213" i="2"/>
  <c r="ER213" i="2" s="1"/>
  <c r="EJ213" i="2"/>
  <c r="EE213" i="2"/>
  <c r="EF213" i="2" s="1"/>
  <c r="DX213" i="2"/>
  <c r="DP213" i="2"/>
  <c r="DF213" i="2"/>
  <c r="DH213" i="2" s="1"/>
  <c r="DE213" i="2"/>
  <c r="CY213" i="2"/>
  <c r="CZ213" i="2" s="1"/>
  <c r="CF213" i="2"/>
  <c r="CH213" i="2"/>
  <c r="CA213" i="2"/>
  <c r="CR213" i="2"/>
  <c r="BO213" i="2"/>
  <c r="BJ213" i="2"/>
  <c r="BC213" i="2"/>
  <c r="AZ213" i="2"/>
  <c r="AY213" i="2"/>
  <c r="AO213" i="2"/>
  <c r="AN213" i="2"/>
  <c r="AM213" i="2"/>
  <c r="AL213" i="2"/>
  <c r="AK213" i="2"/>
  <c r="AG213" i="2"/>
  <c r="AE213" i="2"/>
  <c r="AF213" i="2" s="1"/>
  <c r="U213" i="2"/>
  <c r="S213" i="2"/>
  <c r="R213" i="2"/>
  <c r="Y213" i="2" s="1"/>
  <c r="AB213" i="2" s="1"/>
  <c r="E213" i="2"/>
  <c r="GR212" i="2"/>
  <c r="GS212" i="2" s="1"/>
  <c r="GP212" i="2"/>
  <c r="GQ212" i="2" s="1"/>
  <c r="DO212" i="2" s="1"/>
  <c r="GN212" i="2"/>
  <c r="GO212" i="2" s="1"/>
  <c r="GL212" i="2"/>
  <c r="GM212" i="2" s="1"/>
  <c r="GH212" i="2"/>
  <c r="GG212" i="2"/>
  <c r="GI212" i="2" s="1"/>
  <c r="GD212" i="2"/>
  <c r="GC212" i="2"/>
  <c r="GB212" i="2"/>
  <c r="FY212" i="2"/>
  <c r="GA212" i="2" s="1"/>
  <c r="FS212" i="2"/>
  <c r="FT212" i="2" s="1"/>
  <c r="EW212" i="2"/>
  <c r="ET212" i="2"/>
  <c r="EU212" i="2" s="1"/>
  <c r="EQ212" i="2"/>
  <c r="ER212" i="2" s="1"/>
  <c r="EJ212" i="2"/>
  <c r="EE212" i="2"/>
  <c r="EF212" i="2" s="1"/>
  <c r="DX212" i="2"/>
  <c r="DP212" i="2"/>
  <c r="DF212" i="2"/>
  <c r="DG212" i="2" s="1"/>
  <c r="DE212" i="2"/>
  <c r="CY212" i="2"/>
  <c r="CZ212" i="2" s="1"/>
  <c r="CF212" i="2"/>
  <c r="CA212" i="2"/>
  <c r="DA212" i="2"/>
  <c r="DB212" i="2" s="1"/>
  <c r="BO212" i="2"/>
  <c r="BJ212" i="2"/>
  <c r="BM212" i="2" s="1"/>
  <c r="BN212" i="2" s="1"/>
  <c r="BC212" i="2"/>
  <c r="AZ212" i="2"/>
  <c r="AY212" i="2"/>
  <c r="AO212" i="2"/>
  <c r="AN212" i="2"/>
  <c r="AM212" i="2"/>
  <c r="AL212" i="2"/>
  <c r="AK212" i="2"/>
  <c r="AG212" i="2"/>
  <c r="AE212" i="2"/>
  <c r="AF212" i="2" s="1"/>
  <c r="U212" i="2"/>
  <c r="S212" i="2"/>
  <c r="T212" i="2" s="1"/>
  <c r="R212" i="2"/>
  <c r="Y212" i="2" s="1"/>
  <c r="AB212" i="2" s="1"/>
  <c r="E212" i="2"/>
  <c r="GR211" i="2"/>
  <c r="GS211" i="2" s="1"/>
  <c r="GP211" i="2"/>
  <c r="GQ211" i="2" s="1"/>
  <c r="DO211" i="2" s="1"/>
  <c r="DS211" i="2" s="1"/>
  <c r="GN211" i="2"/>
  <c r="GO211" i="2" s="1"/>
  <c r="GL211" i="2"/>
  <c r="GM211" i="2" s="1"/>
  <c r="GH211" i="2"/>
  <c r="GG211" i="2"/>
  <c r="GI211" i="2" s="1"/>
  <c r="GD211" i="2"/>
  <c r="GC211" i="2"/>
  <c r="GB211" i="2"/>
  <c r="FY211" i="2"/>
  <c r="FZ211" i="2" s="1"/>
  <c r="FS211" i="2"/>
  <c r="FT211" i="2" s="1"/>
  <c r="EW211" i="2"/>
  <c r="ET211" i="2"/>
  <c r="EU211" i="2" s="1"/>
  <c r="EQ211" i="2"/>
  <c r="ER211" i="2" s="1"/>
  <c r="EJ211" i="2"/>
  <c r="EE211" i="2"/>
  <c r="EF211" i="2" s="1"/>
  <c r="DX211" i="2"/>
  <c r="DP211" i="2"/>
  <c r="DF211" i="2"/>
  <c r="DH211" i="2" s="1"/>
  <c r="DE211" i="2"/>
  <c r="CY211" i="2"/>
  <c r="CZ211" i="2" s="1"/>
  <c r="CF211" i="2"/>
  <c r="CH211" i="2"/>
  <c r="CA211" i="2"/>
  <c r="BO211" i="2"/>
  <c r="BJ211" i="2"/>
  <c r="BM211" i="2" s="1"/>
  <c r="BN211" i="2" s="1"/>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DS210" i="2" s="1"/>
  <c r="GN210" i="2"/>
  <c r="GO210" i="2" s="1"/>
  <c r="GL210" i="2"/>
  <c r="GM210" i="2" s="1"/>
  <c r="GH210" i="2"/>
  <c r="GG210" i="2"/>
  <c r="GI210" i="2" s="1"/>
  <c r="GD210" i="2"/>
  <c r="GC210" i="2"/>
  <c r="GB210" i="2"/>
  <c r="FY210" i="2"/>
  <c r="FZ210" i="2" s="1"/>
  <c r="FS210" i="2"/>
  <c r="FT210" i="2" s="1"/>
  <c r="EW210" i="2"/>
  <c r="ET210" i="2"/>
  <c r="EU210" i="2" s="1"/>
  <c r="EQ210" i="2"/>
  <c r="ER210" i="2" s="1"/>
  <c r="EJ210" i="2"/>
  <c r="EE210" i="2"/>
  <c r="EF210" i="2" s="1"/>
  <c r="DX210" i="2"/>
  <c r="DP210" i="2"/>
  <c r="DF210" i="2"/>
  <c r="DH210" i="2" s="1"/>
  <c r="DE210" i="2"/>
  <c r="CY210" i="2"/>
  <c r="CZ210" i="2" s="1"/>
  <c r="CF210" i="2"/>
  <c r="CH210" i="2"/>
  <c r="CA210" i="2"/>
  <c r="BO210" i="2"/>
  <c r="BM210" i="2"/>
  <c r="BN210" i="2" s="1"/>
  <c r="BK210" i="2"/>
  <c r="CL210" i="2" s="1"/>
  <c r="BC210" i="2"/>
  <c r="AZ210" i="2"/>
  <c r="AY210" i="2"/>
  <c r="AO210" i="2"/>
  <c r="AN210" i="2"/>
  <c r="AM210" i="2"/>
  <c r="AL210" i="2"/>
  <c r="AK210" i="2"/>
  <c r="AG210" i="2"/>
  <c r="AE210" i="2"/>
  <c r="AF210" i="2" s="1"/>
  <c r="U210" i="2"/>
  <c r="S210" i="2"/>
  <c r="T210" i="2" s="1"/>
  <c r="R210" i="2"/>
  <c r="X210" i="2" s="1"/>
  <c r="AA210" i="2" s="1"/>
  <c r="E210" i="2"/>
  <c r="GR209" i="2"/>
  <c r="GS209" i="2" s="1"/>
  <c r="GP209" i="2"/>
  <c r="GQ209" i="2" s="1"/>
  <c r="DO209" i="2" s="1"/>
  <c r="DS209" i="2" s="1"/>
  <c r="GN209" i="2"/>
  <c r="GO209" i="2" s="1"/>
  <c r="GL209" i="2"/>
  <c r="GM209" i="2" s="1"/>
  <c r="GH209" i="2"/>
  <c r="GG209" i="2"/>
  <c r="GI209" i="2" s="1"/>
  <c r="GD209" i="2"/>
  <c r="GC209" i="2"/>
  <c r="GB209" i="2"/>
  <c r="FY209" i="2"/>
  <c r="FS209" i="2"/>
  <c r="FT209" i="2" s="1"/>
  <c r="EW209" i="2"/>
  <c r="ET209" i="2"/>
  <c r="EU209" i="2" s="1"/>
  <c r="EQ209" i="2"/>
  <c r="ER209" i="2" s="1"/>
  <c r="EJ209" i="2"/>
  <c r="EE209" i="2"/>
  <c r="EF209" i="2" s="1"/>
  <c r="DX209" i="2"/>
  <c r="DP209" i="2"/>
  <c r="DF209" i="2"/>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E208" i="2"/>
  <c r="GR207" i="2"/>
  <c r="GS207" i="2" s="1"/>
  <c r="GP207" i="2"/>
  <c r="GQ207" i="2" s="1"/>
  <c r="DO207" i="2" s="1"/>
  <c r="DS207" i="2" s="1"/>
  <c r="GN207" i="2"/>
  <c r="GO207" i="2" s="1"/>
  <c r="GL207" i="2"/>
  <c r="GM207" i="2" s="1"/>
  <c r="GH207" i="2"/>
  <c r="GG207" i="2"/>
  <c r="GI207" i="2" s="1"/>
  <c r="GD207" i="2"/>
  <c r="GC207" i="2"/>
  <c r="GB207" i="2"/>
  <c r="FY207" i="2"/>
  <c r="FZ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Y207" i="2" s="1"/>
  <c r="AB207" i="2" s="1"/>
  <c r="E207" i="2"/>
  <c r="GR206" i="2"/>
  <c r="GS206" i="2" s="1"/>
  <c r="GP206" i="2"/>
  <c r="GQ206" i="2" s="1"/>
  <c r="DO206" i="2" s="1"/>
  <c r="DS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Y206" i="2" s="1"/>
  <c r="AB206" i="2" s="1"/>
  <c r="E206" i="2"/>
  <c r="GR205" i="2"/>
  <c r="GS205" i="2" s="1"/>
  <c r="GP205" i="2"/>
  <c r="GQ205" i="2" s="1"/>
  <c r="DO205" i="2" s="1"/>
  <c r="DS205" i="2" s="1"/>
  <c r="GN205" i="2"/>
  <c r="GO205" i="2" s="1"/>
  <c r="GL205" i="2"/>
  <c r="GM205" i="2" s="1"/>
  <c r="GH205" i="2"/>
  <c r="GG205" i="2"/>
  <c r="GI205" i="2" s="1"/>
  <c r="GD205" i="2"/>
  <c r="GC205" i="2"/>
  <c r="GB205" i="2"/>
  <c r="FY205" i="2"/>
  <c r="GA205" i="2" s="1"/>
  <c r="FS205" i="2"/>
  <c r="FT205" i="2" s="1"/>
  <c r="EW205" i="2"/>
  <c r="ET205" i="2"/>
  <c r="EU205" i="2" s="1"/>
  <c r="EQ205" i="2"/>
  <c r="ER205" i="2" s="1"/>
  <c r="EJ205" i="2"/>
  <c r="EE205" i="2"/>
  <c r="EF205" i="2" s="1"/>
  <c r="DX205" i="2"/>
  <c r="DP205" i="2"/>
  <c r="DF205" i="2"/>
  <c r="DH205" i="2" s="1"/>
  <c r="DE205" i="2"/>
  <c r="CY205" i="2"/>
  <c r="CZ205" i="2" s="1"/>
  <c r="CF205" i="2"/>
  <c r="CA205" i="2"/>
  <c r="CR205" i="2"/>
  <c r="BO205" i="2"/>
  <c r="BJ205" i="2"/>
  <c r="BC205" i="2"/>
  <c r="AZ205" i="2"/>
  <c r="AY205" i="2"/>
  <c r="AO205" i="2"/>
  <c r="AN205" i="2"/>
  <c r="AM205" i="2"/>
  <c r="AL205" i="2"/>
  <c r="AK205" i="2"/>
  <c r="AG205" i="2"/>
  <c r="AE205" i="2"/>
  <c r="AF205" i="2" s="1"/>
  <c r="U205" i="2"/>
  <c r="S205" i="2"/>
  <c r="T205" i="2" s="1"/>
  <c r="R205" i="2"/>
  <c r="X205" i="2" s="1"/>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A204" i="2"/>
  <c r="CR204" i="2"/>
  <c r="BO204" i="2"/>
  <c r="BJ204" i="2"/>
  <c r="BC204" i="2"/>
  <c r="AZ204" i="2"/>
  <c r="AY204" i="2"/>
  <c r="AO204" i="2"/>
  <c r="AN204" i="2"/>
  <c r="AM204" i="2"/>
  <c r="AL204" i="2"/>
  <c r="AK204" i="2"/>
  <c r="AG204" i="2"/>
  <c r="AE204" i="2"/>
  <c r="AF204" i="2" s="1"/>
  <c r="U204" i="2"/>
  <c r="S204" i="2"/>
  <c r="T204" i="2" s="1"/>
  <c r="R204" i="2"/>
  <c r="X204" i="2" s="1"/>
  <c r="E204" i="2"/>
  <c r="GR203" i="2"/>
  <c r="GS203" i="2" s="1"/>
  <c r="GP203" i="2"/>
  <c r="GQ203" i="2" s="1"/>
  <c r="GN203" i="2"/>
  <c r="GO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Z203" i="2" s="1"/>
  <c r="CF203" i="2"/>
  <c r="CA203" i="2"/>
  <c r="BO203" i="2"/>
  <c r="BJ203" i="2"/>
  <c r="BC203" i="2"/>
  <c r="AZ203" i="2"/>
  <c r="AY203" i="2"/>
  <c r="AO203" i="2"/>
  <c r="AN203" i="2"/>
  <c r="AM203" i="2"/>
  <c r="AL203" i="2"/>
  <c r="AK203" i="2"/>
  <c r="AG203" i="2"/>
  <c r="AE203" i="2"/>
  <c r="AF203" i="2" s="1"/>
  <c r="U203" i="2"/>
  <c r="S203" i="2"/>
  <c r="T203" i="2" s="1"/>
  <c r="R203" i="2"/>
  <c r="E203" i="2"/>
  <c r="GR202" i="2"/>
  <c r="GS202" i="2" s="1"/>
  <c r="GP202" i="2"/>
  <c r="GQ202" i="2" s="1"/>
  <c r="GN202" i="2"/>
  <c r="GO202" i="2" s="1"/>
  <c r="GL202" i="2"/>
  <c r="GM202" i="2" s="1"/>
  <c r="GH202" i="2"/>
  <c r="GG202" i="2"/>
  <c r="GI202" i="2" s="1"/>
  <c r="GD202" i="2"/>
  <c r="GC202" i="2"/>
  <c r="GB202" i="2"/>
  <c r="FY202" i="2"/>
  <c r="GA202" i="2" s="1"/>
  <c r="FS202" i="2"/>
  <c r="FT202" i="2" s="1"/>
  <c r="EW202" i="2"/>
  <c r="ET202" i="2"/>
  <c r="EU202" i="2" s="1"/>
  <c r="EQ202" i="2"/>
  <c r="ER202" i="2" s="1"/>
  <c r="EJ202" i="2"/>
  <c r="EE202" i="2"/>
  <c r="EF202" i="2" s="1"/>
  <c r="DX202" i="2"/>
  <c r="DP202" i="2"/>
  <c r="DF202" i="2"/>
  <c r="DH202" i="2" s="1"/>
  <c r="DE202" i="2"/>
  <c r="CY202" i="2"/>
  <c r="CZ202" i="2" s="1"/>
  <c r="CF202" i="2"/>
  <c r="CH202" i="2"/>
  <c r="CA202" i="2"/>
  <c r="BO202" i="2"/>
  <c r="BJ202" i="2"/>
  <c r="BC202" i="2"/>
  <c r="AZ202" i="2"/>
  <c r="AY202" i="2"/>
  <c r="AO202" i="2"/>
  <c r="AN202" i="2"/>
  <c r="AM202" i="2"/>
  <c r="AL202" i="2"/>
  <c r="AK202" i="2"/>
  <c r="AG202" i="2"/>
  <c r="AE202" i="2"/>
  <c r="AF202" i="2" s="1"/>
  <c r="U202" i="2"/>
  <c r="S202" i="2"/>
  <c r="T202" i="2" s="1"/>
  <c r="R202" i="2"/>
  <c r="X202" i="2" s="1"/>
  <c r="E202" i="2"/>
  <c r="GR200" i="2"/>
  <c r="GS200" i="2" s="1"/>
  <c r="GP200" i="2"/>
  <c r="GQ200" i="2" s="1"/>
  <c r="DO200" i="2" s="1"/>
  <c r="GN200" i="2"/>
  <c r="GO200" i="2" s="1"/>
  <c r="GL200" i="2"/>
  <c r="GM200" i="2" s="1"/>
  <c r="GH200" i="2"/>
  <c r="GG200" i="2"/>
  <c r="GI200" i="2" s="1"/>
  <c r="GD200" i="2"/>
  <c r="GC200" i="2"/>
  <c r="GB200" i="2"/>
  <c r="FY200" i="2"/>
  <c r="FS200" i="2"/>
  <c r="FT200" i="2" s="1"/>
  <c r="EW200" i="2"/>
  <c r="ET200" i="2"/>
  <c r="EU200" i="2" s="1"/>
  <c r="EQ200" i="2"/>
  <c r="ER200" i="2" s="1"/>
  <c r="EJ200" i="2"/>
  <c r="EE200" i="2"/>
  <c r="EF200" i="2" s="1"/>
  <c r="DX200" i="2"/>
  <c r="DP200" i="2"/>
  <c r="DF200" i="2"/>
  <c r="DH200" i="2" s="1"/>
  <c r="DE200" i="2"/>
  <c r="CY200" i="2"/>
  <c r="CZ200" i="2" s="1"/>
  <c r="CF200" i="2"/>
  <c r="CA200" i="2"/>
  <c r="BO200" i="2"/>
  <c r="BJ200" i="2"/>
  <c r="BM200" i="2" s="1"/>
  <c r="BN200" i="2" s="1"/>
  <c r="BC200" i="2"/>
  <c r="AZ200" i="2"/>
  <c r="AY200" i="2"/>
  <c r="AO200" i="2"/>
  <c r="AN200" i="2"/>
  <c r="AM200" i="2"/>
  <c r="AL200" i="2"/>
  <c r="AK200" i="2"/>
  <c r="AG200" i="2"/>
  <c r="AE200" i="2"/>
  <c r="AF200" i="2" s="1"/>
  <c r="U200" i="2"/>
  <c r="S200" i="2"/>
  <c r="T200" i="2" s="1"/>
  <c r="R200" i="2"/>
  <c r="Y200" i="2" s="1"/>
  <c r="AB200" i="2" s="1"/>
  <c r="E200" i="2"/>
  <c r="GR199" i="2"/>
  <c r="GS199" i="2" s="1"/>
  <c r="GP199" i="2"/>
  <c r="GQ199" i="2" s="1"/>
  <c r="DO199" i="2" s="1"/>
  <c r="GN199" i="2"/>
  <c r="GO199" i="2" s="1"/>
  <c r="GL199" i="2"/>
  <c r="GM199" i="2" s="1"/>
  <c r="GH199" i="2"/>
  <c r="GG199" i="2"/>
  <c r="GI199" i="2" s="1"/>
  <c r="GD199" i="2"/>
  <c r="GC199" i="2"/>
  <c r="GB199" i="2"/>
  <c r="FY199" i="2"/>
  <c r="GA199" i="2" s="1"/>
  <c r="FS199" i="2"/>
  <c r="FT199" i="2" s="1"/>
  <c r="EW199" i="2"/>
  <c r="ET199" i="2"/>
  <c r="EU199" i="2" s="1"/>
  <c r="EQ199" i="2"/>
  <c r="ER199" i="2" s="1"/>
  <c r="EJ199" i="2"/>
  <c r="EE199" i="2"/>
  <c r="EF199" i="2" s="1"/>
  <c r="DX199" i="2"/>
  <c r="DP199" i="2"/>
  <c r="DF199" i="2"/>
  <c r="DG199" i="2" s="1"/>
  <c r="DE199" i="2"/>
  <c r="CY199" i="2"/>
  <c r="CZ199" i="2" s="1"/>
  <c r="CF199" i="2"/>
  <c r="CH199" i="2"/>
  <c r="CA199" i="2"/>
  <c r="BO199" i="2"/>
  <c r="BJ199" i="2"/>
  <c r="BC199" i="2"/>
  <c r="AZ199" i="2"/>
  <c r="AY199" i="2"/>
  <c r="AO199" i="2"/>
  <c r="AN199" i="2"/>
  <c r="AM199" i="2"/>
  <c r="AL199" i="2"/>
  <c r="AK199" i="2"/>
  <c r="AG199" i="2"/>
  <c r="AE199" i="2"/>
  <c r="AF199" i="2" s="1"/>
  <c r="U199" i="2"/>
  <c r="S199" i="2"/>
  <c r="T199" i="2" s="1"/>
  <c r="R199" i="2"/>
  <c r="E199" i="2"/>
  <c r="GR197" i="2"/>
  <c r="GS197" i="2" s="1"/>
  <c r="GP197" i="2"/>
  <c r="GQ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FS196" i="2"/>
  <c r="FT196" i="2" s="1"/>
  <c r="EW196" i="2"/>
  <c r="ET196" i="2"/>
  <c r="EU196" i="2" s="1"/>
  <c r="EQ196" i="2"/>
  <c r="ER196" i="2" s="1"/>
  <c r="EJ196" i="2"/>
  <c r="EE196" i="2"/>
  <c r="EF196" i="2" s="1"/>
  <c r="DX196" i="2"/>
  <c r="DP196" i="2"/>
  <c r="DF196" i="2"/>
  <c r="DH196" i="2" s="1"/>
  <c r="DE196" i="2"/>
  <c r="CY196" i="2"/>
  <c r="CZ196" i="2" s="1"/>
  <c r="CF196" i="2"/>
  <c r="CH196" i="2"/>
  <c r="CA196" i="2"/>
  <c r="DA196" i="2"/>
  <c r="DB196" i="2" s="1"/>
  <c r="BO196" i="2"/>
  <c r="BJ196" i="2"/>
  <c r="BM196" i="2" s="1"/>
  <c r="BN196" i="2" s="1"/>
  <c r="BC196" i="2"/>
  <c r="AZ196" i="2"/>
  <c r="AY196" i="2"/>
  <c r="AO196" i="2"/>
  <c r="AN196" i="2"/>
  <c r="AM196" i="2"/>
  <c r="AL196" i="2"/>
  <c r="AK196" i="2"/>
  <c r="AG196" i="2"/>
  <c r="AE196" i="2"/>
  <c r="AF196" i="2" s="1"/>
  <c r="U196" i="2"/>
  <c r="S196" i="2"/>
  <c r="T196" i="2" s="1"/>
  <c r="R196" i="2"/>
  <c r="Y196" i="2" s="1"/>
  <c r="AB196" i="2" s="1"/>
  <c r="E196" i="2"/>
  <c r="GR195" i="2"/>
  <c r="GS195" i="2" s="1"/>
  <c r="GP195" i="2"/>
  <c r="GQ195" i="2" s="1"/>
  <c r="DU195" i="2" s="1"/>
  <c r="GN195" i="2"/>
  <c r="GO195" i="2" s="1"/>
  <c r="GL195" i="2"/>
  <c r="GM195" i="2" s="1"/>
  <c r="GH195" i="2"/>
  <c r="GG195" i="2"/>
  <c r="GI195" i="2" s="1"/>
  <c r="GD195" i="2"/>
  <c r="GC195" i="2"/>
  <c r="GB195" i="2"/>
  <c r="FY195" i="2"/>
  <c r="FS195" i="2"/>
  <c r="FT195" i="2" s="1"/>
  <c r="EW195" i="2"/>
  <c r="ET195" i="2"/>
  <c r="EU195" i="2" s="1"/>
  <c r="EQ195" i="2"/>
  <c r="ER195" i="2" s="1"/>
  <c r="EJ195" i="2"/>
  <c r="EE195" i="2"/>
  <c r="EF195" i="2" s="1"/>
  <c r="DX195" i="2"/>
  <c r="DP195" i="2"/>
  <c r="DF195" i="2"/>
  <c r="DG195" i="2" s="1"/>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X195" i="2" s="1"/>
  <c r="AA195" i="2" s="1"/>
  <c r="E195" i="2"/>
  <c r="GR194" i="2"/>
  <c r="GS194" i="2" s="1"/>
  <c r="GP194" i="2"/>
  <c r="GQ194" i="2" s="1"/>
  <c r="GN194" i="2"/>
  <c r="GO194" i="2" s="1"/>
  <c r="GL194" i="2"/>
  <c r="GM194" i="2" s="1"/>
  <c r="GH194" i="2"/>
  <c r="GG194" i="2"/>
  <c r="GI194" i="2" s="1"/>
  <c r="GD194" i="2"/>
  <c r="GC194" i="2"/>
  <c r="GB194" i="2"/>
  <c r="FY194" i="2"/>
  <c r="GA194" i="2" s="1"/>
  <c r="FS194" i="2"/>
  <c r="FT194" i="2" s="1"/>
  <c r="EW194" i="2"/>
  <c r="ET194" i="2"/>
  <c r="EU194" i="2" s="1"/>
  <c r="EQ194" i="2"/>
  <c r="ER194" i="2" s="1"/>
  <c r="EJ194" i="2"/>
  <c r="EE194" i="2"/>
  <c r="EF194" i="2" s="1"/>
  <c r="DX194" i="2"/>
  <c r="DP194" i="2"/>
  <c r="DF194" i="2"/>
  <c r="DG194" i="2" s="1"/>
  <c r="DE194" i="2"/>
  <c r="CY194" i="2"/>
  <c r="CZ194" i="2" s="1"/>
  <c r="CF194" i="2"/>
  <c r="CH194" i="2"/>
  <c r="CA194" i="2"/>
  <c r="DA194" i="2"/>
  <c r="DB194" i="2" s="1"/>
  <c r="BO194" i="2"/>
  <c r="BJ194" i="2"/>
  <c r="BC194" i="2"/>
  <c r="AZ194" i="2"/>
  <c r="AY194" i="2"/>
  <c r="AO194" i="2"/>
  <c r="AN194" i="2"/>
  <c r="AM194" i="2"/>
  <c r="AL194" i="2"/>
  <c r="AK194" i="2"/>
  <c r="AG194" i="2"/>
  <c r="AE194" i="2"/>
  <c r="AF194" i="2" s="1"/>
  <c r="U194" i="2"/>
  <c r="S194" i="2"/>
  <c r="T194" i="2" s="1"/>
  <c r="R194" i="2"/>
  <c r="X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E193" i="2"/>
  <c r="CY193" i="2"/>
  <c r="CZ193" i="2" s="1"/>
  <c r="CF193" i="2"/>
  <c r="CH193" i="2"/>
  <c r="CA193" i="2"/>
  <c r="BO193" i="2"/>
  <c r="BJ193" i="2"/>
  <c r="BM193" i="2" s="1"/>
  <c r="BN193" i="2" s="1"/>
  <c r="BC193" i="2"/>
  <c r="AZ193" i="2"/>
  <c r="AY193" i="2"/>
  <c r="AO193" i="2"/>
  <c r="AN193" i="2"/>
  <c r="AM193" i="2"/>
  <c r="AL193" i="2"/>
  <c r="AK193" i="2"/>
  <c r="AG193" i="2"/>
  <c r="AE193" i="2"/>
  <c r="AF193" i="2" s="1"/>
  <c r="U193" i="2"/>
  <c r="S193" i="2"/>
  <c r="T193" i="2" s="1"/>
  <c r="R193" i="2"/>
  <c r="E193" i="2"/>
  <c r="GR192" i="2"/>
  <c r="GS192" i="2" s="1"/>
  <c r="GP192" i="2"/>
  <c r="GQ192" i="2" s="1"/>
  <c r="GN192" i="2"/>
  <c r="GO192" i="2" s="1"/>
  <c r="GL192" i="2"/>
  <c r="GM192" i="2" s="1"/>
  <c r="GH192" i="2"/>
  <c r="GG192" i="2"/>
  <c r="GI192" i="2" s="1"/>
  <c r="GD192" i="2"/>
  <c r="GC192" i="2"/>
  <c r="GB192" i="2"/>
  <c r="FY192" i="2"/>
  <c r="FZ192" i="2" s="1"/>
  <c r="FS192" i="2"/>
  <c r="FT192" i="2" s="1"/>
  <c r="EW192" i="2"/>
  <c r="ET192" i="2"/>
  <c r="EU192" i="2" s="1"/>
  <c r="EQ192" i="2"/>
  <c r="ER192" i="2" s="1"/>
  <c r="EJ192" i="2"/>
  <c r="EE192" i="2"/>
  <c r="EF192" i="2" s="1"/>
  <c r="DX192" i="2"/>
  <c r="DP192" i="2"/>
  <c r="DF192" i="2"/>
  <c r="DH192" i="2" s="1"/>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G191" i="2" s="1"/>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AA191" i="2" s="1"/>
  <c r="E191" i="2"/>
  <c r="GR190" i="2"/>
  <c r="GS190" i="2" s="1"/>
  <c r="GP190" i="2"/>
  <c r="GQ190" i="2" s="1"/>
  <c r="GN190" i="2"/>
  <c r="GO190" i="2" s="1"/>
  <c r="GL190" i="2"/>
  <c r="GM190" i="2" s="1"/>
  <c r="GH190" i="2"/>
  <c r="GG190" i="2"/>
  <c r="GI190" i="2" s="1"/>
  <c r="GD190" i="2"/>
  <c r="GC190" i="2"/>
  <c r="GB190" i="2"/>
  <c r="FY190" i="2"/>
  <c r="FS190" i="2"/>
  <c r="FT190" i="2" s="1"/>
  <c r="EW190" i="2"/>
  <c r="ET190" i="2"/>
  <c r="EU190" i="2" s="1"/>
  <c r="EQ190" i="2"/>
  <c r="ER190" i="2" s="1"/>
  <c r="EJ190" i="2"/>
  <c r="EE190" i="2"/>
  <c r="EF190" i="2" s="1"/>
  <c r="DX190" i="2"/>
  <c r="DP190" i="2"/>
  <c r="DF190" i="2"/>
  <c r="DE190" i="2"/>
  <c r="CY190" i="2"/>
  <c r="CZ190" i="2" s="1"/>
  <c r="CF190" i="2"/>
  <c r="CH190" i="2"/>
  <c r="CA190" i="2"/>
  <c r="DA190" i="2"/>
  <c r="DB190" i="2" s="1"/>
  <c r="BO190" i="2"/>
  <c r="BJ190" i="2"/>
  <c r="BM190" i="2" s="1"/>
  <c r="BN190" i="2" s="1"/>
  <c r="BC190" i="2"/>
  <c r="AZ190" i="2"/>
  <c r="AY190" i="2"/>
  <c r="AO190" i="2"/>
  <c r="AN190" i="2"/>
  <c r="AM190" i="2"/>
  <c r="AL190" i="2"/>
  <c r="AK190" i="2"/>
  <c r="AG190" i="2"/>
  <c r="AE190" i="2"/>
  <c r="AF190" i="2" s="1"/>
  <c r="U190" i="2"/>
  <c r="S190" i="2"/>
  <c r="T190" i="2" s="1"/>
  <c r="R190" i="2"/>
  <c r="X190" i="2" s="1"/>
  <c r="AA190" i="2" s="1"/>
  <c r="E190" i="2"/>
  <c r="GR189" i="2"/>
  <c r="GS189" i="2" s="1"/>
  <c r="GP189" i="2"/>
  <c r="GQ189" i="2" s="1"/>
  <c r="GN189" i="2"/>
  <c r="GO189" i="2" s="1"/>
  <c r="GL189" i="2"/>
  <c r="GM189" i="2" s="1"/>
  <c r="GH189" i="2"/>
  <c r="GG189" i="2"/>
  <c r="GI189" i="2" s="1"/>
  <c r="GD189" i="2"/>
  <c r="GC189" i="2"/>
  <c r="GB189" i="2"/>
  <c r="FY189" i="2"/>
  <c r="FZ189" i="2" s="1"/>
  <c r="FS189" i="2"/>
  <c r="FT189" i="2" s="1"/>
  <c r="EW189" i="2"/>
  <c r="ET189" i="2"/>
  <c r="EU189" i="2" s="1"/>
  <c r="EQ189" i="2"/>
  <c r="ER189" i="2" s="1"/>
  <c r="EJ189" i="2"/>
  <c r="EE189" i="2"/>
  <c r="EF189" i="2" s="1"/>
  <c r="DX189" i="2"/>
  <c r="DP189" i="2"/>
  <c r="DF189" i="2"/>
  <c r="DE189" i="2"/>
  <c r="CY189" i="2"/>
  <c r="CZ189" i="2" s="1"/>
  <c r="CF189" i="2"/>
  <c r="CH189" i="2"/>
  <c r="CA189" i="2"/>
  <c r="DA189" i="2"/>
  <c r="DB189" i="2" s="1"/>
  <c r="BO189" i="2"/>
  <c r="BJ189" i="2"/>
  <c r="BC189" i="2"/>
  <c r="AZ189" i="2"/>
  <c r="AY189" i="2"/>
  <c r="AO189" i="2"/>
  <c r="AN189" i="2"/>
  <c r="AM189" i="2"/>
  <c r="AL189" i="2"/>
  <c r="AK189" i="2"/>
  <c r="AG189" i="2"/>
  <c r="AE189" i="2"/>
  <c r="AF189" i="2" s="1"/>
  <c r="U189" i="2"/>
  <c r="S189" i="2"/>
  <c r="T189" i="2" s="1"/>
  <c r="R189" i="2"/>
  <c r="X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CR188" i="2"/>
  <c r="BO188" i="2"/>
  <c r="BJ188" i="2"/>
  <c r="BM188" i="2" s="1"/>
  <c r="BN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M187" i="2" s="1"/>
  <c r="BN187" i="2" s="1"/>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G186" i="2" s="1"/>
  <c r="DE186" i="2"/>
  <c r="CY186" i="2"/>
  <c r="CZ186" i="2" s="1"/>
  <c r="CF186" i="2"/>
  <c r="CH186" i="2"/>
  <c r="CA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EG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CR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DU184" i="2" s="1"/>
  <c r="EG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E184" i="2"/>
  <c r="CY184" i="2"/>
  <c r="CZ184" i="2" s="1"/>
  <c r="CF184" i="2"/>
  <c r="CH184" i="2"/>
  <c r="CA184" i="2"/>
  <c r="CR184" i="2"/>
  <c r="BO184" i="2"/>
  <c r="BJ184" i="2"/>
  <c r="BK184" i="2" s="1"/>
  <c r="CL184" i="2" s="1"/>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DU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C183" i="2"/>
  <c r="AZ183" i="2"/>
  <c r="AY183" i="2"/>
  <c r="AO183" i="2"/>
  <c r="AN183" i="2"/>
  <c r="AM183" i="2"/>
  <c r="AL183" i="2"/>
  <c r="AK183" i="2"/>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GA182" i="2" s="1"/>
  <c r="FS182" i="2"/>
  <c r="FT182" i="2" s="1"/>
  <c r="EW182" i="2"/>
  <c r="ET182" i="2"/>
  <c r="EU182" i="2" s="1"/>
  <c r="EQ182" i="2"/>
  <c r="ER182" i="2" s="1"/>
  <c r="EJ182" i="2"/>
  <c r="EE182" i="2"/>
  <c r="EF182" i="2" s="1"/>
  <c r="DX182" i="2"/>
  <c r="DP182" i="2"/>
  <c r="DF182" i="2"/>
  <c r="DG182" i="2" s="1"/>
  <c r="DE182" i="2"/>
  <c r="CY182" i="2"/>
  <c r="CZ182" i="2" s="1"/>
  <c r="CF182" i="2"/>
  <c r="CH182" i="2"/>
  <c r="CA182" i="2"/>
  <c r="CR182" i="2"/>
  <c r="BO182" i="2"/>
  <c r="BJ182" i="2"/>
  <c r="BC182" i="2"/>
  <c r="AZ182" i="2"/>
  <c r="AY182" i="2"/>
  <c r="AO182" i="2"/>
  <c r="AN182" i="2"/>
  <c r="AM182" i="2"/>
  <c r="AL182" i="2"/>
  <c r="AK182" i="2"/>
  <c r="AG182" i="2"/>
  <c r="AE182" i="2"/>
  <c r="AF182" i="2" s="1"/>
  <c r="U182" i="2"/>
  <c r="S182" i="2"/>
  <c r="T182" i="2" s="1"/>
  <c r="R182" i="2"/>
  <c r="Y182" i="2" s="1"/>
  <c r="AB182" i="2" s="1"/>
  <c r="E182" i="2"/>
  <c r="GR181" i="2"/>
  <c r="GS181" i="2" s="1"/>
  <c r="GP181" i="2"/>
  <c r="GQ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G181" i="2" s="1"/>
  <c r="DE181" i="2"/>
  <c r="CY181" i="2"/>
  <c r="CZ181" i="2" s="1"/>
  <c r="CF181" i="2"/>
  <c r="CH181" i="2"/>
  <c r="CA181" i="2"/>
  <c r="BO181" i="2"/>
  <c r="BJ181" i="2"/>
  <c r="BK181" i="2" s="1"/>
  <c r="CL181" i="2" s="1"/>
  <c r="BC181" i="2"/>
  <c r="AZ181" i="2"/>
  <c r="AY181" i="2"/>
  <c r="AO181" i="2"/>
  <c r="AN181" i="2"/>
  <c r="AM181" i="2"/>
  <c r="AL181" i="2"/>
  <c r="AI181" i="2"/>
  <c r="AK181" i="2" s="1"/>
  <c r="AG181" i="2"/>
  <c r="AE181" i="2"/>
  <c r="AF181" i="2" s="1"/>
  <c r="U181" i="2"/>
  <c r="S181" i="2"/>
  <c r="T181" i="2" s="1"/>
  <c r="R181" i="2"/>
  <c r="Y181" i="2" s="1"/>
  <c r="AB181" i="2" s="1"/>
  <c r="E181" i="2"/>
  <c r="GR180" i="2"/>
  <c r="GS180" i="2" s="1"/>
  <c r="GP180" i="2"/>
  <c r="GQ180" i="2" s="1"/>
  <c r="GN180" i="2"/>
  <c r="GO180" i="2" s="1"/>
  <c r="GL180" i="2"/>
  <c r="GM180" i="2" s="1"/>
  <c r="GH180" i="2"/>
  <c r="GG180" i="2"/>
  <c r="GI180" i="2" s="1"/>
  <c r="GD180" i="2"/>
  <c r="GC180" i="2"/>
  <c r="GB180" i="2"/>
  <c r="FY180" i="2"/>
  <c r="FZ180" i="2" s="1"/>
  <c r="FS180" i="2"/>
  <c r="FT180" i="2" s="1"/>
  <c r="EW180" i="2"/>
  <c r="ET180" i="2"/>
  <c r="EU180" i="2" s="1"/>
  <c r="EQ180" i="2"/>
  <c r="ER180" i="2" s="1"/>
  <c r="EJ180" i="2"/>
  <c r="EE180" i="2"/>
  <c r="EF180" i="2" s="1"/>
  <c r="DX180" i="2"/>
  <c r="DP180" i="2"/>
  <c r="DF180" i="2"/>
  <c r="DH180" i="2" s="1"/>
  <c r="DE180" i="2"/>
  <c r="CY180" i="2"/>
  <c r="CZ180" i="2" s="1"/>
  <c r="CF180" i="2"/>
  <c r="CH180" i="2"/>
  <c r="CA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DU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H179" i="2" s="1"/>
  <c r="DE179" i="2"/>
  <c r="CY179" i="2"/>
  <c r="CZ179" i="2" s="1"/>
  <c r="CF179" i="2"/>
  <c r="CH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EG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E178" i="2"/>
  <c r="GR177" i="2"/>
  <c r="GS177" i="2" s="1"/>
  <c r="GP177" i="2"/>
  <c r="GQ177" i="2" s="1"/>
  <c r="GN177" i="2"/>
  <c r="GO177" i="2" s="1"/>
  <c r="GL177" i="2"/>
  <c r="GM177" i="2" s="1"/>
  <c r="GH177" i="2"/>
  <c r="GG177" i="2"/>
  <c r="GI177" i="2" s="1"/>
  <c r="GD177" i="2"/>
  <c r="GC177" i="2"/>
  <c r="GB177" i="2"/>
  <c r="FY177" i="2"/>
  <c r="GA177" i="2" s="1"/>
  <c r="FS177" i="2"/>
  <c r="FT177" i="2" s="1"/>
  <c r="EW177" i="2"/>
  <c r="ET177" i="2"/>
  <c r="EU177" i="2" s="1"/>
  <c r="EQ177" i="2"/>
  <c r="ER177" i="2" s="1"/>
  <c r="EJ177" i="2"/>
  <c r="EE177" i="2"/>
  <c r="EF177" i="2" s="1"/>
  <c r="DX177" i="2"/>
  <c r="DP177" i="2"/>
  <c r="DF177" i="2"/>
  <c r="DE177" i="2"/>
  <c r="CY177" i="2"/>
  <c r="CZ177" i="2" s="1"/>
  <c r="CF177" i="2"/>
  <c r="CA177" i="2"/>
  <c r="CR177" i="2"/>
  <c r="BO177" i="2"/>
  <c r="BJ177" i="2"/>
  <c r="BK177" i="2" s="1"/>
  <c r="CL177" i="2" s="1"/>
  <c r="BC177" i="2"/>
  <c r="AZ177" i="2"/>
  <c r="AY177" i="2"/>
  <c r="AO177" i="2"/>
  <c r="AN177" i="2"/>
  <c r="AM177" i="2"/>
  <c r="AL177" i="2"/>
  <c r="AK177" i="2"/>
  <c r="AG177" i="2"/>
  <c r="AE177" i="2"/>
  <c r="AF177" i="2" s="1"/>
  <c r="U177" i="2"/>
  <c r="S177" i="2"/>
  <c r="T177" i="2" s="1"/>
  <c r="R177" i="2"/>
  <c r="Y177" i="2" s="1"/>
  <c r="AB177" i="2" s="1"/>
  <c r="E177" i="2"/>
  <c r="GR176" i="2"/>
  <c r="GS176" i="2" s="1"/>
  <c r="GP176" i="2"/>
  <c r="GQ176" i="2" s="1"/>
  <c r="DU176" i="2" s="1"/>
  <c r="GN176" i="2"/>
  <c r="GO176" i="2" s="1"/>
  <c r="GL176" i="2"/>
  <c r="GM176" i="2" s="1"/>
  <c r="GH176" i="2"/>
  <c r="GG176" i="2"/>
  <c r="GI176" i="2" s="1"/>
  <c r="GD176" i="2"/>
  <c r="GC176" i="2"/>
  <c r="GB176" i="2"/>
  <c r="FY176" i="2"/>
  <c r="FS176" i="2"/>
  <c r="FT176" i="2" s="1"/>
  <c r="EW176" i="2"/>
  <c r="ET176" i="2"/>
  <c r="EU176" i="2" s="1"/>
  <c r="EQ176" i="2"/>
  <c r="ER176" i="2" s="1"/>
  <c r="EJ176" i="2"/>
  <c r="EE176" i="2"/>
  <c r="EF176" i="2" s="1"/>
  <c r="DX176" i="2"/>
  <c r="DP176" i="2"/>
  <c r="DF176" i="2"/>
  <c r="DE176" i="2"/>
  <c r="CY176" i="2"/>
  <c r="CZ176" i="2" s="1"/>
  <c r="CF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201" i="2"/>
  <c r="GS201" i="2" s="1"/>
  <c r="GP201" i="2"/>
  <c r="GQ201" i="2" s="1"/>
  <c r="DU201" i="2" s="1"/>
  <c r="GL201" i="2"/>
  <c r="GM201" i="2" s="1"/>
  <c r="GH201" i="2"/>
  <c r="GG201" i="2"/>
  <c r="GI201" i="2" s="1"/>
  <c r="GD201" i="2"/>
  <c r="GC201" i="2"/>
  <c r="GB201" i="2"/>
  <c r="FY201" i="2"/>
  <c r="FZ201" i="2" s="1"/>
  <c r="FS201" i="2"/>
  <c r="FT201" i="2" s="1"/>
  <c r="EW201" i="2"/>
  <c r="ET201" i="2"/>
  <c r="EU201" i="2" s="1"/>
  <c r="EQ201" i="2"/>
  <c r="ER201" i="2" s="1"/>
  <c r="EJ201" i="2"/>
  <c r="EE201" i="2"/>
  <c r="EF201" i="2" s="1"/>
  <c r="DX201" i="2"/>
  <c r="DP201" i="2"/>
  <c r="DF201" i="2"/>
  <c r="DE201" i="2"/>
  <c r="CY201" i="2"/>
  <c r="CF201" i="2"/>
  <c r="CA201" i="2"/>
  <c r="BO201" i="2"/>
  <c r="BJ201" i="2"/>
  <c r="BC201" i="2"/>
  <c r="AZ201" i="2"/>
  <c r="AY201" i="2"/>
  <c r="AO201" i="2"/>
  <c r="AN201" i="2"/>
  <c r="AM201" i="2"/>
  <c r="AL201" i="2"/>
  <c r="AK201" i="2"/>
  <c r="AG201" i="2"/>
  <c r="AE201" i="2"/>
  <c r="AF201" i="2" s="1"/>
  <c r="U201" i="2"/>
  <c r="S201" i="2"/>
  <c r="T201" i="2" s="1"/>
  <c r="R201" i="2"/>
  <c r="Y201" i="2" s="1"/>
  <c r="AB201" i="2" s="1"/>
  <c r="E201" i="2"/>
  <c r="GR174" i="2"/>
  <c r="GS174" i="2" s="1"/>
  <c r="GP174" i="2"/>
  <c r="GQ174" i="2" s="1"/>
  <c r="GN174" i="2"/>
  <c r="GO174" i="2" s="1"/>
  <c r="GL174" i="2"/>
  <c r="GM174" i="2" s="1"/>
  <c r="GH174" i="2"/>
  <c r="GG174" i="2"/>
  <c r="GI174" i="2" s="1"/>
  <c r="GD174" i="2"/>
  <c r="GC174" i="2"/>
  <c r="GB174" i="2"/>
  <c r="FY174" i="2"/>
  <c r="FZ174" i="2" s="1"/>
  <c r="FS174" i="2"/>
  <c r="FT174" i="2" s="1"/>
  <c r="EW174" i="2"/>
  <c r="ET174" i="2"/>
  <c r="EU174" i="2" s="1"/>
  <c r="EQ174" i="2"/>
  <c r="ER174" i="2" s="1"/>
  <c r="EJ174" i="2"/>
  <c r="EE174" i="2"/>
  <c r="EF174" i="2" s="1"/>
  <c r="DX174" i="2"/>
  <c r="DP174" i="2"/>
  <c r="DF174" i="2"/>
  <c r="DE174" i="2"/>
  <c r="CY174" i="2"/>
  <c r="CZ174" i="2" s="1"/>
  <c r="CF174" i="2"/>
  <c r="CH174" i="2"/>
  <c r="CA174" i="2"/>
  <c r="CR174" i="2"/>
  <c r="BO174" i="2"/>
  <c r="BJ174" i="2"/>
  <c r="BK174" i="2" s="1"/>
  <c r="CL174" i="2" s="1"/>
  <c r="BC174" i="2"/>
  <c r="AZ174" i="2"/>
  <c r="AY174" i="2"/>
  <c r="AO174" i="2"/>
  <c r="AN174" i="2"/>
  <c r="AM174" i="2"/>
  <c r="AL174" i="2"/>
  <c r="AK174" i="2"/>
  <c r="AG174" i="2"/>
  <c r="AE174" i="2"/>
  <c r="AF174" i="2" s="1"/>
  <c r="U174" i="2"/>
  <c r="S174" i="2"/>
  <c r="T174" i="2" s="1"/>
  <c r="R174" i="2"/>
  <c r="Y174" i="2" s="1"/>
  <c r="AB174" i="2" s="1"/>
  <c r="E174" i="2"/>
  <c r="GR173" i="2"/>
  <c r="GS173" i="2" s="1"/>
  <c r="GP173" i="2"/>
  <c r="GQ173" i="2" s="1"/>
  <c r="DU173" i="2" s="1"/>
  <c r="GN173" i="2"/>
  <c r="GO173" i="2" s="1"/>
  <c r="GL173" i="2"/>
  <c r="GM173" i="2" s="1"/>
  <c r="GH173" i="2"/>
  <c r="GG173" i="2"/>
  <c r="GI173" i="2" s="1"/>
  <c r="GD173" i="2"/>
  <c r="GC173" i="2"/>
  <c r="GB173" i="2"/>
  <c r="FY173" i="2"/>
  <c r="GA173" i="2" s="1"/>
  <c r="FS173" i="2"/>
  <c r="FT173" i="2" s="1"/>
  <c r="EW173" i="2"/>
  <c r="ET173" i="2"/>
  <c r="EU173" i="2" s="1"/>
  <c r="EQ173" i="2"/>
  <c r="ER173" i="2" s="1"/>
  <c r="EJ173" i="2"/>
  <c r="EE173" i="2"/>
  <c r="EF173" i="2" s="1"/>
  <c r="DX173" i="2"/>
  <c r="DP173" i="2"/>
  <c r="DF173" i="2"/>
  <c r="DE173" i="2"/>
  <c r="CY173" i="2"/>
  <c r="CZ173" i="2" s="1"/>
  <c r="CF173" i="2"/>
  <c r="CH173" i="2"/>
  <c r="CA173" i="2"/>
  <c r="DA173" i="2"/>
  <c r="DB173" i="2" s="1"/>
  <c r="BO173" i="2"/>
  <c r="BJ173" i="2"/>
  <c r="BM173" i="2" s="1"/>
  <c r="BN173" i="2" s="1"/>
  <c r="BC173" i="2"/>
  <c r="AZ173" i="2"/>
  <c r="AY173" i="2"/>
  <c r="AO173" i="2"/>
  <c r="AN173" i="2"/>
  <c r="AM173" i="2"/>
  <c r="AL173" i="2"/>
  <c r="AK173" i="2"/>
  <c r="AG173" i="2"/>
  <c r="AE173" i="2"/>
  <c r="AF173" i="2" s="1"/>
  <c r="U173" i="2"/>
  <c r="S173" i="2"/>
  <c r="T173" i="2" s="1"/>
  <c r="R173" i="2"/>
  <c r="Y173" i="2" s="1"/>
  <c r="AB173" i="2" s="1"/>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BO172" i="2"/>
  <c r="BJ172" i="2"/>
  <c r="BC172" i="2"/>
  <c r="AZ172" i="2"/>
  <c r="AY172" i="2"/>
  <c r="AO172" i="2"/>
  <c r="AN172" i="2"/>
  <c r="AM172" i="2"/>
  <c r="AL172" i="2"/>
  <c r="AK172" i="2"/>
  <c r="AG172" i="2"/>
  <c r="AE172" i="2"/>
  <c r="AF172" i="2" s="1"/>
  <c r="U172" i="2"/>
  <c r="S172" i="2"/>
  <c r="T172" i="2" s="1"/>
  <c r="R172" i="2"/>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BO171" i="2"/>
  <c r="BJ171" i="2"/>
  <c r="BM171" i="2" s="1"/>
  <c r="BN171" i="2" s="1"/>
  <c r="BC171" i="2"/>
  <c r="AZ171" i="2"/>
  <c r="AY171" i="2"/>
  <c r="AO171" i="2"/>
  <c r="AN171" i="2"/>
  <c r="AM171" i="2"/>
  <c r="AL171" i="2"/>
  <c r="AK171" i="2"/>
  <c r="AG171" i="2"/>
  <c r="AE171" i="2"/>
  <c r="AF171" i="2" s="1"/>
  <c r="U171" i="2"/>
  <c r="S171" i="2"/>
  <c r="T171" i="2" s="1"/>
  <c r="R171" i="2"/>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CW170" i="2"/>
  <c r="BO170" i="2"/>
  <c r="BJ170" i="2"/>
  <c r="BM170" i="2" s="1"/>
  <c r="BN170" i="2" s="1"/>
  <c r="BC170" i="2"/>
  <c r="AZ170" i="2"/>
  <c r="AY170" i="2"/>
  <c r="AO170" i="2"/>
  <c r="AN170" i="2"/>
  <c r="AM170" i="2"/>
  <c r="AL170" i="2"/>
  <c r="AK170" i="2"/>
  <c r="AG170" i="2"/>
  <c r="AE170" i="2"/>
  <c r="AF170" i="2" s="1"/>
  <c r="U170" i="2"/>
  <c r="S170" i="2"/>
  <c r="R170" i="2"/>
  <c r="Y170" i="2" s="1"/>
  <c r="AB170" i="2" s="1"/>
  <c r="E170" i="2"/>
  <c r="GR169" i="2"/>
  <c r="GS169" i="2" s="1"/>
  <c r="GP169" i="2"/>
  <c r="GQ169" i="2" s="1"/>
  <c r="DU169" i="2" s="1"/>
  <c r="GN169" i="2"/>
  <c r="GO169" i="2" s="1"/>
  <c r="GL169" i="2"/>
  <c r="GM169" i="2" s="1"/>
  <c r="GH169" i="2"/>
  <c r="GG169" i="2"/>
  <c r="GI169" i="2" s="1"/>
  <c r="GD169" i="2"/>
  <c r="GC169" i="2"/>
  <c r="GB169" i="2"/>
  <c r="FY169" i="2"/>
  <c r="FS169" i="2"/>
  <c r="FT169" i="2" s="1"/>
  <c r="EW169" i="2"/>
  <c r="ET169" i="2"/>
  <c r="EU169" i="2" s="1"/>
  <c r="EQ169" i="2"/>
  <c r="ER169" i="2" s="1"/>
  <c r="EJ169" i="2"/>
  <c r="EE169" i="2"/>
  <c r="EF169" i="2" s="1"/>
  <c r="DX169" i="2"/>
  <c r="DP169" i="2"/>
  <c r="DF169" i="2"/>
  <c r="DE169" i="2"/>
  <c r="CY169" i="2"/>
  <c r="CZ169" i="2" s="1"/>
  <c r="CF169" i="2"/>
  <c r="CH169" i="2"/>
  <c r="CA169" i="2"/>
  <c r="CW169" i="2"/>
  <c r="BO169" i="2"/>
  <c r="BJ169" i="2"/>
  <c r="BM169" i="2" s="1"/>
  <c r="BN169" i="2" s="1"/>
  <c r="BC169" i="2"/>
  <c r="AZ169" i="2"/>
  <c r="AY169" i="2"/>
  <c r="AO169" i="2"/>
  <c r="AN169" i="2"/>
  <c r="AM169" i="2"/>
  <c r="AL169" i="2"/>
  <c r="AK169" i="2"/>
  <c r="AG169" i="2"/>
  <c r="AE169" i="2"/>
  <c r="AF169" i="2" s="1"/>
  <c r="U169" i="2"/>
  <c r="S169" i="2"/>
  <c r="R169" i="2"/>
  <c r="Y169" i="2" s="1"/>
  <c r="AB169" i="2" s="1"/>
  <c r="E169" i="2"/>
  <c r="GR168" i="2"/>
  <c r="GS168" i="2" s="1"/>
  <c r="GP168" i="2"/>
  <c r="GQ168" i="2" s="1"/>
  <c r="DU168" i="2" s="1"/>
  <c r="GN168" i="2"/>
  <c r="GO168" i="2" s="1"/>
  <c r="GL168" i="2"/>
  <c r="GM168" i="2" s="1"/>
  <c r="GH168" i="2"/>
  <c r="GG168" i="2"/>
  <c r="GI168" i="2" s="1"/>
  <c r="GD168" i="2"/>
  <c r="GC168" i="2"/>
  <c r="GB168" i="2"/>
  <c r="FY168" i="2"/>
  <c r="GA168" i="2" s="1"/>
  <c r="FS168" i="2"/>
  <c r="FT168" i="2" s="1"/>
  <c r="EW168" i="2"/>
  <c r="ET168" i="2"/>
  <c r="EU168" i="2" s="1"/>
  <c r="EQ168" i="2"/>
  <c r="ER168" i="2" s="1"/>
  <c r="EJ168" i="2"/>
  <c r="EE168" i="2"/>
  <c r="EF168" i="2" s="1"/>
  <c r="DX168" i="2"/>
  <c r="DP168" i="2"/>
  <c r="DF168" i="2"/>
  <c r="DE168" i="2"/>
  <c r="CY168" i="2"/>
  <c r="CZ168" i="2" s="1"/>
  <c r="CF168" i="2"/>
  <c r="CH168" i="2"/>
  <c r="CA168" i="2"/>
  <c r="DA168" i="2"/>
  <c r="DB168" i="2" s="1"/>
  <c r="BO168" i="2"/>
  <c r="BJ168" i="2"/>
  <c r="BM168" i="2" s="1"/>
  <c r="BN168" i="2" s="1"/>
  <c r="BC168" i="2"/>
  <c r="AZ168" i="2"/>
  <c r="AY168" i="2"/>
  <c r="AO168" i="2"/>
  <c r="AN168" i="2"/>
  <c r="AM168" i="2"/>
  <c r="AL168" i="2"/>
  <c r="AK168" i="2"/>
  <c r="AG168" i="2"/>
  <c r="AE168" i="2"/>
  <c r="AF168" i="2" s="1"/>
  <c r="U168" i="2"/>
  <c r="S168" i="2"/>
  <c r="T168" i="2" s="1"/>
  <c r="R168" i="2"/>
  <c r="X168" i="2" s="1"/>
  <c r="E168" i="2"/>
  <c r="GR228" i="2"/>
  <c r="GS228" i="2" s="1"/>
  <c r="GP228" i="2"/>
  <c r="GQ228" i="2" s="1"/>
  <c r="GL228" i="2"/>
  <c r="GM228" i="2" s="1"/>
  <c r="GH228" i="2"/>
  <c r="GG228" i="2"/>
  <c r="GI228" i="2" s="1"/>
  <c r="GD228" i="2"/>
  <c r="GC228" i="2"/>
  <c r="GB228" i="2"/>
  <c r="FY228" i="2"/>
  <c r="GA228" i="2" s="1"/>
  <c r="FS228" i="2"/>
  <c r="FT228" i="2" s="1"/>
  <c r="EW228" i="2"/>
  <c r="ET228" i="2"/>
  <c r="EU228" i="2" s="1"/>
  <c r="EQ228" i="2"/>
  <c r="ER228" i="2" s="1"/>
  <c r="EJ228" i="2"/>
  <c r="EE228" i="2"/>
  <c r="EF228" i="2" s="1"/>
  <c r="DX228" i="2"/>
  <c r="DP228" i="2"/>
  <c r="DF228" i="2"/>
  <c r="DE228" i="2"/>
  <c r="CY228" i="2"/>
  <c r="CF228" i="2"/>
  <c r="CA228" i="2"/>
  <c r="BO228" i="2"/>
  <c r="BJ228" i="2"/>
  <c r="BM228" i="2" s="1"/>
  <c r="BN228" i="2" s="1"/>
  <c r="BC228" i="2"/>
  <c r="AZ228" i="2"/>
  <c r="AY228" i="2"/>
  <c r="AO228" i="2"/>
  <c r="AN228" i="2"/>
  <c r="AM228" i="2"/>
  <c r="AL228" i="2"/>
  <c r="AK228" i="2"/>
  <c r="AG228" i="2"/>
  <c r="AE228" i="2"/>
  <c r="AF228" i="2" s="1"/>
  <c r="U228" i="2"/>
  <c r="S228" i="2"/>
  <c r="T228" i="2" s="1"/>
  <c r="R228" i="2"/>
  <c r="X228" i="2" s="1"/>
  <c r="E22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198" i="2"/>
  <c r="GS198" i="2" s="1"/>
  <c r="GP198" i="2"/>
  <c r="GQ198" i="2" s="1"/>
  <c r="GN198" i="2"/>
  <c r="GO198" i="2" s="1"/>
  <c r="GL198" i="2"/>
  <c r="GM198" i="2" s="1"/>
  <c r="GH198" i="2"/>
  <c r="GG198" i="2"/>
  <c r="GI198" i="2" s="1"/>
  <c r="GD198" i="2"/>
  <c r="GC198" i="2"/>
  <c r="GB198" i="2"/>
  <c r="FY198" i="2"/>
  <c r="FZ198" i="2" s="1"/>
  <c r="FS198" i="2"/>
  <c r="FT198" i="2" s="1"/>
  <c r="EW198" i="2"/>
  <c r="ET198" i="2"/>
  <c r="EU198" i="2" s="1"/>
  <c r="EQ198" i="2"/>
  <c r="ER198" i="2" s="1"/>
  <c r="EJ198" i="2"/>
  <c r="EE198" i="2"/>
  <c r="EF198" i="2" s="1"/>
  <c r="DX198" i="2"/>
  <c r="DP198" i="2"/>
  <c r="DF198" i="2"/>
  <c r="DH198" i="2" s="1"/>
  <c r="DE198" i="2"/>
  <c r="CY198" i="2"/>
  <c r="CZ198" i="2" s="1"/>
  <c r="CF198" i="2"/>
  <c r="CA198" i="2"/>
  <c r="CW198" i="2"/>
  <c r="BO198" i="2"/>
  <c r="BJ198" i="2"/>
  <c r="BM198" i="2" s="1"/>
  <c r="BN198" i="2" s="1"/>
  <c r="BC198" i="2"/>
  <c r="AZ198" i="2"/>
  <c r="AY198" i="2"/>
  <c r="AO198" i="2"/>
  <c r="AN198" i="2"/>
  <c r="AM198" i="2"/>
  <c r="AL198" i="2"/>
  <c r="AK198" i="2"/>
  <c r="AG198" i="2"/>
  <c r="AE198" i="2"/>
  <c r="AF198" i="2" s="1"/>
  <c r="U198" i="2"/>
  <c r="S198" i="2"/>
  <c r="R198" i="2"/>
  <c r="Y198" i="2" s="1"/>
  <c r="AB198" i="2" s="1"/>
  <c r="E198"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13" i="2"/>
  <c r="GS313" i="2" s="1"/>
  <c r="GP313" i="2"/>
  <c r="GQ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H313" i="2" s="1"/>
  <c r="DE313" i="2"/>
  <c r="CY313" i="2"/>
  <c r="CZ313" i="2" s="1"/>
  <c r="CF313" i="2"/>
  <c r="CA313" i="2"/>
  <c r="DA313" i="2"/>
  <c r="DB313" i="2" s="1"/>
  <c r="BO313" i="2"/>
  <c r="BJ313" i="2"/>
  <c r="BM313" i="2" s="1"/>
  <c r="BN313" i="2" s="1"/>
  <c r="BC313" i="2"/>
  <c r="AZ313" i="2"/>
  <c r="AY313" i="2"/>
  <c r="AO313" i="2"/>
  <c r="AN313" i="2"/>
  <c r="AM313" i="2"/>
  <c r="AL313" i="2"/>
  <c r="AK313" i="2"/>
  <c r="AG313" i="2"/>
  <c r="AE313" i="2"/>
  <c r="AF313" i="2" s="1"/>
  <c r="U313" i="2"/>
  <c r="S313" i="2"/>
  <c r="T313" i="2" s="1"/>
  <c r="R313" i="2"/>
  <c r="E313"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6" i="2"/>
  <c r="GS166" i="2" s="1"/>
  <c r="GP166" i="2"/>
  <c r="GQ166" i="2" s="1"/>
  <c r="DU166" i="2" s="1"/>
  <c r="EI166" i="2" s="1"/>
  <c r="GN166" i="2"/>
  <c r="GO166" i="2" s="1"/>
  <c r="GL166" i="2"/>
  <c r="GM166" i="2" s="1"/>
  <c r="GH166" i="2"/>
  <c r="GG166" i="2"/>
  <c r="GI166" i="2" s="1"/>
  <c r="GD166" i="2"/>
  <c r="GC166" i="2"/>
  <c r="GB166" i="2"/>
  <c r="FY166" i="2"/>
  <c r="GA166" i="2" s="1"/>
  <c r="FS166" i="2"/>
  <c r="FT166" i="2" s="1"/>
  <c r="EW166" i="2"/>
  <c r="ET166" i="2"/>
  <c r="EU166" i="2" s="1"/>
  <c r="EQ166" i="2"/>
  <c r="ER166" i="2" s="1"/>
  <c r="EJ166" i="2"/>
  <c r="EE166" i="2"/>
  <c r="EF166" i="2" s="1"/>
  <c r="DX166" i="2"/>
  <c r="DP166" i="2"/>
  <c r="DF166" i="2"/>
  <c r="DH166" i="2" s="1"/>
  <c r="DE166" i="2"/>
  <c r="CY166" i="2"/>
  <c r="CZ166" i="2" s="1"/>
  <c r="CF166" i="2"/>
  <c r="CH166" i="2"/>
  <c r="CA166" i="2"/>
  <c r="BO166" i="2"/>
  <c r="BJ166" i="2"/>
  <c r="BM166" i="2" s="1"/>
  <c r="BN166" i="2" s="1"/>
  <c r="BC166" i="2"/>
  <c r="AZ166" i="2"/>
  <c r="AY166" i="2"/>
  <c r="AO166" i="2"/>
  <c r="AN166" i="2"/>
  <c r="AM166" i="2"/>
  <c r="AL166" i="2"/>
  <c r="AK166" i="2"/>
  <c r="AG166" i="2"/>
  <c r="AE166" i="2"/>
  <c r="AF166" i="2" s="1"/>
  <c r="U166" i="2"/>
  <c r="S166" i="2"/>
  <c r="T166" i="2" s="1"/>
  <c r="R166" i="2"/>
  <c r="Y166" i="2" s="1"/>
  <c r="AB166" i="2" s="1"/>
  <c r="E166"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DA295" i="2"/>
  <c r="DB295" i="2" s="1"/>
  <c r="BO295" i="2"/>
  <c r="BJ295" i="2"/>
  <c r="BC295" i="2"/>
  <c r="AZ295" i="2"/>
  <c r="AY295" i="2"/>
  <c r="AO295" i="2"/>
  <c r="AN295" i="2"/>
  <c r="AM295" i="2"/>
  <c r="AL295" i="2"/>
  <c r="AK295" i="2"/>
  <c r="AG295" i="2"/>
  <c r="AE295" i="2"/>
  <c r="AF295" i="2" s="1"/>
  <c r="U295" i="2"/>
  <c r="S295" i="2"/>
  <c r="T295" i="2" s="1"/>
  <c r="R295" i="2"/>
  <c r="X295" i="2" s="1"/>
  <c r="E295"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H40" i="2"/>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N40" i="2"/>
  <c r="AM40" i="2"/>
  <c r="AL40" i="2"/>
  <c r="AK40" i="2"/>
  <c r="AG40" i="2"/>
  <c r="AE40" i="2"/>
  <c r="AF40" i="2" s="1"/>
  <c r="U40" i="2"/>
  <c r="S40" i="2"/>
  <c r="T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356" i="2"/>
  <c r="GS356" i="2" s="1"/>
  <c r="GP356" i="2"/>
  <c r="GQ356" i="2" s="1"/>
  <c r="GN356" i="2"/>
  <c r="GO356" i="2" s="1"/>
  <c r="GL356" i="2"/>
  <c r="GM356" i="2" s="1"/>
  <c r="GH356" i="2"/>
  <c r="GG356" i="2"/>
  <c r="GI356" i="2" s="1"/>
  <c r="GD356" i="2"/>
  <c r="GC356" i="2"/>
  <c r="GB356" i="2"/>
  <c r="FY356" i="2"/>
  <c r="GA356" i="2" s="1"/>
  <c r="FS356" i="2"/>
  <c r="FT356" i="2" s="1"/>
  <c r="EW356" i="2"/>
  <c r="ET356" i="2"/>
  <c r="EU356" i="2" s="1"/>
  <c r="EQ356" i="2"/>
  <c r="ER356" i="2" s="1"/>
  <c r="EJ356" i="2"/>
  <c r="EE356" i="2"/>
  <c r="EF356" i="2" s="1"/>
  <c r="DX356" i="2"/>
  <c r="DP356" i="2"/>
  <c r="DF356" i="2"/>
  <c r="DH356" i="2" s="1"/>
  <c r="DE356" i="2"/>
  <c r="CY356" i="2"/>
  <c r="CZ356" i="2" s="1"/>
  <c r="CF356" i="2"/>
  <c r="CH356" i="2"/>
  <c r="CA356" i="2"/>
  <c r="CW356" i="2"/>
  <c r="BO356" i="2"/>
  <c r="BJ356" i="2"/>
  <c r="BM356" i="2" s="1"/>
  <c r="BN356" i="2" s="1"/>
  <c r="BC356" i="2"/>
  <c r="AZ356" i="2"/>
  <c r="AY356" i="2"/>
  <c r="AO356" i="2"/>
  <c r="AN356" i="2"/>
  <c r="AM356" i="2"/>
  <c r="AL356" i="2"/>
  <c r="AI356" i="2"/>
  <c r="AK356" i="2" s="1"/>
  <c r="AG356" i="2"/>
  <c r="AE356" i="2"/>
  <c r="AF356" i="2" s="1"/>
  <c r="U356" i="2"/>
  <c r="S356" i="2"/>
  <c r="T356" i="2" s="1"/>
  <c r="R356" i="2"/>
  <c r="Y356" i="2" s="1"/>
  <c r="AB356" i="2" s="1"/>
  <c r="E356"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7" i="2"/>
  <c r="GN257" i="2"/>
  <c r="GN265" i="2"/>
  <c r="GN311" i="2"/>
  <c r="GR257" i="2"/>
  <c r="GR261" i="2"/>
  <c r="GR392" i="2"/>
  <c r="GR266" i="2"/>
  <c r="GR30" i="2"/>
  <c r="GR258" i="2"/>
  <c r="GN244" i="2"/>
  <c r="GR64" i="2"/>
  <c r="GR252" i="2"/>
  <c r="GR265" i="2"/>
  <c r="FF244" i="2" a="1"/>
  <c r="FF311" i="2" a="1"/>
  <c r="GP252" i="2"/>
  <c r="GN235" i="2"/>
  <c r="GN228" i="2"/>
  <c r="GP266" i="2"/>
  <c r="GN64" i="2"/>
  <c r="GP263" i="2"/>
  <c r="GR161" i="2"/>
  <c r="GN229" i="2"/>
  <c r="GR390" i="2"/>
  <c r="GN201" i="2"/>
  <c r="GP258" i="2"/>
  <c r="GN167" i="2"/>
  <c r="GR311" i="2"/>
  <c r="GN292" i="2"/>
  <c r="GR244" i="2"/>
  <c r="GP265" i="2"/>
  <c r="FF390" i="2" l="1" a="1"/>
  <c r="FF111" i="2" a="1"/>
  <c r="FF111" i="2" s="1"/>
  <c r="FJ111" i="2"/>
  <c r="FF87" i="2" a="1"/>
  <c r="FF87" i="2" s="1"/>
  <c r="FJ87" i="2"/>
  <c r="FF268" i="2" a="1"/>
  <c r="FF268" i="2" s="1"/>
  <c r="FJ268" i="2"/>
  <c r="FF270" i="2" a="1"/>
  <c r="FF270" i="2" s="1"/>
  <c r="FJ270" i="2"/>
  <c r="FF272" i="2" a="1"/>
  <c r="FF272" i="2" s="1"/>
  <c r="FJ272" i="2"/>
  <c r="FF283" i="2" a="1"/>
  <c r="FF283" i="2" s="1"/>
  <c r="FJ283" i="2"/>
  <c r="FF357" i="2" a="1"/>
  <c r="FF357" i="2" s="1"/>
  <c r="FJ357" i="2"/>
  <c r="FF359" i="2" a="1"/>
  <c r="FF359" i="2" s="1"/>
  <c r="FJ359" i="2"/>
  <c r="FF229" i="2" a="1"/>
  <c r="FF229" i="2" s="1"/>
  <c r="FJ229" i="2"/>
  <c r="FF62" i="2" a="1"/>
  <c r="FF62" i="2" s="1"/>
  <c r="FJ62" i="2"/>
  <c r="FF99" i="2" a="1"/>
  <c r="FF99" i="2" s="1"/>
  <c r="FJ99" i="2"/>
  <c r="FF101" i="2" a="1"/>
  <c r="FF101" i="2" s="1"/>
  <c r="FJ101" i="2"/>
  <c r="FF117" i="2" a="1"/>
  <c r="FF117" i="2" s="1"/>
  <c r="FJ117" i="2"/>
  <c r="FF134" i="2" a="1"/>
  <c r="FF134" i="2" s="1"/>
  <c r="FJ134" i="2"/>
  <c r="FF147" i="2" a="1"/>
  <c r="FF147" i="2" s="1"/>
  <c r="FJ147" i="2"/>
  <c r="FF169" i="2" a="1"/>
  <c r="FF169" i="2" s="1"/>
  <c r="FJ169" i="2"/>
  <c r="FF231" i="2" a="1"/>
  <c r="FF231" i="2" s="1"/>
  <c r="FJ231" i="2"/>
  <c r="FF233" i="2" a="1"/>
  <c r="FF233" i="2" s="1"/>
  <c r="FJ233" i="2"/>
  <c r="FF241" i="2" a="1"/>
  <c r="FF241" i="2" s="1"/>
  <c r="FJ241" i="2"/>
  <c r="FF308" i="2" a="1"/>
  <c r="FF308" i="2" s="1"/>
  <c r="FJ308" i="2"/>
  <c r="FF256" i="2" a="1"/>
  <c r="FF256" i="2" s="1"/>
  <c r="FJ256" i="2"/>
  <c r="FF276" i="2" a="1"/>
  <c r="FF276" i="2" s="1"/>
  <c r="FJ276" i="2"/>
  <c r="FF297" i="2" a="1"/>
  <c r="FF297" i="2" s="1"/>
  <c r="FJ297" i="2"/>
  <c r="FF299" i="2" a="1"/>
  <c r="FF299" i="2" s="1"/>
  <c r="FJ299" i="2"/>
  <c r="FF320" i="2" a="1"/>
  <c r="FF320" i="2" s="1"/>
  <c r="FJ320" i="2"/>
  <c r="FF322" i="2" a="1"/>
  <c r="FF322" i="2" s="1"/>
  <c r="FJ322" i="2"/>
  <c r="FF58" i="2" a="1"/>
  <c r="FF58" i="2" s="1"/>
  <c r="FJ58" i="2"/>
  <c r="FF149" i="2" a="1"/>
  <c r="FF149" i="2" s="1"/>
  <c r="FJ149" i="2"/>
  <c r="FF9" i="2" a="1"/>
  <c r="FF9" i="2" s="1"/>
  <c r="FJ9" i="2"/>
  <c r="FF18" i="2" a="1"/>
  <c r="FF18" i="2" s="1"/>
  <c r="FJ18" i="2"/>
  <c r="FF295" i="2" a="1"/>
  <c r="FF295" i="2" s="1"/>
  <c r="FJ295"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1" i="2" a="1"/>
  <c r="FF171" i="2" s="1"/>
  <c r="FJ171" i="2"/>
  <c r="FF177" i="2" a="1"/>
  <c r="FF177" i="2" s="1"/>
  <c r="FJ177" i="2"/>
  <c r="FF190" i="2" a="1"/>
  <c r="FF190" i="2" s="1"/>
  <c r="FJ190" i="2"/>
  <c r="FF204" i="2" a="1"/>
  <c r="FF204" i="2" s="1"/>
  <c r="FJ204" i="2"/>
  <c r="FF206" i="2" a="1"/>
  <c r="FF206" i="2" s="1"/>
  <c r="FJ206" i="2"/>
  <c r="FF208" i="2" a="1"/>
  <c r="FF208" i="2" s="1"/>
  <c r="FJ208" i="2"/>
  <c r="FF213" i="2" a="1"/>
  <c r="FF213" i="2" s="1"/>
  <c r="FJ213" i="2"/>
  <c r="FF239" i="2" a="1"/>
  <c r="FF239" i="2" s="1"/>
  <c r="FJ239" i="2"/>
  <c r="FF243" i="2" a="1"/>
  <c r="FF243" i="2" s="1"/>
  <c r="FJ243" i="2"/>
  <c r="FF259" i="2" a="1"/>
  <c r="FF259" i="2" s="1"/>
  <c r="FJ259" i="2"/>
  <c r="FF285" i="2" a="1"/>
  <c r="FF285" i="2" s="1"/>
  <c r="FJ285" i="2"/>
  <c r="FF293" i="2" a="1"/>
  <c r="FF293" i="2" s="1"/>
  <c r="FJ293" i="2"/>
  <c r="FF309" i="2" a="1"/>
  <c r="FF309" i="2" s="1"/>
  <c r="FJ309" i="2"/>
  <c r="FF361" i="2" a="1"/>
  <c r="FF361" i="2" s="1"/>
  <c r="FJ361" i="2"/>
  <c r="FF365" i="2" a="1"/>
  <c r="FF365" i="2" s="1"/>
  <c r="FJ365" i="2"/>
  <c r="FF391" i="2" a="1"/>
  <c r="FF391" i="2" s="1"/>
  <c r="FJ391" i="2"/>
  <c r="FF143" i="2" a="1"/>
  <c r="FF143" i="2" s="1"/>
  <c r="FJ143" i="2"/>
  <c r="FF188" i="2" a="1"/>
  <c r="FF188" i="2" s="1"/>
  <c r="FJ188"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3" i="2" a="1"/>
  <c r="FF173" i="2" s="1"/>
  <c r="FJ173" i="2"/>
  <c r="FF201" i="2" a="1"/>
  <c r="FF201" i="2" s="1"/>
  <c r="FJ201" i="2"/>
  <c r="FF179" i="2" a="1"/>
  <c r="FF179" i="2" s="1"/>
  <c r="FJ179" i="2"/>
  <c r="FF181" i="2" a="1"/>
  <c r="FF181" i="2" s="1"/>
  <c r="FJ181" i="2"/>
  <c r="FF202" i="2" a="1"/>
  <c r="FF202" i="2" s="1"/>
  <c r="FJ202" i="2"/>
  <c r="FF210" i="2" a="1"/>
  <c r="FF210" i="2" s="1"/>
  <c r="FJ210" i="2"/>
  <c r="FF226" i="2" a="1"/>
  <c r="FF226" i="2" s="1"/>
  <c r="FJ226" i="2"/>
  <c r="FF252" i="2" a="1"/>
  <c r="FF252" i="2" s="1"/>
  <c r="FJ252" i="2"/>
  <c r="FF392" i="2" a="1"/>
  <c r="FF392" i="2" s="1"/>
  <c r="FJ392" i="2"/>
  <c r="FF278" i="2" a="1"/>
  <c r="FF278" i="2" s="1"/>
  <c r="FJ278" i="2"/>
  <c r="FF301" i="2" a="1"/>
  <c r="FF301" i="2" s="1"/>
  <c r="FJ301" i="2"/>
  <c r="FF303" i="2" a="1"/>
  <c r="FF303" i="2" s="1"/>
  <c r="FJ303" i="2"/>
  <c r="FF305" i="2" a="1"/>
  <c r="FF305" i="2" s="1"/>
  <c r="FJ305" i="2"/>
  <c r="FF307" i="2" a="1"/>
  <c r="FF307" i="2" s="1"/>
  <c r="FJ307" i="2"/>
  <c r="FF364" i="2" a="1"/>
  <c r="FF364" i="2" s="1"/>
  <c r="FJ364" i="2"/>
  <c r="FF318" i="2" a="1"/>
  <c r="FF318" i="2" s="1"/>
  <c r="FJ318" i="2"/>
  <c r="FF324" i="2" a="1"/>
  <c r="FF324" i="2" s="1"/>
  <c r="FJ324" i="2"/>
  <c r="FF326" i="2" a="1"/>
  <c r="FF326" i="2" s="1"/>
  <c r="FJ326" i="2"/>
  <c r="FF348" i="2" a="1"/>
  <c r="FF348" i="2" s="1"/>
  <c r="FJ348" i="2"/>
  <c r="FF363" i="2" a="1"/>
  <c r="FF363" i="2" s="1"/>
  <c r="FJ363" i="2"/>
  <c r="FF251" i="2" a="1"/>
  <c r="FF251" i="2" s="1"/>
  <c r="FJ251" i="2"/>
  <c r="FF16" i="2" a="1"/>
  <c r="FF16" i="2" s="1"/>
  <c r="FJ16" i="2"/>
  <c r="FF166" i="2" a="1"/>
  <c r="FF166" i="2" s="1"/>
  <c r="FJ166" i="2"/>
  <c r="FF74" i="2" a="1"/>
  <c r="FF74" i="2" s="1"/>
  <c r="FJ74" i="2"/>
  <c r="FF356" i="2" a="1"/>
  <c r="FF356" i="2" s="1"/>
  <c r="FJ356"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3" i="2" a="1"/>
  <c r="FF183" i="2" s="1"/>
  <c r="FJ183" i="2"/>
  <c r="FF192" i="2" a="1"/>
  <c r="FF192" i="2" s="1"/>
  <c r="FJ192" i="2"/>
  <c r="FF212" i="2" a="1"/>
  <c r="FF212" i="2" s="1"/>
  <c r="FJ212" i="2"/>
  <c r="FF215" i="2" a="1"/>
  <c r="FF215" i="2" s="1"/>
  <c r="FJ215" i="2"/>
  <c r="FF220" i="2" a="1"/>
  <c r="FF220" i="2" s="1"/>
  <c r="FJ220" i="2"/>
  <c r="FF222" i="2" a="1"/>
  <c r="FF222" i="2" s="1"/>
  <c r="FJ222" i="2"/>
  <c r="FF224" i="2" a="1"/>
  <c r="FF224" i="2" s="1"/>
  <c r="FJ224" i="2"/>
  <c r="FF246" i="2" a="1"/>
  <c r="FF246" i="2" s="1"/>
  <c r="FJ246" i="2"/>
  <c r="FF235" i="2" a="1"/>
  <c r="FF235" i="2" s="1"/>
  <c r="FJ235" i="2"/>
  <c r="FF287" i="2" a="1"/>
  <c r="FF287" i="2" s="1"/>
  <c r="FJ287" i="2"/>
  <c r="FF289" i="2" a="1"/>
  <c r="FF289" i="2" s="1"/>
  <c r="FJ289" i="2"/>
  <c r="FF328" i="2" a="1"/>
  <c r="FF328" i="2" s="1"/>
  <c r="FJ328" i="2"/>
  <c r="FF367" i="2" a="1"/>
  <c r="FF367" i="2" s="1"/>
  <c r="FJ367" i="2"/>
  <c r="FF383" i="2" a="1"/>
  <c r="FF383" i="2" s="1"/>
  <c r="FJ383" i="2"/>
  <c r="FF388" i="2" a="1"/>
  <c r="FF388" i="2" s="1"/>
  <c r="FJ388" i="2"/>
  <c r="FF47" i="2" a="1"/>
  <c r="FF47" i="2" s="1"/>
  <c r="FJ47" i="2"/>
  <c r="FF36" i="2" a="1"/>
  <c r="FF36" i="2" s="1"/>
  <c r="FJ36" i="2"/>
  <c r="FF51" i="2" a="1"/>
  <c r="FF51" i="2" s="1"/>
  <c r="FJ51" i="2"/>
  <c r="FF78" i="2" a="1"/>
  <c r="FF78" i="2" s="1"/>
  <c r="FJ78" i="2"/>
  <c r="FF107" i="2" a="1"/>
  <c r="FF107" i="2" s="1"/>
  <c r="FJ107" i="2"/>
  <c r="FF125" i="2" a="1"/>
  <c r="FF125" i="2" s="1"/>
  <c r="FJ125" i="2"/>
  <c r="FF194" i="2" a="1"/>
  <c r="FF194" i="2" s="1"/>
  <c r="FJ194" i="2"/>
  <c r="FF217" i="2" a="1"/>
  <c r="FF217" i="2" s="1"/>
  <c r="FJ217" i="2"/>
  <c r="FF292" i="2" a="1"/>
  <c r="FF292" i="2" s="1"/>
  <c r="FJ292" i="2"/>
  <c r="FF248" i="2" a="1"/>
  <c r="FF248" i="2" s="1"/>
  <c r="FJ248" i="2"/>
  <c r="FF265" i="2" a="1"/>
  <c r="FF265" i="2" s="1"/>
  <c r="FJ265" i="2"/>
  <c r="FF262" i="2" a="1"/>
  <c r="FF262" i="2" s="1"/>
  <c r="FJ262" i="2"/>
  <c r="FF280" i="2" a="1"/>
  <c r="FF280" i="2" s="1"/>
  <c r="FJ280" i="2"/>
  <c r="FF316" i="2" a="1"/>
  <c r="FF316" i="2" s="1"/>
  <c r="FJ316" i="2"/>
  <c r="FF330" i="2" a="1"/>
  <c r="FF330" i="2" s="1"/>
  <c r="FJ330" i="2"/>
  <c r="FF346" i="2" a="1"/>
  <c r="FF346" i="2" s="1"/>
  <c r="FJ346" i="2"/>
  <c r="FF350" i="2" a="1"/>
  <c r="FF350" i="2" s="1"/>
  <c r="FJ350" i="2"/>
  <c r="FF369" i="2" a="1"/>
  <c r="FF369" i="2" s="1"/>
  <c r="FJ369" i="2"/>
  <c r="FF371" i="2" a="1"/>
  <c r="FF371" i="2" s="1"/>
  <c r="FJ371" i="2"/>
  <c r="FF54" i="2" a="1"/>
  <c r="FF54" i="2" s="1"/>
  <c r="FJ54" i="2"/>
  <c r="FF83" i="2" a="1"/>
  <c r="FF83" i="2" s="1"/>
  <c r="FJ83" i="2"/>
  <c r="FF110" i="2" a="1"/>
  <c r="FF110" i="2" s="1"/>
  <c r="FJ110" i="2"/>
  <c r="FF132" i="2" a="1"/>
  <c r="FF132" i="2" s="1"/>
  <c r="FJ132" i="2"/>
  <c r="FF199" i="2" a="1"/>
  <c r="FF199" i="2" s="1"/>
  <c r="FJ199"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5" i="2" a="1"/>
  <c r="FF185" i="2" s="1"/>
  <c r="FJ185" i="2"/>
  <c r="FF196" i="2" a="1"/>
  <c r="FF196" i="2" s="1"/>
  <c r="FJ196" i="2"/>
  <c r="FF200" i="2" a="1"/>
  <c r="FF200" i="2" s="1"/>
  <c r="FJ200" i="2"/>
  <c r="FF250" i="2" a="1"/>
  <c r="FF250" i="2" s="1"/>
  <c r="FJ250" i="2"/>
  <c r="FF30" i="2" a="1"/>
  <c r="FF30" i="2" s="1"/>
  <c r="FJ30" i="2"/>
  <c r="FF102" i="2" a="1"/>
  <c r="FF102" i="2" s="1"/>
  <c r="FJ102" i="2"/>
  <c r="FF253" i="2" a="1"/>
  <c r="FF253" i="2" s="1"/>
  <c r="FJ253" i="2"/>
  <c r="FF291" i="2" a="1"/>
  <c r="FF291" i="2" s="1"/>
  <c r="FJ291" i="2"/>
  <c r="FF332" i="2" a="1"/>
  <c r="FF332" i="2" s="1"/>
  <c r="FJ332" i="2"/>
  <c r="FF334" i="2" a="1"/>
  <c r="FF334" i="2" s="1"/>
  <c r="FJ334" i="2"/>
  <c r="FF336" i="2" a="1"/>
  <c r="FF336" i="2" s="1"/>
  <c r="FJ336" i="2"/>
  <c r="FF338" i="2" a="1"/>
  <c r="FF338" i="2" s="1"/>
  <c r="FJ338" i="2"/>
  <c r="FF340" i="2" a="1"/>
  <c r="FF340" i="2" s="1"/>
  <c r="FJ340" i="2"/>
  <c r="FF342" i="2" a="1"/>
  <c r="FF342" i="2" s="1"/>
  <c r="FJ342" i="2"/>
  <c r="FF344" i="2" a="1"/>
  <c r="FF344" i="2" s="1"/>
  <c r="FJ344" i="2"/>
  <c r="FF352" i="2" a="1"/>
  <c r="FF352" i="2" s="1"/>
  <c r="FJ352" i="2"/>
  <c r="FF354" i="2" a="1"/>
  <c r="FF354" i="2" s="1"/>
  <c r="FJ354" i="2"/>
  <c r="FF375" i="2" a="1"/>
  <c r="FF375" i="2" s="1"/>
  <c r="FJ375" i="2"/>
  <c r="FF377" i="2" a="1"/>
  <c r="FF377" i="2" s="1"/>
  <c r="FJ377" i="2"/>
  <c r="FF379" i="2" a="1"/>
  <c r="FF379" i="2" s="1"/>
  <c r="FJ379" i="2"/>
  <c r="FF381" i="2" a="1"/>
  <c r="FF381" i="2" s="1"/>
  <c r="FJ381" i="2"/>
  <c r="FF385" i="2" a="1"/>
  <c r="FF385" i="2" s="1"/>
  <c r="FJ385" i="2"/>
  <c r="FF72" i="2" a="1"/>
  <c r="FF72" i="2" s="1"/>
  <c r="FJ72"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7" i="2" a="1"/>
  <c r="FF187" i="2" s="1"/>
  <c r="FJ187" i="2"/>
  <c r="FF236" i="2" a="1"/>
  <c r="FF236" i="2" s="1"/>
  <c r="FJ236" i="2"/>
  <c r="FF260" i="2" a="1"/>
  <c r="FF260" i="2" s="1"/>
  <c r="FJ260" i="2"/>
  <c r="FF273" i="2" a="1"/>
  <c r="FF273" i="2" s="1"/>
  <c r="FJ273" i="2"/>
  <c r="FF282" i="2" a="1"/>
  <c r="FF282" i="2" s="1"/>
  <c r="FJ282" i="2"/>
  <c r="FF314" i="2" a="1"/>
  <c r="FF314" i="2" s="1"/>
  <c r="FJ314" i="2"/>
  <c r="FF373" i="2" a="1"/>
  <c r="FF373" i="2" s="1"/>
  <c r="FJ373" i="2"/>
  <c r="FF394" i="2" a="1"/>
  <c r="FF394" i="2" s="1"/>
  <c r="FJ394"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8" i="2" a="1"/>
  <c r="FF168" i="2" s="1"/>
  <c r="FJ168" i="2"/>
  <c r="FF98" i="2" a="1"/>
  <c r="FF98" i="2" s="1"/>
  <c r="FJ98" i="2"/>
  <c r="FF255" i="2" a="1"/>
  <c r="FF255" i="2" s="1"/>
  <c r="FJ255" i="2"/>
  <c r="FF269" i="2" a="1"/>
  <c r="FF269" i="2" s="1"/>
  <c r="FJ269" i="2"/>
  <c r="FF271" i="2" a="1"/>
  <c r="FF271" i="2" s="1"/>
  <c r="FJ271" i="2"/>
  <c r="FF275" i="2" a="1"/>
  <c r="FF275" i="2" s="1"/>
  <c r="FJ275" i="2"/>
  <c r="FF321" i="2" a="1"/>
  <c r="FF321" i="2" s="1"/>
  <c r="FJ321" i="2"/>
  <c r="FF358" i="2" a="1"/>
  <c r="FF358" i="2" s="1"/>
  <c r="FJ358"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89" i="2" a="1"/>
  <c r="FF189" i="2" s="1"/>
  <c r="FJ189" i="2"/>
  <c r="FF230" i="2" a="1"/>
  <c r="FF230" i="2" s="1"/>
  <c r="FJ230" i="2"/>
  <c r="FF232" i="2" a="1"/>
  <c r="FF232" i="2" s="1"/>
  <c r="FJ232" i="2"/>
  <c r="FF234" i="2" a="1"/>
  <c r="FF234" i="2" s="1"/>
  <c r="FJ234" i="2"/>
  <c r="FF238" i="2" a="1"/>
  <c r="FF238" i="2" s="1"/>
  <c r="FJ238" i="2"/>
  <c r="FF240" i="2" a="1"/>
  <c r="FF240" i="2" s="1"/>
  <c r="FJ240" i="2"/>
  <c r="FF257" i="2" a="1"/>
  <c r="FF257" i="2" s="1"/>
  <c r="FJ257" i="2"/>
  <c r="FF284" i="2" a="1"/>
  <c r="FF284" i="2" s="1"/>
  <c r="FJ284" i="2"/>
  <c r="FF296" i="2" a="1"/>
  <c r="FF296" i="2" s="1"/>
  <c r="FJ296" i="2"/>
  <c r="FF298" i="2" a="1"/>
  <c r="FF298" i="2" s="1"/>
  <c r="FJ298" i="2"/>
  <c r="FF312" i="2" a="1"/>
  <c r="FF312" i="2" s="1"/>
  <c r="FJ312" i="2"/>
  <c r="FF360" i="2" a="1"/>
  <c r="FF360" i="2" s="1"/>
  <c r="FJ360" i="2"/>
  <c r="FF393" i="2" a="1"/>
  <c r="FF393" i="2" s="1"/>
  <c r="FJ393" i="2"/>
  <c r="FF228" i="2" a="1"/>
  <c r="FF228" i="2" s="1"/>
  <c r="FJ228" i="2"/>
  <c r="FF274" i="2" a="1"/>
  <c r="FF274" i="2" s="1"/>
  <c r="FJ274"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13" i="2" a="1"/>
  <c r="FF313" i="2" s="1"/>
  <c r="FJ313" i="2"/>
  <c r="FF114" i="2" a="1"/>
  <c r="FF114" i="2" s="1"/>
  <c r="FJ114" i="2"/>
  <c r="FF198" i="2" a="1"/>
  <c r="FF198" i="2" s="1"/>
  <c r="FJ198" i="2"/>
  <c r="FF135" i="2" a="1"/>
  <c r="FF135" i="2" s="1"/>
  <c r="FJ135" i="2"/>
  <c r="FF170" i="2" a="1"/>
  <c r="FF170" i="2" s="1"/>
  <c r="FJ170" i="2"/>
  <c r="FF172" i="2" a="1"/>
  <c r="FF172" i="2" s="1"/>
  <c r="FJ172" i="2"/>
  <c r="FF176" i="2" a="1"/>
  <c r="FF176" i="2" s="1"/>
  <c r="FJ176" i="2"/>
  <c r="FF178" i="2" a="1"/>
  <c r="FF178" i="2" s="1"/>
  <c r="FJ178" i="2"/>
  <c r="FF203" i="2" a="1"/>
  <c r="FF203" i="2" s="1"/>
  <c r="FJ203" i="2"/>
  <c r="FF205" i="2" a="1"/>
  <c r="FF205" i="2" s="1"/>
  <c r="FJ205" i="2"/>
  <c r="FF207" i="2" a="1"/>
  <c r="FF207" i="2" s="1"/>
  <c r="FJ207" i="2"/>
  <c r="FF209" i="2" a="1"/>
  <c r="FF209" i="2" s="1"/>
  <c r="FJ209" i="2"/>
  <c r="FF242" i="2" a="1"/>
  <c r="FF242" i="2" s="1"/>
  <c r="FJ242" i="2"/>
  <c r="FF277" i="2" a="1"/>
  <c r="FF277" i="2" s="1"/>
  <c r="FJ277" i="2"/>
  <c r="FF300" i="2" a="1"/>
  <c r="FF300" i="2" s="1"/>
  <c r="FJ300" i="2"/>
  <c r="FF319" i="2" a="1"/>
  <c r="FF319" i="2" s="1"/>
  <c r="FJ319" i="2"/>
  <c r="FF323" i="2" a="1"/>
  <c r="FF323" i="2" s="1"/>
  <c r="FJ323" i="2"/>
  <c r="FF386" i="2" a="1"/>
  <c r="FF386" i="2" s="1"/>
  <c r="FJ386" i="2"/>
  <c r="FF60" i="2" a="1"/>
  <c r="FF60" i="2" s="1"/>
  <c r="FJ60" i="2"/>
  <c r="FF145" i="2" a="1"/>
  <c r="FF145" i="2" s="1"/>
  <c r="FJ145" i="2"/>
  <c r="FF355" i="2" a="1"/>
  <c r="FF355" i="2" s="1"/>
  <c r="FJ355" i="2"/>
  <c r="FF374" i="2" a="1"/>
  <c r="FF374" i="2" s="1"/>
  <c r="FJ374"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0" i="2" a="1"/>
  <c r="FF180" i="2" s="1"/>
  <c r="FJ180" i="2"/>
  <c r="FF191" i="2" a="1"/>
  <c r="FF191" i="2" s="1"/>
  <c r="FJ191" i="2"/>
  <c r="FF211" i="2" a="1"/>
  <c r="FF211" i="2" s="1"/>
  <c r="FJ211" i="2"/>
  <c r="FF214" i="2" a="1"/>
  <c r="FF214" i="2" s="1"/>
  <c r="FJ214" i="2"/>
  <c r="FF225" i="2" a="1"/>
  <c r="FF225" i="2" s="1"/>
  <c r="FJ225" i="2"/>
  <c r="FF286" i="2" a="1"/>
  <c r="FF286" i="2" s="1"/>
  <c r="FJ286" i="2"/>
  <c r="FF266" i="2" a="1"/>
  <c r="FF266" i="2" s="1"/>
  <c r="FJ266" i="2"/>
  <c r="FF294" i="2" a="1"/>
  <c r="FF294" i="2" s="1"/>
  <c r="FJ294" i="2"/>
  <c r="FF302" i="2" a="1"/>
  <c r="FF302" i="2" s="1"/>
  <c r="FJ302" i="2"/>
  <c r="FF304" i="2" a="1"/>
  <c r="FF304" i="2" s="1"/>
  <c r="FJ304" i="2"/>
  <c r="FF306" i="2" a="1"/>
  <c r="FF306" i="2" s="1"/>
  <c r="FJ306" i="2"/>
  <c r="FF264" i="2" a="1"/>
  <c r="FF264" i="2" s="1"/>
  <c r="FJ264" i="2"/>
  <c r="FF310" i="2" a="1"/>
  <c r="FF310" i="2" s="1"/>
  <c r="FJ310" i="2"/>
  <c r="FF325" i="2" a="1"/>
  <c r="FF325" i="2" s="1"/>
  <c r="FJ325" i="2"/>
  <c r="FF327" i="2" a="1"/>
  <c r="FF327" i="2" s="1"/>
  <c r="FJ327" i="2"/>
  <c r="FF362" i="2" a="1"/>
  <c r="FF362" i="2" s="1"/>
  <c r="FJ362" i="2"/>
  <c r="FF366" i="2" a="1"/>
  <c r="FF366" i="2" s="1"/>
  <c r="FJ366" i="2"/>
  <c r="FF389" i="2" a="1"/>
  <c r="FF389" i="2" s="1"/>
  <c r="FJ389" i="2"/>
  <c r="FF254" i="2" a="1"/>
  <c r="FF254" i="2" s="1"/>
  <c r="FJ254"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4" i="2" a="1"/>
  <c r="FF174" i="2" s="1"/>
  <c r="FJ174" i="2"/>
  <c r="FF182" i="2" a="1"/>
  <c r="FF182" i="2" s="1"/>
  <c r="FJ182" i="2"/>
  <c r="FF193" i="2" a="1"/>
  <c r="FF193" i="2" s="1"/>
  <c r="FJ193" i="2"/>
  <c r="FF219" i="2" a="1"/>
  <c r="FF219" i="2" s="1"/>
  <c r="FJ219" i="2"/>
  <c r="FF221" i="2" a="1"/>
  <c r="FF221" i="2" s="1"/>
  <c r="FJ221" i="2"/>
  <c r="FF223" i="2" a="1"/>
  <c r="FF223" i="2" s="1"/>
  <c r="FJ223" i="2"/>
  <c r="FF247" i="2" a="1"/>
  <c r="FF247" i="2" s="1"/>
  <c r="FJ247" i="2"/>
  <c r="FF279" i="2" a="1"/>
  <c r="FF279" i="2" s="1"/>
  <c r="FJ279" i="2"/>
  <c r="FF288" i="2" a="1"/>
  <c r="FF288" i="2" s="1"/>
  <c r="FJ288" i="2"/>
  <c r="FF317" i="2" a="1"/>
  <c r="FF317" i="2" s="1"/>
  <c r="FJ317" i="2"/>
  <c r="FF329" i="2" a="1"/>
  <c r="FF329" i="2" s="1"/>
  <c r="FJ329" i="2"/>
  <c r="FF347" i="2" a="1"/>
  <c r="FF347" i="2" s="1"/>
  <c r="FJ347" i="2"/>
  <c r="FF349" i="2" a="1"/>
  <c r="FF349" i="2" s="1"/>
  <c r="FJ349" i="2"/>
  <c r="FF39" i="2" a="1"/>
  <c r="FF39" i="2" s="1"/>
  <c r="FJ39" i="2"/>
  <c r="FF237" i="2" a="1"/>
  <c r="FF237" i="2" s="1"/>
  <c r="FJ237" i="2"/>
  <c r="FF12" i="2" a="1"/>
  <c r="FF12" i="2" s="1"/>
  <c r="FJ12" i="2"/>
  <c r="FF35" i="2" a="1"/>
  <c r="FF35" i="2" s="1"/>
  <c r="FJ35" i="2"/>
  <c r="FF126" i="2" a="1"/>
  <c r="FF126" i="2" s="1"/>
  <c r="FJ126" i="2"/>
  <c r="FF141" i="2" a="1"/>
  <c r="FF141" i="2" s="1"/>
  <c r="FJ141" i="2"/>
  <c r="FF184" i="2" a="1"/>
  <c r="FF184" i="2" s="1"/>
  <c r="FJ184" i="2"/>
  <c r="FF195" i="2" a="1"/>
  <c r="FF195" i="2" s="1"/>
  <c r="FJ195" i="2"/>
  <c r="FF216" i="2" a="1"/>
  <c r="FF216" i="2" s="1"/>
  <c r="FJ216" i="2"/>
  <c r="FF245" i="2" a="1"/>
  <c r="FF245" i="2" s="1"/>
  <c r="FJ245" i="2"/>
  <c r="FF261" i="2" a="1"/>
  <c r="FF261" i="2" s="1"/>
  <c r="FJ261" i="2"/>
  <c r="FF258" i="2" a="1"/>
  <c r="FF258" i="2" s="1"/>
  <c r="FJ258" i="2"/>
  <c r="FF290" i="2" a="1"/>
  <c r="FF290" i="2" s="1"/>
  <c r="FJ290" i="2"/>
  <c r="FF345" i="2" a="1"/>
  <c r="FF345" i="2" s="1"/>
  <c r="FJ345" i="2"/>
  <c r="FF351" i="2" a="1"/>
  <c r="FF351" i="2" s="1"/>
  <c r="FJ351" i="2"/>
  <c r="FF368" i="2" a="1"/>
  <c r="FF368" i="2" s="1"/>
  <c r="FJ368" i="2"/>
  <c r="FF370" i="2" a="1"/>
  <c r="FF370" i="2" s="1"/>
  <c r="FJ370" i="2"/>
  <c r="FF382" i="2" a="1"/>
  <c r="FF382" i="2" s="1"/>
  <c r="FJ382" i="2"/>
  <c r="FF384" i="2" a="1"/>
  <c r="FF384" i="2" s="1"/>
  <c r="FJ384" i="2"/>
  <c r="FF387" i="2" a="1"/>
  <c r="FF387" i="2" s="1"/>
  <c r="FJ387" i="2"/>
  <c r="FF116" i="2" a="1"/>
  <c r="FF116" i="2" s="1"/>
  <c r="FJ116"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6" i="2" a="1"/>
  <c r="FF186" i="2" s="1"/>
  <c r="FJ186" i="2"/>
  <c r="FF197" i="2" a="1"/>
  <c r="FF197" i="2" s="1"/>
  <c r="FJ197" i="2"/>
  <c r="FF218" i="2" a="1"/>
  <c r="FF218" i="2" s="1"/>
  <c r="FJ218" i="2"/>
  <c r="FF249" i="2" a="1"/>
  <c r="FF249" i="2" s="1"/>
  <c r="FJ249" i="2"/>
  <c r="FF167" i="2" a="1"/>
  <c r="FF167" i="2" s="1"/>
  <c r="FJ167" i="2"/>
  <c r="FF267" i="2" a="1"/>
  <c r="FF267" i="2" s="1"/>
  <c r="FJ267" i="2"/>
  <c r="FF128" i="2" a="1"/>
  <c r="FF128" i="2" s="1"/>
  <c r="FJ128" i="2"/>
  <c r="FF263" i="2" a="1"/>
  <c r="FF263" i="2" s="1"/>
  <c r="FJ263" i="2"/>
  <c r="FF281" i="2" a="1"/>
  <c r="FF281" i="2" s="1"/>
  <c r="FJ281" i="2"/>
  <c r="FF315" i="2" a="1"/>
  <c r="FF315" i="2" s="1"/>
  <c r="FJ315" i="2"/>
  <c r="FF331" i="2" a="1"/>
  <c r="FF331" i="2" s="1"/>
  <c r="FJ331" i="2"/>
  <c r="FF333" i="2" a="1"/>
  <c r="FF333" i="2" s="1"/>
  <c r="FJ333" i="2"/>
  <c r="FF335" i="2" a="1"/>
  <c r="FF335" i="2" s="1"/>
  <c r="FJ335" i="2"/>
  <c r="FF337" i="2" a="1"/>
  <c r="FF337" i="2" s="1"/>
  <c r="FJ337" i="2"/>
  <c r="FF339" i="2" a="1"/>
  <c r="FF339" i="2" s="1"/>
  <c r="FJ339" i="2"/>
  <c r="FF341" i="2" a="1"/>
  <c r="FF341" i="2" s="1"/>
  <c r="FJ341" i="2"/>
  <c r="FF343" i="2" a="1"/>
  <c r="FF343" i="2" s="1"/>
  <c r="FJ343" i="2"/>
  <c r="FF353" i="2" a="1"/>
  <c r="FF353" i="2" s="1"/>
  <c r="FJ353" i="2"/>
  <c r="FF372" i="2" a="1"/>
  <c r="FF372" i="2" s="1"/>
  <c r="FJ372" i="2"/>
  <c r="FF376" i="2" a="1"/>
  <c r="FF376" i="2" s="1"/>
  <c r="FJ376" i="2"/>
  <c r="FF378" i="2" a="1"/>
  <c r="FF378" i="2" s="1"/>
  <c r="FJ378" i="2"/>
  <c r="FF380" i="2" a="1"/>
  <c r="FF380" i="2" s="1"/>
  <c r="FJ380" i="2"/>
  <c r="GS161" i="2"/>
  <c r="GU161" i="2" s="1"/>
  <c r="AU329" i="2"/>
  <c r="AU289" i="2"/>
  <c r="AU13" i="2"/>
  <c r="AU122" i="2"/>
  <c r="AU78" i="2"/>
  <c r="AU189" i="2"/>
  <c r="AU67" i="2"/>
  <c r="AU194" i="2"/>
  <c r="AU304" i="2"/>
  <c r="AU258" i="2"/>
  <c r="AU333" i="2"/>
  <c r="AU83" i="2"/>
  <c r="AU374" i="2"/>
  <c r="AU32" i="2"/>
  <c r="AU49" i="2"/>
  <c r="AU383" i="2"/>
  <c r="AU61" i="2"/>
  <c r="AU334" i="2"/>
  <c r="AU65" i="2"/>
  <c r="AU343" i="2"/>
  <c r="AU18" i="2"/>
  <c r="AU97" i="2"/>
  <c r="AU185" i="2"/>
  <c r="AU303" i="2"/>
  <c r="AU184" i="2"/>
  <c r="AU23" i="2"/>
  <c r="AU392" i="2"/>
  <c r="AU305" i="2"/>
  <c r="AU279" i="2"/>
  <c r="AU341" i="2"/>
  <c r="AU75" i="2"/>
  <c r="AU127" i="2"/>
  <c r="AU214" i="2"/>
  <c r="AU245" i="2"/>
  <c r="AU276" i="2"/>
  <c r="AU300" i="2"/>
  <c r="AU336" i="2"/>
  <c r="AU376" i="2"/>
  <c r="AU345" i="2"/>
  <c r="AU10" i="2"/>
  <c r="AU174" i="2"/>
  <c r="AU364" i="2"/>
  <c r="AU22" i="2"/>
  <c r="AU31" i="2"/>
  <c r="AU219" i="2"/>
  <c r="AU328" i="2"/>
  <c r="AU84" i="2"/>
  <c r="AU126" i="2"/>
  <c r="AU251" i="2"/>
  <c r="AU299" i="2"/>
  <c r="AU335" i="2"/>
  <c r="AU26" i="2"/>
  <c r="AU240" i="2"/>
  <c r="AU377" i="2"/>
  <c r="AU63" i="2"/>
  <c r="AU9" i="2"/>
  <c r="AU152" i="2"/>
  <c r="AU90" i="2"/>
  <c r="AU137" i="2"/>
  <c r="AU166" i="2"/>
  <c r="AU66" i="2"/>
  <c r="AU218" i="2"/>
  <c r="AU133" i="2"/>
  <c r="AU153" i="2"/>
  <c r="BP16" i="2"/>
  <c r="AU16" i="2"/>
  <c r="AU21" i="2"/>
  <c r="AU14" i="2"/>
  <c r="BP42" i="2"/>
  <c r="AU42" i="2"/>
  <c r="AU59" i="2"/>
  <c r="AU70" i="2"/>
  <c r="AU95" i="2"/>
  <c r="AU125" i="2"/>
  <c r="AU157" i="2"/>
  <c r="BP177" i="2"/>
  <c r="AU177" i="2"/>
  <c r="AU192" i="2"/>
  <c r="BP210" i="2"/>
  <c r="AU210" i="2"/>
  <c r="BP225" i="2"/>
  <c r="AU225" i="2"/>
  <c r="AU267" i="2"/>
  <c r="BP390" i="2"/>
  <c r="AU390" i="2"/>
  <c r="AU254" i="2"/>
  <c r="AU260" i="2"/>
  <c r="BP274" i="2"/>
  <c r="AU274" i="2"/>
  <c r="BP287" i="2"/>
  <c r="AU287" i="2"/>
  <c r="AU314" i="2"/>
  <c r="BP316" i="2"/>
  <c r="AU316" i="2"/>
  <c r="BP318" i="2"/>
  <c r="AU318" i="2"/>
  <c r="BP320" i="2"/>
  <c r="AU320" i="2"/>
  <c r="BP322" i="2"/>
  <c r="AU322" i="2"/>
  <c r="AU327" i="2"/>
  <c r="BP332" i="2"/>
  <c r="AU332" i="2"/>
  <c r="BP350" i="2"/>
  <c r="AU350" i="2"/>
  <c r="BP367" i="2"/>
  <c r="AU367" i="2"/>
  <c r="BP37" i="2"/>
  <c r="AU37" i="2"/>
  <c r="BP104" i="2"/>
  <c r="AU104" i="2"/>
  <c r="AU132" i="2"/>
  <c r="BP163" i="2"/>
  <c r="AU163" i="2"/>
  <c r="BP170" i="2"/>
  <c r="AU170" i="2"/>
  <c r="BP201" i="2"/>
  <c r="AU201" i="2"/>
  <c r="BP203" i="2"/>
  <c r="AU203" i="2"/>
  <c r="BP217" i="2"/>
  <c r="AU217" i="2"/>
  <c r="BP230" i="2"/>
  <c r="AU230" i="2"/>
  <c r="BP250" i="2"/>
  <c r="AU250" i="2"/>
  <c r="BP252" i="2"/>
  <c r="AU252" i="2"/>
  <c r="BP30" i="2"/>
  <c r="AU30" i="2"/>
  <c r="AU298" i="2"/>
  <c r="BP381" i="2"/>
  <c r="AU381" i="2"/>
  <c r="BP44" i="2"/>
  <c r="AU44" i="2"/>
  <c r="BP109" i="2"/>
  <c r="AU109" i="2"/>
  <c r="BP142" i="2"/>
  <c r="AU142" i="2"/>
  <c r="BP147" i="2"/>
  <c r="AU147" i="2"/>
  <c r="BP159" i="2"/>
  <c r="AU159" i="2"/>
  <c r="BP165" i="2"/>
  <c r="AU165" i="2"/>
  <c r="BP179" i="2"/>
  <c r="AU179" i="2"/>
  <c r="BP199" i="2"/>
  <c r="AU199" i="2"/>
  <c r="BP205" i="2"/>
  <c r="AU205" i="2"/>
  <c r="BP239" i="2"/>
  <c r="AU239" i="2"/>
  <c r="BP284" i="2"/>
  <c r="AU284" i="2"/>
  <c r="BP357" i="2"/>
  <c r="AU357" i="2"/>
  <c r="BP362" i="2"/>
  <c r="AU362" i="2"/>
  <c r="BP54" i="2"/>
  <c r="AU54" i="2"/>
  <c r="BP85" i="2"/>
  <c r="AU85" i="2"/>
  <c r="BP113" i="2"/>
  <c r="AU113" i="2"/>
  <c r="BP64" i="2"/>
  <c r="AU64" i="2"/>
  <c r="AU292" i="2"/>
  <c r="BP220" i="2"/>
  <c r="AU220" i="2"/>
  <c r="BP232" i="2"/>
  <c r="AU232" i="2"/>
  <c r="BP352" i="2"/>
  <c r="AU352" i="2"/>
  <c r="AU25" i="2"/>
  <c r="BP34" i="2"/>
  <c r="AU34" i="2"/>
  <c r="BP99" i="2"/>
  <c r="AU99" i="2"/>
  <c r="BP115" i="2"/>
  <c r="AU115" i="2"/>
  <c r="BP139" i="2"/>
  <c r="AU139" i="2"/>
  <c r="AU154" i="2"/>
  <c r="BP172" i="2"/>
  <c r="AU172" i="2"/>
  <c r="BP207" i="2"/>
  <c r="AU207" i="2"/>
  <c r="BP236" i="2"/>
  <c r="AU236" i="2"/>
  <c r="BP241" i="2"/>
  <c r="AU241" i="2"/>
  <c r="BP247" i="2"/>
  <c r="AU247" i="2"/>
  <c r="BP102" i="2"/>
  <c r="AU102" i="2"/>
  <c r="BP256" i="2"/>
  <c r="AU256" i="2"/>
  <c r="AU269" i="2"/>
  <c r="BP293" i="2"/>
  <c r="AU293" i="2"/>
  <c r="AU307" i="2"/>
  <c r="AU324" i="2"/>
  <c r="BP386" i="2"/>
  <c r="AU386" i="2"/>
  <c r="BP369" i="2"/>
  <c r="AU369" i="2"/>
  <c r="BP385" i="2"/>
  <c r="AU385" i="2"/>
  <c r="BP388" i="2"/>
  <c r="AU388" i="2"/>
  <c r="BP391" i="2"/>
  <c r="AU391" i="2"/>
  <c r="BP15" i="2"/>
  <c r="AU15" i="2"/>
  <c r="AU27" i="2"/>
  <c r="BP39" i="2"/>
  <c r="AU39" i="2"/>
  <c r="BP46" i="2"/>
  <c r="AU46" i="2"/>
  <c r="BP51" i="2"/>
  <c r="AU51" i="2"/>
  <c r="AU56" i="2"/>
  <c r="AU72" i="2"/>
  <c r="BP80" i="2"/>
  <c r="AU80" i="2"/>
  <c r="AU92" i="2"/>
  <c r="BP101" i="2"/>
  <c r="AU101" i="2"/>
  <c r="AU106" i="2"/>
  <c r="AU134" i="2"/>
  <c r="AU149" i="2"/>
  <c r="BP228" i="2"/>
  <c r="AU228" i="2"/>
  <c r="AU181" i="2"/>
  <c r="BP186" i="2"/>
  <c r="AU186" i="2"/>
  <c r="AU196" i="2"/>
  <c r="AU222" i="2"/>
  <c r="BP234" i="2"/>
  <c r="AU234" i="2"/>
  <c r="BP281" i="2"/>
  <c r="AU281" i="2"/>
  <c r="AU309" i="2"/>
  <c r="BP359" i="2"/>
  <c r="AU359" i="2"/>
  <c r="BP229" i="2"/>
  <c r="AU229" i="2"/>
  <c r="AU69" i="2"/>
  <c r="AU87" i="2"/>
  <c r="BP117" i="2"/>
  <c r="AU117" i="2"/>
  <c r="AU119" i="2"/>
  <c r="AU124" i="2"/>
  <c r="BP144" i="2"/>
  <c r="AU144" i="2"/>
  <c r="AU191" i="2"/>
  <c r="BP209" i="2"/>
  <c r="AU209" i="2"/>
  <c r="BP244" i="2"/>
  <c r="AU244" i="2"/>
  <c r="AU271" i="2"/>
  <c r="BP286" i="2"/>
  <c r="AU286" i="2"/>
  <c r="BP291" i="2"/>
  <c r="AU291" i="2"/>
  <c r="AU331" i="2"/>
  <c r="AU338" i="2"/>
  <c r="AU347" i="2"/>
  <c r="BP349" i="2"/>
  <c r="AU349" i="2"/>
  <c r="BP354" i="2"/>
  <c r="AU354" i="2"/>
  <c r="AU366" i="2"/>
  <c r="BP371" i="2"/>
  <c r="AU371" i="2"/>
  <c r="AU378" i="2"/>
  <c r="BP12" i="2"/>
  <c r="AU12" i="2"/>
  <c r="AU20" i="2"/>
  <c r="AU29" i="2"/>
  <c r="AU58" i="2"/>
  <c r="AU77" i="2"/>
  <c r="BP82" i="2"/>
  <c r="AU82" i="2"/>
  <c r="AU94" i="2"/>
  <c r="BP103" i="2"/>
  <c r="AU103" i="2"/>
  <c r="BP129" i="2"/>
  <c r="AU129" i="2"/>
  <c r="BP151" i="2"/>
  <c r="AU151" i="2"/>
  <c r="AU156" i="2"/>
  <c r="BP169" i="2"/>
  <c r="AU169" i="2"/>
  <c r="BP176" i="2"/>
  <c r="AU176" i="2"/>
  <c r="AU216" i="2"/>
  <c r="AU224" i="2"/>
  <c r="AU243" i="2"/>
  <c r="BP249" i="2"/>
  <c r="AU249" i="2"/>
  <c r="BP308" i="2"/>
  <c r="AU308" i="2"/>
  <c r="AU253" i="2"/>
  <c r="BP263" i="2"/>
  <c r="AU263" i="2"/>
  <c r="BP273" i="2"/>
  <c r="AU273" i="2"/>
  <c r="AU278" i="2"/>
  <c r="BP302" i="2"/>
  <c r="AU302" i="2"/>
  <c r="AU326" i="2"/>
  <c r="BP17" i="2"/>
  <c r="AU17" i="2"/>
  <c r="BP36" i="2"/>
  <c r="AU36" i="2"/>
  <c r="BP41" i="2"/>
  <c r="AU41" i="2"/>
  <c r="BP48" i="2"/>
  <c r="AU48" i="2"/>
  <c r="AU108" i="2"/>
  <c r="BP121" i="2"/>
  <c r="AU121" i="2"/>
  <c r="BP131" i="2"/>
  <c r="AU131" i="2"/>
  <c r="BP141" i="2"/>
  <c r="AU141" i="2"/>
  <c r="BP146" i="2"/>
  <c r="AU146" i="2"/>
  <c r="BP162" i="2"/>
  <c r="AU162" i="2"/>
  <c r="AU183" i="2"/>
  <c r="BP188" i="2"/>
  <c r="AU188" i="2"/>
  <c r="BP202" i="2"/>
  <c r="AU202" i="2"/>
  <c r="BP212" i="2"/>
  <c r="AU212" i="2"/>
  <c r="BP226" i="2"/>
  <c r="AU226" i="2"/>
  <c r="BP238" i="2"/>
  <c r="AU238" i="2"/>
  <c r="AU257" i="2"/>
  <c r="BP265" i="2"/>
  <c r="AU265" i="2"/>
  <c r="BP128" i="2"/>
  <c r="AU128" i="2"/>
  <c r="AU259" i="2"/>
  <c r="BP283" i="2"/>
  <c r="AU283" i="2"/>
  <c r="AU297" i="2"/>
  <c r="AU315" i="2"/>
  <c r="AU317" i="2"/>
  <c r="BP319" i="2"/>
  <c r="AU319" i="2"/>
  <c r="BP321" i="2"/>
  <c r="AU321" i="2"/>
  <c r="AU340" i="2"/>
  <c r="AU361" i="2"/>
  <c r="BP380" i="2"/>
  <c r="AU380" i="2"/>
  <c r="AU382" i="2"/>
  <c r="BP53" i="2"/>
  <c r="AU53" i="2"/>
  <c r="AU60" i="2"/>
  <c r="AU74" i="2"/>
  <c r="AU89" i="2"/>
  <c r="AU96" i="2"/>
  <c r="BP136" i="2"/>
  <c r="AU136" i="2"/>
  <c r="BP158" i="2"/>
  <c r="AU158" i="2"/>
  <c r="BP178" i="2"/>
  <c r="AU178" i="2"/>
  <c r="AU193" i="2"/>
  <c r="BP204" i="2"/>
  <c r="AU204" i="2"/>
  <c r="BP211" i="2"/>
  <c r="AU211" i="2"/>
  <c r="BP213" i="2"/>
  <c r="AU213" i="2"/>
  <c r="BP275" i="2"/>
  <c r="AU275" i="2"/>
  <c r="BP373" i="2"/>
  <c r="AU373" i="2"/>
  <c r="BP111" i="2"/>
  <c r="AU111" i="2"/>
  <c r="BP161" i="2"/>
  <c r="AU161" i="2"/>
  <c r="BP160" i="2"/>
  <c r="AU160" i="2"/>
  <c r="BP164" i="2"/>
  <c r="AU164" i="2"/>
  <c r="BP231" i="2"/>
  <c r="AU231" i="2"/>
  <c r="BP255" i="2"/>
  <c r="AU255" i="2"/>
  <c r="BP288" i="2"/>
  <c r="AU288" i="2"/>
  <c r="BP323" i="2"/>
  <c r="AU323" i="2"/>
  <c r="AU342" i="2"/>
  <c r="BP351" i="2"/>
  <c r="AU351" i="2"/>
  <c r="BP368" i="2"/>
  <c r="AU368" i="2"/>
  <c r="BP384" i="2"/>
  <c r="AU384" i="2"/>
  <c r="BP116" i="2"/>
  <c r="AU116" i="2"/>
  <c r="AU24" i="2"/>
  <c r="BP33" i="2"/>
  <c r="AU33" i="2"/>
  <c r="BP38" i="2"/>
  <c r="AU38" i="2"/>
  <c r="BP45" i="2"/>
  <c r="AU45" i="2"/>
  <c r="AU50" i="2"/>
  <c r="AU62" i="2"/>
  <c r="AU71" i="2"/>
  <c r="BP79" i="2"/>
  <c r="AU79" i="2"/>
  <c r="BP313" i="2"/>
  <c r="AU313" i="2"/>
  <c r="BP105" i="2"/>
  <c r="AU105" i="2"/>
  <c r="BP110" i="2"/>
  <c r="AU110" i="2"/>
  <c r="BP112" i="2"/>
  <c r="AU112" i="2"/>
  <c r="BP171" i="2"/>
  <c r="AU171" i="2"/>
  <c r="AU200" i="2"/>
  <c r="BP206" i="2"/>
  <c r="AU206" i="2"/>
  <c r="AU268" i="2"/>
  <c r="BP280" i="2"/>
  <c r="AU280" i="2"/>
  <c r="AU306" i="2"/>
  <c r="BP394" i="2"/>
  <c r="AU394" i="2"/>
  <c r="BP55" i="2"/>
  <c r="AU55" i="2"/>
  <c r="AU68" i="2"/>
  <c r="AU91" i="2"/>
  <c r="BP100" i="2"/>
  <c r="AU100" i="2"/>
  <c r="AU114" i="2"/>
  <c r="AU123" i="2"/>
  <c r="AU138" i="2"/>
  <c r="BP143" i="2"/>
  <c r="AU143" i="2"/>
  <c r="BP148" i="2"/>
  <c r="AU148" i="2"/>
  <c r="BP180" i="2"/>
  <c r="AU180" i="2"/>
  <c r="AU190" i="2"/>
  <c r="AU195" i="2"/>
  <c r="AU221" i="2"/>
  <c r="BP233" i="2"/>
  <c r="AU233" i="2"/>
  <c r="AU246" i="2"/>
  <c r="BP98" i="2"/>
  <c r="AU98" i="2"/>
  <c r="AU261" i="2"/>
  <c r="BP285" i="2"/>
  <c r="AU285" i="2"/>
  <c r="BP290" i="2"/>
  <c r="AU290" i="2"/>
  <c r="AU264" i="2"/>
  <c r="BP330" i="2"/>
  <c r="AU330" i="2"/>
  <c r="AU344" i="2"/>
  <c r="BP358" i="2"/>
  <c r="AU358" i="2"/>
  <c r="BP363" i="2"/>
  <c r="AU363" i="2"/>
  <c r="BP365" i="2"/>
  <c r="AU365" i="2"/>
  <c r="AU375" i="2"/>
  <c r="BP389" i="2"/>
  <c r="AU389" i="2"/>
  <c r="BP393" i="2"/>
  <c r="AU393" i="2"/>
  <c r="BP356" i="2"/>
  <c r="AU356" i="2"/>
  <c r="BP19" i="2"/>
  <c r="AU19" i="2"/>
  <c r="AU76" i="2"/>
  <c r="AU86" i="2"/>
  <c r="BP198" i="2"/>
  <c r="AU198" i="2"/>
  <c r="AU47" i="2"/>
  <c r="AU150" i="2"/>
  <c r="BP11" i="2"/>
  <c r="AU11" i="2"/>
  <c r="BP168" i="2"/>
  <c r="AU168" i="2"/>
  <c r="BP173" i="2"/>
  <c r="AU173" i="2"/>
  <c r="BP208" i="2"/>
  <c r="AU208" i="2"/>
  <c r="AU215" i="2"/>
  <c r="AU242" i="2"/>
  <c r="BP248" i="2"/>
  <c r="AU248" i="2"/>
  <c r="BP167" i="2"/>
  <c r="AU167" i="2"/>
  <c r="BP311" i="2"/>
  <c r="AU311" i="2"/>
  <c r="AU270" i="2"/>
  <c r="AU277" i="2"/>
  <c r="BP301" i="2"/>
  <c r="AU301" i="2"/>
  <c r="AU337" i="2"/>
  <c r="AU346" i="2"/>
  <c r="BP353" i="2"/>
  <c r="AU353" i="2"/>
  <c r="AU370" i="2"/>
  <c r="BP387" i="2"/>
  <c r="AU387" i="2"/>
  <c r="AU28" i="2"/>
  <c r="AU35" i="2"/>
  <c r="BP295" i="2"/>
  <c r="AU295" i="2"/>
  <c r="BP57" i="2"/>
  <c r="AU57" i="2"/>
  <c r="AU81" i="2"/>
  <c r="AU93" i="2"/>
  <c r="BP43" i="2"/>
  <c r="AU43" i="2"/>
  <c r="BP107" i="2"/>
  <c r="AU107" i="2"/>
  <c r="AU118" i="2"/>
  <c r="BP140" i="2"/>
  <c r="AU140" i="2"/>
  <c r="AU155" i="2"/>
  <c r="AU182" i="2"/>
  <c r="BP187" i="2"/>
  <c r="AU187" i="2"/>
  <c r="AU223" i="2"/>
  <c r="AU237" i="2"/>
  <c r="AU262" i="2"/>
  <c r="AU235" i="2"/>
  <c r="BP282" i="2"/>
  <c r="AU282" i="2"/>
  <c r="BP294" i="2"/>
  <c r="AU294" i="2"/>
  <c r="AU310" i="2"/>
  <c r="AU312" i="2"/>
  <c r="AU325" i="2"/>
  <c r="AU348" i="2"/>
  <c r="AU360" i="2"/>
  <c r="BP40" i="2"/>
  <c r="AU40" i="2"/>
  <c r="BP52" i="2"/>
  <c r="AU52" i="2"/>
  <c r="AU73" i="2"/>
  <c r="AU88" i="2"/>
  <c r="BP120" i="2"/>
  <c r="AU120" i="2"/>
  <c r="AU130" i="2"/>
  <c r="BP135" i="2"/>
  <c r="AU135" i="2"/>
  <c r="BP145" i="2"/>
  <c r="AU145" i="2"/>
  <c r="AU197" i="2"/>
  <c r="AU272" i="2"/>
  <c r="BP266" i="2"/>
  <c r="AU266" i="2"/>
  <c r="AU296" i="2"/>
  <c r="AU339" i="2"/>
  <c r="AU355" i="2"/>
  <c r="BP372" i="2"/>
  <c r="AU372" i="2"/>
  <c r="AU379" i="2"/>
  <c r="FF390" i="2"/>
  <c r="FF311" i="2"/>
  <c r="FF244" i="2"/>
  <c r="FM89" i="2"/>
  <c r="FN89" i="2" s="1"/>
  <c r="FL89" i="2"/>
  <c r="FM112" i="2"/>
  <c r="FP112" i="2" s="1"/>
  <c r="FL112" i="2"/>
  <c r="FM141" i="2"/>
  <c r="FP141" i="2" s="1"/>
  <c r="FL141" i="2"/>
  <c r="FM173" i="2"/>
  <c r="FP173" i="2" s="1"/>
  <c r="FL173" i="2"/>
  <c r="FL194" i="2"/>
  <c r="FM194" i="2"/>
  <c r="FP194" i="2" s="1"/>
  <c r="FM206" i="2"/>
  <c r="FP206" i="2" s="1"/>
  <c r="FL206" i="2"/>
  <c r="FM263" i="2"/>
  <c r="FN263" i="2" s="1"/>
  <c r="FL263" i="2"/>
  <c r="FM235" i="2"/>
  <c r="FP235" i="2" s="1"/>
  <c r="FL235" i="2"/>
  <c r="FM278" i="2"/>
  <c r="FP278" i="2" s="1"/>
  <c r="FL278" i="2"/>
  <c r="FL289" i="2"/>
  <c r="FM289" i="2"/>
  <c r="FP289" i="2" s="1"/>
  <c r="FM266" i="2"/>
  <c r="FP266" i="2" s="1"/>
  <c r="FL266" i="2"/>
  <c r="FM298" i="2"/>
  <c r="FP298" i="2" s="1"/>
  <c r="FL298" i="2"/>
  <c r="FL316" i="2"/>
  <c r="FM316" i="2"/>
  <c r="FP316" i="2" s="1"/>
  <c r="FM362" i="2"/>
  <c r="FP362" i="2" s="1"/>
  <c r="FL362" i="2"/>
  <c r="FL369" i="2"/>
  <c r="FM369" i="2"/>
  <c r="FP369" i="2" s="1"/>
  <c r="FM378" i="2"/>
  <c r="FO378" i="2" s="1"/>
  <c r="GJ378" i="2" s="1"/>
  <c r="FL378"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7" i="2"/>
  <c r="FM197" i="2"/>
  <c r="FO197" i="2" s="1"/>
  <c r="GJ197" i="2" s="1"/>
  <c r="FL209" i="2"/>
  <c r="FM209" i="2"/>
  <c r="FP209" i="2" s="1"/>
  <c r="FM221" i="2"/>
  <c r="FN221" i="2" s="1"/>
  <c r="FL221" i="2"/>
  <c r="FM240" i="2"/>
  <c r="FP240" i="2" s="1"/>
  <c r="FL240" i="2"/>
  <c r="FL268" i="2"/>
  <c r="FM268" i="2"/>
  <c r="FP268" i="2" s="1"/>
  <c r="FM304" i="2"/>
  <c r="FP304" i="2" s="1"/>
  <c r="FL304" i="2"/>
  <c r="FL319" i="2"/>
  <c r="FM319" i="2"/>
  <c r="FM326" i="2"/>
  <c r="FN326" i="2" s="1"/>
  <c r="FL326" i="2"/>
  <c r="FM358" i="2"/>
  <c r="FP358" i="2" s="1"/>
  <c r="FL358" i="2"/>
  <c r="FM372" i="2"/>
  <c r="FN372" i="2" s="1"/>
  <c r="FL372" i="2"/>
  <c r="FL381" i="2"/>
  <c r="FM381" i="2"/>
  <c r="FP381"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69" i="2"/>
  <c r="FP169" i="2" s="1"/>
  <c r="FL169" i="2"/>
  <c r="FL179" i="2"/>
  <c r="FM179" i="2"/>
  <c r="FP179" i="2" s="1"/>
  <c r="FM186" i="2"/>
  <c r="FP186" i="2" s="1"/>
  <c r="FL186" i="2"/>
  <c r="FM190" i="2"/>
  <c r="FP190" i="2" s="1"/>
  <c r="FL190" i="2"/>
  <c r="FM200" i="2"/>
  <c r="FN200" i="2" s="1"/>
  <c r="FL200" i="2"/>
  <c r="FL216" i="2"/>
  <c r="FM216" i="2"/>
  <c r="FN216" i="2" s="1"/>
  <c r="FL292" i="2"/>
  <c r="FM292" i="2"/>
  <c r="FN292" i="2" s="1"/>
  <c r="FL233" i="2"/>
  <c r="FM233" i="2"/>
  <c r="FN233" i="2" s="1"/>
  <c r="FM236" i="2"/>
  <c r="FN236" i="2" s="1"/>
  <c r="FL236" i="2"/>
  <c r="FL249" i="2"/>
  <c r="FM249" i="2"/>
  <c r="FO249" i="2" s="1"/>
  <c r="GJ249" i="2" s="1"/>
  <c r="FM128" i="2"/>
  <c r="FP128" i="2" s="1"/>
  <c r="FL128" i="2"/>
  <c r="FL271" i="2"/>
  <c r="FM271" i="2"/>
  <c r="FP271" i="2" s="1"/>
  <c r="FL274" i="2"/>
  <c r="FM274" i="2"/>
  <c r="FP274" i="2" s="1"/>
  <c r="FL301" i="2"/>
  <c r="FM301" i="2"/>
  <c r="FP301" i="2" s="1"/>
  <c r="FM307" i="2"/>
  <c r="FP307" i="2" s="1"/>
  <c r="FL307" i="2"/>
  <c r="FM310" i="2"/>
  <c r="FO310" i="2" s="1"/>
  <c r="GJ310" i="2" s="1"/>
  <c r="FL310" i="2"/>
  <c r="FM322" i="2"/>
  <c r="FP322" i="2" s="1"/>
  <c r="FL322" i="2"/>
  <c r="FM329" i="2"/>
  <c r="FP329" i="2" s="1"/>
  <c r="FL329" i="2"/>
  <c r="FL332" i="2"/>
  <c r="FM332" i="2"/>
  <c r="FL338" i="2"/>
  <c r="FM338" i="2"/>
  <c r="FP338" i="2" s="1"/>
  <c r="FM341" i="2"/>
  <c r="FO341" i="2" s="1"/>
  <c r="GJ341" i="2" s="1"/>
  <c r="FL341" i="2"/>
  <c r="FM344" i="2"/>
  <c r="FP344" i="2" s="1"/>
  <c r="FL344" i="2"/>
  <c r="FL351" i="2"/>
  <c r="FM351" i="2"/>
  <c r="FP351" i="2" s="1"/>
  <c r="FL365" i="2"/>
  <c r="FM365" i="2"/>
  <c r="FP365" i="2" s="1"/>
  <c r="FM375" i="2"/>
  <c r="FP375" i="2" s="1"/>
  <c r="FL375"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2" i="2"/>
  <c r="FO202" i="2" s="1"/>
  <c r="GJ202" i="2" s="1"/>
  <c r="FL202" i="2"/>
  <c r="FL253" i="2"/>
  <c r="FM253" i="2"/>
  <c r="FP253" i="2" s="1"/>
  <c r="FM281" i="2"/>
  <c r="FP281" i="2" s="1"/>
  <c r="FL281" i="2"/>
  <c r="FL285" i="2"/>
  <c r="FM285" i="2"/>
  <c r="FP285" i="2" s="1"/>
  <c r="FL335" i="2"/>
  <c r="FM335" i="2"/>
  <c r="FP335" i="2" s="1"/>
  <c r="FL347" i="2"/>
  <c r="FM347" i="2"/>
  <c r="FN347" i="2" s="1"/>
  <c r="FM387" i="2"/>
  <c r="FP387" i="2" s="1"/>
  <c r="FL387" i="2"/>
  <c r="FM356" i="2"/>
  <c r="FP356" i="2" s="1"/>
  <c r="FL356"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6" i="2"/>
  <c r="FM166" i="2"/>
  <c r="FP166" i="2" s="1"/>
  <c r="FM313" i="2"/>
  <c r="FP313" i="2" s="1"/>
  <c r="FL313" i="2"/>
  <c r="FM105" i="2"/>
  <c r="FL105" i="2"/>
  <c r="FM140" i="2"/>
  <c r="FP140" i="2" s="1"/>
  <c r="FL140" i="2"/>
  <c r="FM154" i="2"/>
  <c r="FO154" i="2" s="1"/>
  <c r="GJ154" i="2" s="1"/>
  <c r="FL154" i="2"/>
  <c r="FM172" i="2"/>
  <c r="FP172" i="2" s="1"/>
  <c r="FL172" i="2"/>
  <c r="FL182" i="2"/>
  <c r="FM182" i="2"/>
  <c r="FP182" i="2" s="1"/>
  <c r="FL193" i="2"/>
  <c r="FM193" i="2"/>
  <c r="FP193" i="2" s="1"/>
  <c r="FM224" i="2"/>
  <c r="FN224" i="2" s="1"/>
  <c r="FL224" i="2"/>
  <c r="FL243" i="2"/>
  <c r="FM243" i="2"/>
  <c r="FP243" i="2" s="1"/>
  <c r="FL245" i="2"/>
  <c r="FM245" i="2"/>
  <c r="FP245" i="2" s="1"/>
  <c r="FM167" i="2"/>
  <c r="FP167" i="2" s="1"/>
  <c r="FL167" i="2"/>
  <c r="FL261" i="2"/>
  <c r="FM261" i="2"/>
  <c r="FN261" i="2" s="1"/>
  <c r="FL244" i="2"/>
  <c r="FM244" i="2"/>
  <c r="FP244" i="2" s="1"/>
  <c r="FM354" i="2"/>
  <c r="FL354" i="2"/>
  <c r="FM361" i="2"/>
  <c r="FN361" i="2" s="1"/>
  <c r="FL361" i="2"/>
  <c r="FL383" i="2"/>
  <c r="FM383" i="2"/>
  <c r="FP383"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M201" i="2"/>
  <c r="FP201" i="2" s="1"/>
  <c r="FL201" i="2"/>
  <c r="FM205" i="2"/>
  <c r="FN205" i="2" s="1"/>
  <c r="FL205" i="2"/>
  <c r="FM252" i="2"/>
  <c r="FP252" i="2" s="1"/>
  <c r="FL252" i="2"/>
  <c r="FM256" i="2"/>
  <c r="FP256" i="2" s="1"/>
  <c r="FL256" i="2"/>
  <c r="FM260" i="2"/>
  <c r="FN260" i="2" s="1"/>
  <c r="FL260" i="2"/>
  <c r="FM277" i="2"/>
  <c r="FL277" i="2"/>
  <c r="FM297" i="2"/>
  <c r="FP297" i="2" s="1"/>
  <c r="FL297" i="2"/>
  <c r="FM312" i="2"/>
  <c r="FP312" i="2" s="1"/>
  <c r="FL312" i="2"/>
  <c r="FM325" i="2"/>
  <c r="FN325" i="2" s="1"/>
  <c r="FL325" i="2"/>
  <c r="FM368" i="2"/>
  <c r="FP368" i="2" s="1"/>
  <c r="FL368" i="2"/>
  <c r="FM371" i="2"/>
  <c r="FP371" i="2" s="1"/>
  <c r="FL371" i="2"/>
  <c r="FL380" i="2"/>
  <c r="FM380" i="2"/>
  <c r="FP380" i="2" s="1"/>
  <c r="FM389" i="2"/>
  <c r="FL389"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89" i="2"/>
  <c r="FP189" i="2" s="1"/>
  <c r="FL189" i="2"/>
  <c r="FL196" i="2"/>
  <c r="FM196" i="2"/>
  <c r="FP196" i="2" s="1"/>
  <c r="FL208" i="2"/>
  <c r="FM208" i="2"/>
  <c r="FP208" i="2" s="1"/>
  <c r="FL215" i="2"/>
  <c r="FM215" i="2"/>
  <c r="FP215" i="2" s="1"/>
  <c r="FL232" i="2"/>
  <c r="FM232" i="2"/>
  <c r="FN232" i="2" s="1"/>
  <c r="FM239" i="2"/>
  <c r="FP239" i="2" s="1"/>
  <c r="FL239" i="2"/>
  <c r="FM265" i="2"/>
  <c r="FO265" i="2" s="1"/>
  <c r="GJ265" i="2" s="1"/>
  <c r="FL265" i="2"/>
  <c r="FM30" i="2"/>
  <c r="FP30" i="2" s="1"/>
  <c r="FL30" i="2"/>
  <c r="FL258" i="2"/>
  <c r="FM258" i="2"/>
  <c r="FP258" i="2" s="1"/>
  <c r="FM288" i="2"/>
  <c r="FN288" i="2" s="1"/>
  <c r="FL288" i="2"/>
  <c r="FM294" i="2"/>
  <c r="FP294" i="2" s="1"/>
  <c r="FL294" i="2"/>
  <c r="FL300" i="2"/>
  <c r="FM300" i="2"/>
  <c r="FP300" i="2" s="1"/>
  <c r="FM309" i="2"/>
  <c r="FP309" i="2" s="1"/>
  <c r="FL309" i="2"/>
  <c r="FL315" i="2"/>
  <c r="FM315" i="2"/>
  <c r="FP315" i="2" s="1"/>
  <c r="FL318" i="2"/>
  <c r="FM318" i="2"/>
  <c r="FP318" i="2" s="1"/>
  <c r="FL321" i="2"/>
  <c r="FM321" i="2"/>
  <c r="FP321" i="2" s="1"/>
  <c r="FL350" i="2"/>
  <c r="FM350" i="2"/>
  <c r="FP350" i="2" s="1"/>
  <c r="FM357" i="2"/>
  <c r="FP357" i="2" s="1"/>
  <c r="FL357" i="2"/>
  <c r="FM377" i="2"/>
  <c r="FP377" i="2" s="1"/>
  <c r="FL377"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28" i="2"/>
  <c r="FP228" i="2" s="1"/>
  <c r="FL228" i="2"/>
  <c r="FM168" i="2"/>
  <c r="FP168" i="2" s="1"/>
  <c r="FL168" i="2"/>
  <c r="FL178" i="2"/>
  <c r="FM178" i="2"/>
  <c r="FP178" i="2" s="1"/>
  <c r="FM185" i="2"/>
  <c r="FP185" i="2" s="1"/>
  <c r="FL185" i="2"/>
  <c r="FM199" i="2"/>
  <c r="FP199" i="2" s="1"/>
  <c r="FL199" i="2"/>
  <c r="FL211" i="2"/>
  <c r="FM211" i="2"/>
  <c r="FN211" i="2" s="1"/>
  <c r="FL212" i="2"/>
  <c r="FM212" i="2"/>
  <c r="FP212" i="2" s="1"/>
  <c r="FM220" i="2"/>
  <c r="FN220" i="2" s="1"/>
  <c r="FL220" i="2"/>
  <c r="FL248" i="2"/>
  <c r="FM248" i="2"/>
  <c r="FP248" i="2" s="1"/>
  <c r="FL270" i="2"/>
  <c r="FM270" i="2"/>
  <c r="FP270" i="2" s="1"/>
  <c r="FL273" i="2"/>
  <c r="FM273" i="2"/>
  <c r="FP273" i="2" s="1"/>
  <c r="FL284" i="2"/>
  <c r="FM284" i="2"/>
  <c r="FP284" i="2" s="1"/>
  <c r="FL303" i="2"/>
  <c r="FM303" i="2"/>
  <c r="FL306" i="2"/>
  <c r="FM306" i="2"/>
  <c r="FP306" i="2" s="1"/>
  <c r="FM340" i="2"/>
  <c r="FP340" i="2" s="1"/>
  <c r="FL340" i="2"/>
  <c r="FM343" i="2"/>
  <c r="FP343" i="2" s="1"/>
  <c r="FL343" i="2"/>
  <c r="FM386" i="2"/>
  <c r="FP386" i="2" s="1"/>
  <c r="FL386" i="2"/>
  <c r="FM393" i="2"/>
  <c r="FP393" i="2" s="1"/>
  <c r="FL393"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1" i="2"/>
  <c r="FM181" i="2"/>
  <c r="FP181" i="2" s="1"/>
  <c r="FL218" i="2"/>
  <c r="FM218" i="2"/>
  <c r="FN218" i="2" s="1"/>
  <c r="FM223" i="2"/>
  <c r="FN223" i="2" s="1"/>
  <c r="FL223" i="2"/>
  <c r="FM242" i="2"/>
  <c r="FP242" i="2" s="1"/>
  <c r="FL242" i="2"/>
  <c r="FM251" i="2"/>
  <c r="FP251" i="2" s="1"/>
  <c r="FL251" i="2"/>
  <c r="FM280" i="2"/>
  <c r="FP280" i="2" s="1"/>
  <c r="FL280" i="2"/>
  <c r="FM291" i="2"/>
  <c r="FP291" i="2" s="1"/>
  <c r="FL291" i="2"/>
  <c r="FM328" i="2"/>
  <c r="FP328" i="2" s="1"/>
  <c r="FL328" i="2"/>
  <c r="FL331" i="2"/>
  <c r="FM331" i="2"/>
  <c r="FP331" i="2" s="1"/>
  <c r="FL334" i="2"/>
  <c r="FM334" i="2"/>
  <c r="FP334" i="2" s="1"/>
  <c r="FL337" i="2"/>
  <c r="FM337" i="2"/>
  <c r="FP337" i="2" s="1"/>
  <c r="FM346" i="2"/>
  <c r="FN346" i="2" s="1"/>
  <c r="FL346" i="2"/>
  <c r="FM360" i="2"/>
  <c r="FP360" i="2" s="1"/>
  <c r="FL360" i="2"/>
  <c r="FM374" i="2"/>
  <c r="FP374" i="2" s="1"/>
  <c r="FL374" i="2"/>
  <c r="FM394" i="2"/>
  <c r="FP394" i="2" s="1"/>
  <c r="FL394"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1" i="2"/>
  <c r="FP171" i="2" s="1"/>
  <c r="FL171" i="2"/>
  <c r="FL192" i="2"/>
  <c r="FM192" i="2"/>
  <c r="FP192" i="2" s="1"/>
  <c r="FM204" i="2"/>
  <c r="FN204" i="2" s="1"/>
  <c r="FL204" i="2"/>
  <c r="FL98" i="2"/>
  <c r="FM98" i="2"/>
  <c r="FP98" i="2" s="1"/>
  <c r="FL255" i="2"/>
  <c r="FM255" i="2"/>
  <c r="FP255" i="2" s="1"/>
  <c r="FM276" i="2"/>
  <c r="FP276" i="2" s="1"/>
  <c r="FL276" i="2"/>
  <c r="FM324" i="2"/>
  <c r="FP324" i="2" s="1"/>
  <c r="FL324" i="2"/>
  <c r="FL353" i="2"/>
  <c r="FM353" i="2"/>
  <c r="FP353"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M125" i="2"/>
  <c r="FP125" i="2" s="1"/>
  <c r="FL125" i="2"/>
  <c r="FL132" i="2"/>
  <c r="FM132" i="2"/>
  <c r="FN132" i="2" s="1"/>
  <c r="FL146" i="2"/>
  <c r="FM146" i="2"/>
  <c r="FP146" i="2" s="1"/>
  <c r="FM153" i="2"/>
  <c r="FP153" i="2" s="1"/>
  <c r="FL153" i="2"/>
  <c r="FM156" i="2"/>
  <c r="FN156" i="2" s="1"/>
  <c r="FL156" i="2"/>
  <c r="FM188" i="2"/>
  <c r="FP188" i="2" s="1"/>
  <c r="FL188" i="2"/>
  <c r="FL214" i="2"/>
  <c r="FM214" i="2"/>
  <c r="FP214" i="2" s="1"/>
  <c r="FM238" i="2"/>
  <c r="FP238" i="2" s="1"/>
  <c r="FL238" i="2"/>
  <c r="FL102" i="2"/>
  <c r="FM102" i="2"/>
  <c r="FP102" i="2" s="1"/>
  <c r="FM390" i="2"/>
  <c r="FP390" i="2" s="1"/>
  <c r="FL390" i="2"/>
  <c r="FM293" i="2"/>
  <c r="FP293" i="2" s="1"/>
  <c r="FL293" i="2"/>
  <c r="FM296" i="2"/>
  <c r="FP296" i="2" s="1"/>
  <c r="FL296" i="2"/>
  <c r="FL349" i="2"/>
  <c r="FM349" i="2"/>
  <c r="FP349" i="2" s="1"/>
  <c r="FL367" i="2"/>
  <c r="FM367" i="2"/>
  <c r="FO367" i="2" s="1"/>
  <c r="GJ367" i="2" s="1"/>
  <c r="FL379" i="2"/>
  <c r="FM379" i="2"/>
  <c r="FN379" i="2" s="1"/>
  <c r="FL385" i="2"/>
  <c r="FM385"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4" i="2"/>
  <c r="FP174" i="2" s="1"/>
  <c r="FL174" i="2"/>
  <c r="FL177" i="2"/>
  <c r="FM177" i="2"/>
  <c r="FP177" i="2" s="1"/>
  <c r="FM184" i="2"/>
  <c r="FP184" i="2" s="1"/>
  <c r="FL184" i="2"/>
  <c r="FL195" i="2"/>
  <c r="FM195" i="2"/>
  <c r="FP195" i="2" s="1"/>
  <c r="FL207" i="2"/>
  <c r="FM207" i="2"/>
  <c r="FM226" i="2"/>
  <c r="FN226" i="2" s="1"/>
  <c r="FL226" i="2"/>
  <c r="FL231" i="2"/>
  <c r="FM231" i="2"/>
  <c r="FN231" i="2" s="1"/>
  <c r="FL247" i="2"/>
  <c r="FM247" i="2"/>
  <c r="FP247" i="2" s="1"/>
  <c r="FM262" i="2"/>
  <c r="FP262" i="2" s="1"/>
  <c r="FL262" i="2"/>
  <c r="FL283" i="2"/>
  <c r="FM283" i="2"/>
  <c r="FP283" i="2" s="1"/>
  <c r="FL287" i="2"/>
  <c r="FM287" i="2"/>
  <c r="FP287" i="2" s="1"/>
  <c r="FL299" i="2"/>
  <c r="FM299" i="2"/>
  <c r="FM314" i="2"/>
  <c r="FP314" i="2" s="1"/>
  <c r="FL314" i="2"/>
  <c r="FL317" i="2"/>
  <c r="FM317" i="2"/>
  <c r="FP317" i="2" s="1"/>
  <c r="FM320" i="2"/>
  <c r="FP320" i="2" s="1"/>
  <c r="FL320" i="2"/>
  <c r="FL370" i="2"/>
  <c r="FM370" i="2"/>
  <c r="FO370" i="2" s="1"/>
  <c r="GJ370" i="2" s="1"/>
  <c r="FL382" i="2"/>
  <c r="FM382" i="2"/>
  <c r="FO382" i="2" s="1"/>
  <c r="GJ382"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L210" i="2"/>
  <c r="FM210" i="2"/>
  <c r="FN210" i="2" s="1"/>
  <c r="FL217" i="2"/>
  <c r="FM217" i="2"/>
  <c r="FP217" i="2" s="1"/>
  <c r="FM219" i="2"/>
  <c r="FN219" i="2" s="1"/>
  <c r="FL219" i="2"/>
  <c r="FM241" i="2"/>
  <c r="FP241" i="2" s="1"/>
  <c r="FL241" i="2"/>
  <c r="FL250" i="2"/>
  <c r="FM250" i="2"/>
  <c r="FP250" i="2" s="1"/>
  <c r="FM392" i="2"/>
  <c r="FP392" i="2" s="1"/>
  <c r="FL392" i="2"/>
  <c r="FL267" i="2"/>
  <c r="FM267" i="2"/>
  <c r="FN267" i="2" s="1"/>
  <c r="FL269" i="2"/>
  <c r="FM269" i="2"/>
  <c r="FP269" i="2" s="1"/>
  <c r="FM279" i="2"/>
  <c r="FP279" i="2" s="1"/>
  <c r="FL279" i="2"/>
  <c r="FL290" i="2"/>
  <c r="FM290" i="2"/>
  <c r="FP290" i="2" s="1"/>
  <c r="FL305" i="2"/>
  <c r="FM305" i="2"/>
  <c r="FP305" i="2" s="1"/>
  <c r="FM264" i="2"/>
  <c r="FP264" i="2" s="1"/>
  <c r="FL264" i="2"/>
  <c r="FL364" i="2"/>
  <c r="FM364" i="2"/>
  <c r="FN364" i="2" s="1"/>
  <c r="FM339" i="2"/>
  <c r="FP339" i="2" s="1"/>
  <c r="FL339" i="2"/>
  <c r="FM342" i="2"/>
  <c r="FP342" i="2" s="1"/>
  <c r="FL342" i="2"/>
  <c r="FM359" i="2"/>
  <c r="FP359" i="2" s="1"/>
  <c r="FL359" i="2"/>
  <c r="FL363" i="2"/>
  <c r="FM363" i="2"/>
  <c r="FP363" i="2" s="1"/>
  <c r="FM376" i="2"/>
  <c r="FO376" i="2" s="1"/>
  <c r="GJ376" i="2" s="1"/>
  <c r="FL376" i="2"/>
  <c r="FM388" i="2"/>
  <c r="FP388" i="2" s="1"/>
  <c r="FL388" i="2"/>
  <c r="FM295" i="2"/>
  <c r="FN295" i="2" s="1"/>
  <c r="FL295"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0" i="2"/>
  <c r="FM180" i="2"/>
  <c r="FP180" i="2" s="1"/>
  <c r="FM203" i="2"/>
  <c r="FN203" i="2" s="1"/>
  <c r="FL203" i="2"/>
  <c r="FM222" i="2"/>
  <c r="FN222" i="2" s="1"/>
  <c r="FL222" i="2"/>
  <c r="FM257" i="2"/>
  <c r="FP257" i="2" s="1"/>
  <c r="FL257" i="2"/>
  <c r="FL259" i="2"/>
  <c r="FM259" i="2"/>
  <c r="FP259" i="2" s="1"/>
  <c r="FM272" i="2"/>
  <c r="FP272" i="2" s="1"/>
  <c r="FL272" i="2"/>
  <c r="FM275" i="2"/>
  <c r="FP275" i="2" s="1"/>
  <c r="FL275" i="2"/>
  <c r="FL302" i="2"/>
  <c r="FM302" i="2"/>
  <c r="FN302" i="2" s="1"/>
  <c r="FM327" i="2"/>
  <c r="FP327" i="2" s="1"/>
  <c r="FL327" i="2"/>
  <c r="FM330" i="2"/>
  <c r="FP330" i="2" s="1"/>
  <c r="FL330" i="2"/>
  <c r="FL333" i="2"/>
  <c r="FM333" i="2"/>
  <c r="FP333" i="2" s="1"/>
  <c r="FM336" i="2"/>
  <c r="FN336" i="2" s="1"/>
  <c r="FL336" i="2"/>
  <c r="FM345" i="2"/>
  <c r="FP345" i="2" s="1"/>
  <c r="FL345" i="2"/>
  <c r="FM373" i="2"/>
  <c r="FP373" i="2" s="1"/>
  <c r="FL373"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0" i="2"/>
  <c r="FP170" i="2" s="1"/>
  <c r="FL170" i="2"/>
  <c r="FM187" i="2"/>
  <c r="FP187" i="2" s="1"/>
  <c r="FL187" i="2"/>
  <c r="FL191" i="2"/>
  <c r="FM191" i="2"/>
  <c r="FP191" i="2" s="1"/>
  <c r="FL213" i="2"/>
  <c r="FM213" i="2"/>
  <c r="FP213" i="2" s="1"/>
  <c r="FL234" i="2"/>
  <c r="FM234" i="2"/>
  <c r="FP234" i="2" s="1"/>
  <c r="FM237" i="2"/>
  <c r="FN237" i="2" s="1"/>
  <c r="FL237" i="2"/>
  <c r="FL254" i="2"/>
  <c r="FM254" i="2"/>
  <c r="FP254" i="2" s="1"/>
  <c r="FL311" i="2"/>
  <c r="FM311" i="2"/>
  <c r="FP311" i="2" s="1"/>
  <c r="FM323" i="2"/>
  <c r="FP323" i="2" s="1"/>
  <c r="FL323" i="2"/>
  <c r="FL348" i="2"/>
  <c r="FM348" i="2"/>
  <c r="FN348" i="2" s="1"/>
  <c r="FM352" i="2"/>
  <c r="FP352" i="2" s="1"/>
  <c r="FL352" i="2"/>
  <c r="FL366" i="2"/>
  <c r="FM366" i="2"/>
  <c r="FP366" i="2" s="1"/>
  <c r="FM391" i="2"/>
  <c r="FP391" i="2" s="1"/>
  <c r="FL391" i="2"/>
  <c r="FL23" i="2"/>
  <c r="FM23" i="2"/>
  <c r="FP23" i="2" s="1"/>
  <c r="FM26" i="2"/>
  <c r="FP26" i="2" s="1"/>
  <c r="FL26" i="2"/>
  <c r="FL36" i="2"/>
  <c r="FM36" i="2"/>
  <c r="FP36" i="2" s="1"/>
  <c r="FM111" i="2"/>
  <c r="FN111" i="2" s="1"/>
  <c r="FL111" i="2"/>
  <c r="FL65" i="2"/>
  <c r="FM65" i="2"/>
  <c r="FP65" i="2" s="1"/>
  <c r="FM80" i="2"/>
  <c r="FP80" i="2" s="1"/>
  <c r="FL80" i="2"/>
  <c r="FL83" i="2"/>
  <c r="FM83" i="2"/>
  <c r="FO83" i="2" s="1"/>
  <c r="GJ83" i="2" s="1"/>
  <c r="FL86" i="2"/>
  <c r="FM86" i="2"/>
  <c r="FP86" i="2" s="1"/>
  <c r="FL99" i="2"/>
  <c r="FM99" i="2"/>
  <c r="FP99" i="2" s="1"/>
  <c r="FM106" i="2"/>
  <c r="FP106" i="2" s="1"/>
  <c r="FL106" i="2"/>
  <c r="FL198" i="2"/>
  <c r="FM198" i="2"/>
  <c r="FP198" i="2" s="1"/>
  <c r="FL131" i="2"/>
  <c r="FM131" i="2"/>
  <c r="FO131" i="2" s="1"/>
  <c r="GJ131" i="2" s="1"/>
  <c r="FL152" i="2"/>
  <c r="FM152" i="2"/>
  <c r="FO152" i="2" s="1"/>
  <c r="GJ152" i="2" s="1"/>
  <c r="FL176" i="2"/>
  <c r="FM176" i="2"/>
  <c r="FP176" i="2" s="1"/>
  <c r="FM183" i="2"/>
  <c r="FP183" i="2" s="1"/>
  <c r="FL183" i="2"/>
  <c r="FM225" i="2"/>
  <c r="FN225" i="2" s="1"/>
  <c r="FL225" i="2"/>
  <c r="FL230" i="2"/>
  <c r="FM230" i="2"/>
  <c r="FN230" i="2" s="1"/>
  <c r="FL246" i="2"/>
  <c r="FM246" i="2"/>
  <c r="FP246" i="2" s="1"/>
  <c r="FM308" i="2"/>
  <c r="FP308" i="2" s="1"/>
  <c r="FL308" i="2"/>
  <c r="FM282" i="2"/>
  <c r="FP282" i="2" s="1"/>
  <c r="FL282" i="2"/>
  <c r="FL286" i="2"/>
  <c r="FM286" i="2"/>
  <c r="FP286" i="2" s="1"/>
  <c r="FM355" i="2"/>
  <c r="FO355" i="2" s="1"/>
  <c r="GJ355" i="2" s="1"/>
  <c r="FL355" i="2"/>
  <c r="FM384" i="2"/>
  <c r="FL384" i="2"/>
  <c r="FL229" i="2"/>
  <c r="FM229" i="2"/>
  <c r="FN229" i="2" s="1"/>
  <c r="EV278" i="2"/>
  <c r="EY297" i="2"/>
  <c r="EY318" i="2"/>
  <c r="EY325" i="2"/>
  <c r="EY341" i="2"/>
  <c r="EX349" i="2"/>
  <c r="FQ357" i="2"/>
  <c r="FW357" i="2" s="1"/>
  <c r="FX357" i="2" s="1" a="1"/>
  <c r="FX357" i="2" s="1"/>
  <c r="FQ385" i="2"/>
  <c r="FW385" i="2" s="1"/>
  <c r="FX385" i="2" s="1" a="1"/>
  <c r="FX385" i="2" s="1"/>
  <c r="FQ43" i="2"/>
  <c r="FR43" i="2" s="1" a="1"/>
  <c r="FR43" i="2" s="1"/>
  <c r="EY158" i="2"/>
  <c r="EY186" i="2"/>
  <c r="EX270" i="2"/>
  <c r="EX386" i="2"/>
  <c r="EY371" i="2"/>
  <c r="EV378" i="2"/>
  <c r="FQ391" i="2"/>
  <c r="FW391" i="2" s="1"/>
  <c r="FX391" i="2" s="1" a="1"/>
  <c r="FX391" i="2" s="1"/>
  <c r="EY42" i="2"/>
  <c r="EY178" i="2"/>
  <c r="EY224" i="2"/>
  <c r="EY166" i="2"/>
  <c r="FQ93" i="2"/>
  <c r="FW93" i="2" s="1"/>
  <c r="FX93" i="2" s="1" a="1"/>
  <c r="FX93" i="2" s="1"/>
  <c r="EY127" i="2"/>
  <c r="EY142" i="2"/>
  <c r="EY157" i="2"/>
  <c r="EX170" i="2"/>
  <c r="EY185" i="2"/>
  <c r="EY263" i="2"/>
  <c r="EV277" i="2"/>
  <c r="EY296" i="2"/>
  <c r="EY304" i="2"/>
  <c r="EY324" i="2"/>
  <c r="EY340" i="2"/>
  <c r="EX348" i="2"/>
  <c r="FQ384" i="2"/>
  <c r="FW384" i="2" s="1"/>
  <c r="FX384" i="2" s="1" a="1"/>
  <c r="FX384" i="2" s="1"/>
  <c r="EY35" i="2"/>
  <c r="EY192" i="2"/>
  <c r="EX234" i="2"/>
  <c r="EY269" i="2"/>
  <c r="EY291" i="2"/>
  <c r="EY377" i="2"/>
  <c r="EY76" i="2"/>
  <c r="EY84" i="2"/>
  <c r="FQ92" i="2"/>
  <c r="FW92" i="2" s="1"/>
  <c r="FX92" i="2" s="1" a="1"/>
  <c r="FX92" i="2" s="1"/>
  <c r="FQ108" i="2"/>
  <c r="FR108" i="2" s="1" a="1"/>
  <c r="FR108" i="2" s="1"/>
  <c r="EX115" i="2"/>
  <c r="EY126" i="2"/>
  <c r="EX149" i="2"/>
  <c r="EY156" i="2"/>
  <c r="EX169" i="2"/>
  <c r="EY184" i="2"/>
  <c r="EV392" i="2"/>
  <c r="EV265" i="2"/>
  <c r="EX303" i="2"/>
  <c r="EY316" i="2"/>
  <c r="EY339" i="2"/>
  <c r="EY347" i="2"/>
  <c r="FQ355" i="2"/>
  <c r="FW355" i="2" s="1"/>
  <c r="FX355" i="2" s="1" a="1"/>
  <c r="FX355" i="2" s="1"/>
  <c r="EX363" i="2"/>
  <c r="EX370" i="2"/>
  <c r="FQ383" i="2"/>
  <c r="FW383" i="2" s="1"/>
  <c r="FX383" i="2" s="1" a="1"/>
  <c r="FX383" i="2" s="1"/>
  <c r="FQ78" i="2"/>
  <c r="FW78" i="2" s="1"/>
  <c r="FX78" i="2" s="1" a="1"/>
  <c r="FX78" i="2" s="1"/>
  <c r="EV16" i="2"/>
  <c r="EV32" i="2"/>
  <c r="EY295" i="2"/>
  <c r="EY62" i="2"/>
  <c r="EY67" i="2"/>
  <c r="EY141" i="2"/>
  <c r="EV203" i="2"/>
  <c r="EX217" i="2"/>
  <c r="EY222" i="2"/>
  <c r="EY233" i="2"/>
  <c r="EY268" i="2"/>
  <c r="EY376" i="2"/>
  <c r="FQ389" i="2"/>
  <c r="FW389" i="2" s="1"/>
  <c r="FX389" i="2" s="1" a="1"/>
  <c r="FX389" i="2" s="1"/>
  <c r="EY10" i="2"/>
  <c r="EV34" i="2"/>
  <c r="EY9" i="2"/>
  <c r="EV41" i="2"/>
  <c r="EY24" i="2"/>
  <c r="EX54" i="2"/>
  <c r="EY75" i="2"/>
  <c r="EY83" i="2"/>
  <c r="EX107" i="2"/>
  <c r="EY122" i="2"/>
  <c r="FQ133" i="2"/>
  <c r="FW133" i="2" s="1"/>
  <c r="FX133" i="2" s="1" a="1"/>
  <c r="FX133" i="2" s="1"/>
  <c r="EY155" i="2"/>
  <c r="EY183" i="2"/>
  <c r="EY251" i="2"/>
  <c r="FQ275" i="2"/>
  <c r="FW275" i="2" s="1"/>
  <c r="FX275" i="2" s="1" a="1"/>
  <c r="FX275" i="2" s="1"/>
  <c r="FQ290" i="2"/>
  <c r="FW290" i="2" s="1"/>
  <c r="FX290" i="2" s="1" a="1"/>
  <c r="FX290" i="2" s="1"/>
  <c r="EY309" i="2"/>
  <c r="EY346" i="2"/>
  <c r="EX362" i="2"/>
  <c r="EX369" i="2"/>
  <c r="EY17" i="2"/>
  <c r="EY48" i="2"/>
  <c r="EY15" i="2"/>
  <c r="EY31" i="2"/>
  <c r="EY61" i="2"/>
  <c r="EY140" i="2"/>
  <c r="EX216" i="2"/>
  <c r="EY232" i="2"/>
  <c r="EV238" i="2"/>
  <c r="FQ282" i="2"/>
  <c r="FW282" i="2" s="1"/>
  <c r="FX282" i="2" s="1" a="1"/>
  <c r="FX282" i="2" s="1"/>
  <c r="EY375" i="2"/>
  <c r="FQ382" i="2"/>
  <c r="FW382" i="2" s="1"/>
  <c r="FX382" i="2" s="1" a="1"/>
  <c r="FX382" i="2" s="1"/>
  <c r="EY26" i="2"/>
  <c r="EY23" i="2"/>
  <c r="EV39" i="2"/>
  <c r="EX53" i="2"/>
  <c r="EY66" i="2"/>
  <c r="EY74" i="2"/>
  <c r="EX113" i="2"/>
  <c r="EX121" i="2"/>
  <c r="EY124" i="2"/>
  <c r="FQ132" i="2"/>
  <c r="FW132" i="2" s="1"/>
  <c r="FX132" i="2" s="1" a="1"/>
  <c r="FX132" i="2" s="1"/>
  <c r="EY147" i="2"/>
  <c r="EY182" i="2"/>
  <c r="EY197" i="2"/>
  <c r="EY210" i="2"/>
  <c r="EY250" i="2"/>
  <c r="EY267" i="2"/>
  <c r="EV128" i="2"/>
  <c r="EV274" i="2"/>
  <c r="FQ289" i="2"/>
  <c r="FW289" i="2" s="1"/>
  <c r="FX289" i="2" s="1" a="1"/>
  <c r="FX289" i="2" s="1"/>
  <c r="EX294" i="2"/>
  <c r="EY314" i="2"/>
  <c r="FQ321" i="2"/>
  <c r="FW321" i="2" s="1"/>
  <c r="FX321" i="2" s="1" a="1"/>
  <c r="FX321" i="2" s="1"/>
  <c r="FQ329" i="2"/>
  <c r="FW329" i="2" s="1"/>
  <c r="FX329" i="2" s="1" a="1"/>
  <c r="FX329" i="2" s="1"/>
  <c r="EY337" i="2"/>
  <c r="EX368" i="2"/>
  <c r="FQ94" i="2"/>
  <c r="FW94" i="2" s="1"/>
  <c r="FX94" i="2" s="1" a="1"/>
  <c r="FX94" i="2" s="1"/>
  <c r="EY143" i="2"/>
  <c r="EX116" i="2"/>
  <c r="EY14" i="2"/>
  <c r="EY45" i="2"/>
  <c r="EY60" i="2"/>
  <c r="EY139" i="2"/>
  <c r="EY154" i="2"/>
  <c r="FQ220" i="2"/>
  <c r="FW220" i="2" s="1"/>
  <c r="FX220" i="2" s="1" a="1"/>
  <c r="FX220" i="2" s="1"/>
  <c r="EY231" i="2"/>
  <c r="EY264" i="2"/>
  <c r="EY374" i="2"/>
  <c r="FQ229" i="2"/>
  <c r="FR229" i="2" s="1" a="1"/>
  <c r="FR229" i="2" s="1"/>
  <c r="EY86" i="2"/>
  <c r="EY25" i="2"/>
  <c r="EY22" i="2"/>
  <c r="EV38" i="2"/>
  <c r="FQ52" i="2"/>
  <c r="FW52" i="2" s="1"/>
  <c r="FX52" i="2" s="1" a="1"/>
  <c r="FX52" i="2" s="1"/>
  <c r="EY65" i="2"/>
  <c r="EY73" i="2"/>
  <c r="EV81" i="2"/>
  <c r="EY89" i="2"/>
  <c r="EX105" i="2"/>
  <c r="EX112" i="2"/>
  <c r="EX120" i="2"/>
  <c r="EY123" i="2"/>
  <c r="EY146" i="2"/>
  <c r="EY181" i="2"/>
  <c r="EY189" i="2"/>
  <c r="EY196" i="2"/>
  <c r="EV288" i="2"/>
  <c r="FQ300" i="2"/>
  <c r="FW300" i="2" s="1"/>
  <c r="FX300" i="2" s="1" a="1"/>
  <c r="FX300" i="2" s="1"/>
  <c r="EY336" i="2"/>
  <c r="EX344" i="2"/>
  <c r="EX352" i="2"/>
  <c r="EX360" i="2"/>
  <c r="EX367" i="2"/>
  <c r="EY63" i="2"/>
  <c r="EX13" i="2"/>
  <c r="EY29" i="2"/>
  <c r="EY44" i="2"/>
  <c r="EY59" i="2"/>
  <c r="FQ219" i="2"/>
  <c r="FW219" i="2" s="1"/>
  <c r="FX219" i="2" s="1" a="1"/>
  <c r="FX219" i="2" s="1"/>
  <c r="EY320" i="2"/>
  <c r="EY373" i="2"/>
  <c r="EY381" i="2"/>
  <c r="FQ110" i="2"/>
  <c r="FW110" i="2" s="1"/>
  <c r="FX110" i="2" s="1" a="1"/>
  <c r="FX110" i="2" s="1"/>
  <c r="EY69" i="2"/>
  <c r="EY21" i="2"/>
  <c r="EV37" i="2"/>
  <c r="EX51" i="2"/>
  <c r="EY72" i="2"/>
  <c r="EY80" i="2"/>
  <c r="EY88" i="2"/>
  <c r="FQ96" i="2"/>
  <c r="FW96" i="2" s="1"/>
  <c r="FX96" i="2" s="1" a="1"/>
  <c r="FX96" i="2" s="1"/>
  <c r="EX119" i="2"/>
  <c r="EX130" i="2"/>
  <c r="EY138" i="2"/>
  <c r="EY145" i="2"/>
  <c r="EX153" i="2"/>
  <c r="EY180" i="2"/>
  <c r="EY188" i="2"/>
  <c r="EY195" i="2"/>
  <c r="EY299" i="2"/>
  <c r="EY307" i="2"/>
  <c r="EX312" i="2"/>
  <c r="FQ327" i="2"/>
  <c r="FR327" i="2" s="1" a="1"/>
  <c r="FR327" i="2" s="1"/>
  <c r="EY335" i="2"/>
  <c r="EX343" i="2"/>
  <c r="EX351" i="2"/>
  <c r="EX359" i="2"/>
  <c r="EX366" i="2"/>
  <c r="EX12" i="2"/>
  <c r="EY28" i="2"/>
  <c r="EY111" i="2"/>
  <c r="EY58" i="2"/>
  <c r="EY226" i="2"/>
  <c r="EY235" i="2"/>
  <c r="EY272" i="2"/>
  <c r="FQ393" i="2"/>
  <c r="FW393" i="2" s="1"/>
  <c r="FX393" i="2" s="1" a="1"/>
  <c r="FX393" i="2" s="1"/>
  <c r="EV33" i="2"/>
  <c r="EY20" i="2"/>
  <c r="EV36" i="2"/>
  <c r="EY71" i="2"/>
  <c r="EY79" i="2"/>
  <c r="FQ103" i="2"/>
  <c r="FW103" i="2" s="1"/>
  <c r="FX103" i="2" s="1" a="1"/>
  <c r="FX103" i="2" s="1"/>
  <c r="EX118" i="2"/>
  <c r="EX129" i="2"/>
  <c r="EY137" i="2"/>
  <c r="EY144" i="2"/>
  <c r="FQ152" i="2"/>
  <c r="FW152" i="2" s="1"/>
  <c r="FX152" i="2" s="1" a="1"/>
  <c r="FX152" i="2" s="1"/>
  <c r="EV159" i="2"/>
  <c r="EX172" i="2"/>
  <c r="EY179" i="2"/>
  <c r="EY187" i="2"/>
  <c r="EY194" i="2"/>
  <c r="EY306" i="2"/>
  <c r="EY319" i="2"/>
  <c r="EY334" i="2"/>
  <c r="EY342" i="2"/>
  <c r="EX350" i="2"/>
  <c r="FQ358" i="2"/>
  <c r="FW358" i="2" s="1"/>
  <c r="FX358" i="2" s="1" a="1"/>
  <c r="FX358" i="2" s="1"/>
  <c r="EX365" i="2"/>
  <c r="EY77" i="2"/>
  <c r="EX356" i="2"/>
  <c r="EY27" i="2"/>
  <c r="EY70" i="2"/>
  <c r="EY225" i="2"/>
  <c r="EX262" i="2"/>
  <c r="EY271" i="2"/>
  <c r="FQ286" i="2"/>
  <c r="FW286" i="2" s="1"/>
  <c r="FX286" i="2" s="1" a="1"/>
  <c r="FX286" i="2" s="1"/>
  <c r="DG64" i="2"/>
  <c r="DH64" i="2" s="1"/>
  <c r="CZ64" i="2"/>
  <c r="GO64" i="2"/>
  <c r="GS64" i="2"/>
  <c r="GS244" i="2"/>
  <c r="GS257" i="2"/>
  <c r="GH161" i="2"/>
  <c r="X161" i="2"/>
  <c r="AA161" i="2" s="1"/>
  <c r="AN161" i="2"/>
  <c r="BY395" i="2"/>
  <c r="EJ395" i="2"/>
  <c r="BJ395" i="2"/>
  <c r="S395" i="2"/>
  <c r="GM395" i="2"/>
  <c r="AM395" i="2"/>
  <c r="GS252" i="2"/>
  <c r="CZ201" i="2"/>
  <c r="GO201" i="2"/>
  <c r="GU201" i="2" s="1"/>
  <c r="DG292" i="2"/>
  <c r="DH292" i="2" s="1"/>
  <c r="CZ292" i="2"/>
  <c r="GO292" i="2"/>
  <c r="GT292" i="2" s="1"/>
  <c r="CG401" i="2"/>
  <c r="GH235" i="2"/>
  <c r="CG398" i="2"/>
  <c r="CG400" i="2"/>
  <c r="CZ167" i="2"/>
  <c r="GO167" i="2"/>
  <c r="EG378" i="2"/>
  <c r="DA372" i="2"/>
  <c r="DB372" i="2" s="1"/>
  <c r="CW372" i="2"/>
  <c r="GA203" i="2"/>
  <c r="DH220" i="2"/>
  <c r="FZ318" i="2"/>
  <c r="BK160" i="2"/>
  <c r="CL160" i="2" s="1"/>
  <c r="X56" i="2"/>
  <c r="AA56" i="2" s="1"/>
  <c r="DV224" i="2"/>
  <c r="DW224" i="2" s="1"/>
  <c r="CG83" i="2"/>
  <c r="EY366" i="2"/>
  <c r="DH109" i="2"/>
  <c r="CG268" i="2"/>
  <c r="CG276" i="2"/>
  <c r="CG50" i="2"/>
  <c r="BK381" i="2"/>
  <c r="CL381" i="2" s="1"/>
  <c r="X21" i="2"/>
  <c r="AA21" i="2" s="1"/>
  <c r="DG293" i="2"/>
  <c r="CG346" i="2"/>
  <c r="T308" i="2"/>
  <c r="U308" i="2" s="1"/>
  <c r="CW295" i="2"/>
  <c r="EX21" i="2"/>
  <c r="CR283" i="2"/>
  <c r="BK293" i="2"/>
  <c r="CL293" i="2" s="1"/>
  <c r="GA296" i="2"/>
  <c r="CG353" i="2"/>
  <c r="BK324" i="2"/>
  <c r="CL324" i="2" s="1"/>
  <c r="DU373" i="2"/>
  <c r="EG373" i="2" s="1"/>
  <c r="Y44" i="2"/>
  <c r="AB44" i="2" s="1"/>
  <c r="X140" i="2"/>
  <c r="AA140" i="2" s="1"/>
  <c r="DG72" i="2"/>
  <c r="FZ326" i="2"/>
  <c r="BK25" i="2"/>
  <c r="CL25" i="2" s="1"/>
  <c r="DG63" i="2"/>
  <c r="DH74" i="2"/>
  <c r="BM254" i="2"/>
  <c r="BN254" i="2" s="1"/>
  <c r="GA321" i="2"/>
  <c r="GT339" i="2"/>
  <c r="X391" i="2"/>
  <c r="AA391" i="2" s="1"/>
  <c r="DH182" i="2"/>
  <c r="GA235" i="2"/>
  <c r="DO324" i="2"/>
  <c r="DY324" i="2" s="1"/>
  <c r="DZ324" i="2" s="1"/>
  <c r="EA324" i="2" s="1"/>
  <c r="GA383" i="2"/>
  <c r="Y391" i="2"/>
  <c r="DH71" i="2"/>
  <c r="EY129" i="2"/>
  <c r="BM341" i="2"/>
  <c r="BN341" i="2" s="1"/>
  <c r="EX34" i="2"/>
  <c r="Y382" i="2"/>
  <c r="AB382" i="2" s="1"/>
  <c r="CG116" i="2"/>
  <c r="EV374" i="2"/>
  <c r="CR381" i="2"/>
  <c r="CG107" i="2"/>
  <c r="Y77" i="2"/>
  <c r="AB77" i="2" s="1"/>
  <c r="CW226" i="2"/>
  <c r="BK362" i="2"/>
  <c r="CL362" i="2" s="1"/>
  <c r="CR365" i="2"/>
  <c r="EX374" i="2"/>
  <c r="BK122" i="2"/>
  <c r="CL122" i="2" s="1"/>
  <c r="EX289" i="2"/>
  <c r="CG54" i="2"/>
  <c r="BM347" i="2"/>
  <c r="BN347" i="2" s="1"/>
  <c r="BM348" i="2"/>
  <c r="BN348" i="2" s="1"/>
  <c r="EV43" i="2"/>
  <c r="CG127" i="2"/>
  <c r="CG279" i="2"/>
  <c r="DG316" i="2"/>
  <c r="EV348" i="2"/>
  <c r="DH78" i="2"/>
  <c r="DH266" i="2"/>
  <c r="Y362" i="2"/>
  <c r="Z362" i="2" s="1"/>
  <c r="Y326" i="2"/>
  <c r="AB326" i="2" s="1"/>
  <c r="CW326" i="2"/>
  <c r="EY348" i="2"/>
  <c r="BK68" i="2"/>
  <c r="CL68" i="2" s="1"/>
  <c r="FZ280" i="2"/>
  <c r="BM294" i="2"/>
  <c r="BN294" i="2" s="1"/>
  <c r="CR324" i="2"/>
  <c r="CR325" i="2"/>
  <c r="CR361" i="2"/>
  <c r="Y53" i="2"/>
  <c r="AB53" i="2" s="1"/>
  <c r="CG275" i="2"/>
  <c r="FZ276" i="2"/>
  <c r="CR18" i="2"/>
  <c r="CR111" i="2"/>
  <c r="DG105" i="2"/>
  <c r="X134" i="2"/>
  <c r="AA134" i="2" s="1"/>
  <c r="CG134" i="2"/>
  <c r="DH191" i="2"/>
  <c r="Y197" i="2"/>
  <c r="AB197" i="2" s="1"/>
  <c r="BM181" i="2"/>
  <c r="BN181" i="2" s="1"/>
  <c r="Y202" i="2"/>
  <c r="AB202" i="2" s="1"/>
  <c r="EV210" i="2"/>
  <c r="GA180" i="2"/>
  <c r="EV189" i="2"/>
  <c r="DA42" i="2"/>
  <c r="DB42" i="2" s="1"/>
  <c r="CG87" i="2"/>
  <c r="Y129" i="2"/>
  <c r="AB129" i="2" s="1"/>
  <c r="EV156" i="2"/>
  <c r="DA213" i="2"/>
  <c r="DB213" i="2" s="1"/>
  <c r="BK222" i="2"/>
  <c r="CL222" i="2" s="1"/>
  <c r="EV225" i="2"/>
  <c r="Y392" i="2"/>
  <c r="AB392" i="2" s="1"/>
  <c r="CG297" i="2"/>
  <c r="X329" i="2"/>
  <c r="AA329" i="2" s="1"/>
  <c r="GA334" i="2"/>
  <c r="X347" i="2"/>
  <c r="Z347" i="2" s="1"/>
  <c r="BK352" i="2"/>
  <c r="CL352" i="2" s="1"/>
  <c r="CR366" i="2"/>
  <c r="BK27" i="2"/>
  <c r="CL27" i="2" s="1"/>
  <c r="FQ116" i="2"/>
  <c r="FW116" i="2" s="1"/>
  <c r="FX116" i="2" s="1" a="1"/>
  <c r="FX116" i="2" s="1"/>
  <c r="DA111" i="2"/>
  <c r="DB111" i="2" s="1"/>
  <c r="DA69" i="2"/>
  <c r="DB69" i="2" s="1"/>
  <c r="Y112" i="2"/>
  <c r="AB112" i="2" s="1"/>
  <c r="X159" i="2"/>
  <c r="AA159" i="2" s="1"/>
  <c r="X179" i="2"/>
  <c r="AA179" i="2" s="1"/>
  <c r="EV222" i="2"/>
  <c r="X251" i="2"/>
  <c r="AA251" i="2" s="1"/>
  <c r="DO30" i="2"/>
  <c r="DS30" i="2" s="1"/>
  <c r="X299" i="2"/>
  <c r="AA299" i="2" s="1"/>
  <c r="DS314" i="2"/>
  <c r="FZ333" i="2"/>
  <c r="Y348" i="2"/>
  <c r="AB348" i="2" s="1"/>
  <c r="DG383" i="2"/>
  <c r="DG61" i="2"/>
  <c r="Y14" i="2"/>
  <c r="AB14" i="2" s="1"/>
  <c r="BM103" i="2"/>
  <c r="BN103" i="2" s="1"/>
  <c r="Y163" i="2"/>
  <c r="AB163" i="2" s="1"/>
  <c r="X176" i="2"/>
  <c r="Z176" i="2" s="1"/>
  <c r="CW212" i="2"/>
  <c r="EY352" i="2"/>
  <c r="FZ361" i="2"/>
  <c r="DV378" i="2"/>
  <c r="DW378" i="2" s="1"/>
  <c r="GA335" i="2"/>
  <c r="X114" i="2"/>
  <c r="AA114" i="2" s="1"/>
  <c r="X117" i="2"/>
  <c r="AA117" i="2" s="1"/>
  <c r="X118" i="2"/>
  <c r="AA118" i="2" s="1"/>
  <c r="DG151" i="2"/>
  <c r="DG152" i="2"/>
  <c r="FZ162" i="2"/>
  <c r="FZ165" i="2"/>
  <c r="DH199" i="2"/>
  <c r="EY349" i="2"/>
  <c r="EY350" i="2"/>
  <c r="CG198" i="2"/>
  <c r="FQ169" i="2"/>
  <c r="FW169" i="2" s="1"/>
  <c r="FX169" i="2" s="1" a="1"/>
  <c r="FX169" i="2" s="1"/>
  <c r="GA201" i="2"/>
  <c r="FZ249" i="2"/>
  <c r="Y26" i="2"/>
  <c r="AB26" i="2" s="1"/>
  <c r="DU32" i="2"/>
  <c r="EG32" i="2" s="1"/>
  <c r="DG36" i="2"/>
  <c r="EX76" i="2"/>
  <c r="BK313" i="2"/>
  <c r="CL313" i="2" s="1"/>
  <c r="GA145" i="2"/>
  <c r="FQ225" i="2"/>
  <c r="FW225" i="2" s="1"/>
  <c r="FX225" i="2" s="1" a="1"/>
  <c r="FX225" i="2" s="1"/>
  <c r="DV230" i="2"/>
  <c r="DW230" i="2" s="1"/>
  <c r="CW238" i="2"/>
  <c r="GH392" i="2"/>
  <c r="X349" i="2"/>
  <c r="AA349" i="2" s="1"/>
  <c r="FZ355" i="2"/>
  <c r="BK60" i="2"/>
  <c r="CL60" i="2" s="1"/>
  <c r="EX78" i="2"/>
  <c r="EY99" i="2"/>
  <c r="CW43" i="2"/>
  <c r="EV103" i="2"/>
  <c r="DA113" i="2"/>
  <c r="DB113" i="2" s="1"/>
  <c r="FZ115" i="2"/>
  <c r="FZ118" i="2"/>
  <c r="FQ222" i="2"/>
  <c r="FW222" i="2" s="1"/>
  <c r="FX222" i="2" s="1" a="1"/>
  <c r="FX222" i="2" s="1"/>
  <c r="X260" i="2"/>
  <c r="AA260" i="2" s="1"/>
  <c r="DA287" i="2"/>
  <c r="DB287" i="2" s="1"/>
  <c r="GT363" i="2"/>
  <c r="CG58" i="2"/>
  <c r="EY78" i="2"/>
  <c r="CR141" i="2"/>
  <c r="FZ141" i="2"/>
  <c r="FZ205" i="2"/>
  <c r="BK217" i="2"/>
  <c r="CL217" i="2" s="1"/>
  <c r="BM376" i="2"/>
  <c r="BN376" i="2" s="1"/>
  <c r="EX59" i="2"/>
  <c r="EY103" i="2"/>
  <c r="EV217" i="2"/>
  <c r="DH288" i="2"/>
  <c r="EV320" i="2"/>
  <c r="BK368" i="2"/>
  <c r="CL368" i="2" s="1"/>
  <c r="GT121" i="2"/>
  <c r="DH262" i="2"/>
  <c r="FQ58" i="2"/>
  <c r="FW58" i="2" s="1"/>
  <c r="FX58" i="2" s="1" a="1"/>
  <c r="FX58" i="2" s="1"/>
  <c r="DA82" i="2"/>
  <c r="DB82" i="2" s="1"/>
  <c r="CW30" i="2"/>
  <c r="DU254" i="2"/>
  <c r="EG254" i="2" s="1"/>
  <c r="CR278" i="2"/>
  <c r="EX320" i="2"/>
  <c r="GA373" i="2"/>
  <c r="CG33" i="2"/>
  <c r="EY33" i="2"/>
  <c r="EX35" i="2"/>
  <c r="CG42" i="2"/>
  <c r="EX69" i="2"/>
  <c r="BM91" i="2"/>
  <c r="BN91" i="2" s="1"/>
  <c r="DA101" i="2"/>
  <c r="DB101" i="2" s="1"/>
  <c r="X104" i="2"/>
  <c r="AA104" i="2" s="1"/>
  <c r="CG104" i="2"/>
  <c r="BK47" i="2"/>
  <c r="CL47" i="2" s="1"/>
  <c r="X217" i="2"/>
  <c r="AA217" i="2" s="1"/>
  <c r="CW218" i="2"/>
  <c r="X231" i="2"/>
  <c r="AA231" i="2" s="1"/>
  <c r="CW231" i="2"/>
  <c r="DA98" i="2"/>
  <c r="DB98" i="2" s="1"/>
  <c r="CG323" i="2"/>
  <c r="Y370" i="2"/>
  <c r="AB370" i="2" s="1"/>
  <c r="Y383" i="2"/>
  <c r="AB383" i="2" s="1"/>
  <c r="Y19" i="2"/>
  <c r="AB19" i="2" s="1"/>
  <c r="X111" i="2"/>
  <c r="Z111" i="2" s="1"/>
  <c r="X46" i="2"/>
  <c r="AA46" i="2" s="1"/>
  <c r="EX94" i="2"/>
  <c r="CG218" i="2"/>
  <c r="FQ312" i="2"/>
  <c r="FW312" i="2" s="1"/>
  <c r="FX312" i="2" s="1" a="1"/>
  <c r="FX312" i="2" s="1"/>
  <c r="CW325" i="2"/>
  <c r="BM329" i="2"/>
  <c r="BN329" i="2" s="1"/>
  <c r="BM332" i="2"/>
  <c r="BN332" i="2" s="1"/>
  <c r="CW35" i="2"/>
  <c r="CR42" i="2"/>
  <c r="CG67" i="2"/>
  <c r="GT155" i="2"/>
  <c r="FQ231" i="2"/>
  <c r="FW231" i="2" s="1"/>
  <c r="FX231" i="2" s="1" a="1"/>
  <c r="FX231" i="2" s="1"/>
  <c r="FQ232" i="2"/>
  <c r="FW232" i="2" s="1"/>
  <c r="FX232" i="2" s="1" a="1"/>
  <c r="FX232" i="2" s="1"/>
  <c r="FQ319" i="2"/>
  <c r="FW319" i="2" s="1"/>
  <c r="FX319" i="2" s="1" a="1"/>
  <c r="FX319" i="2" s="1"/>
  <c r="CW386" i="2"/>
  <c r="X365" i="2"/>
  <c r="AA365" i="2" s="1"/>
  <c r="Y366" i="2"/>
  <c r="AB366" i="2" s="1"/>
  <c r="CW366" i="2"/>
  <c r="GA375" i="2"/>
  <c r="FQ378" i="2"/>
  <c r="FW378" i="2" s="1"/>
  <c r="FX378" i="2" s="1" a="1"/>
  <c r="FX378" i="2" s="1"/>
  <c r="DO41" i="2"/>
  <c r="EC41" i="2" s="1"/>
  <c r="DU41" i="2"/>
  <c r="EI41" i="2" s="1"/>
  <c r="CG49" i="2"/>
  <c r="BK50" i="2"/>
  <c r="CL50" i="2" s="1"/>
  <c r="DG58" i="2"/>
  <c r="FQ61" i="2"/>
  <c r="FW61" i="2" s="1"/>
  <c r="FX61" i="2" s="1" a="1"/>
  <c r="FX61" i="2" s="1"/>
  <c r="DA148" i="2"/>
  <c r="DB148" i="2" s="1"/>
  <c r="CW148" i="2"/>
  <c r="DA149" i="2"/>
  <c r="DB149" i="2" s="1"/>
  <c r="CG149" i="2"/>
  <c r="CW149" i="2"/>
  <c r="Y172" i="2"/>
  <c r="AB172" i="2" s="1"/>
  <c r="X172" i="2"/>
  <c r="AA172" i="2" s="1"/>
  <c r="EY221" i="2"/>
  <c r="EV221" i="2"/>
  <c r="FQ13" i="2"/>
  <c r="FW13" i="2" s="1"/>
  <c r="FX13" i="2" s="1" a="1"/>
  <c r="FX13" i="2" s="1"/>
  <c r="FZ18" i="2"/>
  <c r="GU22" i="2"/>
  <c r="DA84" i="2"/>
  <c r="DB84" i="2" s="1"/>
  <c r="Y148" i="2"/>
  <c r="AB148" i="2" s="1"/>
  <c r="FZ178" i="2"/>
  <c r="GA178" i="2"/>
  <c r="BM221" i="2"/>
  <c r="BN221" i="2" s="1"/>
  <c r="BK221" i="2"/>
  <c r="CL221" i="2" s="1"/>
  <c r="DH25" i="2"/>
  <c r="DA13" i="2"/>
  <c r="DB13" i="2" s="1"/>
  <c r="EX22" i="2"/>
  <c r="EX37" i="2"/>
  <c r="DG53" i="2"/>
  <c r="Y72" i="2"/>
  <c r="AB72" i="2" s="1"/>
  <c r="DQ156" i="2"/>
  <c r="DR156" i="2" s="1"/>
  <c r="DO184" i="2"/>
  <c r="EH184" i="2" s="1"/>
  <c r="EY223" i="2"/>
  <c r="FQ223" i="2"/>
  <c r="FW223" i="2" s="1"/>
  <c r="FX223" i="2" s="1" a="1"/>
  <c r="FX223" i="2" s="1"/>
  <c r="EX114" i="2"/>
  <c r="EY114" i="2"/>
  <c r="DA145" i="2"/>
  <c r="DB145" i="2" s="1"/>
  <c r="CR145" i="2"/>
  <c r="CR295" i="2"/>
  <c r="X50" i="2"/>
  <c r="AA50" i="2" s="1"/>
  <c r="DH60" i="2"/>
  <c r="DO70" i="2"/>
  <c r="EH70" i="2" s="1"/>
  <c r="CW114" i="2"/>
  <c r="CG114" i="2"/>
  <c r="DA122" i="2"/>
  <c r="DB122" i="2" s="1"/>
  <c r="CW122" i="2"/>
  <c r="EY191" i="2"/>
  <c r="FQ191" i="2"/>
  <c r="FR191" i="2" s="1" a="1"/>
  <c r="FR191" i="2" s="1"/>
  <c r="GA250" i="2"/>
  <c r="FZ250" i="2"/>
  <c r="GI44" i="2"/>
  <c r="GJ44" i="2" s="1"/>
  <c r="FQ72" i="2"/>
  <c r="FW72" i="2" s="1"/>
  <c r="FX72" i="2" s="1" a="1"/>
  <c r="FX72" i="2" s="1"/>
  <c r="BM99" i="2"/>
  <c r="BN99" i="2" s="1"/>
  <c r="BK99" i="2"/>
  <c r="CL99" i="2" s="1"/>
  <c r="BM292" i="2"/>
  <c r="BN292" i="2" s="1"/>
  <c r="BK292" i="2"/>
  <c r="DG19" i="2"/>
  <c r="FQ22" i="2"/>
  <c r="FW22" i="2" s="1"/>
  <c r="FX22" i="2" s="1" a="1"/>
  <c r="FX22" i="2" s="1"/>
  <c r="FO29" i="2"/>
  <c r="GJ29" i="2" s="1"/>
  <c r="CG32" i="2"/>
  <c r="Y51" i="2"/>
  <c r="AB51" i="2" s="1"/>
  <c r="CG51" i="2"/>
  <c r="EV313" i="2"/>
  <c r="DO162" i="2"/>
  <c r="DS162" i="2" s="1"/>
  <c r="DU162" i="2"/>
  <c r="DV162" i="2" s="1"/>
  <c r="DW162" i="2" s="1"/>
  <c r="BK185" i="2"/>
  <c r="CL185" i="2" s="1"/>
  <c r="BM185" i="2"/>
  <c r="BN185" i="2" s="1"/>
  <c r="Y76" i="2"/>
  <c r="AB76" i="2" s="1"/>
  <c r="GU106" i="2"/>
  <c r="CW118" i="2"/>
  <c r="DA118" i="2"/>
  <c r="DB118" i="2" s="1"/>
  <c r="X132" i="2"/>
  <c r="AA132" i="2" s="1"/>
  <c r="Y132" i="2"/>
  <c r="AB132" i="2" s="1"/>
  <c r="EY230" i="2"/>
  <c r="FQ230" i="2"/>
  <c r="FW230" i="2" s="1"/>
  <c r="FX230" i="2" s="1" a="1"/>
  <c r="FX230" i="2" s="1"/>
  <c r="FQ24" i="2"/>
  <c r="FW24" i="2" s="1"/>
  <c r="FX24" i="2" s="1" a="1"/>
  <c r="FX24" i="2" s="1"/>
  <c r="EX33" i="2"/>
  <c r="BM56" i="2"/>
  <c r="BN56" i="2" s="1"/>
  <c r="BK66" i="2"/>
  <c r="CL66" i="2" s="1"/>
  <c r="GA72" i="2"/>
  <c r="Y78" i="2"/>
  <c r="AB78" i="2" s="1"/>
  <c r="FZ113" i="2"/>
  <c r="GA113" i="2"/>
  <c r="GA144" i="2"/>
  <c r="FZ144" i="2"/>
  <c r="BM230" i="2"/>
  <c r="BN230" i="2" s="1"/>
  <c r="BK230" i="2"/>
  <c r="CL230" i="2" s="1"/>
  <c r="EH244" i="2"/>
  <c r="DY244" i="2"/>
  <c r="DZ244" i="2" s="1"/>
  <c r="EA244" i="2" s="1"/>
  <c r="DQ244" i="2"/>
  <c r="DR244" i="2" s="1"/>
  <c r="FQ90" i="2"/>
  <c r="FW90" i="2" s="1"/>
  <c r="FX90" i="2" s="1" a="1"/>
  <c r="FX90" i="2" s="1"/>
  <c r="GU168" i="2"/>
  <c r="DG193" i="2"/>
  <c r="DH193" i="2"/>
  <c r="FQ32" i="2"/>
  <c r="FW32" i="2" s="1"/>
  <c r="FX32" i="2" s="1" a="1"/>
  <c r="FX32" i="2" s="1"/>
  <c r="EY34" i="2"/>
  <c r="BM35" i="2"/>
  <c r="BN35" i="2" s="1"/>
  <c r="DH38" i="2"/>
  <c r="CW53" i="2"/>
  <c r="FQ91" i="2"/>
  <c r="FW91" i="2" s="1"/>
  <c r="FX91" i="2" s="1" a="1"/>
  <c r="FX91" i="2" s="1"/>
  <c r="EY91" i="2"/>
  <c r="Y199" i="2"/>
  <c r="AB199" i="2" s="1"/>
  <c r="X199" i="2"/>
  <c r="AA199" i="2" s="1"/>
  <c r="CR217" i="2"/>
  <c r="CW217" i="2"/>
  <c r="DU22" i="2"/>
  <c r="EI22" i="2" s="1"/>
  <c r="CG53" i="2"/>
  <c r="EY53" i="2"/>
  <c r="EV88" i="2"/>
  <c r="X124" i="2"/>
  <c r="AA124" i="2" s="1"/>
  <c r="Y124" i="2"/>
  <c r="AB124" i="2" s="1"/>
  <c r="X252" i="2"/>
  <c r="AA252" i="2" s="1"/>
  <c r="Y252" i="2"/>
  <c r="AB252" i="2" s="1"/>
  <c r="DO361" i="2"/>
  <c r="EC361" i="2" s="1"/>
  <c r="DU361" i="2"/>
  <c r="EI361" i="2" s="1"/>
  <c r="FZ31" i="2"/>
  <c r="GA41" i="2"/>
  <c r="DH51" i="2"/>
  <c r="DG52" i="2"/>
  <c r="CG161" i="2"/>
  <c r="DG73" i="2"/>
  <c r="Y80" i="2"/>
  <c r="AB80" i="2" s="1"/>
  <c r="CG90" i="2"/>
  <c r="FZ190" i="2"/>
  <c r="GA190"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FQ95" i="2"/>
  <c r="FW95" i="2" s="1"/>
  <c r="FX95" i="2" s="1" a="1"/>
  <c r="FX95" i="2" s="1"/>
  <c r="EY95" i="2"/>
  <c r="Y13" i="2"/>
  <c r="AB13" i="2" s="1"/>
  <c r="GA12" i="2"/>
  <c r="EX19" i="2"/>
  <c r="DH23" i="2"/>
  <c r="CG36" i="2"/>
  <c r="Y88" i="2"/>
  <c r="AB88" i="2" s="1"/>
  <c r="BM172" i="2"/>
  <c r="BN172" i="2" s="1"/>
  <c r="BK172" i="2"/>
  <c r="CL172" i="2" s="1"/>
  <c r="DG237" i="2"/>
  <c r="DG281" i="2"/>
  <c r="GA297" i="2"/>
  <c r="BM302" i="2"/>
  <c r="BN302" i="2" s="1"/>
  <c r="GU303" i="2"/>
  <c r="BK369" i="2"/>
  <c r="CL369" i="2" s="1"/>
  <c r="BM372" i="2"/>
  <c r="BN372" i="2" s="1"/>
  <c r="DU346" i="2"/>
  <c r="EI346" i="2" s="1"/>
  <c r="GA347" i="2"/>
  <c r="BK365" i="2"/>
  <c r="CL365" i="2" s="1"/>
  <c r="GU372" i="2"/>
  <c r="EV376" i="2"/>
  <c r="CG121" i="2"/>
  <c r="CG145" i="2"/>
  <c r="CR170" i="2"/>
  <c r="EY217" i="2"/>
  <c r="X254" i="2"/>
  <c r="AA254" i="2" s="1"/>
  <c r="BM288" i="2"/>
  <c r="BN288" i="2" s="1"/>
  <c r="X301" i="2"/>
  <c r="Z301" i="2" s="1"/>
  <c r="DU314" i="2"/>
  <c r="DV314" i="2" s="1"/>
  <c r="DW314" i="2" s="1"/>
  <c r="FZ314" i="2"/>
  <c r="BK323" i="2"/>
  <c r="CL323" i="2" s="1"/>
  <c r="CR351" i="2"/>
  <c r="BK353" i="2"/>
  <c r="CL353" i="2" s="1"/>
  <c r="CR363" i="2"/>
  <c r="FQ367" i="2"/>
  <c r="FW367" i="2" s="1"/>
  <c r="FX367" i="2" s="1" a="1"/>
  <c r="FX367" i="2" s="1"/>
  <c r="X196" i="2"/>
  <c r="AA196" i="2" s="1"/>
  <c r="CW196" i="2"/>
  <c r="EX128" i="2"/>
  <c r="BM289" i="2"/>
  <c r="BN289" i="2" s="1"/>
  <c r="DA294" i="2"/>
  <c r="DB294" i="2" s="1"/>
  <c r="BM310" i="2"/>
  <c r="BN310" i="2" s="1"/>
  <c r="FZ315" i="2"/>
  <c r="Y317" i="2"/>
  <c r="AB317" i="2" s="1"/>
  <c r="CG386" i="2"/>
  <c r="DO374" i="2"/>
  <c r="EH374" i="2" s="1"/>
  <c r="FZ99" i="2"/>
  <c r="GU131" i="2"/>
  <c r="BK169" i="2"/>
  <c r="CL169" i="2" s="1"/>
  <c r="BM174" i="2"/>
  <c r="BN174" i="2" s="1"/>
  <c r="EV218" i="2"/>
  <c r="BK242" i="2"/>
  <c r="CL242" i="2" s="1"/>
  <c r="BM243" i="2"/>
  <c r="BN243" i="2" s="1"/>
  <c r="EY128" i="2"/>
  <c r="DS102" i="2"/>
  <c r="DG282" i="2"/>
  <c r="DG290" i="2"/>
  <c r="BK304" i="2"/>
  <c r="CL304" i="2" s="1"/>
  <c r="BK307" i="2"/>
  <c r="CL307" i="2" s="1"/>
  <c r="BM331" i="2"/>
  <c r="BN331" i="2" s="1"/>
  <c r="GT332" i="2"/>
  <c r="BM333" i="2"/>
  <c r="BN333" i="2" s="1"/>
  <c r="BK349" i="2"/>
  <c r="CL349" i="2" s="1"/>
  <c r="FZ121" i="2"/>
  <c r="CG146" i="2"/>
  <c r="EX154" i="2"/>
  <c r="DA170" i="2"/>
  <c r="DB170" i="2" s="1"/>
  <c r="BM179" i="2"/>
  <c r="BN179" i="2" s="1"/>
  <c r="BM180" i="2"/>
  <c r="BN180" i="2" s="1"/>
  <c r="BM184" i="2"/>
  <c r="BN184" i="2" s="1"/>
  <c r="DH187" i="2"/>
  <c r="X221" i="2"/>
  <c r="AA221" i="2" s="1"/>
  <c r="EV263" i="2"/>
  <c r="EX269" i="2"/>
  <c r="CR285" i="2"/>
  <c r="EV289" i="2"/>
  <c r="EX306" i="2"/>
  <c r="EX264" i="2"/>
  <c r="EX309" i="2"/>
  <c r="DU325" i="2"/>
  <c r="EI325" i="2" s="1"/>
  <c r="FQ371" i="2"/>
  <c r="FW371" i="2" s="1"/>
  <c r="FX371" i="2" s="1" a="1"/>
  <c r="FX371" i="2" s="1"/>
  <c r="EY43" i="2"/>
  <c r="DG104" i="2"/>
  <c r="DG198" i="2"/>
  <c r="DG117" i="2"/>
  <c r="CW153" i="2"/>
  <c r="CG154" i="2"/>
  <c r="GT158" i="2"/>
  <c r="FQ189" i="2"/>
  <c r="FR189" i="2" s="1" a="1"/>
  <c r="FR189" i="2" s="1"/>
  <c r="FQ217" i="2"/>
  <c r="FW217" i="2" s="1"/>
  <c r="FX217" i="2" s="1" a="1"/>
  <c r="FX217" i="2" s="1"/>
  <c r="X256" i="2"/>
  <c r="AA256" i="2" s="1"/>
  <c r="BM342" i="2"/>
  <c r="BN342" i="2" s="1"/>
  <c r="BM343" i="2"/>
  <c r="BN343" i="2" s="1"/>
  <c r="BM344" i="2"/>
  <c r="BN344" i="2" s="1"/>
  <c r="DA352" i="2"/>
  <c r="DB352" i="2" s="1"/>
  <c r="GA367" i="2"/>
  <c r="FQ376" i="2"/>
  <c r="FW376" i="2" s="1"/>
  <c r="FX376" i="2" s="1" a="1"/>
  <c r="FX376" i="2" s="1"/>
  <c r="EX378" i="2"/>
  <c r="FZ352" i="2"/>
  <c r="DH367" i="2"/>
  <c r="EY378" i="2"/>
  <c r="EY379" i="2"/>
  <c r="CR43" i="2"/>
  <c r="GT136" i="2"/>
  <c r="CG168" i="2"/>
  <c r="Y204" i="2"/>
  <c r="AB204" i="2" s="1"/>
  <c r="CW204" i="2"/>
  <c r="DV234" i="2"/>
  <c r="DW234" i="2" s="1"/>
  <c r="CW237" i="2"/>
  <c r="CW98" i="2"/>
  <c r="FN128" i="2"/>
  <c r="EX235" i="2"/>
  <c r="CG278" i="2"/>
  <c r="DG284" i="2"/>
  <c r="EY289" i="2"/>
  <c r="X304" i="2"/>
  <c r="Z304" i="2" s="1"/>
  <c r="FZ322" i="2"/>
  <c r="X340" i="2"/>
  <c r="AA340" i="2" s="1"/>
  <c r="CG343" i="2"/>
  <c r="EY343" i="2"/>
  <c r="FP372" i="2"/>
  <c r="CG169" i="2"/>
  <c r="EY169" i="2"/>
  <c r="FZ172" i="2"/>
  <c r="X206" i="2"/>
  <c r="AA206" i="2" s="1"/>
  <c r="EX210" i="2"/>
  <c r="CG243" i="2"/>
  <c r="FQ128" i="2"/>
  <c r="FW128" i="2" s="1"/>
  <c r="FX128" i="2" s="1" a="1"/>
  <c r="FX128" i="2" s="1"/>
  <c r="FQ269" i="2"/>
  <c r="FW269" i="2" s="1"/>
  <c r="FX269" i="2" s="1" a="1"/>
  <c r="FX269" i="2" s="1"/>
  <c r="CR275" i="2"/>
  <c r="CR364" i="2"/>
  <c r="EX318" i="2"/>
  <c r="DU321" i="2"/>
  <c r="DV321" i="2" s="1"/>
  <c r="DW321" i="2" s="1"/>
  <c r="EX324" i="2"/>
  <c r="X332" i="2"/>
  <c r="AA332" i="2" s="1"/>
  <c r="DH386" i="2"/>
  <c r="BM143" i="2"/>
  <c r="BN143" i="2" s="1"/>
  <c r="DH194" i="2"/>
  <c r="FZ208" i="2"/>
  <c r="CR30" i="2"/>
  <c r="FQ272" i="2"/>
  <c r="FW272" i="2" s="1"/>
  <c r="FX272" i="2" s="1" a="1"/>
  <c r="FX272" i="2" s="1"/>
  <c r="GU320" i="2"/>
  <c r="BK351" i="2"/>
  <c r="CL351" i="2" s="1"/>
  <c r="DH368" i="2"/>
  <c r="CG94" i="2"/>
  <c r="CG95" i="2"/>
  <c r="DG47" i="2"/>
  <c r="CR169" i="2"/>
  <c r="DO322" i="2"/>
  <c r="EH322" i="2" s="1"/>
  <c r="EV99" i="2"/>
  <c r="DH101" i="2"/>
  <c r="DG106" i="2"/>
  <c r="EX157" i="2"/>
  <c r="CG212" i="2"/>
  <c r="GA221" i="2"/>
  <c r="FQ235" i="2"/>
  <c r="FW235" i="2" s="1"/>
  <c r="FX235" i="2" s="1" a="1"/>
  <c r="FX235" i="2" s="1"/>
  <c r="EY282" i="2"/>
  <c r="CG298" i="2"/>
  <c r="EV299" i="2"/>
  <c r="BM300" i="2"/>
  <c r="BN300" i="2" s="1"/>
  <c r="DU317" i="2"/>
  <c r="EI317" i="2" s="1"/>
  <c r="BK386" i="2"/>
  <c r="CL386" i="2" s="1"/>
  <c r="GA365" i="2"/>
  <c r="BK367" i="2"/>
  <c r="CL367" i="2" s="1"/>
  <c r="BK64" i="2"/>
  <c r="BK228" i="2"/>
  <c r="CZ235" i="2"/>
  <c r="DA281" i="2"/>
  <c r="DB281" i="2" s="1"/>
  <c r="EX290" i="2"/>
  <c r="CG299" i="2"/>
  <c r="EV123" i="2"/>
  <c r="DQ155" i="2"/>
  <c r="DR155" i="2" s="1"/>
  <c r="X157" i="2"/>
  <c r="AA157" i="2" s="1"/>
  <c r="DU163" i="2"/>
  <c r="DV163" i="2" s="1"/>
  <c r="DW163" i="2" s="1"/>
  <c r="DA169" i="2"/>
  <c r="DB169" i="2" s="1"/>
  <c r="GA174" i="2"/>
  <c r="X214" i="2"/>
  <c r="AA214" i="2" s="1"/>
  <c r="CW214" i="2"/>
  <c r="CW232" i="2"/>
  <c r="GA237" i="2"/>
  <c r="DG273" i="2"/>
  <c r="FZ281" i="2"/>
  <c r="CR282" i="2"/>
  <c r="Y290" i="2"/>
  <c r="AB290" i="2" s="1"/>
  <c r="CG290" i="2"/>
  <c r="Y296" i="2"/>
  <c r="AB296" i="2" s="1"/>
  <c r="BK301" i="2"/>
  <c r="CL301" i="2" s="1"/>
  <c r="GA346" i="2"/>
  <c r="DG354" i="2"/>
  <c r="DH365"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3" i="2"/>
  <c r="CR183" i="2"/>
  <c r="BK124" i="2"/>
  <c r="CL124" i="2" s="1"/>
  <c r="DG127" i="2"/>
  <c r="BM140" i="2"/>
  <c r="BN140" i="2" s="1"/>
  <c r="FZ142" i="2"/>
  <c r="GA164" i="2"/>
  <c r="FZ164" i="2"/>
  <c r="DS200" i="2"/>
  <c r="DQ200" i="2"/>
  <c r="DR200" i="2" s="1"/>
  <c r="EC200" i="2"/>
  <c r="DG111" i="2"/>
  <c r="DH49" i="2"/>
  <c r="BM111" i="2"/>
  <c r="BN111" i="2" s="1"/>
  <c r="GU48" i="2"/>
  <c r="GA50" i="2"/>
  <c r="BK161" i="2"/>
  <c r="CL161" i="2" s="1"/>
  <c r="CR66" i="2"/>
  <c r="CR70" i="2"/>
  <c r="EX70" i="2"/>
  <c r="Y73" i="2"/>
  <c r="AB73" i="2" s="1"/>
  <c r="BK87" i="2"/>
  <c r="CL87" i="2" s="1"/>
  <c r="EX90" i="2"/>
  <c r="EY94" i="2"/>
  <c r="BM101" i="2"/>
  <c r="BN101" i="2" s="1"/>
  <c r="GA198" i="2"/>
  <c r="DA120" i="2"/>
  <c r="DB120" i="2" s="1"/>
  <c r="FZ120" i="2"/>
  <c r="X133" i="2"/>
  <c r="AA133" i="2" s="1"/>
  <c r="CG143" i="2"/>
  <c r="CG150" i="2"/>
  <c r="EV157" i="2"/>
  <c r="BK158" i="2"/>
  <c r="CL158" i="2" s="1"/>
  <c r="CG197" i="2"/>
  <c r="DA197" i="2"/>
  <c r="DB197" i="2" s="1"/>
  <c r="CR197" i="2"/>
  <c r="CW197" i="2"/>
  <c r="EV205" i="2"/>
  <c r="CR220" i="2"/>
  <c r="CW220" i="2"/>
  <c r="CW83" i="2"/>
  <c r="CW313" i="2"/>
  <c r="EY313" i="2"/>
  <c r="CR100" i="2"/>
  <c r="GT105" i="2"/>
  <c r="X113" i="2"/>
  <c r="AA113" i="2" s="1"/>
  <c r="GT115" i="2"/>
  <c r="GT118" i="2"/>
  <c r="EX126" i="2"/>
  <c r="Y139" i="2"/>
  <c r="AB139" i="2" s="1"/>
  <c r="CW151" i="2"/>
  <c r="BM11" i="2"/>
  <c r="BN11" i="2" s="1"/>
  <c r="BK11" i="2"/>
  <c r="CL11" i="2" s="1"/>
  <c r="Y168" i="2"/>
  <c r="AB168" i="2" s="1"/>
  <c r="GA171" i="2"/>
  <c r="FZ171" i="2"/>
  <c r="EY172" i="2"/>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356"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08" i="2"/>
  <c r="AB208" i="2" s="1"/>
  <c r="X208" i="2"/>
  <c r="AA208" i="2" s="1"/>
  <c r="FZ295" i="2"/>
  <c r="Y23" i="2"/>
  <c r="AB23" i="2" s="1"/>
  <c r="DA356" i="2"/>
  <c r="DB356" i="2" s="1"/>
  <c r="EX20" i="2"/>
  <c r="GA26" i="2"/>
  <c r="Y28" i="2"/>
  <c r="AB28" i="2" s="1"/>
  <c r="EX36" i="2"/>
  <c r="DG37" i="2"/>
  <c r="GA37" i="2"/>
  <c r="EX41" i="2"/>
  <c r="EV45" i="2"/>
  <c r="FQ51" i="2"/>
  <c r="FW51" i="2" s="1"/>
  <c r="FX51" i="2" s="1" a="1"/>
  <c r="FX51" i="2" s="1"/>
  <c r="CG57" i="2"/>
  <c r="FQ63" i="2"/>
  <c r="FW63" i="2" s="1"/>
  <c r="FX63" i="2" s="1" a="1"/>
  <c r="FX63" i="2" s="1"/>
  <c r="Y74" i="2"/>
  <c r="AB74" i="2" s="1"/>
  <c r="CR83" i="2"/>
  <c r="CR313" i="2"/>
  <c r="CG99" i="2"/>
  <c r="GT85" i="2"/>
  <c r="CW124" i="2"/>
  <c r="EX124" i="2"/>
  <c r="FZ139" i="2"/>
  <c r="X178" i="2"/>
  <c r="AA178" i="2" s="1"/>
  <c r="Y178" i="2"/>
  <c r="AB178" i="2" s="1"/>
  <c r="CG186" i="2"/>
  <c r="DH189" i="2"/>
  <c r="DG189" i="2"/>
  <c r="EY211" i="2"/>
  <c r="EV211" i="2"/>
  <c r="BM48" i="2"/>
  <c r="BN48" i="2" s="1"/>
  <c r="FO35" i="2"/>
  <c r="GJ35" i="2" s="1"/>
  <c r="Y17" i="2"/>
  <c r="AB17" i="2" s="1"/>
  <c r="CG24" i="2"/>
  <c r="EX32" i="2"/>
  <c r="EY36" i="2"/>
  <c r="EY41" i="2"/>
  <c r="FQ53" i="2"/>
  <c r="FR53" i="2" s="1" a="1"/>
  <c r="FR53" i="2" s="1"/>
  <c r="X65" i="2"/>
  <c r="AA65" i="2" s="1"/>
  <c r="GA73" i="2"/>
  <c r="CG77" i="2"/>
  <c r="CG82" i="2"/>
  <c r="BK166" i="2"/>
  <c r="CL166" i="2" s="1"/>
  <c r="CG88" i="2"/>
  <c r="EX92" i="2"/>
  <c r="CW103" i="2"/>
  <c r="GT109" i="2"/>
  <c r="BK125" i="2"/>
  <c r="CL125" i="2" s="1"/>
  <c r="Y127" i="2"/>
  <c r="AB127" i="2" s="1"/>
  <c r="CW127" i="2"/>
  <c r="GA130" i="2"/>
  <c r="Y131" i="2"/>
  <c r="AB131" i="2" s="1"/>
  <c r="CG140" i="2"/>
  <c r="DS154" i="2"/>
  <c r="EV158" i="2"/>
  <c r="FQ172" i="2"/>
  <c r="FW172" i="2" s="1"/>
  <c r="FX172" i="2" s="1" a="1"/>
  <c r="FX172" i="2" s="1"/>
  <c r="X177" i="2"/>
  <c r="AA177" i="2" s="1"/>
  <c r="DO179" i="2"/>
  <c r="EC179" i="2" s="1"/>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0" i="2"/>
  <c r="AB210" i="2" s="1"/>
  <c r="FZ111" i="2"/>
  <c r="DA83" i="2"/>
  <c r="DB83" i="2" s="1"/>
  <c r="CG137" i="2"/>
  <c r="FZ147" i="2"/>
  <c r="CW152" i="2"/>
  <c r="GT156" i="2"/>
  <c r="EX158" i="2"/>
  <c r="DG184" i="2"/>
  <c r="DH184" i="2"/>
  <c r="DG190" i="2"/>
  <c r="DH190" i="2"/>
  <c r="DO213" i="2"/>
  <c r="EC213" i="2" s="1"/>
  <c r="DU213" i="2"/>
  <c r="DV213" i="2" s="1"/>
  <c r="DW213"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13" i="2"/>
  <c r="CG108" i="2"/>
  <c r="DA115" i="2"/>
  <c r="DB115" i="2" s="1"/>
  <c r="DG126" i="2"/>
  <c r="CG131" i="2"/>
  <c r="BM164" i="2"/>
  <c r="BN164" i="2" s="1"/>
  <c r="BK164" i="2"/>
  <c r="CL164" i="2" s="1"/>
  <c r="FZ209" i="2"/>
  <c r="GA209" i="2"/>
  <c r="FQ9" i="2"/>
  <c r="FW9" i="2" s="1"/>
  <c r="FX9" i="2" s="1" a="1"/>
  <c r="FX9" i="2" s="1"/>
  <c r="EV116" i="2"/>
  <c r="FN29" i="2"/>
  <c r="GA38" i="2"/>
  <c r="Y39" i="2"/>
  <c r="AB39" i="2" s="1"/>
  <c r="CG40" i="2"/>
  <c r="CI40" i="2" s="1"/>
  <c r="FQ41" i="2"/>
  <c r="FW41" i="2" s="1"/>
  <c r="FX41" i="2" s="1" a="1"/>
  <c r="FX41" i="2" s="1"/>
  <c r="DG44" i="2"/>
  <c r="EV295"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6" i="2"/>
  <c r="DH197" i="2"/>
  <c r="DG197" i="2"/>
  <c r="GU82" i="2"/>
  <c r="X198" i="2"/>
  <c r="AA198" i="2" s="1"/>
  <c r="CW125" i="2"/>
  <c r="GT133" i="2"/>
  <c r="GT139" i="2"/>
  <c r="EY160" i="2"/>
  <c r="EV160" i="2"/>
  <c r="GT51" i="2"/>
  <c r="EY116" i="2"/>
  <c r="GU26" i="2"/>
  <c r="DG32" i="2"/>
  <c r="FN32" i="2"/>
  <c r="GU33" i="2"/>
  <c r="FQ36" i="2"/>
  <c r="FW36" i="2" s="1"/>
  <c r="FX36" i="2" s="1" a="1"/>
  <c r="FX36" i="2" s="1"/>
  <c r="Y55" i="2"/>
  <c r="AB55" i="2" s="1"/>
  <c r="BP56" i="2"/>
  <c r="CG62" i="2"/>
  <c r="DG161" i="2"/>
  <c r="DH68" i="2"/>
  <c r="GA71" i="2"/>
  <c r="DG77" i="2"/>
  <c r="EX166" i="2"/>
  <c r="BK90" i="2"/>
  <c r="CL90" i="2" s="1"/>
  <c r="BK94" i="2"/>
  <c r="CL94" i="2" s="1"/>
  <c r="CG97" i="2"/>
  <c r="FQ99" i="2"/>
  <c r="FR99" i="2" s="1" a="1"/>
  <c r="FR99" i="2" s="1"/>
  <c r="DG124" i="2"/>
  <c r="FZ228" i="2"/>
  <c r="Y171" i="2"/>
  <c r="AB171" i="2" s="1"/>
  <c r="X171" i="2"/>
  <c r="AA171" i="2" s="1"/>
  <c r="DU181" i="2"/>
  <c r="DV181" i="2" s="1"/>
  <c r="DW181" i="2" s="1"/>
  <c r="DO181" i="2"/>
  <c r="EH181" i="2" s="1"/>
  <c r="BK182" i="2"/>
  <c r="CL182" i="2" s="1"/>
  <c r="BM182" i="2"/>
  <c r="BN182" i="2" s="1"/>
  <c r="EY193" i="2"/>
  <c r="FQ193" i="2"/>
  <c r="FW193" i="2" s="1"/>
  <c r="FX193" i="2" s="1" a="1"/>
  <c r="FX193" i="2" s="1"/>
  <c r="DH209" i="2"/>
  <c r="DG209" i="2"/>
  <c r="DO214" i="2"/>
  <c r="DS214" i="2" s="1"/>
  <c r="DU214" i="2"/>
  <c r="DV214" i="2" s="1"/>
  <c r="DW214" i="2" s="1"/>
  <c r="DO215" i="2"/>
  <c r="DY215" i="2" s="1"/>
  <c r="DZ215" i="2" s="1"/>
  <c r="EA215" i="2" s="1"/>
  <c r="DU215" i="2"/>
  <c r="DV215" i="2" s="1"/>
  <c r="DW215" i="2" s="1"/>
  <c r="CG25" i="2"/>
  <c r="EV56" i="2"/>
  <c r="CG80" i="2"/>
  <c r="CG125" i="2"/>
  <c r="DG148" i="2"/>
  <c r="GA163" i="2"/>
  <c r="FZ163" i="2"/>
  <c r="DO165" i="2"/>
  <c r="DQ165" i="2" s="1"/>
  <c r="DR165" i="2" s="1"/>
  <c r="DU165" i="2"/>
  <c r="EI165" i="2" s="1"/>
  <c r="EY190" i="2"/>
  <c r="FQ190" i="2"/>
  <c r="FR190" i="2" s="1" a="1"/>
  <c r="FR190" i="2" s="1"/>
  <c r="EV190" i="2"/>
  <c r="BM194" i="2"/>
  <c r="BN194" i="2" s="1"/>
  <c r="BK194" i="2"/>
  <c r="CL194"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0" i="2"/>
  <c r="AB180" i="2" s="1"/>
  <c r="X180" i="2"/>
  <c r="X193" i="2"/>
  <c r="AA193" i="2" s="1"/>
  <c r="Y193" i="2"/>
  <c r="AB193" i="2" s="1"/>
  <c r="GU226" i="2"/>
  <c r="Y300" i="2"/>
  <c r="AB300" i="2" s="1"/>
  <c r="X300" i="2"/>
  <c r="AA300" i="2" s="1"/>
  <c r="GA207" i="2"/>
  <c r="DH240" i="2"/>
  <c r="Y242" i="2"/>
  <c r="AB242" i="2" s="1"/>
  <c r="BK308" i="2"/>
  <c r="CL308" i="2" s="1"/>
  <c r="BM308" i="2"/>
  <c r="BN308" i="2" s="1"/>
  <c r="DU348" i="2"/>
  <c r="EI348" i="2" s="1"/>
  <c r="DO348" i="2"/>
  <c r="EH348" i="2" s="1"/>
  <c r="EV216" i="2"/>
  <c r="FQ234" i="2"/>
  <c r="FW234" i="2" s="1"/>
  <c r="FX234" i="2" s="1" a="1"/>
  <c r="FX234" i="2" s="1"/>
  <c r="DH30" i="2"/>
  <c r="DG30" i="2"/>
  <c r="FZ204" i="2"/>
  <c r="Y205" i="2"/>
  <c r="AB205" i="2" s="1"/>
  <c r="X211" i="2"/>
  <c r="AA211" i="2" s="1"/>
  <c r="CR212" i="2"/>
  <c r="EX212" i="2"/>
  <c r="X216" i="2"/>
  <c r="AA216" i="2" s="1"/>
  <c r="GA225" i="2"/>
  <c r="DH231" i="2"/>
  <c r="BK236" i="2"/>
  <c r="CL236" i="2" s="1"/>
  <c r="GA241" i="2"/>
  <c r="CG242" i="2"/>
  <c r="X257" i="2"/>
  <c r="AA257" i="2" s="1"/>
  <c r="X167" i="2"/>
  <c r="AA167" i="2" s="1"/>
  <c r="GH267" i="2"/>
  <c r="AN390" i="2"/>
  <c r="T390" i="2"/>
  <c r="U390" i="2" s="1"/>
  <c r="EY287" i="2"/>
  <c r="EX287" i="2"/>
  <c r="GU184" i="2"/>
  <c r="BK188" i="2"/>
  <c r="CL188" i="2" s="1"/>
  <c r="CW205" i="2"/>
  <c r="GT209" i="2"/>
  <c r="EY212" i="2"/>
  <c r="CW216" i="2"/>
  <c r="X230" i="2"/>
  <c r="AA230" i="2" s="1"/>
  <c r="EV230" i="2"/>
  <c r="GT247" i="2"/>
  <c r="CG252" i="2"/>
  <c r="BK30" i="2"/>
  <c r="CL30" i="2" s="1"/>
  <c r="BM30" i="2"/>
  <c r="BN30" i="2" s="1"/>
  <c r="EV273" i="2"/>
  <c r="FQ273" i="2"/>
  <c r="FW273" i="2" s="1"/>
  <c r="FX273" i="2" s="1" a="1"/>
  <c r="FX273" i="2" s="1"/>
  <c r="EY273" i="2"/>
  <c r="EX273" i="2"/>
  <c r="BM303" i="2"/>
  <c r="BN303" i="2" s="1"/>
  <c r="BK303" i="2"/>
  <c r="CL303" i="2" s="1"/>
  <c r="X200" i="2"/>
  <c r="AA200" i="2" s="1"/>
  <c r="FZ202" i="2"/>
  <c r="DG204" i="2"/>
  <c r="X209" i="2"/>
  <c r="AA209" i="2" s="1"/>
  <c r="CW230" i="2"/>
  <c r="EV233" i="2"/>
  <c r="GA234" i="2"/>
  <c r="GA238" i="2"/>
  <c r="CG267" i="2"/>
  <c r="EV267" i="2"/>
  <c r="X308" i="2"/>
  <c r="AA308" i="2" s="1"/>
  <c r="Y308" i="2"/>
  <c r="AB308" i="2" s="1"/>
  <c r="BM271" i="2"/>
  <c r="BN271" i="2" s="1"/>
  <c r="BK271" i="2"/>
  <c r="CL271" i="2" s="1"/>
  <c r="CG176" i="2"/>
  <c r="X203" i="2"/>
  <c r="AA203" i="2" s="1"/>
  <c r="BK215" i="2"/>
  <c r="CL215" i="2" s="1"/>
  <c r="FQ226" i="2"/>
  <c r="FW226" i="2" s="1"/>
  <c r="FX226" i="2" s="1" a="1"/>
  <c r="FX226" i="2" s="1"/>
  <c r="DV233" i="2"/>
  <c r="DW233" i="2" s="1"/>
  <c r="CG167" i="2"/>
  <c r="GA255" i="2"/>
  <c r="FZ255" i="2"/>
  <c r="Y276" i="2"/>
  <c r="AB276" i="2" s="1"/>
  <c r="X276" i="2"/>
  <c r="AA276" i="2" s="1"/>
  <c r="CG303" i="2"/>
  <c r="CR303" i="2"/>
  <c r="Y203" i="2"/>
  <c r="AB203" i="2" s="1"/>
  <c r="GT207" i="2"/>
  <c r="GT222" i="2"/>
  <c r="Y236" i="2"/>
  <c r="AB236" i="2" s="1"/>
  <c r="X243" i="2"/>
  <c r="AA243" i="2" s="1"/>
  <c r="BP392" i="2"/>
  <c r="X267" i="2"/>
  <c r="Z267" i="2" s="1"/>
  <c r="DG299" i="2"/>
  <c r="DH299" i="2"/>
  <c r="DS365" i="2"/>
  <c r="DQ365" i="2"/>
  <c r="DR365" i="2" s="1"/>
  <c r="GU181" i="2"/>
  <c r="GU185" i="2"/>
  <c r="DH186" i="2"/>
  <c r="X224" i="2"/>
  <c r="AA224" i="2" s="1"/>
  <c r="GA232" i="2"/>
  <c r="BK234" i="2"/>
  <c r="CL234" i="2" s="1"/>
  <c r="DH315" i="2"/>
  <c r="DG315" i="2"/>
  <c r="CG195" i="2"/>
  <c r="X215" i="2"/>
  <c r="AA215" i="2" s="1"/>
  <c r="X220" i="2"/>
  <c r="AA220" i="2" s="1"/>
  <c r="DH242" i="2"/>
  <c r="GA246" i="2"/>
  <c r="DA258" i="2"/>
  <c r="DB258" i="2" s="1"/>
  <c r="CR258" i="2"/>
  <c r="GA260" i="2"/>
  <c r="FZ260" i="2"/>
  <c r="GA327" i="2"/>
  <c r="FZ327" i="2"/>
  <c r="X170" i="2"/>
  <c r="Z170" i="2" s="1"/>
  <c r="CR173" i="2"/>
  <c r="X181" i="2"/>
  <c r="AA181" i="2" s="1"/>
  <c r="BM186" i="2"/>
  <c r="BN186" i="2" s="1"/>
  <c r="EV191" i="2"/>
  <c r="BK212" i="2"/>
  <c r="CL212" i="2" s="1"/>
  <c r="DH212" i="2"/>
  <c r="X213" i="2"/>
  <c r="AA213" i="2" s="1"/>
  <c r="CW213" i="2"/>
  <c r="CW215" i="2"/>
  <c r="DV231" i="2"/>
  <c r="DW231" i="2" s="1"/>
  <c r="DU246" i="2"/>
  <c r="EI246" i="2" s="1"/>
  <c r="Y249" i="2"/>
  <c r="AB249" i="2" s="1"/>
  <c r="Y258" i="2"/>
  <c r="AB258" i="2" s="1"/>
  <c r="X258" i="2"/>
  <c r="AA258" i="2" s="1"/>
  <c r="FZ274" i="2"/>
  <c r="GA274" i="2"/>
  <c r="DH285" i="2"/>
  <c r="DG285" i="2"/>
  <c r="DG162" i="2"/>
  <c r="FQ224" i="2"/>
  <c r="FW224" i="2" s="1"/>
  <c r="FX224" i="2" s="1" a="1"/>
  <c r="FX224" i="2" s="1"/>
  <c r="DH230" i="2"/>
  <c r="EV231" i="2"/>
  <c r="BK232" i="2"/>
  <c r="CL232" i="2" s="1"/>
  <c r="FQ233" i="2"/>
  <c r="FW233" i="2" s="1"/>
  <c r="FX233" i="2" s="1" a="1"/>
  <c r="FX233" i="2" s="1"/>
  <c r="EV234" i="2"/>
  <c r="X241" i="2"/>
  <c r="Z241" i="2" s="1"/>
  <c r="DU242" i="2"/>
  <c r="EI242" i="2" s="1"/>
  <c r="Y250" i="2"/>
  <c r="AB250" i="2" s="1"/>
  <c r="CG392" i="2"/>
  <c r="GA259" i="2"/>
  <c r="FZ259" i="2"/>
  <c r="EY298" i="2"/>
  <c r="BK214" i="2"/>
  <c r="CL214" i="2" s="1"/>
  <c r="BK226" i="2"/>
  <c r="CL226" i="2" s="1"/>
  <c r="CW234" i="2"/>
  <c r="CG253" i="2"/>
  <c r="AA296" i="2"/>
  <c r="DU299" i="2"/>
  <c r="DV299" i="2" s="1"/>
  <c r="DW299" i="2" s="1"/>
  <c r="DO299" i="2"/>
  <c r="EH299" i="2" s="1"/>
  <c r="DS362" i="2"/>
  <c r="DQ362" i="2"/>
  <c r="DR362" i="2" s="1"/>
  <c r="CG170" i="2"/>
  <c r="EY170" i="2"/>
  <c r="CG199" i="2"/>
  <c r="EY234" i="2"/>
  <c r="CZ265" i="2"/>
  <c r="X297" i="2"/>
  <c r="AA297" i="2" s="1"/>
  <c r="Y297" i="2"/>
  <c r="AB297" i="2" s="1"/>
  <c r="DO351" i="2"/>
  <c r="DY351" i="2" s="1"/>
  <c r="DZ351" i="2" s="1"/>
  <c r="EA351" i="2" s="1"/>
  <c r="DU351" i="2"/>
  <c r="EI351" i="2" s="1"/>
  <c r="BK216" i="2"/>
  <c r="CL216" i="2" s="1"/>
  <c r="DA217" i="2"/>
  <c r="DB217" i="2" s="1"/>
  <c r="GA224" i="2"/>
  <c r="X238" i="2"/>
  <c r="AA238" i="2" s="1"/>
  <c r="DU239" i="2"/>
  <c r="EI239" i="2" s="1"/>
  <c r="GA258" i="2"/>
  <c r="FZ258" i="2"/>
  <c r="GT291" i="2"/>
  <c r="FO128" i="2"/>
  <c r="GJ128" i="2" s="1"/>
  <c r="DA278" i="2"/>
  <c r="DB278" i="2" s="1"/>
  <c r="EX286" i="2"/>
  <c r="CG296" i="2"/>
  <c r="EX299" i="2"/>
  <c r="FZ320" i="2"/>
  <c r="DV322" i="2"/>
  <c r="DW322" i="2" s="1"/>
  <c r="CG325" i="2"/>
  <c r="EY344" i="2"/>
  <c r="DH352" i="2"/>
  <c r="GU353" i="2"/>
  <c r="X357" i="2"/>
  <c r="AA357" i="2" s="1"/>
  <c r="CG359" i="2"/>
  <c r="GT360" i="2"/>
  <c r="CG362" i="2"/>
  <c r="CG366" i="2"/>
  <c r="Y369" i="2"/>
  <c r="AB369" i="2" s="1"/>
  <c r="BM378" i="2"/>
  <c r="BN378" i="2" s="1"/>
  <c r="GA378" i="2"/>
  <c r="FZ385" i="2"/>
  <c r="BM98" i="2"/>
  <c r="BN98" i="2" s="1"/>
  <c r="X263" i="2"/>
  <c r="AA263" i="2" s="1"/>
  <c r="DG272" i="2"/>
  <c r="Y273" i="2"/>
  <c r="AB273" i="2" s="1"/>
  <c r="EY286" i="2"/>
  <c r="EX316" i="2"/>
  <c r="FQ318" i="2"/>
  <c r="FW318" i="2" s="1"/>
  <c r="FX318" i="2" s="1" a="1"/>
  <c r="FX318" i="2" s="1"/>
  <c r="EX321" i="2"/>
  <c r="CW323" i="2"/>
  <c r="CG354" i="2"/>
  <c r="CG358" i="2"/>
  <c r="EY370" i="2"/>
  <c r="CW373" i="2"/>
  <c r="FZ372" i="2"/>
  <c r="EV375" i="2"/>
  <c r="DG381" i="2"/>
  <c r="FZ389" i="2"/>
  <c r="DQ235" i="2"/>
  <c r="DR235" i="2" s="1"/>
  <c r="DA283" i="2"/>
  <c r="DB283" i="2" s="1"/>
  <c r="CG333" i="2"/>
  <c r="GT346" i="2"/>
  <c r="X358" i="2"/>
  <c r="AA358" i="2" s="1"/>
  <c r="DA386" i="2"/>
  <c r="DB386" i="2" s="1"/>
  <c r="FQ366" i="2"/>
  <c r="FW366" i="2" s="1"/>
  <c r="FX366" i="2" s="1" a="1"/>
  <c r="FX366" i="2" s="1"/>
  <c r="EX371" i="2"/>
  <c r="CG380" i="2"/>
  <c r="DG389" i="2"/>
  <c r="DU235" i="2"/>
  <c r="EI235" i="2" s="1"/>
  <c r="EX268" i="2"/>
  <c r="EX271" i="2"/>
  <c r="DG275" i="2"/>
  <c r="DA279" i="2"/>
  <c r="DB279" i="2" s="1"/>
  <c r="FZ283" i="2"/>
  <c r="FQ299" i="2"/>
  <c r="FW299" i="2" s="1"/>
  <c r="FX299" i="2" s="1" a="1"/>
  <c r="FX299" i="2" s="1"/>
  <c r="Y319" i="2"/>
  <c r="AB319" i="2" s="1"/>
  <c r="EV319" i="2"/>
  <c r="FQ359" i="2"/>
  <c r="FW359" i="2" s="1"/>
  <c r="FX359" i="2" s="1" a="1"/>
  <c r="FX359" i="2" s="1"/>
  <c r="FQ370" i="2"/>
  <c r="FW370" i="2" s="1"/>
  <c r="FX370" i="2" s="1" a="1"/>
  <c r="FX370" i="2" s="1"/>
  <c r="EV373" i="2"/>
  <c r="EX375" i="2"/>
  <c r="X378" i="2"/>
  <c r="AA378" i="2" s="1"/>
  <c r="Y229" i="2"/>
  <c r="AB229" i="2" s="1"/>
  <c r="FZ394" i="2"/>
  <c r="FQ263" i="2"/>
  <c r="FW263" i="2" s="1"/>
  <c r="FX263" i="2" s="1" a="1"/>
  <c r="FX263" i="2" s="1"/>
  <c r="BK269" i="2"/>
  <c r="CL269" i="2" s="1"/>
  <c r="BK272" i="2"/>
  <c r="CL272" i="2" s="1"/>
  <c r="FN266" i="2"/>
  <c r="FQ316" i="2"/>
  <c r="FW316" i="2" s="1"/>
  <c r="FX316" i="2" s="1" a="1"/>
  <c r="FX316" i="2" s="1"/>
  <c r="GT322" i="2"/>
  <c r="X328" i="2"/>
  <c r="AA328" i="2" s="1"/>
  <c r="DH349" i="2"/>
  <c r="FZ349" i="2"/>
  <c r="X350" i="2"/>
  <c r="AA350" i="2" s="1"/>
  <c r="GT361" i="2"/>
  <c r="X367" i="2"/>
  <c r="AA367" i="2" s="1"/>
  <c r="CR373" i="2"/>
  <c r="EG374" i="2"/>
  <c r="CR380" i="2"/>
  <c r="X381" i="2"/>
  <c r="AA381" i="2" s="1"/>
  <c r="EC235" i="2"/>
  <c r="DU275" i="2"/>
  <c r="DV275" i="2" s="1"/>
  <c r="DW275" i="2" s="1"/>
  <c r="CG304" i="2"/>
  <c r="EX319" i="2"/>
  <c r="GT320" i="2"/>
  <c r="EV324" i="2"/>
  <c r="X346" i="2"/>
  <c r="AA346" i="2" s="1"/>
  <c r="CG350" i="2"/>
  <c r="DG353" i="2"/>
  <c r="GA353" i="2"/>
  <c r="X363" i="2"/>
  <c r="AA363" i="2" s="1"/>
  <c r="CG365" i="2"/>
  <c r="GA366" i="2"/>
  <c r="DG394" i="2"/>
  <c r="EV308" i="2"/>
  <c r="BM128" i="2"/>
  <c r="BN128" i="2" s="1"/>
  <c r="DA276" i="2"/>
  <c r="DB276" i="2" s="1"/>
  <c r="CR284" i="2"/>
  <c r="FZ286" i="2"/>
  <c r="CG301" i="2"/>
  <c r="GA323" i="2"/>
  <c r="DH351" i="2"/>
  <c r="FZ351" i="2"/>
  <c r="CG352" i="2"/>
  <c r="Y355" i="2"/>
  <c r="AB355" i="2" s="1"/>
  <c r="DA359" i="2"/>
  <c r="DB359" i="2" s="1"/>
  <c r="CR360" i="2"/>
  <c r="FQ360" i="2"/>
  <c r="FW360" i="2" s="1"/>
  <c r="FX360" i="2" s="1" a="1"/>
  <c r="FX360" i="2" s="1"/>
  <c r="DH377" i="2"/>
  <c r="CW308" i="2"/>
  <c r="CG30" i="2"/>
  <c r="BM256" i="2"/>
  <c r="BN256" i="2" s="1"/>
  <c r="GA263" i="2"/>
  <c r="X262" i="2"/>
  <c r="AA262" i="2" s="1"/>
  <c r="BK235" i="2"/>
  <c r="FQ314" i="2"/>
  <c r="CG340" i="2"/>
  <c r="DS353" i="2"/>
  <c r="FQ375" i="2"/>
  <c r="FW375" i="2" s="1"/>
  <c r="FX375" i="2" s="1" a="1"/>
  <c r="FX375" i="2" s="1"/>
  <c r="GU378" i="2"/>
  <c r="DQ102" i="2"/>
  <c r="DR102" i="2" s="1"/>
  <c r="GT260" i="2"/>
  <c r="FQ268" i="2"/>
  <c r="FW268" i="2" s="1"/>
  <c r="FX268" i="2" s="1" a="1"/>
  <c r="FX268" i="2" s="1"/>
  <c r="GT272" i="2"/>
  <c r="GT285" i="2"/>
  <c r="GT302" i="2"/>
  <c r="GT307" i="2"/>
  <c r="GU322" i="2"/>
  <c r="BK325" i="2"/>
  <c r="CL325" i="2" s="1"/>
  <c r="GA328" i="2"/>
  <c r="CR352" i="2"/>
  <c r="CR355" i="2"/>
  <c r="DG229" i="2"/>
  <c r="DH229" i="2" s="1"/>
  <c r="GT279" i="2"/>
  <c r="GU289" i="2"/>
  <c r="DH323" i="2"/>
  <c r="DH345" i="2"/>
  <c r="EV347" i="2"/>
  <c r="EC353" i="2"/>
  <c r="FZ363" i="2"/>
  <c r="BK379" i="2"/>
  <c r="CL379" i="2" s="1"/>
  <c r="GU379" i="2"/>
  <c r="DG391" i="2"/>
  <c r="EX272" i="2"/>
  <c r="CR277" i="2"/>
  <c r="DG280" i="2"/>
  <c r="FZ284" i="2"/>
  <c r="CG307" i="2"/>
  <c r="BM264" i="2"/>
  <c r="BN264" i="2" s="1"/>
  <c r="EV318" i="2"/>
  <c r="CG342" i="2"/>
  <c r="X386" i="2"/>
  <c r="AA386" i="2" s="1"/>
  <c r="X368" i="2"/>
  <c r="DG371" i="2"/>
  <c r="X376" i="2"/>
  <c r="Z376" i="2" s="1"/>
  <c r="EG377" i="2"/>
  <c r="CG381" i="2"/>
  <c r="DU312" i="2"/>
  <c r="DV312" i="2" s="1"/>
  <c r="DW312" i="2" s="1"/>
  <c r="DG319" i="2"/>
  <c r="FZ319" i="2"/>
  <c r="FQ324" i="2"/>
  <c r="FW324" i="2" s="1"/>
  <c r="FX324" i="2" s="1" a="1"/>
  <c r="FX324" i="2" s="1"/>
  <c r="Y325" i="2"/>
  <c r="AB325" i="2" s="1"/>
  <c r="X330" i="2"/>
  <c r="AA330" i="2" s="1"/>
  <c r="FZ350" i="2"/>
  <c r="X351" i="2"/>
  <c r="AA351" i="2" s="1"/>
  <c r="Y386" i="2"/>
  <c r="AB386" i="2" s="1"/>
  <c r="GU374" i="2"/>
  <c r="DO378" i="2"/>
  <c r="DQ378" i="2" s="1"/>
  <c r="DR378" i="2" s="1"/>
  <c r="DG393" i="2"/>
  <c r="GT290" i="2"/>
  <c r="CG294" i="2"/>
  <c r="GU299" i="2"/>
  <c r="GT309"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295" i="2"/>
  <c r="AB295"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356" i="2"/>
  <c r="AA356" i="2" s="1"/>
  <c r="CG16" i="2"/>
  <c r="CW17" i="2"/>
  <c r="GU20" i="2"/>
  <c r="DG21" i="2"/>
  <c r="DG26" i="2"/>
  <c r="FZ14" i="2"/>
  <c r="DG39" i="2"/>
  <c r="EX40" i="2"/>
  <c r="BK45" i="2"/>
  <c r="CL45" i="2" s="1"/>
  <c r="BM45" i="2"/>
  <c r="BN45" i="2" s="1"/>
  <c r="DU295" i="2"/>
  <c r="EG295" i="2" s="1"/>
  <c r="DO295" i="2"/>
  <c r="EH295" i="2" s="1"/>
  <c r="Y161" i="2"/>
  <c r="AB161" i="2" s="1"/>
  <c r="EY68" i="2"/>
  <c r="EX68" i="2"/>
  <c r="GU68" i="2"/>
  <c r="FQ97" i="2"/>
  <c r="FW97" i="2" s="1"/>
  <c r="FX97" i="2" s="1" a="1"/>
  <c r="FX97" i="2" s="1"/>
  <c r="EY97" i="2"/>
  <c r="EX97" i="2"/>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Y45" i="2"/>
  <c r="AB45" i="2" s="1"/>
  <c r="CG46" i="2"/>
  <c r="DH48" i="2"/>
  <c r="DG48" i="2"/>
  <c r="FO101" i="2"/>
  <c r="GJ101" i="2" s="1"/>
  <c r="BK142" i="2"/>
  <c r="CL142" i="2" s="1"/>
  <c r="BM142" i="2"/>
  <c r="BN142" i="2" s="1"/>
  <c r="GU35" i="2"/>
  <c r="CG356" i="2"/>
  <c r="EV356"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AA45" i="2"/>
  <c r="CR45" i="2"/>
  <c r="CW45" i="2"/>
  <c r="X61" i="2"/>
  <c r="AA61" i="2" s="1"/>
  <c r="Y61" i="2"/>
  <c r="AB61" i="2" s="1"/>
  <c r="FZ79" i="2"/>
  <c r="FO89" i="2"/>
  <c r="GJ89" i="2" s="1"/>
  <c r="Y90" i="2"/>
  <c r="AB90" i="2" s="1"/>
  <c r="FQ100" i="2"/>
  <c r="EY100" i="2"/>
  <c r="EX100" i="2"/>
  <c r="EV100" i="2"/>
  <c r="GA22" i="2"/>
  <c r="GU32" i="2"/>
  <c r="EY12" i="2"/>
  <c r="GU23" i="2"/>
  <c r="DO40" i="2"/>
  <c r="EC40" i="2" s="1"/>
  <c r="DU40" i="2"/>
  <c r="EI40" i="2" s="1"/>
  <c r="DH99" i="2"/>
  <c r="DG99" i="2"/>
  <c r="DO137" i="2"/>
  <c r="EH137" i="2" s="1"/>
  <c r="DU137" i="2"/>
  <c r="EG137" i="2" s="1"/>
  <c r="DH46" i="2"/>
  <c r="DG46" i="2"/>
  <c r="CR200" i="2"/>
  <c r="CW200" i="2"/>
  <c r="BM17" i="2"/>
  <c r="BN17" i="2" s="1"/>
  <c r="GT9" i="2"/>
  <c r="EY356" i="2"/>
  <c r="EY13" i="2"/>
  <c r="DU21" i="2"/>
  <c r="EI21" i="2" s="1"/>
  <c r="CG26" i="2"/>
  <c r="CG29" i="2"/>
  <c r="BP14" i="2"/>
  <c r="CG39" i="2"/>
  <c r="FQ39" i="2"/>
  <c r="FW39" i="2" s="1"/>
  <c r="FX39" i="2" s="1" a="1"/>
  <c r="FX39" i="2" s="1"/>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295" i="2"/>
  <c r="CL295" i="2" s="1"/>
  <c r="BM295" i="2"/>
  <c r="BN295"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295"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GT295"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BM191" i="2"/>
  <c r="BN191" i="2" s="1"/>
  <c r="BK191" i="2"/>
  <c r="CL191" i="2" s="1"/>
  <c r="CG48" i="2"/>
  <c r="GT52" i="2"/>
  <c r="EV54" i="2"/>
  <c r="CR68" i="2"/>
  <c r="FO99" i="2"/>
  <c r="GJ99" i="2" s="1"/>
  <c r="DH108" i="2"/>
  <c r="DG108" i="2"/>
  <c r="EX85" i="2"/>
  <c r="EY85" i="2"/>
  <c r="GU11" i="2"/>
  <c r="DU188" i="2"/>
  <c r="EI188" i="2" s="1"/>
  <c r="DO188" i="2"/>
  <c r="EC188" i="2" s="1"/>
  <c r="DG295"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CG45" i="2"/>
  <c r="FO295" i="2"/>
  <c r="GJ295" i="2" s="1"/>
  <c r="EV53" i="2"/>
  <c r="DA57" i="2"/>
  <c r="DB57" i="2" s="1"/>
  <c r="DG62" i="2"/>
  <c r="CG63" i="2"/>
  <c r="DO69" i="2"/>
  <c r="EC69" i="2" s="1"/>
  <c r="EX71" i="2"/>
  <c r="CG75" i="2"/>
  <c r="EX77" i="2"/>
  <c r="EV84" i="2"/>
  <c r="DO107" i="2"/>
  <c r="DU107" i="2"/>
  <c r="EI107" i="2" s="1"/>
  <c r="CW85" i="2"/>
  <c r="DA85" i="2"/>
  <c r="DB85" i="2" s="1"/>
  <c r="EX198" i="2"/>
  <c r="EY198" i="2"/>
  <c r="FP295"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7" i="2"/>
  <c r="DV177" i="2" s="1"/>
  <c r="DW177" i="2" s="1"/>
  <c r="DO177" i="2"/>
  <c r="EC177" i="2" s="1"/>
  <c r="CG41" i="2"/>
  <c r="CG295" i="2"/>
  <c r="EV48" i="2"/>
  <c r="DH50" i="2"/>
  <c r="CG66" i="2"/>
  <c r="CR67" i="2"/>
  <c r="FQ71" i="2"/>
  <c r="FW71" i="2" s="1"/>
  <c r="FX71" i="2" s="1" a="1"/>
  <c r="FX71" i="2" s="1"/>
  <c r="EX75" i="2"/>
  <c r="FQ77" i="2"/>
  <c r="FW77" i="2" s="1"/>
  <c r="FX77" i="2" s="1" a="1"/>
  <c r="FX77" i="2" s="1"/>
  <c r="EV83" i="2"/>
  <c r="CG86" i="2"/>
  <c r="CG92" i="2"/>
  <c r="EY93" i="2"/>
  <c r="EX96" i="2"/>
  <c r="GT313"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1" i="2"/>
  <c r="BM201" i="2"/>
  <c r="BN201" i="2" s="1"/>
  <c r="GU83" i="2"/>
  <c r="DO108" i="2"/>
  <c r="EH108" i="2" s="1"/>
  <c r="DU108" i="2"/>
  <c r="BK136" i="2"/>
  <c r="CL136" i="2" s="1"/>
  <c r="BM136" i="2"/>
  <c r="BN136" i="2" s="1"/>
  <c r="GU149" i="2"/>
  <c r="CW172" i="2"/>
  <c r="DA172" i="2"/>
  <c r="DB172" i="2" s="1"/>
  <c r="CR172" i="2"/>
  <c r="DH173" i="2"/>
  <c r="DG173" i="2"/>
  <c r="EG201" i="2"/>
  <c r="EI201" i="2"/>
  <c r="DQ50" i="2"/>
  <c r="DR50" i="2" s="1"/>
  <c r="FZ54" i="2"/>
  <c r="GU63" i="2"/>
  <c r="DH65" i="2"/>
  <c r="CG73" i="2"/>
  <c r="EX74" i="2"/>
  <c r="GU81" i="2"/>
  <c r="CR89" i="2"/>
  <c r="DG313"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69" i="2"/>
  <c r="CG56" i="2"/>
  <c r="CG68" i="2"/>
  <c r="GU73" i="2"/>
  <c r="CW88" i="2"/>
  <c r="BK97" i="2"/>
  <c r="CL97" i="2" s="1"/>
  <c r="CG313"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6" i="2"/>
  <c r="EX86" i="2"/>
  <c r="CG91" i="2"/>
  <c r="EX95" i="2"/>
  <c r="FQ313"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28" i="2"/>
  <c r="DS228" i="2" s="1"/>
  <c r="DU228" i="2"/>
  <c r="EI228" i="2" s="1"/>
  <c r="GA176" i="2"/>
  <c r="FZ176" i="2"/>
  <c r="CG181" i="2"/>
  <c r="CR181" i="2"/>
  <c r="BK106" i="2"/>
  <c r="CL106" i="2" s="1"/>
  <c r="GT108" i="2"/>
  <c r="BK110" i="2"/>
  <c r="CL110" i="2" s="1"/>
  <c r="FZ110" i="2"/>
  <c r="GU115" i="2"/>
  <c r="CG117" i="2"/>
  <c r="CI117" i="2" s="1"/>
  <c r="BP119" i="2"/>
  <c r="DG120" i="2"/>
  <c r="CG129" i="2"/>
  <c r="CR140" i="2"/>
  <c r="CR147" i="2"/>
  <c r="EY159" i="2"/>
  <c r="EX159" i="2"/>
  <c r="DH183" i="2"/>
  <c r="EX213" i="2"/>
  <c r="FQ213" i="2"/>
  <c r="FW213" i="2" s="1"/>
  <c r="FX213" i="2" s="1" a="1"/>
  <c r="FX213" i="2" s="1"/>
  <c r="EY213" i="2"/>
  <c r="EV213" i="2"/>
  <c r="GT123" i="2"/>
  <c r="CR146" i="2"/>
  <c r="FQ153" i="2"/>
  <c r="FW153" i="2" s="1"/>
  <c r="FX153" i="2" s="1" a="1"/>
  <c r="FX153" i="2" s="1"/>
  <c r="GU162" i="2"/>
  <c r="EX171" i="2"/>
  <c r="FQ171" i="2"/>
  <c r="FW171" i="2" s="1"/>
  <c r="FX171" i="2" s="1" a="1"/>
  <c r="FX171" i="2" s="1"/>
  <c r="EY171" i="2"/>
  <c r="DO176" i="2"/>
  <c r="EC176" i="2" s="1"/>
  <c r="GU103" i="2"/>
  <c r="GT107" i="2"/>
  <c r="DG125" i="2"/>
  <c r="GT47" i="2"/>
  <c r="GT138" i="2"/>
  <c r="BM141" i="2"/>
  <c r="BN141" i="2" s="1"/>
  <c r="GU143" i="2"/>
  <c r="DG150" i="2"/>
  <c r="FZ151" i="2"/>
  <c r="DG153" i="2"/>
  <c r="DU164" i="2"/>
  <c r="DV164" i="2" s="1"/>
  <c r="DW164" i="2" s="1"/>
  <c r="EX168" i="2"/>
  <c r="FQ168" i="2"/>
  <c r="FW168" i="2" s="1"/>
  <c r="FX168" i="2" s="1" a="1"/>
  <c r="FX168" i="2" s="1"/>
  <c r="EY168" i="2"/>
  <c r="BM176" i="2"/>
  <c r="BN176" i="2" s="1"/>
  <c r="CG43" i="2"/>
  <c r="DA103" i="2"/>
  <c r="DB103" i="2" s="1"/>
  <c r="CG105" i="2"/>
  <c r="X106" i="2"/>
  <c r="AA106" i="2" s="1"/>
  <c r="BK108" i="2"/>
  <c r="CL108" i="2" s="1"/>
  <c r="EY112" i="2"/>
  <c r="CG113" i="2"/>
  <c r="DA198" i="2"/>
  <c r="DB198" i="2" s="1"/>
  <c r="GU117" i="2"/>
  <c r="CG118" i="2"/>
  <c r="DG121" i="2"/>
  <c r="EV122" i="2"/>
  <c r="CR139" i="2"/>
  <c r="CR149" i="2"/>
  <c r="Y153" i="2"/>
  <c r="AB153" i="2" s="1"/>
  <c r="DO159" i="2"/>
  <c r="DS159" i="2" s="1"/>
  <c r="DU159" i="2"/>
  <c r="DV159" i="2" s="1"/>
  <c r="DW159" i="2" s="1"/>
  <c r="DH163" i="2"/>
  <c r="DG163" i="2"/>
  <c r="CW171" i="2"/>
  <c r="DA171" i="2"/>
  <c r="DB171" i="2" s="1"/>
  <c r="CR171" i="2"/>
  <c r="DU182" i="2"/>
  <c r="EG182" i="2" s="1"/>
  <c r="DO182" i="2"/>
  <c r="EH182" i="2" s="1"/>
  <c r="BM183" i="2"/>
  <c r="BN183" i="2" s="1"/>
  <c r="BK183" i="2"/>
  <c r="CL183" i="2" s="1"/>
  <c r="BM199" i="2"/>
  <c r="BN199" i="2" s="1"/>
  <c r="BK199" i="2"/>
  <c r="CL199" i="2" s="1"/>
  <c r="GT104" i="2"/>
  <c r="EY113" i="2"/>
  <c r="GT113" i="2"/>
  <c r="CG119" i="2"/>
  <c r="CW123" i="2"/>
  <c r="GT142" i="2"/>
  <c r="DH11" i="2"/>
  <c r="DG11" i="2"/>
  <c r="GA200" i="2"/>
  <c r="FZ200"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GU104" i="2"/>
  <c r="GT110" i="2"/>
  <c r="GU118" i="2"/>
  <c r="CG123" i="2"/>
  <c r="EV124" i="2"/>
  <c r="X137" i="2"/>
  <c r="Z137" i="2" s="1"/>
  <c r="GU148" i="2"/>
  <c r="CG152" i="2"/>
  <c r="CI152" i="2" s="1"/>
  <c r="CG153" i="2"/>
  <c r="GA169" i="2"/>
  <c r="FZ169" i="2"/>
  <c r="GU173" i="2"/>
  <c r="DO202" i="2"/>
  <c r="DS202" i="2" s="1"/>
  <c r="DU202" i="2"/>
  <c r="GA107" i="2"/>
  <c r="CG110" i="2"/>
  <c r="EY119" i="2"/>
  <c r="CG120" i="2"/>
  <c r="EX127" i="2"/>
  <c r="CG47" i="2"/>
  <c r="CG135" i="2"/>
  <c r="CG136" i="2"/>
  <c r="BM139" i="2"/>
  <c r="BN139" i="2" s="1"/>
  <c r="GT141" i="2"/>
  <c r="CG142" i="2"/>
  <c r="BM145" i="2"/>
  <c r="BN145" i="2" s="1"/>
  <c r="X147" i="2"/>
  <c r="AA147" i="2" s="1"/>
  <c r="X148" i="2"/>
  <c r="AA148" i="2" s="1"/>
  <c r="EX155" i="2"/>
  <c r="FN64" i="2"/>
  <c r="DA193" i="2"/>
  <c r="DB193" i="2" s="1"/>
  <c r="CG193" i="2"/>
  <c r="GU119" i="2"/>
  <c r="GU135" i="2"/>
  <c r="X146" i="2"/>
  <c r="AA146" i="2" s="1"/>
  <c r="GU155" i="2"/>
  <c r="GU156" i="2"/>
  <c r="X162" i="2"/>
  <c r="CG180" i="2"/>
  <c r="CR180" i="2"/>
  <c r="FZ117" i="2"/>
  <c r="DA119" i="2"/>
  <c r="DB119" i="2" s="1"/>
  <c r="DG129" i="2"/>
  <c r="FZ131" i="2"/>
  <c r="BM144" i="2"/>
  <c r="BN144" i="2" s="1"/>
  <c r="GU157" i="2"/>
  <c r="FZ159" i="2"/>
  <c r="GA159" i="2"/>
  <c r="BK163" i="2"/>
  <c r="CL163" i="2" s="1"/>
  <c r="EG176" i="2"/>
  <c r="EI176"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5" i="2"/>
  <c r="DG232" i="2"/>
  <c r="DH232" i="2"/>
  <c r="CW168" i="2"/>
  <c r="GT170" i="2"/>
  <c r="X201" i="2"/>
  <c r="DH185" i="2"/>
  <c r="FZ185" i="2"/>
  <c r="GA192" i="2"/>
  <c r="GA193" i="2"/>
  <c r="FZ194" i="2"/>
  <c r="DU199" i="2"/>
  <c r="DV199" i="2" s="1"/>
  <c r="DW199" i="2" s="1"/>
  <c r="FZ206" i="2"/>
  <c r="DG210" i="2"/>
  <c r="EX211" i="2"/>
  <c r="EX215" i="2"/>
  <c r="FQ215" i="2"/>
  <c r="FW215" i="2" s="1"/>
  <c r="FX215" i="2" s="1" a="1"/>
  <c r="FX215" i="2" s="1"/>
  <c r="EY215" i="2"/>
  <c r="EV215" i="2"/>
  <c r="DG226" i="2"/>
  <c r="DH226" i="2"/>
  <c r="CG171" i="2"/>
  <c r="Y194" i="2"/>
  <c r="AB194" i="2" s="1"/>
  <c r="CR196" i="2"/>
  <c r="GT203" i="2"/>
  <c r="X207" i="2"/>
  <c r="Z207" i="2" s="1"/>
  <c r="GU210" i="2"/>
  <c r="X169" i="2"/>
  <c r="AA169" i="2" s="1"/>
  <c r="FZ173" i="2"/>
  <c r="BM177" i="2"/>
  <c r="BN177" i="2" s="1"/>
  <c r="FZ177" i="2"/>
  <c r="GA189" i="2"/>
  <c r="Y190" i="2"/>
  <c r="AB190" i="2" s="1"/>
  <c r="Y191" i="2"/>
  <c r="AB191" i="2" s="1"/>
  <c r="GA191" i="2"/>
  <c r="CG194" i="2"/>
  <c r="Y195" i="2"/>
  <c r="AB195" i="2" s="1"/>
  <c r="GU203" i="2"/>
  <c r="DG211" i="2"/>
  <c r="GT218" i="2"/>
  <c r="GT241" i="2"/>
  <c r="GT250" i="2"/>
  <c r="FQ170" i="2"/>
  <c r="FW170" i="2" s="1"/>
  <c r="FX170" i="2" s="1" a="1"/>
  <c r="FX170" i="2" s="1"/>
  <c r="GT171" i="2"/>
  <c r="BK173" i="2"/>
  <c r="CL173" i="2" s="1"/>
  <c r="X174" i="2"/>
  <c r="Z174" i="2" s="1"/>
  <c r="CG185" i="2"/>
  <c r="Y192" i="2"/>
  <c r="AB192" i="2" s="1"/>
  <c r="EV193" i="2"/>
  <c r="DU210" i="2"/>
  <c r="EG210" i="2" s="1"/>
  <c r="BP214" i="2"/>
  <c r="DG219" i="2"/>
  <c r="DH219" i="2"/>
  <c r="GU163" i="2"/>
  <c r="Y165" i="2"/>
  <c r="AB165" i="2" s="1"/>
  <c r="FZ11" i="2"/>
  <c r="BK170" i="2"/>
  <c r="CL170" i="2" s="1"/>
  <c r="CG172" i="2"/>
  <c r="X173" i="2"/>
  <c r="AA173" i="2" s="1"/>
  <c r="BM178" i="2"/>
  <c r="BN178" i="2" s="1"/>
  <c r="DO178" i="2"/>
  <c r="EC178" i="2" s="1"/>
  <c r="DH188" i="2"/>
  <c r="FZ188" i="2"/>
  <c r="Y189" i="2"/>
  <c r="AB189" i="2" s="1"/>
  <c r="CG190" i="2"/>
  <c r="CG191" i="2"/>
  <c r="CG192" i="2"/>
  <c r="EV194" i="2"/>
  <c r="GT202" i="2"/>
  <c r="CW207" i="2"/>
  <c r="GU207" i="2"/>
  <c r="FQ210" i="2"/>
  <c r="FW210" i="2" s="1"/>
  <c r="FX210" i="2" s="1" a="1"/>
  <c r="FX210" i="2" s="1"/>
  <c r="FQ211" i="2"/>
  <c r="FW211" i="2" s="1"/>
  <c r="FX211" i="2" s="1" a="1"/>
  <c r="FX211" i="2" s="1"/>
  <c r="GT216" i="2"/>
  <c r="DO218" i="2"/>
  <c r="EC218" i="2" s="1"/>
  <c r="DU218" i="2"/>
  <c r="EI218" i="2" s="1"/>
  <c r="DG233" i="2"/>
  <c r="DH233" i="2"/>
  <c r="BK162" i="2"/>
  <c r="CL162" i="2" s="1"/>
  <c r="CR168" i="2"/>
  <c r="CG177" i="2"/>
  <c r="CG189" i="2"/>
  <c r="EV192" i="2"/>
  <c r="GT200" i="2"/>
  <c r="BP216" i="2"/>
  <c r="DH239" i="2"/>
  <c r="DG239" i="2"/>
  <c r="EX214" i="2"/>
  <c r="FQ214" i="2"/>
  <c r="FW214" i="2" s="1"/>
  <c r="FX214" i="2" s="1" a="1"/>
  <c r="FX214" i="2" s="1"/>
  <c r="EY214" i="2"/>
  <c r="EV214" i="2"/>
  <c r="Y228" i="2"/>
  <c r="AB228" i="2" s="1"/>
  <c r="FZ170" i="2"/>
  <c r="CG178" i="2"/>
  <c r="FZ179" i="2"/>
  <c r="CG182" i="2"/>
  <c r="BK187" i="2"/>
  <c r="CL187" i="2" s="1"/>
  <c r="FZ187" i="2"/>
  <c r="CG188" i="2"/>
  <c r="DG196" i="2"/>
  <c r="CR199" i="2"/>
  <c r="BK211" i="2"/>
  <c r="CL211" i="2" s="1"/>
  <c r="DO216" i="2"/>
  <c r="DS216" i="2" s="1"/>
  <c r="DU216" i="2"/>
  <c r="DV216" i="2" s="1"/>
  <c r="DW216" i="2" s="1"/>
  <c r="AA242" i="2"/>
  <c r="GT168" i="2"/>
  <c r="GT172" i="2"/>
  <c r="EI178" i="2"/>
  <c r="GA210" i="2"/>
  <c r="GA211" i="2"/>
  <c r="BM219" i="2"/>
  <c r="BN219" i="2" s="1"/>
  <c r="BK219" i="2"/>
  <c r="CL219" i="2" s="1"/>
  <c r="BM233" i="2"/>
  <c r="BN233" i="2" s="1"/>
  <c r="BK233" i="2"/>
  <c r="CL233" i="2" s="1"/>
  <c r="DU238" i="2"/>
  <c r="EI238" i="2" s="1"/>
  <c r="DO238" i="2"/>
  <c r="EC238" i="2" s="1"/>
  <c r="DY242" i="2"/>
  <c r="DZ242" i="2" s="1"/>
  <c r="EA242" i="2" s="1"/>
  <c r="DS242" i="2"/>
  <c r="EC242" i="2"/>
  <c r="CG184" i="2"/>
  <c r="CG196" i="2"/>
  <c r="Y219" i="2"/>
  <c r="AB219" i="2" s="1"/>
  <c r="X219" i="2"/>
  <c r="AA219" i="2" s="1"/>
  <c r="BM239" i="2"/>
  <c r="BN239" i="2" s="1"/>
  <c r="BK239" i="2"/>
  <c r="CL239" i="2" s="1"/>
  <c r="EX160" i="2"/>
  <c r="BK168" i="2"/>
  <c r="CL168" i="2" s="1"/>
  <c r="BK171" i="2"/>
  <c r="CL171" i="2" s="1"/>
  <c r="CG173" i="2"/>
  <c r="DG192" i="2"/>
  <c r="DU237" i="2"/>
  <c r="DV237" i="2" s="1"/>
  <c r="DW237" i="2" s="1"/>
  <c r="GT11" i="2"/>
  <c r="CG179" i="2"/>
  <c r="DH181" i="2"/>
  <c r="GT182" i="2"/>
  <c r="FZ186" i="2"/>
  <c r="CG187" i="2"/>
  <c r="FQ192" i="2"/>
  <c r="BK193" i="2"/>
  <c r="CL193" i="2" s="1"/>
  <c r="FQ194" i="2"/>
  <c r="DO195" i="2"/>
  <c r="EH195" i="2" s="1"/>
  <c r="DU200" i="2"/>
  <c r="BM213" i="2"/>
  <c r="BN213" i="2" s="1"/>
  <c r="BK213" i="2"/>
  <c r="CL213" i="2" s="1"/>
  <c r="DG234" i="2"/>
  <c r="DH234" i="2"/>
  <c r="EY236" i="2"/>
  <c r="FQ236" i="2"/>
  <c r="FW236" i="2" s="1"/>
  <c r="FX236" i="2" s="1" a="1"/>
  <c r="FX236" i="2" s="1"/>
  <c r="EX236" i="2"/>
  <c r="Y239" i="2"/>
  <c r="AB239" i="2" s="1"/>
  <c r="X239" i="2"/>
  <c r="AA239" i="2" s="1"/>
  <c r="GU169" i="2"/>
  <c r="DV201" i="2"/>
  <c r="DW201" i="2" s="1"/>
  <c r="GT206" i="2"/>
  <c r="GU209" i="2"/>
  <c r="BP215" i="2"/>
  <c r="GU223" i="2"/>
  <c r="DH128" i="2"/>
  <c r="DG128" i="2"/>
  <c r="EY216" i="2"/>
  <c r="DH225" i="2"/>
  <c r="FZ239" i="2"/>
  <c r="Y240" i="2"/>
  <c r="AB240" i="2" s="1"/>
  <c r="BM240" i="2"/>
  <c r="BN240" i="2" s="1"/>
  <c r="GU245" i="2"/>
  <c r="GU212" i="2"/>
  <c r="GT214" i="2"/>
  <c r="GT221" i="2"/>
  <c r="GU222" i="2"/>
  <c r="GT224" i="2"/>
  <c r="GU241" i="2"/>
  <c r="CG257" i="2"/>
  <c r="GT223" i="2"/>
  <c r="DH224" i="2"/>
  <c r="BK231" i="2"/>
  <c r="CL231" i="2" s="1"/>
  <c r="X233" i="2"/>
  <c r="AA233" i="2" s="1"/>
  <c r="GA233" i="2"/>
  <c r="GA308" i="2"/>
  <c r="FZ308" i="2"/>
  <c r="DA216" i="2"/>
  <c r="DB216" i="2" s="1"/>
  <c r="FQ218" i="2"/>
  <c r="FW218" i="2" s="1"/>
  <c r="FX218" i="2" s="1" a="1"/>
  <c r="FX218" i="2" s="1"/>
  <c r="DH223" i="2"/>
  <c r="BK225" i="2"/>
  <c r="CL225" i="2" s="1"/>
  <c r="X226" i="2"/>
  <c r="AA226" i="2" s="1"/>
  <c r="X234" i="2"/>
  <c r="AA234" i="2" s="1"/>
  <c r="GT237" i="2"/>
  <c r="FZ248" i="2"/>
  <c r="GU249" i="2"/>
  <c r="FZ251" i="2"/>
  <c r="GT267" i="2"/>
  <c r="DA214" i="2"/>
  <c r="DB214" i="2" s="1"/>
  <c r="DA215" i="2"/>
  <c r="DB215" i="2" s="1"/>
  <c r="GU216" i="2"/>
  <c r="BK218" i="2"/>
  <c r="CL218" i="2" s="1"/>
  <c r="DH218" i="2"/>
  <c r="BK224" i="2"/>
  <c r="CL224" i="2" s="1"/>
  <c r="GA231" i="2"/>
  <c r="FZ243" i="2"/>
  <c r="DS245" i="2"/>
  <c r="FO246" i="2"/>
  <c r="GJ246" i="2" s="1"/>
  <c r="DS247" i="2"/>
  <c r="CZ257" i="2"/>
  <c r="FZ392" i="2"/>
  <c r="GA392" i="2" s="1"/>
  <c r="CW267" i="2"/>
  <c r="FQ212" i="2"/>
  <c r="FW212" i="2" s="1"/>
  <c r="FX212" i="2" s="1" a="1"/>
  <c r="FX212" i="2" s="1"/>
  <c r="FQ216" i="2"/>
  <c r="FW216" i="2" s="1"/>
  <c r="FX216" i="2" s="1" a="1"/>
  <c r="FX216" i="2" s="1"/>
  <c r="CW219" i="2"/>
  <c r="GU220" i="2"/>
  <c r="X232" i="2"/>
  <c r="AA232" i="2" s="1"/>
  <c r="CW233" i="2"/>
  <c r="CG239" i="2"/>
  <c r="GT242" i="2"/>
  <c r="DU245" i="2"/>
  <c r="DS246" i="2"/>
  <c r="DU247" i="2"/>
  <c r="DV247" i="2" s="1"/>
  <c r="DW247" i="2" s="1"/>
  <c r="GA257" i="2"/>
  <c r="FZ257" i="2"/>
  <c r="GU213" i="2"/>
  <c r="GU214" i="2"/>
  <c r="GU215" i="2"/>
  <c r="GT238" i="2"/>
  <c r="X218" i="2"/>
  <c r="AA218" i="2" s="1"/>
  <c r="X292" i="2"/>
  <c r="CG219" i="2"/>
  <c r="DH221" i="2"/>
  <c r="FQ221" i="2"/>
  <c r="FW221" i="2" s="1"/>
  <c r="FX221" i="2" s="1" a="1"/>
  <c r="FX221" i="2" s="1"/>
  <c r="DH222" i="2"/>
  <c r="BK223" i="2"/>
  <c r="CL223" i="2" s="1"/>
  <c r="GA223" i="2"/>
  <c r="X225" i="2"/>
  <c r="AA225" i="2" s="1"/>
  <c r="EV226" i="2"/>
  <c r="GT226" i="2"/>
  <c r="EV232" i="2"/>
  <c r="BK237" i="2"/>
  <c r="CL237" i="2" s="1"/>
  <c r="GU239" i="2"/>
  <c r="FZ245" i="2"/>
  <c r="FZ247" i="2"/>
  <c r="BP251" i="2"/>
  <c r="BK265" i="2"/>
  <c r="CL265" i="2" s="1"/>
  <c r="BM265" i="2"/>
  <c r="BN265" i="2" s="1"/>
  <c r="CR128" i="2"/>
  <c r="DA128" i="2"/>
  <c r="DB128" i="2" s="1"/>
  <c r="CG128" i="2"/>
  <c r="CI128" i="2" s="1"/>
  <c r="CW128" i="2"/>
  <c r="GT220" i="2"/>
  <c r="GT225" i="2"/>
  <c r="GT233" i="2"/>
  <c r="FN240" i="2"/>
  <c r="DH241" i="2"/>
  <c r="BP245" i="2"/>
  <c r="BK246" i="2"/>
  <c r="CL246" i="2" s="1"/>
  <c r="X245" i="2"/>
  <c r="AA245" i="2" s="1"/>
  <c r="X246" i="2"/>
  <c r="X247" i="2"/>
  <c r="AA247" i="2" s="1"/>
  <c r="X248" i="2"/>
  <c r="AA248" i="2" s="1"/>
  <c r="CR219" i="2"/>
  <c r="GT219" i="2"/>
  <c r="X223" i="2"/>
  <c r="AA223" i="2" s="1"/>
  <c r="GT231" i="2"/>
  <c r="DU241" i="2"/>
  <c r="EI241" i="2" s="1"/>
  <c r="BP246" i="2"/>
  <c r="FQ267" i="2"/>
  <c r="FW267" i="2" s="1"/>
  <c r="FX267" i="2" s="1" a="1"/>
  <c r="FX267" i="2" s="1"/>
  <c r="GT243" i="2"/>
  <c r="GU248" i="2"/>
  <c r="GT251" i="2"/>
  <c r="EV279" i="2"/>
  <c r="FQ279" i="2"/>
  <c r="FW279" i="2" s="1"/>
  <c r="FX279" i="2" s="1" a="1"/>
  <c r="FX279" i="2" s="1"/>
  <c r="EX279" i="2"/>
  <c r="BK220" i="2"/>
  <c r="CL220" i="2" s="1"/>
  <c r="X222" i="2"/>
  <c r="AA222" i="2" s="1"/>
  <c r="EV223" i="2"/>
  <c r="EV224" i="2"/>
  <c r="AA236" i="2"/>
  <c r="CG251" i="2"/>
  <c r="GU251" i="2"/>
  <c r="BP257" i="2"/>
  <c r="X265" i="2"/>
  <c r="AA265" i="2" s="1"/>
  <c r="CW273" i="2"/>
  <c r="CR273" i="2"/>
  <c r="CG273" i="2"/>
  <c r="DA273" i="2"/>
  <c r="DB273" i="2" s="1"/>
  <c r="DO296" i="2"/>
  <c r="EC296" i="2" s="1"/>
  <c r="DU296" i="2"/>
  <c r="BP312" i="2"/>
  <c r="Y261" i="2"/>
  <c r="AB261" i="2" s="1"/>
  <c r="X261" i="2"/>
  <c r="AA261" i="2" s="1"/>
  <c r="FQ283" i="2"/>
  <c r="EY283" i="2"/>
  <c r="FQ285" i="2"/>
  <c r="EY285" i="2"/>
  <c r="CW266" i="2"/>
  <c r="DA266" i="2"/>
  <c r="DB266" i="2" s="1"/>
  <c r="DU323" i="2"/>
  <c r="EG323" i="2" s="1"/>
  <c r="DO323" i="2"/>
  <c r="EH323" i="2" s="1"/>
  <c r="Y257" i="2"/>
  <c r="AB257" i="2" s="1"/>
  <c r="BM298" i="2"/>
  <c r="BN298" i="2" s="1"/>
  <c r="BK298" i="2"/>
  <c r="CL298" i="2" s="1"/>
  <c r="DU303" i="2"/>
  <c r="EG303" i="2" s="1"/>
  <c r="DO303" i="2"/>
  <c r="EC303" i="2" s="1"/>
  <c r="BM305" i="2"/>
  <c r="BN305" i="2" s="1"/>
  <c r="BK305" i="2"/>
  <c r="CL305" i="2" s="1"/>
  <c r="EY305" i="2"/>
  <c r="EX305" i="2"/>
  <c r="EV98" i="2"/>
  <c r="GU262" i="2"/>
  <c r="Y312" i="2"/>
  <c r="AB312" i="2" s="1"/>
  <c r="X312" i="2"/>
  <c r="AA312" i="2" s="1"/>
  <c r="EX283" i="2"/>
  <c r="EX285" i="2"/>
  <c r="CG266" i="2"/>
  <c r="Y298" i="2"/>
  <c r="AB298" i="2" s="1"/>
  <c r="X298" i="2"/>
  <c r="AA298" i="2" s="1"/>
  <c r="CG305" i="2"/>
  <c r="CR305" i="2"/>
  <c r="GU305" i="2"/>
  <c r="EY317" i="2"/>
  <c r="EX317" i="2"/>
  <c r="FQ317" i="2"/>
  <c r="FW317" i="2" s="1"/>
  <c r="FX317" i="2" s="1" a="1"/>
  <c r="FX317" i="2" s="1"/>
  <c r="EV317" i="2"/>
  <c r="EX98" i="2"/>
  <c r="FP303" i="2"/>
  <c r="FO303" i="2"/>
  <c r="GJ303" i="2" s="1"/>
  <c r="FN303" i="2"/>
  <c r="EY98" i="2"/>
  <c r="DY346" i="2"/>
  <c r="DZ346" i="2" s="1"/>
  <c r="EA346" i="2" s="1"/>
  <c r="EH346" i="2"/>
  <c r="CW265" i="2"/>
  <c r="EX308" i="2"/>
  <c r="EV30" i="2"/>
  <c r="GA254" i="2"/>
  <c r="FZ254" i="2"/>
  <c r="FQ281" i="2"/>
  <c r="FW281" i="2" s="1"/>
  <c r="FX281" i="2" s="1" a="1"/>
  <c r="FX281" i="2" s="1"/>
  <c r="EY281" i="2"/>
  <c r="EX281" i="2"/>
  <c r="X289" i="2"/>
  <c r="DH321" i="2"/>
  <c r="DG321" i="2"/>
  <c r="GU330" i="2"/>
  <c r="FQ284" i="2"/>
  <c r="EY284" i="2"/>
  <c r="FP319" i="2"/>
  <c r="FN319" i="2"/>
  <c r="DG98" i="2"/>
  <c r="DA259" i="2"/>
  <c r="DB259" i="2" s="1"/>
  <c r="CR259" i="2"/>
  <c r="EY315" i="2"/>
  <c r="EX315" i="2"/>
  <c r="FQ315" i="2"/>
  <c r="FW315" i="2" s="1"/>
  <c r="FX315" i="2" s="1" a="1"/>
  <c r="FX315" i="2" s="1"/>
  <c r="BK290" i="2"/>
  <c r="CL290" i="2" s="1"/>
  <c r="BM290" i="2"/>
  <c r="BN290" i="2" s="1"/>
  <c r="GU290" i="2"/>
  <c r="GA300" i="2"/>
  <c r="FZ300" i="2"/>
  <c r="DG308" i="2"/>
  <c r="Y259" i="2"/>
  <c r="AB259" i="2" s="1"/>
  <c r="X259" i="2"/>
  <c r="AA259" i="2" s="1"/>
  <c r="DO274" i="2"/>
  <c r="DU274" i="2"/>
  <c r="EG274" i="2" s="1"/>
  <c r="FZ298" i="2"/>
  <c r="GA298" i="2"/>
  <c r="DU307" i="2"/>
  <c r="EI307" i="2" s="1"/>
  <c r="DO307" i="2"/>
  <c r="DQ307" i="2" s="1"/>
  <c r="DR307" i="2" s="1"/>
  <c r="GA312" i="2"/>
  <c r="FZ312" i="2"/>
  <c r="GT318" i="2"/>
  <c r="Y167" i="2"/>
  <c r="AB167" i="2" s="1"/>
  <c r="FO392" i="2"/>
  <c r="CG308" i="2"/>
  <c r="CG98" i="2"/>
  <c r="GU253" i="2"/>
  <c r="GU260" i="2"/>
  <c r="EX284" i="2"/>
  <c r="BP314" i="2"/>
  <c r="GU318" i="2"/>
  <c r="X321" i="2"/>
  <c r="AA321" i="2" s="1"/>
  <c r="Y321" i="2"/>
  <c r="AB321" i="2" s="1"/>
  <c r="FQ98" i="2"/>
  <c r="FW98" i="2" s="1"/>
  <c r="FX98" i="2" s="1" a="1"/>
  <c r="FX98" i="2" s="1"/>
  <c r="CG259" i="2"/>
  <c r="EY270" i="2"/>
  <c r="FQ270" i="2"/>
  <c r="FW270" i="2" s="1"/>
  <c r="FX270" i="2" s="1" a="1"/>
  <c r="FX270" i="2" s="1"/>
  <c r="EC275" i="2"/>
  <c r="DY275" i="2"/>
  <c r="DZ275" i="2" s="1"/>
  <c r="EA275" i="2" s="1"/>
  <c r="FP277" i="2"/>
  <c r="FN277" i="2"/>
  <c r="EY288" i="2"/>
  <c r="EX288" i="2"/>
  <c r="FQ288" i="2"/>
  <c r="DG300" i="2"/>
  <c r="DH300" i="2"/>
  <c r="GT303" i="2"/>
  <c r="GU309" i="2"/>
  <c r="CG390" i="2"/>
  <c r="GT280" i="2"/>
  <c r="FQ287" i="2"/>
  <c r="FW287" i="2" s="1"/>
  <c r="FX287" i="2" s="1" a="1"/>
  <c r="FX287" i="2" s="1"/>
  <c r="X318" i="2"/>
  <c r="AA318" i="2" s="1"/>
  <c r="Y318" i="2"/>
  <c r="AB318" i="2" s="1"/>
  <c r="DO366" i="2"/>
  <c r="DS366" i="2" s="1"/>
  <c r="DU366" i="2"/>
  <c r="DV366" i="2" s="1"/>
  <c r="DW366" i="2" s="1"/>
  <c r="AA370" i="2"/>
  <c r="X102" i="2"/>
  <c r="AA102" i="2" s="1"/>
  <c r="DU102" i="2"/>
  <c r="EI102" i="2" s="1"/>
  <c r="FZ256" i="2"/>
  <c r="X311" i="2"/>
  <c r="AA311" i="2" s="1"/>
  <c r="CG311" i="2"/>
  <c r="GU269" i="2"/>
  <c r="GT273" i="2"/>
  <c r="FZ266" i="2"/>
  <c r="DG294" i="2"/>
  <c r="BK296" i="2"/>
  <c r="CL296" i="2" s="1"/>
  <c r="BK297" i="2"/>
  <c r="CL297" i="2" s="1"/>
  <c r="BK306" i="2"/>
  <c r="CL306" i="2" s="1"/>
  <c r="BK309" i="2"/>
  <c r="CL309" i="2" s="1"/>
  <c r="BM364" i="2"/>
  <c r="BN364" i="2" s="1"/>
  <c r="GU314" i="2"/>
  <c r="FZ316" i="2"/>
  <c r="BP317" i="2"/>
  <c r="DH326" i="2"/>
  <c r="AB365" i="2"/>
  <c r="X390" i="2"/>
  <c r="Z390" i="2" s="1"/>
  <c r="GT268" i="2"/>
  <c r="BK270" i="2"/>
  <c r="CL270" i="2" s="1"/>
  <c r="CG271" i="2"/>
  <c r="GT271" i="2"/>
  <c r="DG274" i="2"/>
  <c r="CR280" i="2"/>
  <c r="FZ285" i="2"/>
  <c r="CG287" i="2"/>
  <c r="CG291" i="2"/>
  <c r="GU300" i="2"/>
  <c r="FN264" i="2"/>
  <c r="GU312" i="2"/>
  <c r="DG314" i="2"/>
  <c r="FZ317" i="2"/>
  <c r="CG324" i="2"/>
  <c r="X327" i="2"/>
  <c r="AA327" i="2" s="1"/>
  <c r="GU327" i="2"/>
  <c r="BK330" i="2"/>
  <c r="CL330" i="2" s="1"/>
  <c r="X335" i="2"/>
  <c r="AA335" i="2" s="1"/>
  <c r="BK336" i="2"/>
  <c r="CL336" i="2" s="1"/>
  <c r="BM336" i="2"/>
  <c r="BN336" i="2" s="1"/>
  <c r="BM363" i="2"/>
  <c r="BN363" i="2" s="1"/>
  <c r="BK363" i="2"/>
  <c r="CL363" i="2" s="1"/>
  <c r="GU254" i="2"/>
  <c r="CG286" i="2"/>
  <c r="EV287" i="2"/>
  <c r="EV290" i="2"/>
  <c r="FO264" i="2"/>
  <c r="GJ264" i="2" s="1"/>
  <c r="X316" i="2"/>
  <c r="AA316" i="2" s="1"/>
  <c r="Y316" i="2"/>
  <c r="AB316" i="2" s="1"/>
  <c r="Y336" i="2"/>
  <c r="AB336" i="2" s="1"/>
  <c r="X336" i="2"/>
  <c r="EC355" i="2"/>
  <c r="DS355" i="2"/>
  <c r="DQ355" i="2"/>
  <c r="DR355" i="2" s="1"/>
  <c r="DA371" i="2"/>
  <c r="DB371" i="2" s="1"/>
  <c r="CR371" i="2"/>
  <c r="CW371" i="2"/>
  <c r="CG102" i="2"/>
  <c r="CG258" i="2"/>
  <c r="CG270" i="2"/>
  <c r="FZ275" i="2"/>
  <c r="CG277" i="2"/>
  <c r="GT277" i="2"/>
  <c r="FQ278" i="2"/>
  <c r="FW278" i="2" s="1"/>
  <c r="FX278" i="2" s="1" a="1"/>
  <c r="FX278" i="2" s="1"/>
  <c r="FZ282" i="2"/>
  <c r="CG284" i="2"/>
  <c r="CG285" i="2"/>
  <c r="FQ291" i="2"/>
  <c r="FW291" i="2" s="1"/>
  <c r="FX291" i="2" s="1" a="1"/>
  <c r="FX291" i="2" s="1"/>
  <c r="CG293" i="2"/>
  <c r="FZ294" i="2"/>
  <c r="GU297" i="2"/>
  <c r="FZ301" i="2"/>
  <c r="CG302" i="2"/>
  <c r="EX304" i="2"/>
  <c r="CG306" i="2"/>
  <c r="EX307" i="2"/>
  <c r="CG309" i="2"/>
  <c r="GU364" i="2"/>
  <c r="CR323" i="2"/>
  <c r="FZ325" i="2"/>
  <c r="CR327" i="2"/>
  <c r="FZ348" i="2"/>
  <c r="GA348" i="2"/>
  <c r="GU363" i="2"/>
  <c r="DQ261" i="2"/>
  <c r="DR261" i="2" s="1"/>
  <c r="CG256" i="2"/>
  <c r="DU259" i="2"/>
  <c r="EI259" i="2" s="1"/>
  <c r="DS244" i="2"/>
  <c r="EX277" i="2"/>
  <c r="DA280" i="2"/>
  <c r="DB280" i="2" s="1"/>
  <c r="CR286" i="2"/>
  <c r="DA290" i="2"/>
  <c r="DB290" i="2" s="1"/>
  <c r="EY290" i="2"/>
  <c r="CR307" i="2"/>
  <c r="CG364" i="2"/>
  <c r="GU319" i="2"/>
  <c r="FQ320" i="2"/>
  <c r="FW320" i="2" s="1"/>
  <c r="FX320" i="2" s="1" a="1"/>
  <c r="FX320" i="2" s="1"/>
  <c r="EY323" i="2"/>
  <c r="BM328" i="2"/>
  <c r="BN328" i="2" s="1"/>
  <c r="BK328" i="2"/>
  <c r="CL328" i="2" s="1"/>
  <c r="GU333" i="2"/>
  <c r="BM337" i="2"/>
  <c r="BN337" i="2" s="1"/>
  <c r="DO363" i="2"/>
  <c r="DY363" i="2" s="1"/>
  <c r="DZ363" i="2" s="1"/>
  <c r="EA363" i="2" s="1"/>
  <c r="DU363" i="2"/>
  <c r="EI363" i="2" s="1"/>
  <c r="DO367" i="2"/>
  <c r="EC367" i="2" s="1"/>
  <c r="DU367" i="2"/>
  <c r="DV367" i="2" s="1"/>
  <c r="DW367" i="2" s="1"/>
  <c r="GU102" i="2"/>
  <c r="DS261" i="2"/>
  <c r="CR390" i="2"/>
  <c r="X253" i="2"/>
  <c r="AA253" i="2" s="1"/>
  <c r="BM255" i="2"/>
  <c r="BN255" i="2" s="1"/>
  <c r="CW262" i="2"/>
  <c r="DU244" i="2"/>
  <c r="GT286" i="2"/>
  <c r="DV289" i="2"/>
  <c r="DW289" i="2" s="1"/>
  <c r="CR293" i="2"/>
  <c r="CR304" i="2"/>
  <c r="EY338" i="2"/>
  <c r="DO352" i="2"/>
  <c r="DY352" i="2" s="1"/>
  <c r="DZ352" i="2" s="1"/>
  <c r="EA352" i="2" s="1"/>
  <c r="DU352" i="2"/>
  <c r="EI352" i="2" s="1"/>
  <c r="DU261" i="2"/>
  <c r="EI261" i="2" s="1"/>
  <c r="GT270" i="2"/>
  <c r="GA299" i="2"/>
  <c r="BP315" i="2"/>
  <c r="DG320" i="2"/>
  <c r="BM338" i="2"/>
  <c r="BN338" i="2" s="1"/>
  <c r="GT345" i="2"/>
  <c r="GT368" i="2"/>
  <c r="Y338" i="2"/>
  <c r="AB338" i="2" s="1"/>
  <c r="X338" i="2"/>
  <c r="AA338" i="2" s="1"/>
  <c r="DU338" i="2"/>
  <c r="EG338" i="2" s="1"/>
  <c r="DO338" i="2"/>
  <c r="EH338" i="2" s="1"/>
  <c r="AB385" i="2"/>
  <c r="CG255" i="2"/>
  <c r="EC244" i="2"/>
  <c r="FQ271" i="2"/>
  <c r="FW271" i="2" s="1"/>
  <c r="FX271" i="2" s="1" a="1"/>
  <c r="FX271" i="2" s="1"/>
  <c r="GT275" i="2"/>
  <c r="CR279" i="2"/>
  <c r="EX282" i="2"/>
  <c r="GT284" i="2"/>
  <c r="DA286" i="2"/>
  <c r="DB286" i="2" s="1"/>
  <c r="DA291" i="2"/>
  <c r="DB291" i="2" s="1"/>
  <c r="EV291" i="2"/>
  <c r="CR294" i="2"/>
  <c r="CR302" i="2"/>
  <c r="CR306" i="2"/>
  <c r="CR309" i="2"/>
  <c r="Y315" i="2"/>
  <c r="AB315" i="2" s="1"/>
  <c r="GU316" i="2"/>
  <c r="Y322" i="2"/>
  <c r="AB322" i="2" s="1"/>
  <c r="GU324" i="2"/>
  <c r="BM334" i="2"/>
  <c r="BN334" i="2" s="1"/>
  <c r="X337" i="2"/>
  <c r="AA337" i="2" s="1"/>
  <c r="BK339" i="2"/>
  <c r="CL339" i="2" s="1"/>
  <c r="BM339" i="2"/>
  <c r="BN339" i="2" s="1"/>
  <c r="DU381" i="2"/>
  <c r="EI381" i="2" s="1"/>
  <c r="DO381" i="2"/>
  <c r="EH381" i="2" s="1"/>
  <c r="CR253" i="2"/>
  <c r="X255" i="2"/>
  <c r="AA255" i="2" s="1"/>
  <c r="EX263" i="2"/>
  <c r="CG269" i="2"/>
  <c r="CG272" i="2"/>
  <c r="CR276" i="2"/>
  <c r="DA277" i="2"/>
  <c r="DB277" i="2" s="1"/>
  <c r="FQ277" i="2"/>
  <c r="FW277" i="2" s="1"/>
  <c r="FX277" i="2" s="1" a="1"/>
  <c r="FX277" i="2" s="1"/>
  <c r="DA284" i="2"/>
  <c r="DB284" i="2" s="1"/>
  <c r="DA285" i="2"/>
  <c r="DB285" i="2" s="1"/>
  <c r="DA293" i="2"/>
  <c r="DB293" i="2" s="1"/>
  <c r="GT294" i="2"/>
  <c r="GU296" i="2"/>
  <c r="GU306" i="2"/>
  <c r="CG264" i="2"/>
  <c r="GU317" i="2"/>
  <c r="FZ330" i="2"/>
  <c r="GA330" i="2"/>
  <c r="GT331" i="2"/>
  <c r="GU349" i="2"/>
  <c r="GT281" i="2"/>
  <c r="EX291" i="2"/>
  <c r="EY294" i="2"/>
  <c r="DA364" i="2"/>
  <c r="DB364" i="2" s="1"/>
  <c r="X331" i="2"/>
  <c r="AA331" i="2" s="1"/>
  <c r="GU332" i="2"/>
  <c r="X334" i="2"/>
  <c r="AA334" i="2" s="1"/>
  <c r="FZ336" i="2"/>
  <c r="GA336" i="2"/>
  <c r="CG339" i="2"/>
  <c r="BM346" i="2"/>
  <c r="BN346" i="2" s="1"/>
  <c r="BK346" i="2"/>
  <c r="CL346" i="2" s="1"/>
  <c r="DO349" i="2"/>
  <c r="DY349" i="2" s="1"/>
  <c r="DZ349" i="2" s="1"/>
  <c r="EA349" i="2" s="1"/>
  <c r="DU349" i="2"/>
  <c r="EG349" i="2" s="1"/>
  <c r="CH351" i="2"/>
  <c r="GU351" i="2"/>
  <c r="GU386" i="2"/>
  <c r="DV382" i="2"/>
  <c r="DW382" i="2" s="1"/>
  <c r="EI382" i="2"/>
  <c r="BK268" i="2"/>
  <c r="CL268" i="2" s="1"/>
  <c r="CR281" i="2"/>
  <c r="DA282" i="2"/>
  <c r="DB282" i="2" s="1"/>
  <c r="DG286" i="2"/>
  <c r="DG291" i="2"/>
  <c r="EY310" i="2"/>
  <c r="EX310" i="2"/>
  <c r="FZ364" i="2"/>
  <c r="DG317" i="2"/>
  <c r="DG318" i="2"/>
  <c r="EY321" i="2"/>
  <c r="EV321" i="2"/>
  <c r="BP324" i="2"/>
  <c r="BM327" i="2"/>
  <c r="BN327" i="2" s="1"/>
  <c r="BK327" i="2"/>
  <c r="CL327" i="2" s="1"/>
  <c r="DO357" i="2"/>
  <c r="EH357" i="2" s="1"/>
  <c r="DU357" i="2"/>
  <c r="EI357" i="2" s="1"/>
  <c r="GT362" i="2"/>
  <c r="DG363" i="2"/>
  <c r="DH363" i="2"/>
  <c r="AA369" i="2"/>
  <c r="DU390" i="2"/>
  <c r="EI390" i="2" s="1"/>
  <c r="CG254" i="2"/>
  <c r="BM311" i="2"/>
  <c r="BN311" i="2" s="1"/>
  <c r="DG270" i="2"/>
  <c r="GU298" i="2"/>
  <c r="CG310" i="2"/>
  <c r="DH364" i="2"/>
  <c r="DG364" i="2"/>
  <c r="BM335" i="2"/>
  <c r="BN335" i="2" s="1"/>
  <c r="BK340" i="2"/>
  <c r="CL340" i="2" s="1"/>
  <c r="BM340" i="2"/>
  <c r="BN340" i="2" s="1"/>
  <c r="DO358" i="2"/>
  <c r="DQ358" i="2" s="1"/>
  <c r="DR358" i="2" s="1"/>
  <c r="DU358" i="2"/>
  <c r="EG358" i="2" s="1"/>
  <c r="GT366" i="2"/>
  <c r="GT274" i="2"/>
  <c r="DA275" i="2"/>
  <c r="DB275" i="2" s="1"/>
  <c r="EX278" i="2"/>
  <c r="DG283" i="2"/>
  <c r="DO291" i="2"/>
  <c r="DS291" i="2" s="1"/>
  <c r="FZ293" i="2"/>
  <c r="DH296" i="2"/>
  <c r="GU301" i="2"/>
  <c r="Y320" i="2"/>
  <c r="AB320" i="2" s="1"/>
  <c r="DH333" i="2"/>
  <c r="DG333" i="2"/>
  <c r="GU362" i="2"/>
  <c r="GU366" i="2"/>
  <c r="GA362" i="2"/>
  <c r="BM377" i="2"/>
  <c r="BN377" i="2" s="1"/>
  <c r="GU377" i="2"/>
  <c r="GT350" i="2"/>
  <c r="X353" i="2"/>
  <c r="AA353" i="2" s="1"/>
  <c r="GU359" i="2"/>
  <c r="GT386" i="2"/>
  <c r="DU365" i="2"/>
  <c r="EI365" i="2" s="1"/>
  <c r="FQ365" i="2"/>
  <c r="FW365" i="2" s="1"/>
  <c r="FX365" i="2" s="1" a="1"/>
  <c r="FX365" i="2" s="1"/>
  <c r="EY369" i="2"/>
  <c r="DH378" i="2"/>
  <c r="GT379" i="2"/>
  <c r="X389" i="2"/>
  <c r="AA389" i="2" s="1"/>
  <c r="DA350" i="2"/>
  <c r="DB350" i="2" s="1"/>
  <c r="EY351" i="2"/>
  <c r="X354" i="2"/>
  <c r="AA354" i="2" s="1"/>
  <c r="FQ377" i="2"/>
  <c r="FW377" i="2" s="1"/>
  <c r="FX377" i="2" s="1" a="1"/>
  <c r="FX377" i="2" s="1"/>
  <c r="DG388" i="2"/>
  <c r="FZ388" i="2"/>
  <c r="Y389" i="2"/>
  <c r="AB389" i="2" s="1"/>
  <c r="GU337" i="2"/>
  <c r="X341" i="2"/>
  <c r="AA341" i="2" s="1"/>
  <c r="CG341" i="2"/>
  <c r="CG344" i="2"/>
  <c r="CW346" i="2"/>
  <c r="GT351" i="2"/>
  <c r="GT354" i="2"/>
  <c r="DU359" i="2"/>
  <c r="EG359" i="2" s="1"/>
  <c r="CG360" i="2"/>
  <c r="DH370" i="2"/>
  <c r="CR358" i="2"/>
  <c r="EY368" i="2"/>
  <c r="FQ369" i="2"/>
  <c r="FW369" i="2" s="1"/>
  <c r="FX369" i="2" s="1" a="1"/>
  <c r="FX369" i="2" s="1"/>
  <c r="GT373" i="2"/>
  <c r="GT374" i="2"/>
  <c r="GT378" i="2"/>
  <c r="DG384" i="2"/>
  <c r="X388" i="2"/>
  <c r="AA388" i="2" s="1"/>
  <c r="X339" i="2"/>
  <c r="AA339" i="2" s="1"/>
  <c r="BK350" i="2"/>
  <c r="CL350" i="2" s="1"/>
  <c r="DH350" i="2"/>
  <c r="DA351" i="2"/>
  <c r="DB351" i="2" s="1"/>
  <c r="GT352" i="2"/>
  <c r="CR357" i="2"/>
  <c r="X360" i="2"/>
  <c r="AA360" i="2" s="1"/>
  <c r="EY360" i="2"/>
  <c r="DH366" i="2"/>
  <c r="GT367" i="2"/>
  <c r="GT381" i="2"/>
  <c r="DG385" i="2"/>
  <c r="DG387" i="2"/>
  <c r="FZ387" i="2"/>
  <c r="Y388" i="2"/>
  <c r="CZ229" i="2"/>
  <c r="BK366" i="2"/>
  <c r="CL366" i="2" s="1"/>
  <c r="DH369" i="2"/>
  <c r="BK370" i="2"/>
  <c r="CL370" i="2" s="1"/>
  <c r="FZ371" i="2"/>
  <c r="DG373" i="2"/>
  <c r="EX376" i="2"/>
  <c r="DG379" i="2"/>
  <c r="DA380" i="2"/>
  <c r="DB380" i="2" s="1"/>
  <c r="FZ384" i="2"/>
  <c r="BM387" i="2"/>
  <c r="BN387" i="2" s="1"/>
  <c r="CG349" i="2"/>
  <c r="DU350" i="2"/>
  <c r="EI350" i="2" s="1"/>
  <c r="GT353" i="2"/>
  <c r="DA358" i="2"/>
  <c r="DB358" i="2" s="1"/>
  <c r="CW363" i="2"/>
  <c r="EV365" i="2"/>
  <c r="EY367" i="2"/>
  <c r="Y372" i="2"/>
  <c r="AB372" i="2" s="1"/>
  <c r="DG372" i="2"/>
  <c r="DH375" i="2"/>
  <c r="X385" i="2"/>
  <c r="AA385" i="2" s="1"/>
  <c r="X387" i="2"/>
  <c r="AA387" i="2" s="1"/>
  <c r="Y394" i="2"/>
  <c r="AB394" i="2" s="1"/>
  <c r="GU348" i="2"/>
  <c r="FQ368" i="2"/>
  <c r="FW368" i="2" s="1"/>
  <c r="FX368" i="2" s="1" a="1"/>
  <c r="FX368" i="2" s="1"/>
  <c r="EV371" i="2"/>
  <c r="FQ374" i="2"/>
  <c r="FW374" i="2" s="1"/>
  <c r="FX374" i="2" s="1" a="1"/>
  <c r="FX374" i="2" s="1"/>
  <c r="GT375" i="2"/>
  <c r="EV377" i="2"/>
  <c r="DO379" i="2"/>
  <c r="DY379" i="2" s="1"/>
  <c r="DZ379" i="2" s="1"/>
  <c r="EA379" i="2" s="1"/>
  <c r="X380" i="2"/>
  <c r="BK380" i="2"/>
  <c r="CL380" i="2" s="1"/>
  <c r="DA381" i="2"/>
  <c r="DB381" i="2" s="1"/>
  <c r="DH382" i="2"/>
  <c r="FZ382" i="2"/>
  <c r="X384" i="2"/>
  <c r="AA384" i="2" s="1"/>
  <c r="Y387" i="2"/>
  <c r="AB387" i="2" s="1"/>
  <c r="BM393" i="2"/>
  <c r="BN393" i="2" s="1"/>
  <c r="FZ393" i="2"/>
  <c r="FZ229" i="2"/>
  <c r="GU325" i="2"/>
  <c r="GI336" i="2"/>
  <c r="GJ336" i="2" s="1"/>
  <c r="X359" i="2"/>
  <c r="AA359" i="2" s="1"/>
  <c r="CG363" i="2"/>
  <c r="DA365" i="2"/>
  <c r="DB365" i="2" s="1"/>
  <c r="EY365" i="2"/>
  <c r="Y373" i="2"/>
  <c r="AB373" i="2" s="1"/>
  <c r="CG373" i="2"/>
  <c r="BK374" i="2"/>
  <c r="CL374" i="2" s="1"/>
  <c r="BK375" i="2"/>
  <c r="CL375" i="2" s="1"/>
  <c r="DV375" i="2"/>
  <c r="DW375" i="2" s="1"/>
  <c r="DH380" i="2"/>
  <c r="GT394" i="2"/>
  <c r="CG338" i="2"/>
  <c r="EV346" i="2"/>
  <c r="CR349" i="2"/>
  <c r="FO354" i="2"/>
  <c r="GJ354" i="2" s="1"/>
  <c r="GU357" i="2"/>
  <c r="EY359" i="2"/>
  <c r="EX377" i="2"/>
  <c r="BM383" i="2"/>
  <c r="BN383" i="2" s="1"/>
  <c r="Y393" i="2"/>
  <c r="AB393" i="2" s="1"/>
  <c r="GT338" i="2"/>
  <c r="GT349" i="2"/>
  <c r="FN353" i="2"/>
  <c r="DU354" i="2"/>
  <c r="DV354" i="2" s="1"/>
  <c r="DW354" i="2" s="1"/>
  <c r="CR359" i="2"/>
  <c r="CG361" i="2"/>
  <c r="DU362" i="2"/>
  <c r="DU386" i="2"/>
  <c r="EI386" i="2" s="1"/>
  <c r="EG375" i="2"/>
  <c r="DO377" i="2"/>
  <c r="DS377" i="2" s="1"/>
  <c r="FZ391" i="2"/>
  <c r="GT355" i="2"/>
  <c r="GT369" i="2"/>
  <c r="GT371" i="2"/>
  <c r="GT377" i="2"/>
  <c r="EX314" i="2"/>
  <c r="GT321" i="2"/>
  <c r="GT323" i="2"/>
  <c r="GU336" i="2"/>
  <c r="GU343" i="2"/>
  <c r="DA349" i="2"/>
  <c r="DB349" i="2" s="1"/>
  <c r="CR350" i="2"/>
  <c r="CG351" i="2"/>
  <c r="X352" i="2"/>
  <c r="AA352" i="2" s="1"/>
  <c r="DQ353" i="2"/>
  <c r="DR353" i="2" s="1"/>
  <c r="DY354" i="2"/>
  <c r="DZ354" i="2" s="1"/>
  <c r="EA354" i="2" s="1"/>
  <c r="GU355" i="2"/>
  <c r="X361" i="2"/>
  <c r="AA361" i="2" s="1"/>
  <c r="GU370" i="2"/>
  <c r="X379" i="2"/>
  <c r="AA379" i="2" s="1"/>
  <c r="CR229" i="2"/>
  <c r="CX229" i="2" s="1"/>
  <c r="GS261" i="2"/>
  <c r="GU261" i="2" s="1"/>
  <c r="GQ252" i="2"/>
  <c r="GO244" i="2"/>
  <c r="GO228" i="2"/>
  <c r="GU228" i="2" s="1"/>
  <c r="GS30" i="2"/>
  <c r="GT30" i="2" s="1"/>
  <c r="GS392" i="2"/>
  <c r="GT392" i="2" s="1"/>
  <c r="GS390" i="2"/>
  <c r="GT390" i="2" s="1"/>
  <c r="GO235" i="2"/>
  <c r="GU235" i="2" s="1"/>
  <c r="GO311" i="2"/>
  <c r="GO265" i="2"/>
  <c r="GQ266" i="2"/>
  <c r="GQ265" i="2"/>
  <c r="DU265" i="2" s="1"/>
  <c r="GS311" i="2"/>
  <c r="GQ258" i="2"/>
  <c r="GO257" i="2"/>
  <c r="GS265" i="2"/>
  <c r="GQ263" i="2"/>
  <c r="GS266" i="2"/>
  <c r="GS167" i="2"/>
  <c r="GS258" i="2"/>
  <c r="GO229" i="2"/>
  <c r="GU22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356" i="2"/>
  <c r="GT10" i="2"/>
  <c r="GU356" i="2"/>
  <c r="GU10" i="2"/>
  <c r="DU356" i="2"/>
  <c r="DO356"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356" i="2"/>
  <c r="BK356" i="2"/>
  <c r="CL356"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379" i="2"/>
  <c r="CR356"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295"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356" i="2"/>
  <c r="FW356" i="2" s="1"/>
  <c r="FX356" i="2" s="1" a="1"/>
  <c r="FX356"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295" i="2"/>
  <c r="FW295" i="2" s="1"/>
  <c r="FX295" i="2" s="1" a="1"/>
  <c r="FX295"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295"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198"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6" i="2"/>
  <c r="EG92" i="2"/>
  <c r="DV92" i="2"/>
  <c r="DW92" i="2" s="1"/>
  <c r="DU43" i="2"/>
  <c r="DO43" i="2"/>
  <c r="FO67" i="2"/>
  <c r="GJ67" i="2" s="1"/>
  <c r="EX79" i="2"/>
  <c r="FQ79" i="2"/>
  <c r="FW79" i="2" s="1"/>
  <c r="FX79" i="2" s="1" a="1"/>
  <c r="FX79" i="2" s="1"/>
  <c r="GT80" i="2"/>
  <c r="GA83" i="2"/>
  <c r="FZ83" i="2"/>
  <c r="BP84" i="2"/>
  <c r="GU166" i="2"/>
  <c r="DU95" i="2"/>
  <c r="GT95" i="2"/>
  <c r="EV161" i="2"/>
  <c r="FZ161" i="2" s="1"/>
  <c r="GA161" i="2" s="1"/>
  <c r="CW65" i="2"/>
  <c r="EV65" i="2"/>
  <c r="CW66" i="2"/>
  <c r="EV66" i="2"/>
  <c r="CW67" i="2"/>
  <c r="EV67" i="2"/>
  <c r="CW68" i="2"/>
  <c r="EV68" i="2"/>
  <c r="CW69" i="2"/>
  <c r="EV69" i="2"/>
  <c r="CW70" i="2"/>
  <c r="EV70" i="2"/>
  <c r="DO166" i="2"/>
  <c r="GU313"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6" i="2"/>
  <c r="DV166" i="2"/>
  <c r="DW166" i="2" s="1"/>
  <c r="GU90" i="2"/>
  <c r="GT90" i="2"/>
  <c r="EI92" i="2"/>
  <c r="DU313" i="2"/>
  <c r="DO313" i="2"/>
  <c r="GT78" i="2"/>
  <c r="EH80" i="2"/>
  <c r="EC80" i="2"/>
  <c r="DY80" i="2"/>
  <c r="DZ80" i="2" s="1"/>
  <c r="EA80" i="2" s="1"/>
  <c r="DS80" i="2"/>
  <c r="GA84" i="2"/>
  <c r="FZ84" i="2"/>
  <c r="GT86" i="2"/>
  <c r="GT87" i="2"/>
  <c r="GA89" i="2"/>
  <c r="FZ89" i="2"/>
  <c r="CH313"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6" i="2"/>
  <c r="CR166" i="2"/>
  <c r="FZ166"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13"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6" i="2"/>
  <c r="EV166"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198" i="2"/>
  <c r="DV121" i="2"/>
  <c r="DW121" i="2" s="1"/>
  <c r="EI121" i="2"/>
  <c r="EG121" i="2"/>
  <c r="EX83" i="2"/>
  <c r="EX84" i="2"/>
  <c r="FQ166" i="2"/>
  <c r="FQ86" i="2"/>
  <c r="EX87" i="2"/>
  <c r="EX88" i="2"/>
  <c r="EX89" i="2"/>
  <c r="EC105" i="2"/>
  <c r="CW108" i="2"/>
  <c r="DA108" i="2"/>
  <c r="DB108" i="2" s="1"/>
  <c r="CG109" i="2"/>
  <c r="CI109" i="2" s="1"/>
  <c r="GU198" i="2"/>
  <c r="GT131" i="2"/>
  <c r="GU136" i="2"/>
  <c r="DA87" i="2"/>
  <c r="DB87" i="2" s="1"/>
  <c r="EV110" i="2"/>
  <c r="EY110" i="2"/>
  <c r="Y85" i="2"/>
  <c r="AB85" i="2" s="1"/>
  <c r="X85" i="2"/>
  <c r="DY112" i="2"/>
  <c r="DZ112" i="2" s="1"/>
  <c r="EA112" i="2" s="1"/>
  <c r="DS112" i="2"/>
  <c r="DQ112" i="2"/>
  <c r="DR112" i="2" s="1"/>
  <c r="EH112" i="2"/>
  <c r="EC112" i="2"/>
  <c r="GU130" i="2"/>
  <c r="GT130" i="2"/>
  <c r="DU132" i="2"/>
  <c r="DO132" i="2"/>
  <c r="DA166" i="2"/>
  <c r="DB166"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198" i="2"/>
  <c r="DO198"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6"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6"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198" i="2"/>
  <c r="CH117" i="2"/>
  <c r="CH118" i="2"/>
  <c r="CH119" i="2"/>
  <c r="CH120" i="2"/>
  <c r="CH121" i="2"/>
  <c r="CH129" i="2"/>
  <c r="CH130" i="2"/>
  <c r="CH131" i="2"/>
  <c r="DY135" i="2"/>
  <c r="DZ135" i="2" s="1"/>
  <c r="EA135" i="2" s="1"/>
  <c r="DS135" i="2"/>
  <c r="EH135" i="2"/>
  <c r="GU145" i="2"/>
  <c r="CG165" i="2"/>
  <c r="CI165" i="2" s="1"/>
  <c r="DA165" i="2"/>
  <c r="DB165" i="2" s="1"/>
  <c r="CW165" i="2"/>
  <c r="CR165" i="2"/>
  <c r="EG179" i="2"/>
  <c r="DV179" i="2"/>
  <c r="DW179" i="2" s="1"/>
  <c r="EI179"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69" i="2"/>
  <c r="DW169" i="2" s="1"/>
  <c r="EI169" i="2"/>
  <c r="EG169" i="2"/>
  <c r="BP197" i="2"/>
  <c r="BK115" i="2"/>
  <c r="CL115" i="2" s="1"/>
  <c r="BK198" i="2"/>
  <c r="CL198" i="2" s="1"/>
  <c r="BK117" i="2"/>
  <c r="CL117" i="2" s="1"/>
  <c r="BK118" i="2"/>
  <c r="CL118" i="2" s="1"/>
  <c r="BK119" i="2"/>
  <c r="CL119" i="2" s="1"/>
  <c r="BK120" i="2"/>
  <c r="CL120" i="2" s="1"/>
  <c r="BK121" i="2"/>
  <c r="CL121" i="2" s="1"/>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6" i="2"/>
  <c r="FZ196"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4" i="2"/>
  <c r="DH134" i="2"/>
  <c r="DG134" i="2"/>
  <c r="DV139" i="2"/>
  <c r="DW139" i="2" s="1"/>
  <c r="EI139" i="2"/>
  <c r="EG139" i="2"/>
  <c r="GT148" i="2"/>
  <c r="DU174" i="2"/>
  <c r="DO174" i="2"/>
  <c r="DO109" i="2"/>
  <c r="DO110" i="2"/>
  <c r="BP122" i="2"/>
  <c r="CR122" i="2"/>
  <c r="FZ122"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198" i="2"/>
  <c r="CR117" i="2"/>
  <c r="CR118" i="2"/>
  <c r="CR119" i="2"/>
  <c r="CR120" i="2"/>
  <c r="CR121" i="2"/>
  <c r="CR129" i="2"/>
  <c r="CR130" i="2"/>
  <c r="CR131" i="2"/>
  <c r="CG132" i="2"/>
  <c r="CI132" i="2" s="1"/>
  <c r="EY132" i="2"/>
  <c r="EV132" i="2"/>
  <c r="DA133" i="2"/>
  <c r="DB133" i="2" s="1"/>
  <c r="CW133" i="2"/>
  <c r="GT140" i="2"/>
  <c r="DU150" i="2"/>
  <c r="DO150" i="2"/>
  <c r="CH157" i="2"/>
  <c r="GU170" i="2"/>
  <c r="BM189" i="2"/>
  <c r="BN189" i="2" s="1"/>
  <c r="BK189" i="2"/>
  <c r="CL189" i="2" s="1"/>
  <c r="EY136" i="2"/>
  <c r="EX136" i="2"/>
  <c r="FQ136" i="2"/>
  <c r="FW136" i="2" s="1"/>
  <c r="FX136" i="2" s="1" a="1"/>
  <c r="FX136" i="2" s="1"/>
  <c r="EV136" i="2"/>
  <c r="DV146" i="2"/>
  <c r="DW146" i="2" s="1"/>
  <c r="EI146" i="2"/>
  <c r="EG146" i="2"/>
  <c r="DU148" i="2"/>
  <c r="DO148" i="2"/>
  <c r="FN130" i="2"/>
  <c r="DH135" i="2"/>
  <c r="DG135" i="2"/>
  <c r="AA139" i="2"/>
  <c r="DV173" i="2"/>
  <c r="DW173" i="2" s="1"/>
  <c r="EI173" i="2"/>
  <c r="EG173" i="2"/>
  <c r="FO119" i="2"/>
  <c r="GJ119" i="2" s="1"/>
  <c r="FO120" i="2"/>
  <c r="GJ120" i="2" s="1"/>
  <c r="FO130" i="2"/>
  <c r="GJ130" i="2" s="1"/>
  <c r="EY133" i="2"/>
  <c r="EX133" i="2"/>
  <c r="EV133" i="2"/>
  <c r="DH136" i="2"/>
  <c r="DG136" i="2"/>
  <c r="DV140" i="2"/>
  <c r="DW140" i="2" s="1"/>
  <c r="EI140" i="2"/>
  <c r="EG140" i="2"/>
  <c r="GU144" i="2"/>
  <c r="CH158" i="2"/>
  <c r="DU186" i="2"/>
  <c r="DO186" i="2"/>
  <c r="EV85" i="2"/>
  <c r="EV112" i="2"/>
  <c r="EV113" i="2"/>
  <c r="EV114" i="2"/>
  <c r="EV115" i="2"/>
  <c r="EV198"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198" i="2"/>
  <c r="FW198" i="2" s="1"/>
  <c r="FX198" i="2" s="1" a="1"/>
  <c r="FX198"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FQ129" i="2"/>
  <c r="FW129" i="2" s="1"/>
  <c r="FX129" i="2" s="1" a="1"/>
  <c r="FX129" i="2" s="1"/>
  <c r="FQ130" i="2"/>
  <c r="FW130" i="2" s="1"/>
  <c r="FX130" i="2" s="1" a="1"/>
  <c r="FX130" i="2" s="1"/>
  <c r="FP131" i="2"/>
  <c r="FO134" i="2"/>
  <c r="GJ134" i="2" s="1"/>
  <c r="DV144" i="2"/>
  <c r="DW144" i="2" s="1"/>
  <c r="EI144" i="2"/>
  <c r="EG144" i="2"/>
  <c r="BM132" i="2"/>
  <c r="BN132" i="2" s="1"/>
  <c r="CG133" i="2"/>
  <c r="CI133" i="2" s="1"/>
  <c r="DG133" i="2"/>
  <c r="FN134" i="2"/>
  <c r="DU135" i="2"/>
  <c r="DV141" i="2"/>
  <c r="DW141" i="2" s="1"/>
  <c r="EI141" i="2"/>
  <c r="EG141" i="2"/>
  <c r="GU153" i="2"/>
  <c r="EY163" i="2"/>
  <c r="EX163" i="2"/>
  <c r="FQ163" i="2"/>
  <c r="FW163" i="2" s="1"/>
  <c r="FX163" i="2" s="1" a="1"/>
  <c r="FX163" i="2" s="1"/>
  <c r="EV163" i="2"/>
  <c r="DG228" i="2"/>
  <c r="DH228" i="2" s="1"/>
  <c r="CG228" i="2"/>
  <c r="DA228" i="2"/>
  <c r="DB228" i="2" s="1"/>
  <c r="CW228" i="2"/>
  <c r="DV168" i="2"/>
  <c r="DW168" i="2" s="1"/>
  <c r="EI168" i="2"/>
  <c r="EG168" i="2"/>
  <c r="DH177" i="2"/>
  <c r="DG177" i="2"/>
  <c r="AA189"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DV170" i="2"/>
  <c r="DW170" i="2" s="1"/>
  <c r="EI170" i="2"/>
  <c r="EG170" i="2"/>
  <c r="GU171"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28" i="2"/>
  <c r="GU199"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1" i="2"/>
  <c r="DW171" i="2" s="1"/>
  <c r="EI171" i="2"/>
  <c r="EG171" i="2"/>
  <c r="GU172" i="2"/>
  <c r="EY199" i="2"/>
  <c r="EX199" i="2"/>
  <c r="FQ199" i="2"/>
  <c r="FW199" i="2" s="1"/>
  <c r="FX199" i="2" s="1" a="1"/>
  <c r="FX199" i="2" s="1"/>
  <c r="EV199" i="2"/>
  <c r="X151" i="2"/>
  <c r="CH160" i="2"/>
  <c r="DQ160" i="2"/>
  <c r="DR160" i="2" s="1"/>
  <c r="EH160" i="2"/>
  <c r="EC160" i="2"/>
  <c r="DY160" i="2"/>
  <c r="DZ160" i="2" s="1"/>
  <c r="EA160" i="2" s="1"/>
  <c r="CG164" i="2"/>
  <c r="CI164" i="2" s="1"/>
  <c r="DA164" i="2"/>
  <c r="DB164" i="2" s="1"/>
  <c r="CW164" i="2"/>
  <c r="GU191" i="2"/>
  <c r="GT191" i="2"/>
  <c r="GU192" i="2"/>
  <c r="GT192" i="2"/>
  <c r="EH199" i="2"/>
  <c r="EC199" i="2"/>
  <c r="DY199" i="2"/>
  <c r="DZ199" i="2" s="1"/>
  <c r="EA199" i="2" s="1"/>
  <c r="DS199" i="2"/>
  <c r="DQ199" i="2"/>
  <c r="DR199" i="2" s="1"/>
  <c r="GU208" i="2"/>
  <c r="GT208" i="2"/>
  <c r="BP137" i="2"/>
  <c r="CR137" i="2"/>
  <c r="FZ137" i="2"/>
  <c r="BP138" i="2"/>
  <c r="CR138" i="2"/>
  <c r="AE139" i="2"/>
  <c r="AF139" i="2" s="1"/>
  <c r="EG149" i="2"/>
  <c r="Y150" i="2"/>
  <c r="AB150" i="2" s="1"/>
  <c r="BK150" i="2"/>
  <c r="CL150" i="2" s="1"/>
  <c r="FZ150" i="2"/>
  <c r="BM152" i="2"/>
  <c r="BN152" i="2" s="1"/>
  <c r="GT152" i="2"/>
  <c r="CG11" i="2"/>
  <c r="CI11" i="2" s="1"/>
  <c r="DA11" i="2"/>
  <c r="DB11" i="2" s="1"/>
  <c r="CW11" i="2"/>
  <c r="EY228" i="2"/>
  <c r="EX228" i="2"/>
  <c r="FQ228" i="2"/>
  <c r="FW228" i="2" s="1"/>
  <c r="FX228" i="2" s="1" a="1"/>
  <c r="FX228" i="2" s="1"/>
  <c r="EV228" i="2"/>
  <c r="T169" i="2"/>
  <c r="T170" i="2"/>
  <c r="DV172" i="2"/>
  <c r="DW172" i="2" s="1"/>
  <c r="EI172" i="2"/>
  <c r="EG172" i="2"/>
  <c r="DU191" i="2"/>
  <c r="DO191" i="2"/>
  <c r="CH149" i="2"/>
  <c r="GU152" i="2"/>
  <c r="GT160" i="2"/>
  <c r="EY64" i="2"/>
  <c r="EX64" i="2"/>
  <c r="FQ64" i="2"/>
  <c r="FW64" i="2" s="1"/>
  <c r="FX64" i="2" s="1" a="1"/>
  <c r="FX64" i="2" s="1"/>
  <c r="EV64" i="2"/>
  <c r="CH164" i="2"/>
  <c r="EY165" i="2"/>
  <c r="EX165" i="2"/>
  <c r="FQ165" i="2"/>
  <c r="FW165" i="2" s="1"/>
  <c r="FX165" i="2" s="1" a="1"/>
  <c r="FX165" i="2" s="1"/>
  <c r="EV165" i="2"/>
  <c r="AA168" i="2"/>
  <c r="FN138" i="2"/>
  <c r="FZ153" i="2"/>
  <c r="GA154" i="2"/>
  <c r="CR159" i="2"/>
  <c r="CG159" i="2"/>
  <c r="CI159" i="2" s="1"/>
  <c r="DA159" i="2"/>
  <c r="DB159" i="2" s="1"/>
  <c r="GU160" i="2"/>
  <c r="CH11" i="2"/>
  <c r="DH169" i="2"/>
  <c r="DG169" i="2"/>
  <c r="DH178" i="2"/>
  <c r="DG178" i="2"/>
  <c r="GT179" i="2"/>
  <c r="EY207" i="2"/>
  <c r="EX207" i="2"/>
  <c r="FQ207" i="2"/>
  <c r="FW207" i="2" s="1"/>
  <c r="FX207" i="2" s="1" a="1"/>
  <c r="FX207" i="2" s="1"/>
  <c r="EV207" i="2"/>
  <c r="FO138" i="2"/>
  <c r="GJ138" i="2" s="1"/>
  <c r="FN144" i="2"/>
  <c r="X149" i="2"/>
  <c r="GT149" i="2"/>
  <c r="Y151" i="2"/>
  <c r="AB151" i="2" s="1"/>
  <c r="BK151" i="2"/>
  <c r="CL151" i="2" s="1"/>
  <c r="BP152" i="2"/>
  <c r="Y154" i="2"/>
  <c r="AB154" i="2" s="1"/>
  <c r="GA155" i="2"/>
  <c r="GA157" i="2"/>
  <c r="DQ163" i="2"/>
  <c r="DR163" i="2" s="1"/>
  <c r="EH163" i="2"/>
  <c r="EC163" i="2"/>
  <c r="DY163" i="2"/>
  <c r="DZ163" i="2" s="1"/>
  <c r="EA163" i="2" s="1"/>
  <c r="DH168" i="2"/>
  <c r="DG168" i="2"/>
  <c r="GU179" i="2"/>
  <c r="CW137" i="2"/>
  <c r="EV137" i="2"/>
  <c r="CW138" i="2"/>
  <c r="EV138" i="2"/>
  <c r="FO144" i="2"/>
  <c r="GJ144"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28" i="2"/>
  <c r="DH170" i="2"/>
  <c r="DG170" i="2"/>
  <c r="EY174" i="2"/>
  <c r="EX174" i="2"/>
  <c r="FQ174" i="2"/>
  <c r="FW174" i="2" s="1"/>
  <c r="FX174" i="2" s="1" a="1"/>
  <c r="FX174" i="2" s="1"/>
  <c r="EV174" i="2"/>
  <c r="DO197" i="2"/>
  <c r="DU197" i="2"/>
  <c r="DH203" i="2"/>
  <c r="DG203"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R11" i="2"/>
  <c r="CG201" i="2"/>
  <c r="DA201" i="2"/>
  <c r="DB201" i="2" s="1"/>
  <c r="CW201" i="2"/>
  <c r="DH176" i="2"/>
  <c r="DG176"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28" i="2"/>
  <c r="DH171" i="2"/>
  <c r="DG171" i="2"/>
  <c r="GT186" i="2"/>
  <c r="BM202" i="2"/>
  <c r="BN202" i="2" s="1"/>
  <c r="BK202" i="2"/>
  <c r="CL202"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EY11" i="2"/>
  <c r="EX11" i="2"/>
  <c r="FQ11" i="2"/>
  <c r="FW11" i="2" s="1"/>
  <c r="FX11" i="2" s="1" a="1"/>
  <c r="FX11" i="2" s="1"/>
  <c r="EV11" i="2"/>
  <c r="GT173" i="2"/>
  <c r="CH201" i="2"/>
  <c r="DU180" i="2"/>
  <c r="DO180" i="2"/>
  <c r="GT181" i="2"/>
  <c r="GU188" i="2"/>
  <c r="BP149" i="2"/>
  <c r="EX152" i="2"/>
  <c r="GT153" i="2"/>
  <c r="DU154" i="2"/>
  <c r="CR157" i="2"/>
  <c r="CG157" i="2"/>
  <c r="CI157" i="2" s="1"/>
  <c r="DA157" i="2"/>
  <c r="DB157" i="2" s="1"/>
  <c r="DH157" i="2"/>
  <c r="DG157" i="2"/>
  <c r="DQ158" i="2"/>
  <c r="DR158" i="2" s="1"/>
  <c r="EH158" i="2"/>
  <c r="EC158" i="2"/>
  <c r="DY158" i="2"/>
  <c r="DZ158" i="2" s="1"/>
  <c r="EA158" i="2" s="1"/>
  <c r="DH172" i="2"/>
  <c r="DG172" i="2"/>
  <c r="GT174" i="2"/>
  <c r="GU186" i="2"/>
  <c r="GU189" i="2"/>
  <c r="GT189" i="2"/>
  <c r="AA194" i="2"/>
  <c r="GU194" i="2"/>
  <c r="GT194"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4" i="2"/>
  <c r="DO194" i="2"/>
  <c r="GU195" i="2"/>
  <c r="GT195" i="2"/>
  <c r="DO173" i="2"/>
  <c r="EY173" i="2"/>
  <c r="EX173" i="2"/>
  <c r="FQ173" i="2"/>
  <c r="FW173" i="2" s="1"/>
  <c r="FX173" i="2" s="1" a="1"/>
  <c r="FX173" i="2" s="1"/>
  <c r="EV173" i="2"/>
  <c r="BP174" i="2"/>
  <c r="DV176" i="2"/>
  <c r="DW176" i="2" s="1"/>
  <c r="GT176" i="2"/>
  <c r="GT177" i="2"/>
  <c r="DV178" i="2"/>
  <c r="DW178" i="2" s="1"/>
  <c r="GT178" i="2"/>
  <c r="GU182" i="2"/>
  <c r="GT183" i="2"/>
  <c r="GA197" i="2"/>
  <c r="FZ197" i="2"/>
  <c r="GU200" i="2"/>
  <c r="DO168" i="2"/>
  <c r="DO169" i="2"/>
  <c r="DO170" i="2"/>
  <c r="DO171" i="2"/>
  <c r="DO172" i="2"/>
  <c r="CG174" i="2"/>
  <c r="CI174" i="2" s="1"/>
  <c r="DA174" i="2"/>
  <c r="DB174" i="2" s="1"/>
  <c r="CW174" i="2"/>
  <c r="DH174" i="2"/>
  <c r="DG174" i="2"/>
  <c r="CH176" i="2"/>
  <c r="GU176" i="2"/>
  <c r="CH177" i="2"/>
  <c r="GU177" i="2"/>
  <c r="CH178" i="2"/>
  <c r="GU178" i="2"/>
  <c r="GT187" i="2"/>
  <c r="DU189" i="2"/>
  <c r="DO189" i="2"/>
  <c r="BK192" i="2"/>
  <c r="CL192" i="2" s="1"/>
  <c r="EG195" i="2"/>
  <c r="DV195" i="2"/>
  <c r="DW195" i="2" s="1"/>
  <c r="GU183" i="2"/>
  <c r="GT184" i="2"/>
  <c r="DU192" i="2"/>
  <c r="DO192" i="2"/>
  <c r="DV183" i="2"/>
  <c r="DW183" i="2" s="1"/>
  <c r="EI183" i="2"/>
  <c r="GU187" i="2"/>
  <c r="FZ168" i="2"/>
  <c r="EY201" i="2"/>
  <c r="EX201" i="2"/>
  <c r="FQ201" i="2"/>
  <c r="FW201" i="2" s="1"/>
  <c r="FX201" i="2" s="1" a="1"/>
  <c r="FX201" i="2" s="1"/>
  <c r="EV201" i="2"/>
  <c r="DV187" i="2"/>
  <c r="DW187" i="2" s="1"/>
  <c r="EI187" i="2"/>
  <c r="GU196" i="2"/>
  <c r="GT196" i="2"/>
  <c r="FZ199" i="2"/>
  <c r="CG203" i="2"/>
  <c r="CI203" i="2" s="1"/>
  <c r="DA203" i="2"/>
  <c r="DB203" i="2" s="1"/>
  <c r="CR203" i="2"/>
  <c r="CW203" i="2"/>
  <c r="DG158" i="2"/>
  <c r="DG159" i="2"/>
  <c r="DG160" i="2"/>
  <c r="GT180" i="2"/>
  <c r="DV184" i="2"/>
  <c r="DW184" i="2" s="1"/>
  <c r="EI184" i="2"/>
  <c r="GT185" i="2"/>
  <c r="BK190" i="2"/>
  <c r="CL190" i="2" s="1"/>
  <c r="BK195" i="2"/>
  <c r="CL195" i="2" s="1"/>
  <c r="DG208" i="2"/>
  <c r="EY176" i="2"/>
  <c r="EX176" i="2"/>
  <c r="FQ176" i="2"/>
  <c r="FW176" i="2" s="1"/>
  <c r="FX176" i="2" s="1" a="1"/>
  <c r="FX176" i="2" s="1"/>
  <c r="EV176" i="2"/>
  <c r="EY177" i="2"/>
  <c r="EX177" i="2"/>
  <c r="FQ177" i="2"/>
  <c r="FW177" i="2" s="1"/>
  <c r="FX177" i="2" s="1" a="1"/>
  <c r="FX177" i="2" s="1"/>
  <c r="EV177" i="2"/>
  <c r="GU180" i="2"/>
  <c r="DO183" i="2"/>
  <c r="DO187" i="2"/>
  <c r="GU190" i="2"/>
  <c r="GT190" i="2"/>
  <c r="GA195" i="2"/>
  <c r="FZ195" i="2"/>
  <c r="BP196" i="2"/>
  <c r="DO196" i="2"/>
  <c r="DU196" i="2"/>
  <c r="GT205" i="2"/>
  <c r="DU190" i="2"/>
  <c r="DO190" i="2"/>
  <c r="GU193" i="2"/>
  <c r="GT193" i="2"/>
  <c r="EV168" i="2"/>
  <c r="EV169" i="2"/>
  <c r="EV170" i="2"/>
  <c r="EV171" i="2"/>
  <c r="EV172" i="2"/>
  <c r="CW173" i="2"/>
  <c r="DV185" i="2"/>
  <c r="DW185" i="2" s="1"/>
  <c r="EI185" i="2"/>
  <c r="GT188" i="2"/>
  <c r="DU193" i="2"/>
  <c r="DO193" i="2"/>
  <c r="CH200" i="2"/>
  <c r="BM208" i="2"/>
  <c r="BN208" i="2" s="1"/>
  <c r="BK208" i="2"/>
  <c r="CL208" i="2" s="1"/>
  <c r="DG201" i="2"/>
  <c r="DH201" i="2" s="1"/>
  <c r="GU197" i="2"/>
  <c r="GT197" i="2"/>
  <c r="DO204" i="2"/>
  <c r="DU204" i="2"/>
  <c r="GT204" i="2"/>
  <c r="DO201" i="2"/>
  <c r="EG183" i="2"/>
  <c r="DO185" i="2"/>
  <c r="EG187" i="2"/>
  <c r="GT199" i="2"/>
  <c r="GU202" i="2"/>
  <c r="DQ208" i="2"/>
  <c r="DR208" i="2" s="1"/>
  <c r="EH208" i="2"/>
  <c r="EC208" i="2"/>
  <c r="DY208" i="2"/>
  <c r="DZ208" i="2" s="1"/>
  <c r="EA208" i="2" s="1"/>
  <c r="DG200" i="2"/>
  <c r="EY200" i="2"/>
  <c r="EX200" i="2"/>
  <c r="AA202" i="2"/>
  <c r="CH203" i="2"/>
  <c r="BM204" i="2"/>
  <c r="BN204" i="2" s="1"/>
  <c r="BK204" i="2"/>
  <c r="CL204" i="2" s="1"/>
  <c r="EY204" i="2"/>
  <c r="EX204" i="2"/>
  <c r="FQ204" i="2"/>
  <c r="FW204" i="2" s="1"/>
  <c r="FX204" i="2" s="1" a="1"/>
  <c r="FX204" i="2" s="1"/>
  <c r="DQ205" i="2"/>
  <c r="DR205" i="2" s="1"/>
  <c r="EH205" i="2"/>
  <c r="EC205" i="2"/>
  <c r="DY205" i="2"/>
  <c r="DZ205" i="2" s="1"/>
  <c r="EA205" i="2" s="1"/>
  <c r="DQ211" i="2"/>
  <c r="DR211" i="2" s="1"/>
  <c r="EH211" i="2"/>
  <c r="EC211" i="2"/>
  <c r="DY211" i="2"/>
  <c r="DZ211" i="2" s="1"/>
  <c r="EA211" i="2" s="1"/>
  <c r="BP181" i="2"/>
  <c r="FZ181" i="2"/>
  <c r="BP182" i="2"/>
  <c r="FZ182" i="2"/>
  <c r="BP183" i="2"/>
  <c r="FZ183" i="2"/>
  <c r="BP184" i="2"/>
  <c r="FZ184" i="2"/>
  <c r="BP185" i="2"/>
  <c r="CR195" i="2"/>
  <c r="FQ200" i="2"/>
  <c r="FW200" i="2" s="1"/>
  <c r="FX200" i="2" s="1" a="1"/>
  <c r="FX200" i="2" s="1"/>
  <c r="EY202" i="2"/>
  <c r="EX202" i="2"/>
  <c r="FQ202" i="2"/>
  <c r="FW202" i="2" s="1"/>
  <c r="FX202" i="2" s="1" a="1"/>
  <c r="FX202" i="2" s="1"/>
  <c r="EY206" i="2"/>
  <c r="EX206" i="2"/>
  <c r="FQ206" i="2"/>
  <c r="FW206" i="2" s="1"/>
  <c r="FX206" i="2" s="1" a="1"/>
  <c r="FX206" i="2" s="1"/>
  <c r="CG208" i="2"/>
  <c r="CI208" i="2" s="1"/>
  <c r="DA208" i="2"/>
  <c r="DB208" i="2" s="1"/>
  <c r="CW208" i="2"/>
  <c r="DS208" i="2"/>
  <c r="DU211" i="2"/>
  <c r="BP189" i="2"/>
  <c r="CR189" i="2"/>
  <c r="BP190" i="2"/>
  <c r="CR190" i="2"/>
  <c r="BP191" i="2"/>
  <c r="CR191" i="2"/>
  <c r="BP192" i="2"/>
  <c r="CR192" i="2"/>
  <c r="BP193" i="2"/>
  <c r="CR193" i="2"/>
  <c r="BP194" i="2"/>
  <c r="CR194" i="2"/>
  <c r="CW199" i="2"/>
  <c r="CG202" i="2"/>
  <c r="CI202" i="2" s="1"/>
  <c r="DA202" i="2"/>
  <c r="DB202" i="2" s="1"/>
  <c r="AA204" i="2"/>
  <c r="BM207" i="2"/>
  <c r="BN207" i="2" s="1"/>
  <c r="BK207" i="2"/>
  <c r="CL207" i="2" s="1"/>
  <c r="CR211" i="2"/>
  <c r="CG211" i="2"/>
  <c r="CI211" i="2" s="1"/>
  <c r="DA211" i="2"/>
  <c r="DB211" i="2" s="1"/>
  <c r="CW211" i="2"/>
  <c r="GT211" i="2"/>
  <c r="EV195" i="2"/>
  <c r="EV196" i="2"/>
  <c r="EV197" i="2"/>
  <c r="DQ209" i="2"/>
  <c r="DR209" i="2" s="1"/>
  <c r="EH209" i="2"/>
  <c r="EC209" i="2"/>
  <c r="DY209" i="2"/>
  <c r="DZ209" i="2" s="1"/>
  <c r="EA209" i="2" s="1"/>
  <c r="GU211" i="2"/>
  <c r="CW176" i="2"/>
  <c r="CW177" i="2"/>
  <c r="CW178" i="2"/>
  <c r="EV178" i="2"/>
  <c r="CW179" i="2"/>
  <c r="EV179" i="2"/>
  <c r="CW180" i="2"/>
  <c r="EV180" i="2"/>
  <c r="FO181" i="2"/>
  <c r="GJ181" i="2" s="1"/>
  <c r="FO182" i="2"/>
  <c r="GJ182" i="2" s="1"/>
  <c r="FN189" i="2"/>
  <c r="FQ195" i="2"/>
  <c r="FW195" i="2" s="1"/>
  <c r="FX195" i="2" s="1" a="1"/>
  <c r="FX195" i="2" s="1"/>
  <c r="FQ196" i="2"/>
  <c r="FW196" i="2" s="1"/>
  <c r="FX196" i="2" s="1" a="1"/>
  <c r="FX196" i="2" s="1"/>
  <c r="FQ197" i="2"/>
  <c r="FW197" i="2" s="1"/>
  <c r="FX197" i="2" s="1" a="1"/>
  <c r="FX197" i="2" s="1"/>
  <c r="EV200" i="2"/>
  <c r="DG202" i="2"/>
  <c r="CG204" i="2"/>
  <c r="CI204" i="2" s="1"/>
  <c r="DA204" i="2"/>
  <c r="DB204" i="2" s="1"/>
  <c r="EV204" i="2"/>
  <c r="DG207" i="2"/>
  <c r="BM209" i="2"/>
  <c r="BN209" i="2" s="1"/>
  <c r="BK209" i="2"/>
  <c r="CL209" i="2" s="1"/>
  <c r="FQ178" i="2"/>
  <c r="FW178" i="2" s="1"/>
  <c r="FX178" i="2" s="1" a="1"/>
  <c r="FX178" i="2" s="1"/>
  <c r="FQ179" i="2"/>
  <c r="FW179" i="2" s="1"/>
  <c r="FX179" i="2" s="1" a="1"/>
  <c r="FX179" i="2" s="1"/>
  <c r="FQ180" i="2"/>
  <c r="FW180" i="2" s="1"/>
  <c r="FX180" i="2" s="1" a="1"/>
  <c r="FX180" i="2" s="1"/>
  <c r="CW181" i="2"/>
  <c r="EV181" i="2"/>
  <c r="CW182" i="2"/>
  <c r="EV182" i="2"/>
  <c r="CW183" i="2"/>
  <c r="EV183" i="2"/>
  <c r="CW184" i="2"/>
  <c r="EV184" i="2"/>
  <c r="CW185" i="2"/>
  <c r="EV185" i="2"/>
  <c r="CW186" i="2"/>
  <c r="EV186" i="2"/>
  <c r="CW187" i="2"/>
  <c r="EV187" i="2"/>
  <c r="CW188" i="2"/>
  <c r="EV188" i="2"/>
  <c r="FO189" i="2"/>
  <c r="GJ189" i="2" s="1"/>
  <c r="CW195" i="2"/>
  <c r="EX195" i="2"/>
  <c r="EX196" i="2"/>
  <c r="EX197" i="2"/>
  <c r="DA199" i="2"/>
  <c r="DB199" i="2" s="1"/>
  <c r="EH200" i="2"/>
  <c r="DY200" i="2"/>
  <c r="DZ200" i="2" s="1"/>
  <c r="EA200" i="2" s="1"/>
  <c r="CW202" i="2"/>
  <c r="EV202" i="2"/>
  <c r="EY205" i="2"/>
  <c r="EX205" i="2"/>
  <c r="FQ205" i="2"/>
  <c r="FW205" i="2" s="1"/>
  <c r="FX205" i="2" s="1" a="1"/>
  <c r="FX205" i="2" s="1"/>
  <c r="EV206" i="2"/>
  <c r="CG207" i="2"/>
  <c r="CI207" i="2" s="1"/>
  <c r="DA207" i="2"/>
  <c r="DB207" i="2" s="1"/>
  <c r="EX178" i="2"/>
  <c r="EX179" i="2"/>
  <c r="EX180" i="2"/>
  <c r="FQ181" i="2"/>
  <c r="FW181" i="2" s="1"/>
  <c r="FX181" i="2" s="1" a="1"/>
  <c r="FX181" i="2" s="1"/>
  <c r="FQ182" i="2"/>
  <c r="FW182" i="2" s="1"/>
  <c r="FX182" i="2" s="1" a="1"/>
  <c r="FX182" i="2" s="1"/>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CW189" i="2"/>
  <c r="CW190" i="2"/>
  <c r="CW191" i="2"/>
  <c r="CW192" i="2"/>
  <c r="CW193" i="2"/>
  <c r="CW194" i="2"/>
  <c r="CH204" i="2"/>
  <c r="BM205" i="2"/>
  <c r="BN205" i="2" s="1"/>
  <c r="BK205" i="2"/>
  <c r="CL205" i="2" s="1"/>
  <c r="BM206" i="2"/>
  <c r="BN206" i="2" s="1"/>
  <c r="BK206" i="2"/>
  <c r="CL206" i="2" s="1"/>
  <c r="FO207" i="2"/>
  <c r="GJ207" i="2" s="1"/>
  <c r="FN207" i="2"/>
  <c r="EY208" i="2"/>
  <c r="EX208" i="2"/>
  <c r="FQ208" i="2"/>
  <c r="FW208" i="2" s="1"/>
  <c r="FX208" i="2" s="1" a="1"/>
  <c r="FX208" i="2" s="1"/>
  <c r="EV208" i="2"/>
  <c r="DA176" i="2"/>
  <c r="DB176" i="2" s="1"/>
  <c r="DA177" i="2"/>
  <c r="DB177" i="2" s="1"/>
  <c r="DA178" i="2"/>
  <c r="DB178" i="2" s="1"/>
  <c r="DA179" i="2"/>
  <c r="DB179" i="2" s="1"/>
  <c r="DA180" i="2"/>
  <c r="DB180" i="2" s="1"/>
  <c r="EX181" i="2"/>
  <c r="EX182" i="2"/>
  <c r="EX183" i="2"/>
  <c r="EX184" i="2"/>
  <c r="EX185" i="2"/>
  <c r="EX186" i="2"/>
  <c r="EX187" i="2"/>
  <c r="EX188" i="2"/>
  <c r="FP207" i="2"/>
  <c r="CG209" i="2"/>
  <c r="CI209" i="2" s="1"/>
  <c r="DA209" i="2"/>
  <c r="DB209" i="2" s="1"/>
  <c r="CW209" i="2"/>
  <c r="DA181" i="2"/>
  <c r="DB181" i="2" s="1"/>
  <c r="DA182" i="2"/>
  <c r="DB182" i="2" s="1"/>
  <c r="DA183" i="2"/>
  <c r="DB183" i="2" s="1"/>
  <c r="DA184" i="2"/>
  <c r="DB184" i="2" s="1"/>
  <c r="DA185" i="2"/>
  <c r="DB185" i="2" s="1"/>
  <c r="DA186" i="2"/>
  <c r="DB186" i="2" s="1"/>
  <c r="DA187" i="2"/>
  <c r="DB187" i="2" s="1"/>
  <c r="DA188" i="2"/>
  <c r="DB188" i="2" s="1"/>
  <c r="EX189" i="2"/>
  <c r="EX190" i="2"/>
  <c r="EX191" i="2"/>
  <c r="EX192" i="2"/>
  <c r="EX193" i="2"/>
  <c r="EX194" i="2"/>
  <c r="DA195" i="2"/>
  <c r="DB195" i="2" s="1"/>
  <c r="BK200" i="2"/>
  <c r="CL200" i="2" s="1"/>
  <c r="DO203" i="2"/>
  <c r="DU203" i="2"/>
  <c r="AA205" i="2"/>
  <c r="DG206" i="2"/>
  <c r="DQ207" i="2"/>
  <c r="DR207" i="2" s="1"/>
  <c r="EH207" i="2"/>
  <c r="EC207" i="2"/>
  <c r="DY207" i="2"/>
  <c r="DZ207" i="2" s="1"/>
  <c r="EA207" i="2" s="1"/>
  <c r="CG206" i="2"/>
  <c r="CI206" i="2" s="1"/>
  <c r="DA206" i="2"/>
  <c r="DB206" i="2" s="1"/>
  <c r="DQ210" i="2"/>
  <c r="DR210" i="2" s="1"/>
  <c r="EH210" i="2"/>
  <c r="EC210" i="2"/>
  <c r="DY210" i="2"/>
  <c r="DZ210" i="2" s="1"/>
  <c r="EA210" i="2" s="1"/>
  <c r="BM203" i="2"/>
  <c r="BN203" i="2" s="1"/>
  <c r="BK203" i="2"/>
  <c r="CL203" i="2" s="1"/>
  <c r="EY203" i="2"/>
  <c r="EX203" i="2"/>
  <c r="FQ203" i="2"/>
  <c r="FW203" i="2" s="1"/>
  <c r="FX203" i="2" s="1" a="1"/>
  <c r="FX203" i="2" s="1"/>
  <c r="CG205" i="2"/>
  <c r="CI205" i="2" s="1"/>
  <c r="DA205" i="2"/>
  <c r="DB205" i="2" s="1"/>
  <c r="GU206" i="2"/>
  <c r="DG179" i="2"/>
  <c r="DG180" i="2"/>
  <c r="X182" i="2"/>
  <c r="X183" i="2"/>
  <c r="X184" i="2"/>
  <c r="X185" i="2"/>
  <c r="X186" i="2"/>
  <c r="X187" i="2"/>
  <c r="X188" i="2"/>
  <c r="BK196" i="2"/>
  <c r="CL196" i="2" s="1"/>
  <c r="BK197" i="2"/>
  <c r="CL197" i="2" s="1"/>
  <c r="BP200" i="2"/>
  <c r="DG205" i="2"/>
  <c r="CR210" i="2"/>
  <c r="CG210" i="2"/>
  <c r="CI210" i="2" s="1"/>
  <c r="DA210" i="2"/>
  <c r="DB210" i="2" s="1"/>
  <c r="CW210" i="2"/>
  <c r="GT210" i="2"/>
  <c r="AB218" i="2"/>
  <c r="CG200" i="2"/>
  <c r="CI200" i="2" s="1"/>
  <c r="DA200" i="2"/>
  <c r="DB200" i="2" s="1"/>
  <c r="CR202" i="2"/>
  <c r="GU204" i="2"/>
  <c r="CH205" i="2"/>
  <c r="CW206" i="2"/>
  <c r="DQ206" i="2"/>
  <c r="DR206" i="2" s="1"/>
  <c r="EH206" i="2"/>
  <c r="EC206" i="2"/>
  <c r="DY206" i="2"/>
  <c r="DZ206" i="2" s="1"/>
  <c r="EA206" i="2" s="1"/>
  <c r="EY209" i="2"/>
  <c r="EX209" i="2"/>
  <c r="FQ209" i="2"/>
  <c r="FW209" i="2" s="1"/>
  <c r="FX209" i="2" s="1" a="1"/>
  <c r="FX209" i="2" s="1"/>
  <c r="EV209" i="2"/>
  <c r="DU205" i="2"/>
  <c r="DU206" i="2"/>
  <c r="DU207" i="2"/>
  <c r="DU208" i="2"/>
  <c r="DU209" i="2"/>
  <c r="DG243" i="2"/>
  <c r="EY247" i="2"/>
  <c r="EX247" i="2"/>
  <c r="FQ247" i="2"/>
  <c r="FW247" i="2" s="1"/>
  <c r="FX247" i="2" s="1" a="1"/>
  <c r="FX247" i="2" s="1"/>
  <c r="EV247" i="2"/>
  <c r="GT215" i="2"/>
  <c r="AB220" i="2"/>
  <c r="CH234" i="2"/>
  <c r="CH230" i="2"/>
  <c r="GT212" i="2"/>
  <c r="BP292" i="2"/>
  <c r="CH206" i="2"/>
  <c r="CH207" i="2"/>
  <c r="CH208" i="2"/>
  <c r="CH209" i="2"/>
  <c r="GT217" i="2"/>
  <c r="DS212" i="2"/>
  <c r="DQ212" i="2"/>
  <c r="DR212" i="2" s="1"/>
  <c r="EH212" i="2"/>
  <c r="EC212" i="2"/>
  <c r="DY212" i="2"/>
  <c r="DZ212" i="2" s="1"/>
  <c r="EA212" i="2" s="1"/>
  <c r="EI232" i="2"/>
  <c r="EG232" i="2"/>
  <c r="DV232" i="2"/>
  <c r="DW232" i="2" s="1"/>
  <c r="BM245" i="2"/>
  <c r="BN245" i="2" s="1"/>
  <c r="BK245" i="2"/>
  <c r="CL245" i="2" s="1"/>
  <c r="CH226" i="2"/>
  <c r="DU217" i="2"/>
  <c r="DO217" i="2"/>
  <c r="CR223" i="2"/>
  <c r="CG223" i="2"/>
  <c r="CI223" i="2" s="1"/>
  <c r="DA223" i="2"/>
  <c r="DB223" i="2" s="1"/>
  <c r="CW223" i="2"/>
  <c r="BK238" i="2"/>
  <c r="CL238" i="2" s="1"/>
  <c r="CH212" i="2"/>
  <c r="DU212" i="2"/>
  <c r="GT213" i="2"/>
  <c r="GU217" i="2"/>
  <c r="CH222" i="2"/>
  <c r="DU240" i="2"/>
  <c r="DO240" i="2"/>
  <c r="EV212" i="2"/>
  <c r="GU218" i="2"/>
  <c r="DU220" i="2"/>
  <c r="DO220" i="2"/>
  <c r="AB225" i="2"/>
  <c r="GU246" i="2"/>
  <c r="GT246" i="2"/>
  <c r="GT249" i="2"/>
  <c r="BM267" i="2"/>
  <c r="BN267" i="2" s="1"/>
  <c r="BK267" i="2"/>
  <c r="CL267" i="2" s="1"/>
  <c r="GU221" i="2"/>
  <c r="EI223" i="2"/>
  <c r="EG223" i="2"/>
  <c r="GU225" i="2"/>
  <c r="CH231" i="2"/>
  <c r="AB232" i="2"/>
  <c r="T213" i="2"/>
  <c r="CG213" i="2"/>
  <c r="CI213" i="2" s="1"/>
  <c r="T214" i="2"/>
  <c r="CG214" i="2"/>
  <c r="CI214" i="2" s="1"/>
  <c r="T215" i="2"/>
  <c r="CG215" i="2"/>
  <c r="CI215" i="2" s="1"/>
  <c r="T216" i="2"/>
  <c r="CG216" i="2"/>
  <c r="CI216" i="2" s="1"/>
  <c r="T217" i="2"/>
  <c r="CG217" i="2"/>
  <c r="CI217" i="2" s="1"/>
  <c r="DV223" i="2"/>
  <c r="DW223" i="2" s="1"/>
  <c r="GU233" i="2"/>
  <c r="DU249" i="2"/>
  <c r="DO249" i="2"/>
  <c r="DH252" i="2"/>
  <c r="DG252" i="2"/>
  <c r="EG30" i="2"/>
  <c r="EI30" i="2"/>
  <c r="DV30" i="2"/>
  <c r="DW30" i="2" s="1"/>
  <c r="EY220" i="2"/>
  <c r="EX220" i="2"/>
  <c r="DU221" i="2"/>
  <c r="DO221" i="2"/>
  <c r="EI225" i="2"/>
  <c r="EG225" i="2"/>
  <c r="GU238" i="2"/>
  <c r="GA242" i="2"/>
  <c r="FZ242" i="2"/>
  <c r="DG246" i="2"/>
  <c r="GT248" i="2"/>
  <c r="CW292" i="2"/>
  <c r="EY292" i="2"/>
  <c r="EX292" i="2"/>
  <c r="DU222" i="2"/>
  <c r="DO222" i="2"/>
  <c r="CR225" i="2"/>
  <c r="CG225" i="2"/>
  <c r="CI225" i="2" s="1"/>
  <c r="DA225" i="2"/>
  <c r="DB225" i="2" s="1"/>
  <c r="GT230" i="2"/>
  <c r="AB233" i="2"/>
  <c r="EI233" i="2"/>
  <c r="EG233" i="2"/>
  <c r="DY241" i="2"/>
  <c r="DZ241" i="2" s="1"/>
  <c r="EA241" i="2" s="1"/>
  <c r="DS241" i="2"/>
  <c r="DQ241" i="2"/>
  <c r="DR241" i="2" s="1"/>
  <c r="EH241" i="2"/>
  <c r="DG213" i="2"/>
  <c r="DG214" i="2"/>
  <c r="DG215" i="2"/>
  <c r="DG216" i="2"/>
  <c r="DG217" i="2"/>
  <c r="CR218" i="2"/>
  <c r="FZ218" i="2"/>
  <c r="FQ292" i="2"/>
  <c r="FW292" i="2" s="1"/>
  <c r="FX292" i="2" s="1" a="1"/>
  <c r="FX292" i="2" s="1"/>
  <c r="BP219" i="2"/>
  <c r="CG220" i="2"/>
  <c r="CI220" i="2" s="1"/>
  <c r="DA220" i="2"/>
  <c r="DB220" i="2" s="1"/>
  <c r="DV225" i="2"/>
  <c r="DW225" i="2" s="1"/>
  <c r="CH232" i="2"/>
  <c r="GU236" i="2"/>
  <c r="EY237" i="2"/>
  <c r="EX237" i="2"/>
  <c r="FQ237" i="2"/>
  <c r="FW237" i="2" s="1"/>
  <c r="FX237" i="2" s="1" a="1"/>
  <c r="FX237" i="2" s="1"/>
  <c r="EV237" i="2"/>
  <c r="BP240" i="2"/>
  <c r="GA240" i="2"/>
  <c r="FZ240" i="2"/>
  <c r="DU248" i="2"/>
  <c r="DO248" i="2"/>
  <c r="DH251" i="2"/>
  <c r="DG251" i="2"/>
  <c r="X212" i="2"/>
  <c r="GU219" i="2"/>
  <c r="GA220" i="2"/>
  <c r="CH225" i="2"/>
  <c r="GU230" i="2"/>
  <c r="GT234" i="2"/>
  <c r="DO236" i="2"/>
  <c r="GT236" i="2"/>
  <c r="DU236" i="2"/>
  <c r="BP218" i="2"/>
  <c r="CG292" i="2"/>
  <c r="EV220" i="2"/>
  <c r="AB224" i="2"/>
  <c r="CW225" i="2"/>
  <c r="CH243" i="2"/>
  <c r="EY243" i="2"/>
  <c r="EX243" i="2"/>
  <c r="FQ243" i="2"/>
  <c r="FW243" i="2" s="1"/>
  <c r="FX243" i="2" s="1" a="1"/>
  <c r="FX243" i="2" s="1"/>
  <c r="EV243" i="2"/>
  <c r="BM247" i="2"/>
  <c r="BN247" i="2" s="1"/>
  <c r="BK247" i="2"/>
  <c r="CL247" i="2" s="1"/>
  <c r="CH292" i="2"/>
  <c r="EV292" i="2"/>
  <c r="DU292" i="2"/>
  <c r="DO292" i="2"/>
  <c r="EY219" i="2"/>
  <c r="EX219" i="2"/>
  <c r="DU219" i="2"/>
  <c r="DO219" i="2"/>
  <c r="GU224" i="2"/>
  <c r="EI230" i="2"/>
  <c r="EG230" i="2"/>
  <c r="GU234" i="2"/>
  <c r="GT239" i="2"/>
  <c r="DA241" i="2"/>
  <c r="DB241" i="2" s="1"/>
  <c r="CW241" i="2"/>
  <c r="CR241" i="2"/>
  <c r="CG241" i="2"/>
  <c r="CI241" i="2" s="1"/>
  <c r="BP221" i="2"/>
  <c r="AB226" i="2"/>
  <c r="EI226" i="2"/>
  <c r="EG226" i="2"/>
  <c r="AB234" i="2"/>
  <c r="Y237" i="2"/>
  <c r="AB237" i="2" s="1"/>
  <c r="X237" i="2"/>
  <c r="FZ213" i="2"/>
  <c r="FZ214" i="2"/>
  <c r="FZ215" i="2"/>
  <c r="FZ216" i="2"/>
  <c r="FZ217" i="2"/>
  <c r="CR221" i="2"/>
  <c r="CG221" i="2"/>
  <c r="CI221" i="2" s="1"/>
  <c r="DA221" i="2"/>
  <c r="DB221" i="2" s="1"/>
  <c r="GA222" i="2"/>
  <c r="BP224" i="2"/>
  <c r="EI224" i="2"/>
  <c r="EG224" i="2"/>
  <c r="AB230" i="2"/>
  <c r="GU231" i="2"/>
  <c r="CH233" i="2"/>
  <c r="EI234" i="2"/>
  <c r="EG234" i="2"/>
  <c r="GU237" i="2"/>
  <c r="EC241" i="2"/>
  <c r="DA246" i="2"/>
  <c r="DB246" i="2" s="1"/>
  <c r="CW246" i="2"/>
  <c r="CR246" i="2"/>
  <c r="CG246" i="2"/>
  <c r="CI246" i="2" s="1"/>
  <c r="CR224" i="2"/>
  <c r="CG224" i="2"/>
  <c r="CI224" i="2" s="1"/>
  <c r="DA224" i="2"/>
  <c r="DB224" i="2" s="1"/>
  <c r="GT232" i="2"/>
  <c r="DY239" i="2"/>
  <c r="DZ239" i="2" s="1"/>
  <c r="EA239" i="2" s="1"/>
  <c r="DQ239" i="2"/>
  <c r="DR239" i="2" s="1"/>
  <c r="EH239" i="2"/>
  <c r="EC239" i="2"/>
  <c r="GT240" i="2"/>
  <c r="GU242" i="2"/>
  <c r="FZ212" i="2"/>
  <c r="FZ292" i="2"/>
  <c r="EV219" i="2"/>
  <c r="FZ219" i="2"/>
  <c r="BP222" i="2"/>
  <c r="DV226" i="2"/>
  <c r="DW226" i="2" s="1"/>
  <c r="EI231" i="2"/>
  <c r="EG231" i="2"/>
  <c r="DY237" i="2"/>
  <c r="DZ237" i="2" s="1"/>
  <c r="EA237" i="2" s="1"/>
  <c r="EH237" i="2"/>
  <c r="EC237" i="2"/>
  <c r="DS237" i="2"/>
  <c r="GU243" i="2"/>
  <c r="CH246" i="2"/>
  <c r="EY218" i="2"/>
  <c r="EX218" i="2"/>
  <c r="CR292" i="2"/>
  <c r="CX292" i="2" s="1"/>
  <c r="CW221" i="2"/>
  <c r="CR222" i="2"/>
  <c r="CG222" i="2"/>
  <c r="CI222" i="2" s="1"/>
  <c r="DA222" i="2"/>
  <c r="DB222" i="2" s="1"/>
  <c r="BP223" i="2"/>
  <c r="CH224" i="2"/>
  <c r="AB231" i="2"/>
  <c r="GU232" i="2"/>
  <c r="GU240" i="2"/>
  <c r="EI243" i="2"/>
  <c r="EG243" i="2"/>
  <c r="DV243" i="2"/>
  <c r="DW243" i="2" s="1"/>
  <c r="GT245" i="2"/>
  <c r="DG267" i="2"/>
  <c r="GH292" i="2"/>
  <c r="EX221" i="2"/>
  <c r="EX222" i="2"/>
  <c r="EX223" i="2"/>
  <c r="EX224" i="2"/>
  <c r="EX225" i="2"/>
  <c r="EX226" i="2"/>
  <c r="EX230" i="2"/>
  <c r="EX231" i="2"/>
  <c r="EX232" i="2"/>
  <c r="EX233" i="2"/>
  <c r="EV236" i="2"/>
  <c r="DO243" i="2"/>
  <c r="EY245" i="2"/>
  <c r="EX245" i="2"/>
  <c r="FQ245" i="2"/>
  <c r="FW245" i="2" s="1"/>
  <c r="FX245" i="2" s="1" a="1"/>
  <c r="FX245" i="2" s="1"/>
  <c r="EV245" i="2"/>
  <c r="DY245" i="2"/>
  <c r="DZ245" i="2" s="1"/>
  <c r="EA245" i="2" s="1"/>
  <c r="DQ245" i="2"/>
  <c r="DR245" i="2" s="1"/>
  <c r="EH245" i="2"/>
  <c r="DU251" i="2"/>
  <c r="DO251" i="2"/>
  <c r="AA392" i="2"/>
  <c r="DU267" i="2"/>
  <c r="DO267" i="2"/>
  <c r="DA226" i="2"/>
  <c r="DB226" i="2" s="1"/>
  <c r="DA230" i="2"/>
  <c r="DB230" i="2" s="1"/>
  <c r="DA231" i="2"/>
  <c r="DB231" i="2" s="1"/>
  <c r="DA232" i="2"/>
  <c r="DB232" i="2" s="1"/>
  <c r="DA233" i="2"/>
  <c r="DB233" i="2" s="1"/>
  <c r="DA234" i="2"/>
  <c r="DB234" i="2" s="1"/>
  <c r="DA240" i="2"/>
  <c r="DB240" i="2" s="1"/>
  <c r="CW240" i="2"/>
  <c r="DA245" i="2"/>
  <c r="DB245" i="2" s="1"/>
  <c r="CW245" i="2"/>
  <c r="GU267" i="2"/>
  <c r="DU308" i="2"/>
  <c r="DO308" i="2"/>
  <c r="CG226" i="2"/>
  <c r="CI226" i="2" s="1"/>
  <c r="CG230" i="2"/>
  <c r="CI230" i="2" s="1"/>
  <c r="CG231" i="2"/>
  <c r="CI231" i="2" s="1"/>
  <c r="CG232" i="2"/>
  <c r="CI232" i="2" s="1"/>
  <c r="CG233" i="2"/>
  <c r="CI233" i="2" s="1"/>
  <c r="CG234" i="2"/>
  <c r="CI234" i="2" s="1"/>
  <c r="CG236" i="2"/>
  <c r="CI236" i="2" s="1"/>
  <c r="DA236" i="2"/>
  <c r="DB236" i="2" s="1"/>
  <c r="DG245" i="2"/>
  <c r="DA247" i="2"/>
  <c r="DB247" i="2" s="1"/>
  <c r="CW247" i="2"/>
  <c r="EY248" i="2"/>
  <c r="EX248" i="2"/>
  <c r="FQ248" i="2"/>
  <c r="FW248" i="2" s="1"/>
  <c r="FX248" i="2" s="1" a="1"/>
  <c r="FX248" i="2" s="1"/>
  <c r="EV248" i="2"/>
  <c r="EY241" i="2"/>
  <c r="EX241" i="2"/>
  <c r="FQ241" i="2"/>
  <c r="FW241" i="2" s="1"/>
  <c r="FX241" i="2" s="1" a="1"/>
  <c r="FX241" i="2" s="1"/>
  <c r="EV241" i="2"/>
  <c r="DG247" i="2"/>
  <c r="BM248" i="2"/>
  <c r="BN248" i="2" s="1"/>
  <c r="BK248" i="2"/>
  <c r="CL248" i="2" s="1"/>
  <c r="EY249" i="2"/>
  <c r="EX249" i="2"/>
  <c r="FQ249" i="2"/>
  <c r="FW249" i="2" s="1"/>
  <c r="FX249" i="2" s="1" a="1"/>
  <c r="FX249" i="2" s="1"/>
  <c r="EV249" i="2"/>
  <c r="DG257" i="2"/>
  <c r="DH257" i="2" s="1"/>
  <c r="CG238" i="2"/>
  <c r="CI238" i="2" s="1"/>
  <c r="DA238" i="2"/>
  <c r="DB238" i="2" s="1"/>
  <c r="DA239" i="2"/>
  <c r="DB239" i="2" s="1"/>
  <c r="CW239" i="2"/>
  <c r="BP242" i="2"/>
  <c r="DU257" i="2"/>
  <c r="DO257" i="2"/>
  <c r="CW236" i="2"/>
  <c r="BP237" i="2"/>
  <c r="CG240" i="2"/>
  <c r="CI240" i="2" s="1"/>
  <c r="DA242" i="2"/>
  <c r="DB242" i="2" s="1"/>
  <c r="CW242" i="2"/>
  <c r="CG245" i="2"/>
  <c r="CI245" i="2" s="1"/>
  <c r="BM249" i="2"/>
  <c r="BN249" i="2" s="1"/>
  <c r="BK249" i="2"/>
  <c r="CL249" i="2" s="1"/>
  <c r="CG237" i="2"/>
  <c r="CI237" i="2" s="1"/>
  <c r="DA237" i="2"/>
  <c r="DB237" i="2" s="1"/>
  <c r="CH240" i="2"/>
  <c r="CG247" i="2"/>
  <c r="CI247" i="2" s="1"/>
  <c r="DA248" i="2"/>
  <c r="DB248" i="2" s="1"/>
  <c r="CW248" i="2"/>
  <c r="DH250" i="2"/>
  <c r="DG250" i="2"/>
  <c r="DO223" i="2"/>
  <c r="DO224" i="2"/>
  <c r="DO225" i="2"/>
  <c r="DO226" i="2"/>
  <c r="DO230" i="2"/>
  <c r="DO231" i="2"/>
  <c r="DO232" i="2"/>
  <c r="DO233" i="2"/>
  <c r="DO234" i="2"/>
  <c r="EY240" i="2"/>
  <c r="EX240" i="2"/>
  <c r="FQ240" i="2"/>
  <c r="FW240" i="2" s="1"/>
  <c r="FX240" i="2" s="1" a="1"/>
  <c r="FX240" i="2" s="1"/>
  <c r="EV240" i="2"/>
  <c r="EH242" i="2"/>
  <c r="DY246" i="2"/>
  <c r="DZ246" i="2" s="1"/>
  <c r="EA246" i="2" s="1"/>
  <c r="DQ246" i="2"/>
  <c r="DR246" i="2" s="1"/>
  <c r="EH246" i="2"/>
  <c r="CH247" i="2"/>
  <c r="DG248" i="2"/>
  <c r="AA249" i="2"/>
  <c r="DA249" i="2"/>
  <c r="DB249" i="2" s="1"/>
  <c r="CW249" i="2"/>
  <c r="AA250" i="2"/>
  <c r="DA250" i="2"/>
  <c r="DB250" i="2" s="1"/>
  <c r="CW250" i="2"/>
  <c r="CR250" i="2"/>
  <c r="DG167" i="2"/>
  <c r="DH167" i="2" s="1"/>
  <c r="DU167" i="2"/>
  <c r="DO167" i="2"/>
  <c r="DG236" i="2"/>
  <c r="FZ236" i="2"/>
  <c r="DG238" i="2"/>
  <c r="BK241" i="2"/>
  <c r="CL241" i="2" s="1"/>
  <c r="EY242" i="2"/>
  <c r="EX242" i="2"/>
  <c r="FQ242" i="2"/>
  <c r="FW242" i="2" s="1"/>
  <c r="FX242" i="2" s="1" a="1"/>
  <c r="FX242" i="2" s="1"/>
  <c r="EV242" i="2"/>
  <c r="DG249" i="2"/>
  <c r="GU250" i="2"/>
  <c r="CH265" i="2"/>
  <c r="FZ265" i="2"/>
  <c r="GA265" i="2" s="1"/>
  <c r="FZ226" i="2"/>
  <c r="FZ230" i="2"/>
  <c r="EY239" i="2"/>
  <c r="EX239" i="2"/>
  <c r="FQ239" i="2"/>
  <c r="FW239" i="2" s="1"/>
  <c r="FX239" i="2" s="1" a="1"/>
  <c r="FX239" i="2" s="1"/>
  <c r="EV239" i="2"/>
  <c r="BP243" i="2"/>
  <c r="CR245" i="2"/>
  <c r="EY246" i="2"/>
  <c r="EX246" i="2"/>
  <c r="FQ246" i="2"/>
  <c r="FW246" i="2" s="1"/>
  <c r="FX246" i="2" s="1" a="1"/>
  <c r="FX246" i="2" s="1"/>
  <c r="EV246" i="2"/>
  <c r="CG248" i="2"/>
  <c r="CI248" i="2" s="1"/>
  <c r="DU250" i="2"/>
  <c r="DO250" i="2"/>
  <c r="EY238" i="2"/>
  <c r="EX238" i="2"/>
  <c r="FQ238" i="2"/>
  <c r="FW238" i="2" s="1"/>
  <c r="FX238" i="2" s="1" a="1"/>
  <c r="FX238" i="2" s="1"/>
  <c r="DA243" i="2"/>
  <c r="DB243" i="2" s="1"/>
  <c r="CW243" i="2"/>
  <c r="GU247" i="2"/>
  <c r="DU392" i="2"/>
  <c r="DO392" i="2"/>
  <c r="DQ242" i="2"/>
  <c r="DR242" i="2" s="1"/>
  <c r="DY247" i="2"/>
  <c r="DZ247" i="2" s="1"/>
  <c r="EA247" i="2" s="1"/>
  <c r="DQ247" i="2"/>
  <c r="DR247" i="2" s="1"/>
  <c r="EH247" i="2"/>
  <c r="CG249" i="2"/>
  <c r="CI249" i="2" s="1"/>
  <c r="CG250" i="2"/>
  <c r="CI250" i="2" s="1"/>
  <c r="DH392" i="2"/>
  <c r="DG392" i="2"/>
  <c r="BK250" i="2"/>
  <c r="CL250" i="2" s="1"/>
  <c r="BK251" i="2"/>
  <c r="CL251" i="2" s="1"/>
  <c r="BK252" i="2"/>
  <c r="CL252" i="2" s="1"/>
  <c r="BK257" i="2"/>
  <c r="CL257" i="2" s="1"/>
  <c r="BK167" i="2"/>
  <c r="BK392" i="2"/>
  <c r="CL392" i="2" s="1"/>
  <c r="GA267" i="2"/>
  <c r="DG265" i="2"/>
  <c r="DH265" i="2" s="1"/>
  <c r="GT98" i="2"/>
  <c r="BP267" i="2"/>
  <c r="CR267" i="2"/>
  <c r="GU98" i="2"/>
  <c r="CR251" i="2"/>
  <c r="CR252" i="2"/>
  <c r="CR257" i="2"/>
  <c r="CR167" i="2"/>
  <c r="CX167" i="2" s="1"/>
  <c r="CR392" i="2"/>
  <c r="DU98" i="2"/>
  <c r="DO98" i="2"/>
  <c r="FN257" i="2"/>
  <c r="EV250" i="2"/>
  <c r="CW251" i="2"/>
  <c r="EV251" i="2"/>
  <c r="CW252" i="2"/>
  <c r="EV252" i="2"/>
  <c r="FZ252" i="2" s="1"/>
  <c r="GA252" i="2" s="1"/>
  <c r="CW257" i="2"/>
  <c r="EV257" i="2"/>
  <c r="FO257" i="2" s="1"/>
  <c r="CW167" i="2"/>
  <c r="EV167" i="2"/>
  <c r="FZ167" i="2" s="1"/>
  <c r="GA167" i="2" s="1"/>
  <c r="CW392" i="2"/>
  <c r="EX267" i="2"/>
  <c r="EX265" i="2"/>
  <c r="EY265" i="2" s="1"/>
  <c r="BP261" i="2"/>
  <c r="FQ250" i="2"/>
  <c r="FW250" i="2" s="1"/>
  <c r="FX250" i="2" s="1" a="1"/>
  <c r="FX250" i="2" s="1"/>
  <c r="FQ251" i="2"/>
  <c r="FW251" i="2" s="1"/>
  <c r="FX251" i="2" s="1" a="1"/>
  <c r="FX251" i="2" s="1"/>
  <c r="DA261" i="2"/>
  <c r="DB261" i="2" s="1"/>
  <c r="CW261" i="2"/>
  <c r="CG261" i="2"/>
  <c r="CI261" i="2" s="1"/>
  <c r="CR261" i="2"/>
  <c r="EX250" i="2"/>
  <c r="EX251" i="2"/>
  <c r="DA267" i="2"/>
  <c r="DB267" i="2" s="1"/>
  <c r="CG265" i="2"/>
  <c r="CI265" i="2" s="1"/>
  <c r="GU308" i="2"/>
  <c r="DU128" i="2"/>
  <c r="DO128" i="2"/>
  <c r="GU128" i="2"/>
  <c r="EH390" i="2"/>
  <c r="DY390" i="2"/>
  <c r="DZ390" i="2" s="1"/>
  <c r="EA390" i="2" s="1"/>
  <c r="DS390" i="2"/>
  <c r="EC390" i="2"/>
  <c r="CH308" i="2"/>
  <c r="DH253" i="2"/>
  <c r="DG253" i="2"/>
  <c r="EY255" i="2"/>
  <c r="EX255" i="2"/>
  <c r="FQ255" i="2"/>
  <c r="FW255" i="2" s="1"/>
  <c r="FX255" i="2" s="1" a="1"/>
  <c r="FX255" i="2" s="1"/>
  <c r="EV255" i="2"/>
  <c r="GT128" i="2"/>
  <c r="GA102" i="2"/>
  <c r="FZ102" i="2"/>
  <c r="BP253" i="2"/>
  <c r="GU259" i="2"/>
  <c r="CH98" i="2"/>
  <c r="CH128" i="2"/>
  <c r="EV261" i="2"/>
  <c r="FO261" i="2" s="1"/>
  <c r="GH308" i="2"/>
  <c r="GT102" i="2"/>
  <c r="DO311" i="2"/>
  <c r="DU311" i="2"/>
  <c r="DO253" i="2"/>
  <c r="DU253" i="2"/>
  <c r="EI262" i="2"/>
  <c r="EG262" i="2"/>
  <c r="DV262" i="2"/>
  <c r="DW262" i="2" s="1"/>
  <c r="GT308" i="2"/>
  <c r="DQ390" i="2"/>
  <c r="DR390" i="2" s="1"/>
  <c r="CH30" i="2"/>
  <c r="GT254" i="2"/>
  <c r="EY256" i="2"/>
  <c r="EX256" i="2"/>
  <c r="FQ256" i="2"/>
  <c r="FW256" i="2" s="1"/>
  <c r="FX256" i="2" s="1" a="1"/>
  <c r="FX256" i="2" s="1"/>
  <c r="EV256" i="2"/>
  <c r="EV258" i="2"/>
  <c r="EY259" i="2"/>
  <c r="EX259" i="2"/>
  <c r="FQ259" i="2"/>
  <c r="FW259" i="2" s="1"/>
  <c r="FX259" i="2" s="1" a="1"/>
  <c r="FX259" i="2" s="1"/>
  <c r="EV259" i="2"/>
  <c r="GT259" i="2"/>
  <c r="BP271" i="2"/>
  <c r="FQ308" i="2"/>
  <c r="EH254" i="2"/>
  <c r="EC254" i="2"/>
  <c r="DY254" i="2"/>
  <c r="DZ254" i="2" s="1"/>
  <c r="EA254" i="2" s="1"/>
  <c r="DS254" i="2"/>
  <c r="GT255" i="2"/>
  <c r="GT256" i="2"/>
  <c r="GH30" i="2"/>
  <c r="DH261" i="2"/>
  <c r="DG261" i="2"/>
  <c r="GU255" i="2"/>
  <c r="GU256" i="2"/>
  <c r="EH259" i="2"/>
  <c r="EC259" i="2"/>
  <c r="DY259" i="2"/>
  <c r="DZ259" i="2" s="1"/>
  <c r="EA259" i="2" s="1"/>
  <c r="DS259" i="2"/>
  <c r="DA308" i="2"/>
  <c r="DB308" i="2" s="1"/>
  <c r="EY308" i="2"/>
  <c r="DO255" i="2"/>
  <c r="DU255" i="2"/>
  <c r="DO256" i="2"/>
  <c r="DU256" i="2"/>
  <c r="CR311" i="2"/>
  <c r="GU273" i="2"/>
  <c r="BP258" i="2"/>
  <c r="DA244" i="2"/>
  <c r="DB244" i="2" s="1"/>
  <c r="CW244" i="2"/>
  <c r="CR244" i="2"/>
  <c r="DG244" i="2"/>
  <c r="DH244" i="2" s="1"/>
  <c r="CG244" i="2"/>
  <c r="CI244" i="2" s="1"/>
  <c r="CZ244" i="2"/>
  <c r="FN102" i="2"/>
  <c r="EV390" i="2"/>
  <c r="FZ253" i="2"/>
  <c r="CR263" i="2"/>
  <c r="CG263" i="2"/>
  <c r="CI263" i="2" s="1"/>
  <c r="DA263" i="2"/>
  <c r="DB263" i="2" s="1"/>
  <c r="CW263" i="2"/>
  <c r="X30" i="2"/>
  <c r="X98" i="2"/>
  <c r="X128" i="2"/>
  <c r="FO102" i="2"/>
  <c r="GJ102" i="2" s="1"/>
  <c r="EH102" i="2"/>
  <c r="DY102" i="2"/>
  <c r="DZ102" i="2" s="1"/>
  <c r="EA102" i="2" s="1"/>
  <c r="EH261" i="2"/>
  <c r="DY261" i="2"/>
  <c r="DZ261" i="2" s="1"/>
  <c r="EA261" i="2" s="1"/>
  <c r="BP254" i="2"/>
  <c r="DQ254" i="2"/>
  <c r="DR254" i="2" s="1"/>
  <c r="FP261" i="2"/>
  <c r="BP259" i="2"/>
  <c r="CG260" i="2"/>
  <c r="CI260" i="2" s="1"/>
  <c r="DA260" i="2"/>
  <c r="DB260" i="2" s="1"/>
  <c r="CW260" i="2"/>
  <c r="EY260" i="2"/>
  <c r="EX260" i="2"/>
  <c r="FQ260" i="2"/>
  <c r="FW260" i="2" s="1"/>
  <c r="FX260" i="2" s="1" a="1"/>
  <c r="FX260" i="2" s="1"/>
  <c r="EV260" i="2"/>
  <c r="CH262" i="2"/>
  <c r="EY102" i="2"/>
  <c r="EX102" i="2"/>
  <c r="FQ102" i="2"/>
  <c r="FW102" i="2" s="1"/>
  <c r="FX102" i="2" s="1" a="1"/>
  <c r="FX102" i="2" s="1"/>
  <c r="EV102" i="2"/>
  <c r="EY253" i="2"/>
  <c r="EX253" i="2"/>
  <c r="FQ253" i="2"/>
  <c r="FW253" i="2" s="1"/>
  <c r="FX253" i="2" s="1" a="1"/>
  <c r="FX253" i="2" s="1"/>
  <c r="EV253" i="2"/>
  <c r="BP272" i="2"/>
  <c r="EV276" i="2"/>
  <c r="EY276" i="2"/>
  <c r="FQ276" i="2"/>
  <c r="EX276" i="2"/>
  <c r="DA102" i="2"/>
  <c r="DB102" i="2" s="1"/>
  <c r="CW102" i="2"/>
  <c r="DO260" i="2"/>
  <c r="DU260" i="2"/>
  <c r="FZ98" i="2"/>
  <c r="FZ128" i="2"/>
  <c r="DH390" i="2"/>
  <c r="DG390" i="2"/>
  <c r="GT253" i="2"/>
  <c r="EY254" i="2"/>
  <c r="EX254" i="2"/>
  <c r="FQ254" i="2"/>
  <c r="FW254" i="2" s="1"/>
  <c r="FX254" i="2" s="1" a="1"/>
  <c r="FX254" i="2" s="1"/>
  <c r="EV254" i="2"/>
  <c r="GT262" i="2"/>
  <c r="DH102" i="2"/>
  <c r="DG102" i="2"/>
  <c r="EV311" i="2"/>
  <c r="CR260" i="2"/>
  <c r="FP260" i="2"/>
  <c r="FO260" i="2"/>
  <c r="GJ260" i="2" s="1"/>
  <c r="GA270" i="2"/>
  <c r="FZ270" i="2"/>
  <c r="AA273" i="2"/>
  <c r="GU274" i="2"/>
  <c r="DV287" i="2"/>
  <c r="DW287" i="2" s="1"/>
  <c r="EI287" i="2"/>
  <c r="EG287" i="2"/>
  <c r="GA271" i="2"/>
  <c r="FZ271" i="2"/>
  <c r="DO273" i="2"/>
  <c r="DU273" i="2"/>
  <c r="FO259" i="2"/>
  <c r="GJ259" i="2" s="1"/>
  <c r="GT269" i="2"/>
  <c r="FZ272" i="2"/>
  <c r="FQ280" i="2"/>
  <c r="EV280" i="2"/>
  <c r="EY280" i="2"/>
  <c r="EX280" i="2"/>
  <c r="FR300" i="2" a="1"/>
  <c r="FR300" i="2" s="1"/>
  <c r="DH303" i="2"/>
  <c r="DG303" i="2"/>
  <c r="CW390" i="2"/>
  <c r="CW253" i="2"/>
  <c r="CW254" i="2"/>
  <c r="CW255" i="2"/>
  <c r="CW256" i="2"/>
  <c r="CW311" i="2"/>
  <c r="CW258" i="2"/>
  <c r="CW259" i="2"/>
  <c r="FZ262" i="2"/>
  <c r="EH268" i="2"/>
  <c r="EC268" i="2"/>
  <c r="DY268" i="2"/>
  <c r="DZ268" i="2" s="1"/>
  <c r="EA268" i="2" s="1"/>
  <c r="DS268" i="2"/>
  <c r="CG262" i="2"/>
  <c r="CI262" i="2" s="1"/>
  <c r="DU268" i="2"/>
  <c r="DU282" i="2"/>
  <c r="DO282" i="2"/>
  <c r="GU286" i="2"/>
  <c r="GH261" i="2"/>
  <c r="GH390" i="2"/>
  <c r="CZ311" i="2"/>
  <c r="GH311" i="2"/>
  <c r="GH259" i="2"/>
  <c r="BP235" i="2"/>
  <c r="BP268" i="2"/>
  <c r="GU268" i="2"/>
  <c r="CW274" i="2"/>
  <c r="CR274" i="2"/>
  <c r="CG274" i="2"/>
  <c r="CI274" i="2" s="1"/>
  <c r="DA274" i="2"/>
  <c r="DB274" i="2" s="1"/>
  <c r="Y275" i="2"/>
  <c r="AB275" i="2" s="1"/>
  <c r="X275" i="2"/>
  <c r="DA390" i="2"/>
  <c r="DB390" i="2" s="1"/>
  <c r="DA253" i="2"/>
  <c r="DB253" i="2" s="1"/>
  <c r="DA254" i="2"/>
  <c r="DB254" i="2" s="1"/>
  <c r="DA255" i="2"/>
  <c r="DB255" i="2" s="1"/>
  <c r="DA256" i="2"/>
  <c r="DB256" i="2" s="1"/>
  <c r="DA311" i="2"/>
  <c r="DB311" i="2" s="1"/>
  <c r="CH263" i="2"/>
  <c r="CH244" i="2"/>
  <c r="EV244" i="2"/>
  <c r="GH244" i="2"/>
  <c r="DG235" i="2"/>
  <c r="DH235" i="2" s="1"/>
  <c r="CG235" i="2"/>
  <c r="DA235" i="2"/>
  <c r="DB235" i="2" s="1"/>
  <c r="CW235" i="2"/>
  <c r="DO269" i="2"/>
  <c r="DU269" i="2"/>
  <c r="CH260" i="2"/>
  <c r="DG263" i="2"/>
  <c r="BK262" i="2"/>
  <c r="CL262" i="2" s="1"/>
  <c r="DO262" i="2"/>
  <c r="GU271" i="2"/>
  <c r="GA273" i="2"/>
  <c r="FZ273" i="2"/>
  <c r="Y282" i="2"/>
  <c r="AB282" i="2" s="1"/>
  <c r="X282" i="2"/>
  <c r="DG260" i="2"/>
  <c r="BK263" i="2"/>
  <c r="CL263" i="2" s="1"/>
  <c r="EY262" i="2"/>
  <c r="EV262" i="2"/>
  <c r="EH235" i="2"/>
  <c r="DY235" i="2"/>
  <c r="DZ235" i="2" s="1"/>
  <c r="EA235" i="2" s="1"/>
  <c r="GA268" i="2"/>
  <c r="FZ268" i="2"/>
  <c r="BP269" i="2"/>
  <c r="T282" i="2"/>
  <c r="DG254" i="2"/>
  <c r="DG255" i="2"/>
  <c r="DG256" i="2"/>
  <c r="DG311" i="2"/>
  <c r="DH311" i="2" s="1"/>
  <c r="DG258" i="2"/>
  <c r="DG259" i="2"/>
  <c r="FQ262" i="2"/>
  <c r="FW262" i="2" s="1"/>
  <c r="FX262" i="2" s="1" a="1"/>
  <c r="FX262" i="2" s="1"/>
  <c r="DO270" i="2"/>
  <c r="DU270" i="2"/>
  <c r="DO271" i="2"/>
  <c r="DU271" i="2"/>
  <c r="BP276" i="2"/>
  <c r="GA277" i="2"/>
  <c r="FZ277" i="2"/>
  <c r="CW289" i="2"/>
  <c r="CR289" i="2"/>
  <c r="CG289" i="2"/>
  <c r="CI289" i="2" s="1"/>
  <c r="DA289" i="2"/>
  <c r="DB289" i="2" s="1"/>
  <c r="BK102" i="2"/>
  <c r="CL102" i="2" s="1"/>
  <c r="BK261" i="2"/>
  <c r="CL261" i="2" s="1"/>
  <c r="BK390" i="2"/>
  <c r="CL390" i="2" s="1"/>
  <c r="BK253" i="2"/>
  <c r="CL253" i="2" s="1"/>
  <c r="BK258" i="2"/>
  <c r="CL258" i="2" s="1"/>
  <c r="BK259" i="2"/>
  <c r="CL259" i="2" s="1"/>
  <c r="BK260" i="2"/>
  <c r="CL260" i="2" s="1"/>
  <c r="X244" i="2"/>
  <c r="BK244" i="2"/>
  <c r="CL244" i="2" s="1"/>
  <c r="BP270" i="2"/>
  <c r="GU270" i="2"/>
  <c r="DO272" i="2"/>
  <c r="DU272" i="2"/>
  <c r="BP262" i="2"/>
  <c r="CR262" i="2"/>
  <c r="GA269" i="2"/>
  <c r="FZ269" i="2"/>
  <c r="GU272" i="2"/>
  <c r="DV278" i="2"/>
  <c r="DW278" i="2" s="1"/>
  <c r="EI278" i="2"/>
  <c r="EG278" i="2"/>
  <c r="CR268" i="2"/>
  <c r="CR269" i="2"/>
  <c r="CR270" i="2"/>
  <c r="CR271" i="2"/>
  <c r="CR272" i="2"/>
  <c r="Y277" i="2"/>
  <c r="AB277" i="2" s="1"/>
  <c r="X277" i="2"/>
  <c r="GU279" i="2"/>
  <c r="GT283" i="2"/>
  <c r="Y286" i="2"/>
  <c r="AB286" i="2" s="1"/>
  <c r="X286" i="2"/>
  <c r="DU286" i="2"/>
  <c r="DO286" i="2"/>
  <c r="BP279" i="2"/>
  <c r="GU283" i="2"/>
  <c r="T286" i="2"/>
  <c r="BM275" i="2"/>
  <c r="BN275" i="2" s="1"/>
  <c r="BK275" i="2"/>
  <c r="CL275" i="2" s="1"/>
  <c r="Y279" i="2"/>
  <c r="AB279" i="2" s="1"/>
  <c r="X279" i="2"/>
  <c r="DV279" i="2"/>
  <c r="DW279" i="2" s="1"/>
  <c r="EI279" i="2"/>
  <c r="EG279" i="2"/>
  <c r="Y283" i="2"/>
  <c r="AB283" i="2" s="1"/>
  <c r="X283" i="2"/>
  <c r="DU283" i="2"/>
  <c r="DO283" i="2"/>
  <c r="FO271" i="2"/>
  <c r="GJ271" i="2" s="1"/>
  <c r="DH276" i="2"/>
  <c r="DG276" i="2"/>
  <c r="BP277" i="2"/>
  <c r="T283" i="2"/>
  <c r="GT288" i="2"/>
  <c r="FP299" i="2"/>
  <c r="FO299" i="2"/>
  <c r="GJ299" i="2" s="1"/>
  <c r="FN299" i="2"/>
  <c r="EV235" i="2"/>
  <c r="CW268" i="2"/>
  <c r="EV268" i="2"/>
  <c r="CW269" i="2"/>
  <c r="EV269" i="2"/>
  <c r="CW270" i="2"/>
  <c r="EV270" i="2"/>
  <c r="CW271" i="2"/>
  <c r="EV271" i="2"/>
  <c r="CW272" i="2"/>
  <c r="EV272" i="2"/>
  <c r="FQ274" i="2"/>
  <c r="Y287" i="2"/>
  <c r="AB287" i="2" s="1"/>
  <c r="X287" i="2"/>
  <c r="GU288" i="2"/>
  <c r="GT297" i="2"/>
  <c r="GA278" i="2"/>
  <c r="FZ278" i="2"/>
  <c r="Y280" i="2"/>
  <c r="AB280" i="2" s="1"/>
  <c r="X280" i="2"/>
  <c r="T287" i="2"/>
  <c r="DU288" i="2"/>
  <c r="DO288" i="2"/>
  <c r="Y302" i="2"/>
  <c r="AB302" i="2" s="1"/>
  <c r="X302" i="2"/>
  <c r="FO302" i="2"/>
  <c r="GJ302" i="2" s="1"/>
  <c r="EG305" i="2"/>
  <c r="DV305" i="2"/>
  <c r="DW305" i="2" s="1"/>
  <c r="EI305" i="2"/>
  <c r="DS275" i="2"/>
  <c r="EH275" i="2"/>
  <c r="GU280" i="2"/>
  <c r="Y284" i="2"/>
  <c r="AB284" i="2" s="1"/>
  <c r="X284" i="2"/>
  <c r="GU284" i="2"/>
  <c r="DA268" i="2"/>
  <c r="DB268" i="2" s="1"/>
  <c r="DA269" i="2"/>
  <c r="DB269" i="2" s="1"/>
  <c r="DA270" i="2"/>
  <c r="DB270" i="2" s="1"/>
  <c r="DA271" i="2"/>
  <c r="DB271" i="2" s="1"/>
  <c r="DA272" i="2"/>
  <c r="DB272" i="2" s="1"/>
  <c r="BK273" i="2"/>
  <c r="CL273" i="2" s="1"/>
  <c r="T274" i="2"/>
  <c r="EV275" i="2"/>
  <c r="EY275" i="2"/>
  <c r="GU277" i="2"/>
  <c r="DU280" i="2"/>
  <c r="DO280" i="2"/>
  <c r="T284" i="2"/>
  <c r="DU284" i="2"/>
  <c r="DO284" i="2"/>
  <c r="GA279" i="2"/>
  <c r="FZ279" i="2"/>
  <c r="X274" i="2"/>
  <c r="EX274" i="2"/>
  <c r="GU275" i="2"/>
  <c r="GT276" i="2"/>
  <c r="DU277" i="2"/>
  <c r="DO277" i="2"/>
  <c r="GU281" i="2"/>
  <c r="X235" i="2"/>
  <c r="X268" i="2"/>
  <c r="X269" i="2"/>
  <c r="X270" i="2"/>
  <c r="X271" i="2"/>
  <c r="X272" i="2"/>
  <c r="BK274" i="2"/>
  <c r="CL274" i="2" s="1"/>
  <c r="EY274" i="2"/>
  <c r="EX275" i="2"/>
  <c r="GU276" i="2"/>
  <c r="DU281" i="2"/>
  <c r="DO281" i="2"/>
  <c r="DG268" i="2"/>
  <c r="DG269" i="2"/>
  <c r="DG271" i="2"/>
  <c r="Y281" i="2"/>
  <c r="AB281" i="2" s="1"/>
  <c r="X281" i="2"/>
  <c r="Y285" i="2"/>
  <c r="AB285" i="2" s="1"/>
  <c r="X285" i="2"/>
  <c r="GU285" i="2"/>
  <c r="DU276" i="2"/>
  <c r="DO276" i="2"/>
  <c r="Y278" i="2"/>
  <c r="AB278" i="2" s="1"/>
  <c r="X278" i="2"/>
  <c r="GT278" i="2"/>
  <c r="T281" i="2"/>
  <c r="GT282" i="2"/>
  <c r="T285" i="2"/>
  <c r="DU285" i="2"/>
  <c r="DO285" i="2"/>
  <c r="DG297" i="2"/>
  <c r="DQ275" i="2"/>
  <c r="DR275" i="2" s="1"/>
  <c r="BP278" i="2"/>
  <c r="GU278" i="2"/>
  <c r="GU282" i="2"/>
  <c r="GU287" i="2"/>
  <c r="GT287" i="2"/>
  <c r="BP289" i="2"/>
  <c r="EY277" i="2"/>
  <c r="EY278" i="2"/>
  <c r="EY279" i="2"/>
  <c r="CG280" i="2"/>
  <c r="CI280" i="2" s="1"/>
  <c r="CG281" i="2"/>
  <c r="CI281" i="2" s="1"/>
  <c r="CG282" i="2"/>
  <c r="CI282" i="2" s="1"/>
  <c r="CG283" i="2"/>
  <c r="CI283" i="2" s="1"/>
  <c r="EG289" i="2"/>
  <c r="DV290" i="2"/>
  <c r="DW290" i="2" s="1"/>
  <c r="EI290" i="2"/>
  <c r="EG290" i="2"/>
  <c r="CW288" i="2"/>
  <c r="CR288" i="2"/>
  <c r="DU304" i="2"/>
  <c r="DO304" i="2"/>
  <c r="EY326" i="2"/>
  <c r="EX326" i="2"/>
  <c r="EV326" i="2"/>
  <c r="FQ326" i="2"/>
  <c r="DG287" i="2"/>
  <c r="EI289" i="2"/>
  <c r="DV297" i="2"/>
  <c r="DW297" i="2" s="1"/>
  <c r="EI297" i="2"/>
  <c r="BP303" i="2"/>
  <c r="GU304" i="2"/>
  <c r="DA288" i="2"/>
  <c r="DB288" i="2" s="1"/>
  <c r="EX293" i="2"/>
  <c r="FQ293" i="2"/>
  <c r="FW293" i="2" s="1"/>
  <c r="FX293" i="2" s="1" a="1"/>
  <c r="FX293" i="2" s="1"/>
  <c r="EV293" i="2"/>
  <c r="CH318" i="2"/>
  <c r="DG277" i="2"/>
  <c r="DG278" i="2"/>
  <c r="DG279" i="2"/>
  <c r="BK280" i="2"/>
  <c r="CL280" i="2" s="1"/>
  <c r="BK281" i="2"/>
  <c r="CL281" i="2" s="1"/>
  <c r="BK282" i="2"/>
  <c r="CL282" i="2" s="1"/>
  <c r="BK283" i="2"/>
  <c r="CL283" i="2" s="1"/>
  <c r="BK284" i="2"/>
  <c r="CL284" i="2" s="1"/>
  <c r="BK285" i="2"/>
  <c r="CL285" i="2" s="1"/>
  <c r="BK286" i="2"/>
  <c r="CL286" i="2" s="1"/>
  <c r="BK287" i="2"/>
  <c r="CL287" i="2" s="1"/>
  <c r="DO287" i="2"/>
  <c r="GA287" i="2"/>
  <c r="DG289" i="2"/>
  <c r="GT289" i="2"/>
  <c r="EV266" i="2"/>
  <c r="T293" i="2"/>
  <c r="GT298" i="2"/>
  <c r="BK276" i="2"/>
  <c r="CL276" i="2" s="1"/>
  <c r="BK277" i="2"/>
  <c r="CL277" i="2" s="1"/>
  <c r="BK278" i="2"/>
  <c r="CL278" i="2" s="1"/>
  <c r="BK279" i="2"/>
  <c r="CL279" i="2" s="1"/>
  <c r="GA288" i="2"/>
  <c r="DO290" i="2"/>
  <c r="GA290" i="2"/>
  <c r="FZ290" i="2"/>
  <c r="T291" i="2"/>
  <c r="BM291" i="2"/>
  <c r="BN291" i="2" s="1"/>
  <c r="GU291" i="2"/>
  <c r="EG297" i="2"/>
  <c r="DG298" i="2"/>
  <c r="DO278" i="2"/>
  <c r="DO279" i="2"/>
  <c r="DO289" i="2"/>
  <c r="DV291" i="2"/>
  <c r="DW291" i="2" s="1"/>
  <c r="EI291" i="2"/>
  <c r="EG291" i="2"/>
  <c r="EY293" i="2"/>
  <c r="CG288" i="2"/>
  <c r="CI288" i="2" s="1"/>
  <c r="Y291" i="2"/>
  <c r="AB291" i="2" s="1"/>
  <c r="EG300" i="2"/>
  <c r="EI300" i="2"/>
  <c r="DV300" i="2"/>
  <c r="DW300" i="2" s="1"/>
  <c r="GA304" i="2"/>
  <c r="FZ304" i="2"/>
  <c r="GT296" i="2"/>
  <c r="DV298" i="2"/>
  <c r="DW298" i="2" s="1"/>
  <c r="EI298" i="2"/>
  <c r="DU264" i="2"/>
  <c r="DO264" i="2"/>
  <c r="FO266" i="2"/>
  <c r="GJ266" i="2" s="1"/>
  <c r="Y266" i="2"/>
  <c r="AB266" i="2" s="1"/>
  <c r="X266" i="2"/>
  <c r="GT293" i="2"/>
  <c r="DO300" i="2"/>
  <c r="FN281" i="2"/>
  <c r="FN284" i="2"/>
  <c r="T288" i="2"/>
  <c r="GU294" i="2"/>
  <c r="FO281" i="2"/>
  <c r="GJ281" i="2" s="1"/>
  <c r="FO284" i="2"/>
  <c r="GJ284" i="2" s="1"/>
  <c r="GA289" i="2"/>
  <c r="FZ289" i="2"/>
  <c r="GA291" i="2"/>
  <c r="FZ291" i="2"/>
  <c r="T266" i="2"/>
  <c r="GU293" i="2"/>
  <c r="EG298" i="2"/>
  <c r="DO301" i="2"/>
  <c r="DU301" i="2"/>
  <c r="EG302" i="2"/>
  <c r="DV302" i="2"/>
  <c r="DW302" i="2" s="1"/>
  <c r="EI302" i="2"/>
  <c r="DU306" i="2"/>
  <c r="DO306" i="2"/>
  <c r="FO277" i="2"/>
  <c r="GJ277" i="2" s="1"/>
  <c r="EV281" i="2"/>
  <c r="EV282" i="2"/>
  <c r="EV283" i="2"/>
  <c r="EV284" i="2"/>
  <c r="EV285" i="2"/>
  <c r="EV286" i="2"/>
  <c r="CW287" i="2"/>
  <c r="X288" i="2"/>
  <c r="DV294" i="2"/>
  <c r="DW294" i="2" s="1"/>
  <c r="EI294" i="2"/>
  <c r="EG294" i="2"/>
  <c r="GT299" i="2"/>
  <c r="T290" i="2"/>
  <c r="DV293" i="2"/>
  <c r="DW293" i="2" s="1"/>
  <c r="EI293" i="2"/>
  <c r="EG293" i="2"/>
  <c r="BK299" i="2"/>
  <c r="CL299" i="2" s="1"/>
  <c r="GU302" i="2"/>
  <c r="X293" i="2"/>
  <c r="X294" i="2"/>
  <c r="DO297" i="2"/>
  <c r="DO298" i="2"/>
  <c r="EX300" i="2"/>
  <c r="GA303" i="2"/>
  <c r="FZ303" i="2"/>
  <c r="DO305" i="2"/>
  <c r="GT305" i="2"/>
  <c r="DO309" i="2"/>
  <c r="CH320" i="2"/>
  <c r="Y293" i="2"/>
  <c r="AB293" i="2" s="1"/>
  <c r="Y294" i="2"/>
  <c r="AB294" i="2" s="1"/>
  <c r="BP305" i="2"/>
  <c r="EG309" i="2"/>
  <c r="DV309" i="2"/>
  <c r="DW309" i="2" s="1"/>
  <c r="GT364" i="2"/>
  <c r="DU336" i="2"/>
  <c r="DO336" i="2"/>
  <c r="GT336" i="2"/>
  <c r="EY302" i="2"/>
  <c r="FQ302" i="2"/>
  <c r="FW302" i="2" s="1"/>
  <c r="FX302" i="2" s="1" a="1"/>
  <c r="FX302" i="2" s="1"/>
  <c r="EV302" i="2"/>
  <c r="GA306" i="2"/>
  <c r="FZ306" i="2"/>
  <c r="BK266" i="2"/>
  <c r="CL266" i="2" s="1"/>
  <c r="DO293" i="2"/>
  <c r="DO294" i="2"/>
  <c r="BP296" i="2"/>
  <c r="CR296" i="2"/>
  <c r="BP297" i="2"/>
  <c r="CR297" i="2"/>
  <c r="BP298" i="2"/>
  <c r="CR298" i="2"/>
  <c r="BP299" i="2"/>
  <c r="CR299" i="2"/>
  <c r="BP307" i="2"/>
  <c r="GT310" i="2"/>
  <c r="GT301" i="2"/>
  <c r="BP304" i="2"/>
  <c r="GU310" i="2"/>
  <c r="EH364" i="2"/>
  <c r="EC364" i="2"/>
  <c r="DY364" i="2"/>
  <c r="DZ364" i="2" s="1"/>
  <c r="EA364" i="2" s="1"/>
  <c r="DS364" i="2"/>
  <c r="DH302" i="2"/>
  <c r="DG302" i="2"/>
  <c r="DO310" i="2"/>
  <c r="EC312" i="2"/>
  <c r="DS312" i="2"/>
  <c r="DQ312" i="2"/>
  <c r="DR312" i="2" s="1"/>
  <c r="EH312" i="2"/>
  <c r="DY312" i="2"/>
  <c r="DZ312" i="2" s="1"/>
  <c r="EA312" i="2" s="1"/>
  <c r="GU315" i="2"/>
  <c r="GT315" i="2"/>
  <c r="DO302" i="2"/>
  <c r="EX302" i="2"/>
  <c r="GT304" i="2"/>
  <c r="EG310" i="2"/>
  <c r="DV310" i="2"/>
  <c r="DW310" i="2" s="1"/>
  <c r="CR290" i="2"/>
  <c r="CR291" i="2"/>
  <c r="CR266" i="2"/>
  <c r="CW296" i="2"/>
  <c r="EV296" i="2"/>
  <c r="CW297" i="2"/>
  <c r="EV297" i="2"/>
  <c r="CW298" i="2"/>
  <c r="EV298" i="2"/>
  <c r="CW299" i="2"/>
  <c r="BP300" i="2"/>
  <c r="FZ302" i="2"/>
  <c r="GU307" i="2"/>
  <c r="GT264" i="2"/>
  <c r="BM314" i="2"/>
  <c r="BN314" i="2" s="1"/>
  <c r="BK314" i="2"/>
  <c r="CL314" i="2" s="1"/>
  <c r="AA317" i="2"/>
  <c r="FQ296" i="2"/>
  <c r="FW296" i="2" s="1"/>
  <c r="FX296" i="2" s="1" a="1"/>
  <c r="FX296" i="2" s="1"/>
  <c r="FQ297" i="2"/>
  <c r="FQ298" i="2"/>
  <c r="CG300" i="2"/>
  <c r="CI300" i="2" s="1"/>
  <c r="DA300" i="2"/>
  <c r="DB300" i="2" s="1"/>
  <c r="EY301" i="2"/>
  <c r="FQ301" i="2"/>
  <c r="EV301" i="2"/>
  <c r="T312" i="2"/>
  <c r="Y314" i="2"/>
  <c r="AB314" i="2" s="1"/>
  <c r="X314" i="2"/>
  <c r="FN289" i="2"/>
  <c r="EX296" i="2"/>
  <c r="EX297" i="2"/>
  <c r="EX298" i="2"/>
  <c r="GT300" i="2"/>
  <c r="GA305" i="2"/>
  <c r="FZ305" i="2"/>
  <c r="GT306" i="2"/>
  <c r="DH329" i="2"/>
  <c r="DG329" i="2"/>
  <c r="FO289" i="2"/>
  <c r="GJ289" i="2" s="1"/>
  <c r="EV294" i="2"/>
  <c r="DA296" i="2"/>
  <c r="DB296" i="2" s="1"/>
  <c r="DA297" i="2"/>
  <c r="DB297" i="2" s="1"/>
  <c r="DA298" i="2"/>
  <c r="DB298" i="2" s="1"/>
  <c r="DA299" i="2"/>
  <c r="DB299" i="2" s="1"/>
  <c r="GA307" i="2"/>
  <c r="FZ307" i="2"/>
  <c r="EI310" i="2"/>
  <c r="FQ294" i="2"/>
  <c r="CW300" i="2"/>
  <c r="EY300" i="2"/>
  <c r="EV300" i="2"/>
  <c r="DH301" i="2"/>
  <c r="DG301" i="2"/>
  <c r="X303" i="2"/>
  <c r="BP306" i="2"/>
  <c r="BP264" i="2"/>
  <c r="DQ364" i="2"/>
  <c r="DR364" i="2" s="1"/>
  <c r="EX301" i="2"/>
  <c r="EY303" i="2"/>
  <c r="FQ303" i="2"/>
  <c r="FW303" i="2" s="1"/>
  <c r="FX303" i="2" s="1" a="1"/>
  <c r="FX303" i="2" s="1"/>
  <c r="EV303" i="2"/>
  <c r="GU264" i="2"/>
  <c r="CH327" i="2"/>
  <c r="EX364" i="2"/>
  <c r="FQ364" i="2"/>
  <c r="FW364" i="2" s="1"/>
  <c r="FX364" i="2" s="1" a="1"/>
  <c r="FX364" i="2" s="1"/>
  <c r="CR315" i="2"/>
  <c r="CG315" i="2"/>
  <c r="CI315" i="2" s="1"/>
  <c r="DA315" i="2"/>
  <c r="DB315" i="2" s="1"/>
  <c r="CW315" i="2"/>
  <c r="DQ315" i="2"/>
  <c r="DR315" i="2" s="1"/>
  <c r="EH315" i="2"/>
  <c r="EC315" i="2"/>
  <c r="DY315" i="2"/>
  <c r="DZ315" i="2" s="1"/>
  <c r="EA315" i="2" s="1"/>
  <c r="FZ264" i="2"/>
  <c r="BP309" i="2"/>
  <c r="FZ309" i="2"/>
  <c r="BP310" i="2"/>
  <c r="FZ310" i="2"/>
  <c r="BP364" i="2"/>
  <c r="BM312" i="2"/>
  <c r="BN312" i="2" s="1"/>
  <c r="DU315" i="2"/>
  <c r="DH324" i="2"/>
  <c r="DG324" i="2"/>
  <c r="CH325" i="2"/>
  <c r="DU364" i="2"/>
  <c r="CR314" i="2"/>
  <c r="CG314" i="2"/>
  <c r="CI314" i="2" s="1"/>
  <c r="DA314" i="2"/>
  <c r="DB314" i="2" s="1"/>
  <c r="CW314" i="2"/>
  <c r="CH315" i="2"/>
  <c r="CR317" i="2"/>
  <c r="CG317" i="2"/>
  <c r="CI317" i="2" s="1"/>
  <c r="DA317" i="2"/>
  <c r="DB317" i="2" s="1"/>
  <c r="CW317" i="2"/>
  <c r="DQ317" i="2"/>
  <c r="DR317" i="2" s="1"/>
  <c r="EH317" i="2"/>
  <c r="EC317" i="2"/>
  <c r="DY317" i="2"/>
  <c r="DZ317" i="2" s="1"/>
  <c r="EA317" i="2" s="1"/>
  <c r="AA319" i="2"/>
  <c r="Y323" i="2"/>
  <c r="AB323" i="2" s="1"/>
  <c r="X323" i="2"/>
  <c r="DS325" i="2"/>
  <c r="DQ325" i="2"/>
  <c r="DR325" i="2" s="1"/>
  <c r="EH325" i="2"/>
  <c r="EC325" i="2"/>
  <c r="DQ319" i="2"/>
  <c r="DR319" i="2" s="1"/>
  <c r="EH319" i="2"/>
  <c r="EC319" i="2"/>
  <c r="DY319" i="2"/>
  <c r="DZ319" i="2" s="1"/>
  <c r="EA319" i="2" s="1"/>
  <c r="GU321" i="2"/>
  <c r="DY325" i="2"/>
  <c r="DZ325" i="2" s="1"/>
  <c r="EA325" i="2" s="1"/>
  <c r="CG332" i="2"/>
  <c r="CI332" i="2" s="1"/>
  <c r="DA332" i="2"/>
  <c r="DB332" i="2" s="1"/>
  <c r="CW332" i="2"/>
  <c r="CR332" i="2"/>
  <c r="EV364" i="2"/>
  <c r="CG312" i="2"/>
  <c r="CI312" i="2" s="1"/>
  <c r="DA312" i="2"/>
  <c r="DB312" i="2" s="1"/>
  <c r="CW312" i="2"/>
  <c r="CH314" i="2"/>
  <c r="CH317" i="2"/>
  <c r="DQ321" i="2"/>
  <c r="DR321" i="2" s="1"/>
  <c r="EH321" i="2"/>
  <c r="EC321" i="2"/>
  <c r="DY321" i="2"/>
  <c r="DZ321" i="2" s="1"/>
  <c r="EA321" i="2" s="1"/>
  <c r="GU326" i="2"/>
  <c r="GT326" i="2"/>
  <c r="CW301" i="2"/>
  <c r="CW302" i="2"/>
  <c r="CW303" i="2"/>
  <c r="CW304" i="2"/>
  <c r="EV304" i="2"/>
  <c r="CW305" i="2"/>
  <c r="EV305" i="2"/>
  <c r="CW306" i="2"/>
  <c r="EV306" i="2"/>
  <c r="CW307" i="2"/>
  <c r="EV307" i="2"/>
  <c r="CW264" i="2"/>
  <c r="EV264" i="2"/>
  <c r="CW309" i="2"/>
  <c r="EV309" i="2"/>
  <c r="CW310" i="2"/>
  <c r="EV310" i="2"/>
  <c r="GT317" i="2"/>
  <c r="CR319" i="2"/>
  <c r="CG319" i="2"/>
  <c r="CI319" i="2" s="1"/>
  <c r="DA319" i="2"/>
  <c r="DB319" i="2" s="1"/>
  <c r="CW319" i="2"/>
  <c r="DU319" i="2"/>
  <c r="FO319" i="2"/>
  <c r="GJ319" i="2" s="1"/>
  <c r="CR321" i="2"/>
  <c r="CG321" i="2"/>
  <c r="CI321" i="2" s="1"/>
  <c r="DA321" i="2"/>
  <c r="DB321" i="2" s="1"/>
  <c r="CW321" i="2"/>
  <c r="GT325" i="2"/>
  <c r="DO326" i="2"/>
  <c r="DU326" i="2"/>
  <c r="DO327" i="2"/>
  <c r="DU327" i="2"/>
  <c r="GT327" i="2"/>
  <c r="BP329" i="2"/>
  <c r="DO335" i="2"/>
  <c r="DU335" i="2"/>
  <c r="FQ304" i="2"/>
  <c r="FW304" i="2" s="1"/>
  <c r="FX304" i="2" s="1" a="1"/>
  <c r="FX304" i="2" s="1"/>
  <c r="FQ305" i="2"/>
  <c r="FW305" i="2" s="1"/>
  <c r="FX305" i="2" s="1" a="1"/>
  <c r="FX305" i="2" s="1"/>
  <c r="FQ306" i="2"/>
  <c r="FW306" i="2" s="1"/>
  <c r="FX306" i="2" s="1" a="1"/>
  <c r="FX306" i="2" s="1"/>
  <c r="FQ307" i="2"/>
  <c r="FW307" i="2" s="1"/>
  <c r="FX307" i="2" s="1" a="1"/>
  <c r="FX307" i="2" s="1"/>
  <c r="FQ264" i="2"/>
  <c r="FW264" i="2" s="1"/>
  <c r="FX264" i="2" s="1" a="1"/>
  <c r="FX264" i="2" s="1"/>
  <c r="FQ309" i="2"/>
  <c r="FW309" i="2" s="1"/>
  <c r="FX309" i="2" s="1" a="1"/>
  <c r="FX309" i="2" s="1"/>
  <c r="FQ310" i="2"/>
  <c r="FW310" i="2" s="1"/>
  <c r="FX310" i="2" s="1" a="1"/>
  <c r="FX310" i="2" s="1"/>
  <c r="EY364" i="2"/>
  <c r="EY312" i="2"/>
  <c r="EV312" i="2"/>
  <c r="DQ314" i="2"/>
  <c r="DR314" i="2" s="1"/>
  <c r="EH314" i="2"/>
  <c r="EC314" i="2"/>
  <c r="GT319" i="2"/>
  <c r="GH264" i="2"/>
  <c r="GT312" i="2"/>
  <c r="CH319" i="2"/>
  <c r="CH321" i="2"/>
  <c r="EY322" i="2"/>
  <c r="EX322" i="2"/>
  <c r="EV322" i="2"/>
  <c r="FQ322" i="2"/>
  <c r="FW322" i="2" s="1"/>
  <c r="FX322" i="2" s="1" a="1"/>
  <c r="FX322" i="2" s="1"/>
  <c r="DA301" i="2"/>
  <c r="DB301" i="2" s="1"/>
  <c r="DA302" i="2"/>
  <c r="DB302" i="2" s="1"/>
  <c r="DA303" i="2"/>
  <c r="DB303" i="2" s="1"/>
  <c r="DA304" i="2"/>
  <c r="DB304" i="2" s="1"/>
  <c r="DA305" i="2"/>
  <c r="DB305" i="2" s="1"/>
  <c r="DA306" i="2"/>
  <c r="DB306" i="2" s="1"/>
  <c r="DA307" i="2"/>
  <c r="DB307" i="2" s="1"/>
  <c r="DA264" i="2"/>
  <c r="DB264" i="2" s="1"/>
  <c r="DA309" i="2"/>
  <c r="DB309" i="2" s="1"/>
  <c r="DA310" i="2"/>
  <c r="DB310" i="2" s="1"/>
  <c r="DG312" i="2"/>
  <c r="DQ316" i="2"/>
  <c r="DR316" i="2" s="1"/>
  <c r="EH316" i="2"/>
  <c r="EC316" i="2"/>
  <c r="DY316" i="2"/>
  <c r="DZ316" i="2" s="1"/>
  <c r="EA316" i="2" s="1"/>
  <c r="GT324" i="2"/>
  <c r="DO329" i="2"/>
  <c r="DU329" i="2"/>
  <c r="GT329" i="2"/>
  <c r="EY331" i="2"/>
  <c r="EX331" i="2"/>
  <c r="FQ331" i="2"/>
  <c r="EV331" i="2"/>
  <c r="T364" i="2"/>
  <c r="U364" i="2" s="1"/>
  <c r="GT314" i="2"/>
  <c r="DS316" i="2"/>
  <c r="BK322" i="2"/>
  <c r="CL322" i="2" s="1"/>
  <c r="GU323" i="2"/>
  <c r="CR316" i="2"/>
  <c r="CG316" i="2"/>
  <c r="CI316" i="2" s="1"/>
  <c r="DA316" i="2"/>
  <c r="DB316" i="2" s="1"/>
  <c r="CW316" i="2"/>
  <c r="DU316" i="2"/>
  <c r="AA320" i="2"/>
  <c r="X305" i="2"/>
  <c r="X306" i="2"/>
  <c r="X307" i="2"/>
  <c r="X264" i="2"/>
  <c r="X309" i="2"/>
  <c r="X310" i="2"/>
  <c r="X364" i="2"/>
  <c r="GT316" i="2"/>
  <c r="DQ318" i="2"/>
  <c r="DR318" i="2" s="1"/>
  <c r="EH318" i="2"/>
  <c r="EC318" i="2"/>
  <c r="DY318" i="2"/>
  <c r="DZ318" i="2" s="1"/>
  <c r="EA318" i="2" s="1"/>
  <c r="DQ320" i="2"/>
  <c r="DR320" i="2" s="1"/>
  <c r="EH320" i="2"/>
  <c r="EC320" i="2"/>
  <c r="DY320" i="2"/>
  <c r="DZ320" i="2" s="1"/>
  <c r="EA320" i="2" s="1"/>
  <c r="EY328" i="2"/>
  <c r="EX328" i="2"/>
  <c r="EV328" i="2"/>
  <c r="FQ328" i="2"/>
  <c r="CH333" i="2"/>
  <c r="DG304" i="2"/>
  <c r="DG305" i="2"/>
  <c r="DG306" i="2"/>
  <c r="DG307" i="2"/>
  <c r="DG264" i="2"/>
  <c r="DG309" i="2"/>
  <c r="DG310" i="2"/>
  <c r="Y364" i="2"/>
  <c r="AB364" i="2" s="1"/>
  <c r="CH316" i="2"/>
  <c r="CR318" i="2"/>
  <c r="CG318" i="2"/>
  <c r="CI318" i="2" s="1"/>
  <c r="DA318" i="2"/>
  <c r="DB318" i="2" s="1"/>
  <c r="CW318" i="2"/>
  <c r="DU318" i="2"/>
  <c r="DS320" i="2"/>
  <c r="AA322" i="2"/>
  <c r="CH326" i="2"/>
  <c r="AA315" i="2"/>
  <c r="BM315" i="2"/>
  <c r="BN315" i="2" s="1"/>
  <c r="BK315" i="2"/>
  <c r="CL315" i="2" s="1"/>
  <c r="CR320" i="2"/>
  <c r="CG320" i="2"/>
  <c r="CI320" i="2" s="1"/>
  <c r="DA320" i="2"/>
  <c r="DB320" i="2" s="1"/>
  <c r="CW320" i="2"/>
  <c r="DU320" i="2"/>
  <c r="FZ324" i="2"/>
  <c r="EV314" i="2"/>
  <c r="EV315" i="2"/>
  <c r="EV316" i="2"/>
  <c r="CR322" i="2"/>
  <c r="EG324" i="2"/>
  <c r="DO330" i="2"/>
  <c r="DU330" i="2"/>
  <c r="EY332" i="2"/>
  <c r="EX332" i="2"/>
  <c r="FQ332" i="2"/>
  <c r="EV332" i="2"/>
  <c r="GU339" i="2"/>
  <c r="EG342" i="2"/>
  <c r="DV342" i="2"/>
  <c r="DW342" i="2" s="1"/>
  <c r="EI342" i="2"/>
  <c r="DU344" i="2"/>
  <c r="DO344" i="2"/>
  <c r="CG329" i="2"/>
  <c r="CI329" i="2" s="1"/>
  <c r="DA329" i="2"/>
  <c r="DB329" i="2" s="1"/>
  <c r="CW329" i="2"/>
  <c r="GU335" i="2"/>
  <c r="GT335" i="2"/>
  <c r="EG339" i="2"/>
  <c r="DV339" i="2"/>
  <c r="DW339" i="2" s="1"/>
  <c r="EI339" i="2"/>
  <c r="FZ329" i="2"/>
  <c r="GU331" i="2"/>
  <c r="FQ323" i="2"/>
  <c r="FW323" i="2" s="1"/>
  <c r="FX323" i="2" s="1" a="1"/>
  <c r="FX323" i="2" s="1"/>
  <c r="DG325" i="2"/>
  <c r="GT330" i="2"/>
  <c r="DO331" i="2"/>
  <c r="DU331" i="2"/>
  <c r="EV323" i="2"/>
  <c r="X324" i="2"/>
  <c r="DO332" i="2"/>
  <c r="DU332" i="2"/>
  <c r="GT333" i="2"/>
  <c r="GT334" i="2"/>
  <c r="CW322" i="2"/>
  <c r="EY327" i="2"/>
  <c r="EX327" i="2"/>
  <c r="EV327" i="2"/>
  <c r="GU334" i="2"/>
  <c r="EX323" i="2"/>
  <c r="DH328" i="2"/>
  <c r="DG328" i="2"/>
  <c r="GU328" i="2"/>
  <c r="EY329" i="2"/>
  <c r="EX329" i="2"/>
  <c r="EV329" i="2"/>
  <c r="DU333" i="2"/>
  <c r="DO333" i="2"/>
  <c r="DU334" i="2"/>
  <c r="DO334" i="2"/>
  <c r="GT343" i="2"/>
  <c r="DO328" i="2"/>
  <c r="DU328" i="2"/>
  <c r="CG330" i="2"/>
  <c r="CI330" i="2" s="1"/>
  <c r="DA330" i="2"/>
  <c r="DB330" i="2" s="1"/>
  <c r="CW330" i="2"/>
  <c r="DO339" i="2"/>
  <c r="DU341" i="2"/>
  <c r="DO341" i="2"/>
  <c r="DO342" i="2"/>
  <c r="BK316" i="2"/>
  <c r="CL316" i="2" s="1"/>
  <c r="BK317" i="2"/>
  <c r="CL317" i="2" s="1"/>
  <c r="BK318" i="2"/>
  <c r="CL318" i="2" s="1"/>
  <c r="BK319" i="2"/>
  <c r="CL319" i="2" s="1"/>
  <c r="BK320" i="2"/>
  <c r="CL320" i="2" s="1"/>
  <c r="BK321" i="2"/>
  <c r="CL321" i="2" s="1"/>
  <c r="DV324" i="2"/>
  <c r="DW324" i="2" s="1"/>
  <c r="FQ325" i="2"/>
  <c r="FW325" i="2" s="1"/>
  <c r="FX325" i="2" s="1" a="1"/>
  <c r="FX325" i="2" s="1"/>
  <c r="BK326" i="2"/>
  <c r="CL326" i="2" s="1"/>
  <c r="BP328" i="2"/>
  <c r="FZ331" i="2"/>
  <c r="FP332" i="2"/>
  <c r="FO332" i="2"/>
  <c r="GJ332" i="2" s="1"/>
  <c r="FN332" i="2"/>
  <c r="FN334" i="2"/>
  <c r="DU343" i="2"/>
  <c r="DO343" i="2"/>
  <c r="CG322" i="2"/>
  <c r="CI322" i="2" s="1"/>
  <c r="CG328" i="2"/>
  <c r="CI328" i="2" s="1"/>
  <c r="DA328" i="2"/>
  <c r="DB328" i="2" s="1"/>
  <c r="CW328" i="2"/>
  <c r="CR329" i="2"/>
  <c r="BP331" i="2"/>
  <c r="FO334" i="2"/>
  <c r="GJ334" i="2" s="1"/>
  <c r="DU337" i="2"/>
  <c r="DO337" i="2"/>
  <c r="FN321" i="2"/>
  <c r="DG322" i="2"/>
  <c r="EG322" i="2"/>
  <c r="BP325" i="2"/>
  <c r="EV325" i="2"/>
  <c r="BP327" i="2"/>
  <c r="GT328" i="2"/>
  <c r="EY330" i="2"/>
  <c r="EX330" i="2"/>
  <c r="FQ330" i="2"/>
  <c r="EV330" i="2"/>
  <c r="CG331" i="2"/>
  <c r="CI331" i="2" s="1"/>
  <c r="DA331" i="2"/>
  <c r="DB331" i="2" s="1"/>
  <c r="CW331" i="2"/>
  <c r="DU340" i="2"/>
  <c r="DO340" i="2"/>
  <c r="BP342" i="2"/>
  <c r="FO321" i="2"/>
  <c r="GJ321" i="2" s="1"/>
  <c r="CW324" i="2"/>
  <c r="BP326" i="2"/>
  <c r="CG327" i="2"/>
  <c r="CI327" i="2" s="1"/>
  <c r="DA327" i="2"/>
  <c r="DB327" i="2" s="1"/>
  <c r="DH327" i="2"/>
  <c r="FZ332" i="2"/>
  <c r="EX325" i="2"/>
  <c r="CG326" i="2"/>
  <c r="CI326" i="2" s="1"/>
  <c r="DA326" i="2"/>
  <c r="DB326" i="2" s="1"/>
  <c r="GU329" i="2"/>
  <c r="GA341" i="2"/>
  <c r="FZ341" i="2"/>
  <c r="GT337" i="2"/>
  <c r="GA338" i="2"/>
  <c r="FZ338" i="2"/>
  <c r="BP339" i="2"/>
  <c r="DA347" i="2"/>
  <c r="DB347" i="2" s="1"/>
  <c r="CR347" i="2"/>
  <c r="CG347" i="2"/>
  <c r="CI347" i="2" s="1"/>
  <c r="CW347" i="2"/>
  <c r="GT340" i="2"/>
  <c r="BP343" i="2"/>
  <c r="GT344" i="2"/>
  <c r="BP334" i="2"/>
  <c r="GU340" i="2"/>
  <c r="GA342" i="2"/>
  <c r="FZ342" i="2"/>
  <c r="GU344" i="2"/>
  <c r="EY333" i="2"/>
  <c r="FQ333" i="2"/>
  <c r="FW333" i="2" s="1"/>
  <c r="FX333" i="2" s="1" a="1"/>
  <c r="FX333" i="2" s="1"/>
  <c r="EV333" i="2"/>
  <c r="FO333" i="2"/>
  <c r="GJ333" i="2" s="1"/>
  <c r="CG334" i="2"/>
  <c r="CI334" i="2" s="1"/>
  <c r="DA334" i="2"/>
  <c r="DB334" i="2" s="1"/>
  <c r="CW334" i="2"/>
  <c r="CR334" i="2"/>
  <c r="DH334" i="2"/>
  <c r="DG334" i="2"/>
  <c r="GU345" i="2"/>
  <c r="BP337" i="2"/>
  <c r="DU345" i="2"/>
  <c r="DO345" i="2"/>
  <c r="CG337" i="2"/>
  <c r="CI337" i="2" s="1"/>
  <c r="DA337" i="2"/>
  <c r="DB337" i="2" s="1"/>
  <c r="CW337" i="2"/>
  <c r="CR337" i="2"/>
  <c r="GA339" i="2"/>
  <c r="FZ339" i="2"/>
  <c r="BP340" i="2"/>
  <c r="BP344" i="2"/>
  <c r="X333" i="2"/>
  <c r="GT341" i="2"/>
  <c r="GA343" i="2"/>
  <c r="FZ343" i="2"/>
  <c r="AA355" i="2"/>
  <c r="BP336" i="2"/>
  <c r="GU341" i="2"/>
  <c r="T355" i="2"/>
  <c r="DG330" i="2"/>
  <c r="DG331" i="2"/>
  <c r="DG332" i="2"/>
  <c r="EX333" i="2"/>
  <c r="CG336" i="2"/>
  <c r="CI336" i="2" s="1"/>
  <c r="DA336" i="2"/>
  <c r="DB336" i="2" s="1"/>
  <c r="CW336" i="2"/>
  <c r="CR336" i="2"/>
  <c r="GU338" i="2"/>
  <c r="BP345" i="2"/>
  <c r="DU347" i="2"/>
  <c r="DO347" i="2"/>
  <c r="BP335" i="2"/>
  <c r="GT342" i="2"/>
  <c r="DA345" i="2"/>
  <c r="DB345" i="2" s="1"/>
  <c r="CR345" i="2"/>
  <c r="CG345" i="2"/>
  <c r="CI345" i="2" s="1"/>
  <c r="CW345" i="2"/>
  <c r="DG346" i="2"/>
  <c r="GU346" i="2"/>
  <c r="BP333" i="2"/>
  <c r="CG335" i="2"/>
  <c r="CI335" i="2" s="1"/>
  <c r="DA335" i="2"/>
  <c r="DB335" i="2" s="1"/>
  <c r="CW335" i="2"/>
  <c r="CR335" i="2"/>
  <c r="GA337" i="2"/>
  <c r="FZ337" i="2"/>
  <c r="BP338" i="2"/>
  <c r="GA340" i="2"/>
  <c r="FZ340" i="2"/>
  <c r="BP341" i="2"/>
  <c r="GU342" i="2"/>
  <c r="GA344" i="2"/>
  <c r="FZ344" i="2"/>
  <c r="GT347" i="2"/>
  <c r="DA333" i="2"/>
  <c r="DB333" i="2" s="1"/>
  <c r="CW333" i="2"/>
  <c r="GA345" i="2"/>
  <c r="FZ345" i="2"/>
  <c r="CR338" i="2"/>
  <c r="CR339" i="2"/>
  <c r="CR340" i="2"/>
  <c r="CR341" i="2"/>
  <c r="CR342" i="2"/>
  <c r="CR343" i="2"/>
  <c r="CR344" i="2"/>
  <c r="AB354" i="2"/>
  <c r="EX361" i="2"/>
  <c r="EY361" i="2"/>
  <c r="EV361" i="2"/>
  <c r="FQ361" i="2"/>
  <c r="FW361" i="2" s="1"/>
  <c r="FX361" i="2" s="1" a="1"/>
  <c r="FX361" i="2" s="1"/>
  <c r="FO337" i="2"/>
  <c r="GJ337" i="2" s="1"/>
  <c r="FO338" i="2"/>
  <c r="GJ338" i="2" s="1"/>
  <c r="DQ346" i="2"/>
  <c r="DR346" i="2" s="1"/>
  <c r="DG347" i="2"/>
  <c r="T350" i="2"/>
  <c r="EV334" i="2"/>
  <c r="EV335" i="2"/>
  <c r="EV336" i="2"/>
  <c r="EV337" i="2"/>
  <c r="CW338" i="2"/>
  <c r="EV338" i="2"/>
  <c r="CW339" i="2"/>
  <c r="EV339" i="2"/>
  <c r="CW340" i="2"/>
  <c r="EV340" i="2"/>
  <c r="CW341" i="2"/>
  <c r="EV341" i="2"/>
  <c r="CW342" i="2"/>
  <c r="EV342" i="2"/>
  <c r="CW343" i="2"/>
  <c r="EV343" i="2"/>
  <c r="CW344" i="2"/>
  <c r="EV344" i="2"/>
  <c r="DS346" i="2"/>
  <c r="T352" i="2"/>
  <c r="GU352" i="2"/>
  <c r="BP370" i="2"/>
  <c r="FQ334" i="2"/>
  <c r="FW334" i="2" s="1"/>
  <c r="FX334" i="2" s="1" a="1"/>
  <c r="FX334" i="2" s="1"/>
  <c r="FQ335" i="2"/>
  <c r="FW335" i="2" s="1"/>
  <c r="FX335" i="2" s="1" a="1"/>
  <c r="FX335" i="2" s="1"/>
  <c r="FQ336" i="2"/>
  <c r="FW336" i="2" s="1"/>
  <c r="FX336" i="2" s="1" a="1"/>
  <c r="FX336" i="2" s="1"/>
  <c r="FQ337" i="2"/>
  <c r="FW337" i="2" s="1"/>
  <c r="FX337" i="2" s="1" a="1"/>
  <c r="FX337" i="2" s="1"/>
  <c r="FQ338" i="2"/>
  <c r="FW338" i="2" s="1"/>
  <c r="FX338" i="2" s="1" a="1"/>
  <c r="FX338" i="2" s="1"/>
  <c r="FQ339" i="2"/>
  <c r="FW339" i="2" s="1"/>
  <c r="FX339" i="2" s="1" a="1"/>
  <c r="FX339" i="2" s="1"/>
  <c r="FQ340" i="2"/>
  <c r="FW340" i="2" s="1"/>
  <c r="FX340" i="2" s="1" a="1"/>
  <c r="FX340" i="2" s="1"/>
  <c r="FQ341" i="2"/>
  <c r="FW341" i="2" s="1"/>
  <c r="FX341" i="2" s="1" a="1"/>
  <c r="FX341" i="2" s="1"/>
  <c r="FQ342" i="2"/>
  <c r="FW342" i="2" s="1"/>
  <c r="FX342" i="2" s="1" a="1"/>
  <c r="FX342" i="2" s="1"/>
  <c r="FQ343" i="2"/>
  <c r="FW343" i="2" s="1"/>
  <c r="FX343" i="2" s="1" a="1"/>
  <c r="FX343" i="2" s="1"/>
  <c r="FQ344" i="2"/>
  <c r="FW344" i="2" s="1"/>
  <c r="FX344" i="2" s="1" a="1"/>
  <c r="FX344" i="2" s="1"/>
  <c r="CH345" i="2"/>
  <c r="CH347" i="2"/>
  <c r="T349" i="2"/>
  <c r="GU350" i="2"/>
  <c r="EY353" i="2"/>
  <c r="EX353" i="2"/>
  <c r="EV353" i="2"/>
  <c r="FQ353" i="2"/>
  <c r="FW353" i="2" s="1"/>
  <c r="FX353" i="2" s="1" a="1"/>
  <c r="FX353" i="2" s="1"/>
  <c r="EX334" i="2"/>
  <c r="EX335" i="2"/>
  <c r="EX336" i="2"/>
  <c r="EX337" i="2"/>
  <c r="EX338" i="2"/>
  <c r="EX339" i="2"/>
  <c r="EX340" i="2"/>
  <c r="EX341" i="2"/>
  <c r="EX342" i="2"/>
  <c r="EY354" i="2"/>
  <c r="EX354" i="2"/>
  <c r="EV354" i="2"/>
  <c r="FQ354" i="2"/>
  <c r="DA338" i="2"/>
  <c r="DB338" i="2" s="1"/>
  <c r="DA339" i="2"/>
  <c r="DB339" i="2" s="1"/>
  <c r="DA340" i="2"/>
  <c r="DB340" i="2" s="1"/>
  <c r="DA341" i="2"/>
  <c r="DB341" i="2" s="1"/>
  <c r="DA342" i="2"/>
  <c r="DB342" i="2" s="1"/>
  <c r="DA343" i="2"/>
  <c r="DB343" i="2" s="1"/>
  <c r="DA344" i="2"/>
  <c r="DB344" i="2" s="1"/>
  <c r="EY345" i="2"/>
  <c r="EX345" i="2"/>
  <c r="FQ345" i="2"/>
  <c r="FW345" i="2" s="1"/>
  <c r="FX345" i="2" s="1" a="1"/>
  <c r="FX345" i="2" s="1"/>
  <c r="DA348" i="2"/>
  <c r="DB348" i="2" s="1"/>
  <c r="CR348" i="2"/>
  <c r="DH348" i="2"/>
  <c r="DG348" i="2"/>
  <c r="DY350" i="2"/>
  <c r="DZ350" i="2" s="1"/>
  <c r="EA350" i="2" s="1"/>
  <c r="DS350" i="2"/>
  <c r="DQ350" i="2"/>
  <c r="DR350" i="2" s="1"/>
  <c r="EH350" i="2"/>
  <c r="GU354" i="2"/>
  <c r="BP346" i="2"/>
  <c r="AA348" i="2"/>
  <c r="CH348" i="2"/>
  <c r="EC350" i="2"/>
  <c r="X342" i="2"/>
  <c r="X343" i="2"/>
  <c r="X344" i="2"/>
  <c r="X345" i="2"/>
  <c r="DA346" i="2"/>
  <c r="DB346" i="2" s="1"/>
  <c r="CR346" i="2"/>
  <c r="EC346" i="2"/>
  <c r="CW348" i="2"/>
  <c r="AB353" i="2"/>
  <c r="DG335" i="2"/>
  <c r="DG336" i="2"/>
  <c r="DG337" i="2"/>
  <c r="DG338" i="2"/>
  <c r="DG339" i="2"/>
  <c r="DG340" i="2"/>
  <c r="DG341" i="2"/>
  <c r="DG342" i="2"/>
  <c r="DG343" i="2"/>
  <c r="DG344" i="2"/>
  <c r="BK345" i="2"/>
  <c r="CL345" i="2" s="1"/>
  <c r="EV345" i="2"/>
  <c r="GT348" i="2"/>
  <c r="AB351" i="2"/>
  <c r="T353" i="2"/>
  <c r="GU347" i="2"/>
  <c r="CG348" i="2"/>
  <c r="CI348" i="2" s="1"/>
  <c r="T351" i="2"/>
  <c r="FP354" i="2"/>
  <c r="FN354" i="2"/>
  <c r="DH358" i="2"/>
  <c r="DG358" i="2"/>
  <c r="EH359" i="2"/>
  <c r="EC359" i="2"/>
  <c r="DY359" i="2"/>
  <c r="DZ359" i="2" s="1"/>
  <c r="EA359" i="2" s="1"/>
  <c r="DS359" i="2"/>
  <c r="CH375" i="2"/>
  <c r="FO353" i="2"/>
  <c r="GJ353" i="2" s="1"/>
  <c r="BM355" i="2"/>
  <c r="BN355" i="2" s="1"/>
  <c r="BK355" i="2"/>
  <c r="CL355" i="2" s="1"/>
  <c r="GU360" i="2"/>
  <c r="GU361" i="2"/>
  <c r="Y352" i="2"/>
  <c r="DQ354" i="2"/>
  <c r="DR354" i="2" s="1"/>
  <c r="EX355" i="2"/>
  <c r="EV355" i="2"/>
  <c r="GT357" i="2"/>
  <c r="EH360" i="2"/>
  <c r="EC360" i="2"/>
  <c r="DY360" i="2"/>
  <c r="DZ360" i="2" s="1"/>
  <c r="EA360" i="2" s="1"/>
  <c r="DS360" i="2"/>
  <c r="CR353" i="2"/>
  <c r="DU353" i="2"/>
  <c r="DS354" i="2"/>
  <c r="BP355" i="2"/>
  <c r="GT358" i="2"/>
  <c r="GA359" i="2"/>
  <c r="FZ359" i="2"/>
  <c r="BP360" i="2"/>
  <c r="DQ360" i="2"/>
  <c r="DR360" i="2" s="1"/>
  <c r="CH386" i="2"/>
  <c r="GU365" i="2"/>
  <c r="GT365" i="2"/>
  <c r="BM354" i="2"/>
  <c r="BN354" i="2" s="1"/>
  <c r="BK354" i="2"/>
  <c r="CL354" i="2" s="1"/>
  <c r="CG355" i="2"/>
  <c r="CI355" i="2" s="1"/>
  <c r="CW355" i="2"/>
  <c r="EH355" i="2"/>
  <c r="DY355" i="2"/>
  <c r="DZ355" i="2" s="1"/>
  <c r="EA355" i="2" s="1"/>
  <c r="DU360" i="2"/>
  <c r="BP347" i="2"/>
  <c r="BP348" i="2"/>
  <c r="CR354" i="2"/>
  <c r="DH355" i="2"/>
  <c r="DG355" i="2"/>
  <c r="DO370" i="2"/>
  <c r="DU370" i="2"/>
  <c r="EX357" i="2"/>
  <c r="EV357" i="2"/>
  <c r="BP361" i="2"/>
  <c r="DY353" i="2"/>
  <c r="DZ353" i="2" s="1"/>
  <c r="EA353" i="2" s="1"/>
  <c r="EY355" i="2"/>
  <c r="EX358" i="2"/>
  <c r="EV358" i="2"/>
  <c r="GU358" i="2"/>
  <c r="GA360" i="2"/>
  <c r="FZ360" i="2"/>
  <c r="CW353" i="2"/>
  <c r="DH362" i="2"/>
  <c r="DG362" i="2"/>
  <c r="CH363" i="2"/>
  <c r="FQ346" i="2"/>
  <c r="FW346" i="2" s="1"/>
  <c r="FX346" i="2" s="1" a="1"/>
  <c r="FX346" i="2" s="1"/>
  <c r="FQ347" i="2"/>
  <c r="FW347" i="2" s="1"/>
  <c r="FX347" i="2" s="1" a="1"/>
  <c r="FX347" i="2" s="1"/>
  <c r="FQ348" i="2"/>
  <c r="FW348" i="2" s="1"/>
  <c r="FX348" i="2" s="1" a="1"/>
  <c r="FX348" i="2" s="1"/>
  <c r="EV349" i="2"/>
  <c r="EV350" i="2"/>
  <c r="EV351" i="2"/>
  <c r="EV352" i="2"/>
  <c r="DA353" i="2"/>
  <c r="DB353" i="2" s="1"/>
  <c r="EC354" i="2"/>
  <c r="FZ354" i="2"/>
  <c r="DU355" i="2"/>
  <c r="CG357" i="2"/>
  <c r="CI357" i="2" s="1"/>
  <c r="DH357" i="2"/>
  <c r="DG357" i="2"/>
  <c r="EY357" i="2"/>
  <c r="FZ357" i="2"/>
  <c r="EX346" i="2"/>
  <c r="EX347" i="2"/>
  <c r="FQ349" i="2"/>
  <c r="FW349" i="2" s="1"/>
  <c r="FX349" i="2" s="1" a="1"/>
  <c r="FX349" i="2" s="1"/>
  <c r="FQ350" i="2"/>
  <c r="FW350" i="2" s="1"/>
  <c r="FX350" i="2" s="1" a="1"/>
  <c r="FX350" i="2" s="1"/>
  <c r="FQ351" i="2"/>
  <c r="FW351" i="2" s="1"/>
  <c r="FX351" i="2" s="1" a="1"/>
  <c r="FX351" i="2" s="1"/>
  <c r="FQ352" i="2"/>
  <c r="FW352" i="2" s="1"/>
  <c r="FX352" i="2" s="1" a="1"/>
  <c r="FX352" i="2" s="1"/>
  <c r="CW354" i="2"/>
  <c r="EY358" i="2"/>
  <c r="FZ358" i="2"/>
  <c r="T359" i="2"/>
  <c r="GT359" i="2"/>
  <c r="DA354" i="2"/>
  <c r="DB354" i="2" s="1"/>
  <c r="T358" i="2"/>
  <c r="DQ359" i="2"/>
  <c r="DR359" i="2" s="1"/>
  <c r="CW370" i="2"/>
  <c r="CR370" i="2"/>
  <c r="T365" i="2"/>
  <c r="T368" i="2"/>
  <c r="EC373" i="2"/>
  <c r="DY373" i="2"/>
  <c r="DZ373" i="2" s="1"/>
  <c r="EA373" i="2" s="1"/>
  <c r="DS373" i="2"/>
  <c r="DQ373" i="2"/>
  <c r="DR373" i="2" s="1"/>
  <c r="GU369" i="2"/>
  <c r="EH365" i="2"/>
  <c r="DY365" i="2"/>
  <c r="DZ365" i="2" s="1"/>
  <c r="EA365" i="2" s="1"/>
  <c r="BP366" i="2"/>
  <c r="T367" i="2"/>
  <c r="CW369" i="2"/>
  <c r="CR369" i="2"/>
  <c r="CW357" i="2"/>
  <c r="CW358" i="2"/>
  <c r="CW359" i="2"/>
  <c r="EV359" i="2"/>
  <c r="CW360" i="2"/>
  <c r="EV360" i="2"/>
  <c r="CW361" i="2"/>
  <c r="DQ386" i="2"/>
  <c r="DR386" i="2" s="1"/>
  <c r="FQ386" i="2"/>
  <c r="FW386" i="2" s="1"/>
  <c r="FX386" i="2" s="1" a="1"/>
  <c r="FX386" i="2" s="1"/>
  <c r="DO369" i="2"/>
  <c r="DU369" i="2"/>
  <c r="GA370" i="2"/>
  <c r="AA371" i="2"/>
  <c r="BM371" i="2"/>
  <c r="BN371" i="2" s="1"/>
  <c r="FQ362" i="2"/>
  <c r="FW362" i="2" s="1"/>
  <c r="FX362" i="2" s="1" a="1"/>
  <c r="FX362" i="2" s="1"/>
  <c r="FQ363" i="2"/>
  <c r="FW363" i="2" s="1"/>
  <c r="FX363" i="2" s="1" a="1"/>
  <c r="FX363" i="2" s="1"/>
  <c r="GU368" i="2"/>
  <c r="CG370" i="2"/>
  <c r="CI370" i="2" s="1"/>
  <c r="Y374" i="2"/>
  <c r="AB374" i="2" s="1"/>
  <c r="X374" i="2"/>
  <c r="CR362" i="2"/>
  <c r="EV362" i="2"/>
  <c r="EV363" i="2"/>
  <c r="EV386" i="2"/>
  <c r="CW368" i="2"/>
  <c r="CR368" i="2"/>
  <c r="CH370" i="2"/>
  <c r="EH386" i="2"/>
  <c r="DY386" i="2"/>
  <c r="DZ386" i="2" s="1"/>
  <c r="EA386" i="2" s="1"/>
  <c r="DO368" i="2"/>
  <c r="DU368" i="2"/>
  <c r="EG371" i="2"/>
  <c r="DV371" i="2"/>
  <c r="DW371" i="2" s="1"/>
  <c r="EI371" i="2"/>
  <c r="DU372" i="2"/>
  <c r="DO372" i="2"/>
  <c r="DV379" i="2"/>
  <c r="DW379" i="2" s="1"/>
  <c r="EI379" i="2"/>
  <c r="EG379" i="2"/>
  <c r="T361" i="2"/>
  <c r="EY362" i="2"/>
  <c r="EY363" i="2"/>
  <c r="EY386" i="2"/>
  <c r="EC365" i="2"/>
  <c r="CW367" i="2"/>
  <c r="CR367" i="2"/>
  <c r="GU367" i="2"/>
  <c r="CG369" i="2"/>
  <c r="CI369" i="2" s="1"/>
  <c r="GA369" i="2"/>
  <c r="Y371" i="2"/>
  <c r="AB371" i="2" s="1"/>
  <c r="BP378" i="2"/>
  <c r="CH369" i="2"/>
  <c r="GU371" i="2"/>
  <c r="DO371" i="2"/>
  <c r="DG359" i="2"/>
  <c r="DG360" i="2"/>
  <c r="DG361" i="2"/>
  <c r="EH362" i="2"/>
  <c r="DY362" i="2"/>
  <c r="DZ362" i="2" s="1"/>
  <c r="EA362" i="2" s="1"/>
  <c r="FZ386" i="2"/>
  <c r="CG368" i="2"/>
  <c r="CI368" i="2" s="1"/>
  <c r="GA368" i="2"/>
  <c r="T370" i="2"/>
  <c r="BK357" i="2"/>
  <c r="CL357" i="2" s="1"/>
  <c r="BK358" i="2"/>
  <c r="CL358" i="2" s="1"/>
  <c r="BK359" i="2"/>
  <c r="CL359" i="2" s="1"/>
  <c r="BK360" i="2"/>
  <c r="CL360" i="2" s="1"/>
  <c r="BK361" i="2"/>
  <c r="CL361" i="2" s="1"/>
  <c r="CW362" i="2"/>
  <c r="EC362" i="2"/>
  <c r="GT370" i="2"/>
  <c r="AA373" i="2"/>
  <c r="BK373" i="2"/>
  <c r="CL373" i="2" s="1"/>
  <c r="BM373" i="2"/>
  <c r="BN373" i="2" s="1"/>
  <c r="EC386" i="2"/>
  <c r="CG367" i="2"/>
  <c r="CI367" i="2" s="1"/>
  <c r="T373" i="2"/>
  <c r="DU376" i="2"/>
  <c r="DO376" i="2"/>
  <c r="GT376" i="2"/>
  <c r="DU229" i="2"/>
  <c r="DO229" i="2"/>
  <c r="EX372" i="2"/>
  <c r="CG378" i="2"/>
  <c r="CI378" i="2" s="1"/>
  <c r="DA378" i="2"/>
  <c r="DB378" i="2" s="1"/>
  <c r="CW378" i="2"/>
  <c r="CR378" i="2"/>
  <c r="GU380" i="2"/>
  <c r="GT380" i="2"/>
  <c r="BP376" i="2"/>
  <c r="CH380" i="2"/>
  <c r="DU380" i="2"/>
  <c r="DO380" i="2"/>
  <c r="EV372" i="2"/>
  <c r="CG376" i="2"/>
  <c r="CI376" i="2" s="1"/>
  <c r="DA376" i="2"/>
  <c r="DB376" i="2" s="1"/>
  <c r="CW376" i="2"/>
  <c r="CR376" i="2"/>
  <c r="DH376" i="2"/>
  <c r="BP379" i="2"/>
  <c r="CG379" i="2"/>
  <c r="CI379" i="2" s="1"/>
  <c r="DA379" i="2"/>
  <c r="DB379" i="2" s="1"/>
  <c r="CW379" i="2"/>
  <c r="CR379" i="2"/>
  <c r="EV366" i="2"/>
  <c r="EV367" i="2"/>
  <c r="EV368" i="2"/>
  <c r="EV369" i="2"/>
  <c r="EV370" i="2"/>
  <c r="EY372" i="2"/>
  <c r="GA376" i="2"/>
  <c r="BP374" i="2"/>
  <c r="CG374" i="2"/>
  <c r="CI374" i="2" s="1"/>
  <c r="DA374" i="2"/>
  <c r="DB374" i="2" s="1"/>
  <c r="CW374" i="2"/>
  <c r="CR374" i="2"/>
  <c r="DH374" i="2"/>
  <c r="DU383" i="2"/>
  <c r="DO383" i="2"/>
  <c r="DU393" i="2"/>
  <c r="DO393" i="2"/>
  <c r="GU375" i="2"/>
  <c r="X377" i="2"/>
  <c r="BP377" i="2"/>
  <c r="GA374" i="2"/>
  <c r="CG377" i="2"/>
  <c r="CI377" i="2" s="1"/>
  <c r="DA377" i="2"/>
  <c r="DB377" i="2" s="1"/>
  <c r="CW377" i="2"/>
  <c r="CR377" i="2"/>
  <c r="GT383" i="2"/>
  <c r="DU391" i="2"/>
  <c r="DO391" i="2"/>
  <c r="GT391" i="2"/>
  <c r="T380" i="2"/>
  <c r="DU384" i="2"/>
  <c r="DO384" i="2"/>
  <c r="GT384" i="2"/>
  <c r="DU389" i="2"/>
  <c r="DO389" i="2"/>
  <c r="GT389" i="2"/>
  <c r="GA379" i="2"/>
  <c r="DU388" i="2"/>
  <c r="DO388" i="2"/>
  <c r="GT388" i="2"/>
  <c r="CG372" i="2"/>
  <c r="CI372" i="2" s="1"/>
  <c r="FO372" i="2"/>
  <c r="GJ372" i="2" s="1"/>
  <c r="GU373" i="2"/>
  <c r="DV374" i="2"/>
  <c r="DW374" i="2" s="1"/>
  <c r="X375" i="2"/>
  <c r="BP375" i="2"/>
  <c r="GA377" i="2"/>
  <c r="GA381" i="2"/>
  <c r="FZ381" i="2"/>
  <c r="DU387" i="2"/>
  <c r="GT387" i="2"/>
  <c r="DO387" i="2"/>
  <c r="EX373" i="2"/>
  <c r="FQ373" i="2"/>
  <c r="FW373" i="2" s="1"/>
  <c r="FX373" i="2" s="1" a="1"/>
  <c r="FX373" i="2" s="1"/>
  <c r="CG375" i="2"/>
  <c r="CI375" i="2" s="1"/>
  <c r="DA375" i="2"/>
  <c r="DB375" i="2" s="1"/>
  <c r="CW375" i="2"/>
  <c r="CR375" i="2"/>
  <c r="DU385" i="2"/>
  <c r="DO385" i="2"/>
  <c r="CG371" i="2"/>
  <c r="CI371" i="2" s="1"/>
  <c r="FQ372" i="2"/>
  <c r="FW372" i="2" s="1"/>
  <c r="FX372" i="2" s="1" a="1"/>
  <c r="FX372" i="2" s="1"/>
  <c r="GT372" i="2"/>
  <c r="DO375" i="2"/>
  <c r="GU376" i="2"/>
  <c r="DV377" i="2"/>
  <c r="DW377" i="2" s="1"/>
  <c r="GU384" i="2"/>
  <c r="GU393" i="2"/>
  <c r="DV394" i="2"/>
  <c r="DW394" i="2" s="1"/>
  <c r="EG394" i="2"/>
  <c r="BP383" i="2"/>
  <c r="EY387" i="2"/>
  <c r="EX387" i="2"/>
  <c r="EV387" i="2"/>
  <c r="EX379" i="2"/>
  <c r="FQ379" i="2"/>
  <c r="FW379" i="2" s="1"/>
  <c r="FX379" i="2" s="1" a="1"/>
  <c r="FX379" i="2" s="1"/>
  <c r="FZ380" i="2"/>
  <c r="T382" i="2"/>
  <c r="BK382" i="2"/>
  <c r="CL382" i="2" s="1"/>
  <c r="CG383" i="2"/>
  <c r="CI383" i="2" s="1"/>
  <c r="DA383" i="2"/>
  <c r="DB383" i="2" s="1"/>
  <c r="CW383" i="2"/>
  <c r="BM388" i="2"/>
  <c r="BN388" i="2" s="1"/>
  <c r="EG382" i="2"/>
  <c r="GU382" i="2"/>
  <c r="EY388" i="2"/>
  <c r="EX388" i="2"/>
  <c r="EV388" i="2"/>
  <c r="BM384" i="2"/>
  <c r="BN384" i="2" s="1"/>
  <c r="CG387" i="2"/>
  <c r="CI387" i="2" s="1"/>
  <c r="DA387" i="2"/>
  <c r="DB387" i="2" s="1"/>
  <c r="CW387" i="2"/>
  <c r="BM389" i="2"/>
  <c r="BN389" i="2" s="1"/>
  <c r="EY389" i="2"/>
  <c r="EX389" i="2"/>
  <c r="EV389" i="2"/>
  <c r="GT393" i="2"/>
  <c r="EI394" i="2"/>
  <c r="EV379" i="2"/>
  <c r="CH381" i="2"/>
  <c r="EX381" i="2"/>
  <c r="FQ381" i="2"/>
  <c r="FW381" i="2" s="1"/>
  <c r="FX381" i="2" s="1" a="1"/>
  <c r="FX381" i="2" s="1"/>
  <c r="EV381" i="2"/>
  <c r="BP382" i="2"/>
  <c r="EY384" i="2"/>
  <c r="EX384" i="2"/>
  <c r="EV384" i="2"/>
  <c r="FP385" i="2"/>
  <c r="FO385" i="2"/>
  <c r="GJ385" i="2" s="1"/>
  <c r="FN385" i="2"/>
  <c r="CG388" i="2"/>
  <c r="CI388" i="2" s="1"/>
  <c r="DA388" i="2"/>
  <c r="DB388" i="2" s="1"/>
  <c r="CW388" i="2"/>
  <c r="BM391" i="2"/>
  <c r="BN391" i="2" s="1"/>
  <c r="EX380" i="2"/>
  <c r="FQ380" i="2"/>
  <c r="FW380" i="2" s="1"/>
  <c r="FX380" i="2" s="1" a="1"/>
  <c r="FX380" i="2" s="1"/>
  <c r="EV380" i="2"/>
  <c r="CG382" i="2"/>
  <c r="CI382" i="2" s="1"/>
  <c r="DA382" i="2"/>
  <c r="DB382" i="2" s="1"/>
  <c r="CW382" i="2"/>
  <c r="EY382" i="2"/>
  <c r="EX382" i="2"/>
  <c r="EV382" i="2"/>
  <c r="AB384" i="2"/>
  <c r="GU385" i="2"/>
  <c r="EY391" i="2"/>
  <c r="EX391" i="2"/>
  <c r="EV391" i="2"/>
  <c r="EY229" i="2"/>
  <c r="EX229" i="2"/>
  <c r="EV229" i="2"/>
  <c r="EY394" i="2"/>
  <c r="EX394" i="2"/>
  <c r="FQ394" i="2"/>
  <c r="EV394" i="2"/>
  <c r="GT382" i="2"/>
  <c r="CG384" i="2"/>
  <c r="CI384" i="2" s="1"/>
  <c r="DA384" i="2"/>
  <c r="DB384" i="2" s="1"/>
  <c r="CW384" i="2"/>
  <c r="CG389" i="2"/>
  <c r="CI389" i="2" s="1"/>
  <c r="DA389" i="2"/>
  <c r="DB389" i="2" s="1"/>
  <c r="CW389" i="2"/>
  <c r="EY393" i="2"/>
  <c r="EX393" i="2"/>
  <c r="EV393" i="2"/>
  <c r="BM394" i="2"/>
  <c r="BN394" i="2" s="1"/>
  <c r="FR382" i="2" a="1"/>
  <c r="FR382" i="2" s="1"/>
  <c r="GU383" i="2"/>
  <c r="GU387" i="2"/>
  <c r="AA393" i="2"/>
  <c r="BM229" i="2"/>
  <c r="BN229" i="2" s="1"/>
  <c r="GU381" i="2"/>
  <c r="FQ387" i="2"/>
  <c r="FW387" i="2" s="1"/>
  <c r="FX387" i="2" s="1" a="1"/>
  <c r="FX387" i="2" s="1"/>
  <c r="CG391" i="2"/>
  <c r="CI391" i="2" s="1"/>
  <c r="DA391" i="2"/>
  <c r="DB391" i="2" s="1"/>
  <c r="CW391" i="2"/>
  <c r="AA394" i="2"/>
  <c r="DO382" i="2"/>
  <c r="BM385" i="2"/>
  <c r="BN385" i="2" s="1"/>
  <c r="GU388" i="2"/>
  <c r="CG393" i="2"/>
  <c r="CI393" i="2" s="1"/>
  <c r="DA393" i="2"/>
  <c r="DB393" i="2" s="1"/>
  <c r="CW393" i="2"/>
  <c r="AA229" i="2"/>
  <c r="EY380" i="2"/>
  <c r="GT385" i="2"/>
  <c r="FQ388" i="2"/>
  <c r="FW388" i="2" s="1"/>
  <c r="FX388" i="2" s="1" a="1"/>
  <c r="FX388" i="2" s="1"/>
  <c r="CG394" i="2"/>
  <c r="CI394" i="2" s="1"/>
  <c r="DA394" i="2"/>
  <c r="DB394" i="2" s="1"/>
  <c r="CW394" i="2"/>
  <c r="CR383" i="2"/>
  <c r="EY385" i="2"/>
  <c r="EX385" i="2"/>
  <c r="EV385" i="2"/>
  <c r="FP389" i="2"/>
  <c r="FO389" i="2"/>
  <c r="GJ389" i="2" s="1"/>
  <c r="FN389" i="2"/>
  <c r="GU389" i="2"/>
  <c r="CG229" i="2"/>
  <c r="CI229" i="2" s="1"/>
  <c r="DA229" i="2"/>
  <c r="DB229" i="2" s="1"/>
  <c r="CW229" i="2"/>
  <c r="DO394" i="2"/>
  <c r="GU394" i="2"/>
  <c r="EY383" i="2"/>
  <c r="EX383" i="2"/>
  <c r="EV383" i="2"/>
  <c r="FP384" i="2"/>
  <c r="FO384" i="2"/>
  <c r="GJ384" i="2" s="1"/>
  <c r="FN384" i="2"/>
  <c r="CG385" i="2"/>
  <c r="CI385" i="2" s="1"/>
  <c r="DA385" i="2"/>
  <c r="DB385" i="2" s="1"/>
  <c r="CW385" i="2"/>
  <c r="CR387" i="2"/>
  <c r="GU391" i="2"/>
  <c r="CG399" i="2"/>
  <c r="CG403" i="2"/>
  <c r="GH393" i="2"/>
  <c r="GH394" i="2"/>
  <c r="FF161" i="2" a="1"/>
  <c r="FN86" i="2" l="1"/>
  <c r="FO345" i="2"/>
  <c r="GJ345" i="2" s="1"/>
  <c r="FN345" i="2"/>
  <c r="FP89" i="2"/>
  <c r="FP232" i="2"/>
  <c r="FO365" i="2"/>
  <c r="GJ365" i="2" s="1"/>
  <c r="FN270" i="2"/>
  <c r="FN355" i="2"/>
  <c r="FO369" i="2"/>
  <c r="GJ369" i="2" s="1"/>
  <c r="FO115" i="2"/>
  <c r="GJ115" i="2" s="1"/>
  <c r="FP355" i="2"/>
  <c r="FN369" i="2"/>
  <c r="FO285" i="2"/>
  <c r="GJ285" i="2" s="1"/>
  <c r="FN381" i="2"/>
  <c r="FO42" i="2"/>
  <c r="GJ42" i="2" s="1"/>
  <c r="FN285" i="2"/>
  <c r="FO270" i="2"/>
  <c r="GJ270" i="2" s="1"/>
  <c r="FN365" i="2"/>
  <c r="FO269" i="2"/>
  <c r="GJ269" i="2" s="1"/>
  <c r="FO204" i="2"/>
  <c r="GJ204" i="2" s="1"/>
  <c r="FO346" i="2"/>
  <c r="GJ346" i="2" s="1"/>
  <c r="FP346" i="2"/>
  <c r="FN337" i="2"/>
  <c r="FO294" i="2"/>
  <c r="GJ294" i="2" s="1"/>
  <c r="FP224" i="2"/>
  <c r="FN287" i="2"/>
  <c r="FO146" i="2"/>
  <c r="GJ146" i="2" s="1"/>
  <c r="FO211" i="2"/>
  <c r="GJ211" i="2" s="1"/>
  <c r="FO283" i="2"/>
  <c r="GJ283" i="2" s="1"/>
  <c r="FN196" i="2"/>
  <c r="FP211" i="2"/>
  <c r="FO142" i="2"/>
  <c r="GJ142" i="2" s="1"/>
  <c r="FO364" i="2"/>
  <c r="GJ364" i="2" s="1"/>
  <c r="FO287" i="2"/>
  <c r="GJ287" i="2" s="1"/>
  <c r="FO253" i="2"/>
  <c r="GJ253" i="2" s="1"/>
  <c r="FP364" i="2"/>
  <c r="FO377" i="2"/>
  <c r="GJ377" i="2" s="1"/>
  <c r="FN377" i="2"/>
  <c r="FO224" i="2"/>
  <c r="GJ224" i="2" s="1"/>
  <c r="FO135" i="2"/>
  <c r="GJ135" i="2" s="1"/>
  <c r="FN146" i="2"/>
  <c r="FN294" i="2"/>
  <c r="FN283" i="2"/>
  <c r="FN250" i="2"/>
  <c r="FN142" i="2"/>
  <c r="FP111" i="2"/>
  <c r="FO298" i="2"/>
  <c r="GJ298" i="2" s="1"/>
  <c r="FN298" i="2"/>
  <c r="FO111" i="2"/>
  <c r="GJ111" i="2" s="1"/>
  <c r="FR358" i="2" a="1"/>
  <c r="FR358" i="2" s="1"/>
  <c r="FN370" i="2"/>
  <c r="FP370" i="2"/>
  <c r="FN209" i="2"/>
  <c r="FN367" i="2"/>
  <c r="FO318" i="2"/>
  <c r="GJ318" i="2" s="1"/>
  <c r="FO194" i="2"/>
  <c r="GJ194" i="2" s="1"/>
  <c r="FO209" i="2"/>
  <c r="GJ209" i="2" s="1"/>
  <c r="FO351" i="2"/>
  <c r="GJ351" i="2" s="1"/>
  <c r="FO178" i="2"/>
  <c r="GJ178" i="2" s="1"/>
  <c r="FP367" i="2"/>
  <c r="FO255" i="2"/>
  <c r="GJ255" i="2" s="1"/>
  <c r="FN178" i="2"/>
  <c r="CI235" i="2"/>
  <c r="CM235" i="2" s="1"/>
  <c r="FN215" i="2"/>
  <c r="FN363" i="2"/>
  <c r="FN318" i="2"/>
  <c r="FO40" i="2"/>
  <c r="GJ40" i="2" s="1"/>
  <c r="FO210" i="2"/>
  <c r="GJ210" i="2" s="1"/>
  <c r="FN194" i="2"/>
  <c r="FP210" i="2"/>
  <c r="FO363" i="2"/>
  <c r="GJ363" i="2" s="1"/>
  <c r="FN351" i="2"/>
  <c r="FN40" i="2"/>
  <c r="FR52" i="2" a="1"/>
  <c r="FR52" i="2" s="1"/>
  <c r="FN390" i="2"/>
  <c r="FO244" i="2"/>
  <c r="GT64" i="2"/>
  <c r="CI292" i="2"/>
  <c r="FO186" i="2"/>
  <c r="GJ186" i="2" s="1"/>
  <c r="FN182" i="2"/>
  <c r="FN99" i="2"/>
  <c r="FN115" i="2"/>
  <c r="FO232" i="2"/>
  <c r="GJ232" i="2" s="1"/>
  <c r="FN100" i="2"/>
  <c r="FN101" i="2"/>
  <c r="FN82" i="2"/>
  <c r="FO110" i="2"/>
  <c r="GJ110" i="2" s="1"/>
  <c r="FN67" i="2"/>
  <c r="FO82" i="2"/>
  <c r="GJ82" i="2" s="1"/>
  <c r="FO320" i="2"/>
  <c r="GJ320" i="2" s="1"/>
  <c r="FO100" i="2"/>
  <c r="GJ100" i="2" s="1"/>
  <c r="FO316" i="2"/>
  <c r="GJ316" i="2" s="1"/>
  <c r="FN179" i="2"/>
  <c r="FN180" i="2"/>
  <c r="FN383" i="2"/>
  <c r="FO383" i="2"/>
  <c r="GJ383" i="2" s="1"/>
  <c r="FO56" i="2"/>
  <c r="GJ56" i="2" s="1"/>
  <c r="FO136" i="2"/>
  <c r="GJ136" i="2" s="1"/>
  <c r="FP347" i="2"/>
  <c r="FO347" i="2"/>
  <c r="GJ347" i="2" s="1"/>
  <c r="FN366" i="2"/>
  <c r="FN317" i="2"/>
  <c r="FO301" i="2"/>
  <c r="GJ301" i="2" s="1"/>
  <c r="FN316" i="2"/>
  <c r="FN315" i="2"/>
  <c r="FN245" i="2"/>
  <c r="FO315" i="2"/>
  <c r="GJ315" i="2" s="1"/>
  <c r="FN197" i="2"/>
  <c r="FO72" i="2"/>
  <c r="GJ72" i="2" s="1"/>
  <c r="FO268" i="2"/>
  <c r="GJ268" i="2" s="1"/>
  <c r="FN195" i="2"/>
  <c r="FN301" i="2"/>
  <c r="FN81" i="2"/>
  <c r="FN136" i="2"/>
  <c r="FP56" i="2"/>
  <c r="FR133" i="2" a="1"/>
  <c r="FR133" i="2" s="1"/>
  <c r="FN72" i="2"/>
  <c r="FO195" i="2"/>
  <c r="GJ195" i="2" s="1"/>
  <c r="FP81" i="2"/>
  <c r="FO69" i="2"/>
  <c r="GJ69" i="2" s="1"/>
  <c r="FO118" i="2"/>
  <c r="GJ118" i="2" s="1"/>
  <c r="FO66" i="2"/>
  <c r="GJ66" i="2" s="1"/>
  <c r="FF161" i="2"/>
  <c r="FN45" i="2"/>
  <c r="FO16" i="2"/>
  <c r="GJ16" i="2" s="1"/>
  <c r="FN169" i="2"/>
  <c r="FN312" i="2"/>
  <c r="FO280" i="2"/>
  <c r="GJ280" i="2" s="1"/>
  <c r="FN173" i="2"/>
  <c r="FO344" i="2"/>
  <c r="GJ344" i="2" s="1"/>
  <c r="FO155" i="2"/>
  <c r="GJ155" i="2" s="1"/>
  <c r="FO173" i="2"/>
  <c r="GJ173" i="2" s="1"/>
  <c r="FN27" i="2"/>
  <c r="FO343" i="2"/>
  <c r="GJ343" i="2" s="1"/>
  <c r="FO168" i="2"/>
  <c r="GJ168" i="2" s="1"/>
  <c r="FO374" i="2"/>
  <c r="GJ374" i="2" s="1"/>
  <c r="FO27" i="2"/>
  <c r="GJ27" i="2" s="1"/>
  <c r="FN155" i="2"/>
  <c r="FO95" i="2"/>
  <c r="GJ95" i="2" s="1"/>
  <c r="FN95" i="2"/>
  <c r="FO312" i="2"/>
  <c r="GJ312" i="2" s="1"/>
  <c r="FO93" i="2"/>
  <c r="GJ93" i="2" s="1"/>
  <c r="FN93" i="2"/>
  <c r="FN61" i="2"/>
  <c r="FN374" i="2"/>
  <c r="FN280" i="2"/>
  <c r="FO183" i="2"/>
  <c r="GJ183" i="2" s="1"/>
  <c r="FN183" i="2"/>
  <c r="FN238" i="2"/>
  <c r="FO61" i="2"/>
  <c r="GJ61" i="2" s="1"/>
  <c r="FN168" i="2"/>
  <c r="FO275" i="2"/>
  <c r="GJ275" i="2" s="1"/>
  <c r="FN344" i="2"/>
  <c r="FN343" i="2"/>
  <c r="FN16" i="2"/>
  <c r="FN275" i="2"/>
  <c r="FO45" i="2"/>
  <c r="GJ45" i="2" s="1"/>
  <c r="FP154" i="2"/>
  <c r="CI228" i="2"/>
  <c r="CM228" i="2" s="1"/>
  <c r="FP361" i="2"/>
  <c r="FO360" i="2"/>
  <c r="GJ360" i="2" s="1"/>
  <c r="FO361" i="2"/>
  <c r="GJ361" i="2" s="1"/>
  <c r="FN360" i="2"/>
  <c r="FO296" i="2"/>
  <c r="GJ296" i="2" s="1"/>
  <c r="FO11" i="2"/>
  <c r="GJ11" i="2" s="1"/>
  <c r="FN78" i="2"/>
  <c r="FN31" i="2"/>
  <c r="FO309" i="2"/>
  <c r="GJ309" i="2" s="1"/>
  <c r="FN228" i="2"/>
  <c r="FN141" i="2"/>
  <c r="FN352" i="2"/>
  <c r="FO352" i="2"/>
  <c r="GJ352" i="2" s="1"/>
  <c r="FN80" i="2"/>
  <c r="FN341" i="2"/>
  <c r="FO68" i="2"/>
  <c r="GJ68" i="2" s="1"/>
  <c r="FP341" i="2"/>
  <c r="FO228" i="2"/>
  <c r="GJ228" i="2" s="1"/>
  <c r="FO63" i="2"/>
  <c r="GJ63" i="2" s="1"/>
  <c r="FO31" i="2"/>
  <c r="GJ31" i="2" s="1"/>
  <c r="FO125" i="2"/>
  <c r="GJ125" i="2" s="1"/>
  <c r="FO78" i="2"/>
  <c r="GJ78" i="2" s="1"/>
  <c r="FO62" i="2"/>
  <c r="GJ62" i="2" s="1"/>
  <c r="FO24" i="2"/>
  <c r="GJ24" i="2" s="1"/>
  <c r="FN297" i="2"/>
  <c r="FN63" i="2"/>
  <c r="FN373" i="2"/>
  <c r="FN296" i="2"/>
  <c r="FN62" i="2"/>
  <c r="FN309" i="2"/>
  <c r="FN125" i="2"/>
  <c r="FO80" i="2"/>
  <c r="GJ80" i="2" s="1"/>
  <c r="FO141" i="2"/>
  <c r="GJ141" i="2" s="1"/>
  <c r="FN340" i="2"/>
  <c r="FO184" i="2"/>
  <c r="GJ184" i="2" s="1"/>
  <c r="FO373" i="2"/>
  <c r="GJ373" i="2" s="1"/>
  <c r="FN184" i="2"/>
  <c r="FO340" i="2"/>
  <c r="GJ340" i="2" s="1"/>
  <c r="FN154" i="2"/>
  <c r="FO169" i="2"/>
  <c r="GJ169" i="2" s="1"/>
  <c r="FO339" i="2"/>
  <c r="GJ339" i="2" s="1"/>
  <c r="FN11" i="2"/>
  <c r="FO216" i="2"/>
  <c r="GJ216" i="2" s="1"/>
  <c r="FP216" i="2"/>
  <c r="FN39" i="2"/>
  <c r="FO85" i="2"/>
  <c r="GJ85" i="2" s="1"/>
  <c r="FN176" i="2"/>
  <c r="FN145" i="2"/>
  <c r="FN49" i="2"/>
  <c r="FN149" i="2"/>
  <c r="FO248" i="2"/>
  <c r="GJ248" i="2" s="1"/>
  <c r="FO229" i="2"/>
  <c r="GJ229" i="2" s="1"/>
  <c r="FP229" i="2"/>
  <c r="FN335" i="2"/>
  <c r="FN274" i="2"/>
  <c r="FO274" i="2"/>
  <c r="GJ274" i="2" s="1"/>
  <c r="FO163" i="2"/>
  <c r="GJ163" i="2" s="1"/>
  <c r="FO335" i="2"/>
  <c r="GJ335" i="2" s="1"/>
  <c r="FN208" i="2"/>
  <c r="FO145" i="2"/>
  <c r="GJ145" i="2" s="1"/>
  <c r="FN163" i="2"/>
  <c r="FO97" i="2"/>
  <c r="GJ97" i="2" s="1"/>
  <c r="FO51" i="2"/>
  <c r="GJ51" i="2" s="1"/>
  <c r="FO208" i="2"/>
  <c r="GJ208" i="2" s="1"/>
  <c r="FN97" i="2"/>
  <c r="FP51" i="2"/>
  <c r="FN243" i="2"/>
  <c r="FN37" i="2"/>
  <c r="FN24" i="2"/>
  <c r="FO37" i="2"/>
  <c r="GJ37" i="2" s="1"/>
  <c r="FN248" i="2"/>
  <c r="FN214" i="2"/>
  <c r="FO151" i="2"/>
  <c r="GJ151" i="2" s="1"/>
  <c r="FO49" i="2"/>
  <c r="GJ49" i="2" s="1"/>
  <c r="FO17" i="2"/>
  <c r="GJ17" i="2" s="1"/>
  <c r="FO243" i="2"/>
  <c r="GJ243" i="2" s="1"/>
  <c r="FN165" i="2"/>
  <c r="FP378" i="2"/>
  <c r="FO371" i="2"/>
  <c r="GJ371" i="2" s="1"/>
  <c r="FO160" i="2"/>
  <c r="GJ160" i="2" s="1"/>
  <c r="FO199" i="2"/>
  <c r="GJ199" i="2" s="1"/>
  <c r="FN137" i="2"/>
  <c r="FN147" i="2"/>
  <c r="FN166" i="2"/>
  <c r="FO150" i="2"/>
  <c r="GJ150" i="2" s="1"/>
  <c r="FN382" i="2"/>
  <c r="FN249" i="2"/>
  <c r="FP249" i="2"/>
  <c r="FO193" i="2"/>
  <c r="GJ193" i="2" s="1"/>
  <c r="FN71" i="2"/>
  <c r="FP382" i="2"/>
  <c r="FO329" i="2"/>
  <c r="GJ329" i="2" s="1"/>
  <c r="FN150" i="2"/>
  <c r="FN331" i="2"/>
  <c r="FO147" i="2"/>
  <c r="GJ147" i="2" s="1"/>
  <c r="FO350" i="2"/>
  <c r="GJ350" i="2" s="1"/>
  <c r="FO331" i="2"/>
  <c r="GJ331" i="2" s="1"/>
  <c r="FO71" i="2"/>
  <c r="GJ71" i="2" s="1"/>
  <c r="FO258" i="2"/>
  <c r="GJ258" i="2" s="1"/>
  <c r="FO166" i="2"/>
  <c r="GJ166" i="2" s="1"/>
  <c r="FO191" i="2"/>
  <c r="GJ191" i="2" s="1"/>
  <c r="FR357" i="2" a="1"/>
  <c r="FR357" i="2" s="1"/>
  <c r="FN290" i="2"/>
  <c r="FO273" i="2"/>
  <c r="GJ273" i="2" s="1"/>
  <c r="FO286" i="2"/>
  <c r="GJ286" i="2" s="1"/>
  <c r="FO254" i="2"/>
  <c r="GJ254" i="2" s="1"/>
  <c r="FN286" i="2"/>
  <c r="FN273" i="2"/>
  <c r="FO290" i="2"/>
  <c r="GJ290" i="2" s="1"/>
  <c r="FN193" i="2"/>
  <c r="FN191" i="2"/>
  <c r="FN350" i="2"/>
  <c r="FO221" i="2"/>
  <c r="GJ221" i="2" s="1"/>
  <c r="FO205" i="2"/>
  <c r="GJ205" i="2" s="1"/>
  <c r="FO188" i="2"/>
  <c r="GJ188" i="2" s="1"/>
  <c r="FN329" i="2"/>
  <c r="FN324" i="2"/>
  <c r="FR219" i="2" a="1"/>
  <c r="FR219" i="2" s="1"/>
  <c r="FP221" i="2"/>
  <c r="FR385" i="2" a="1"/>
  <c r="FR385" i="2" s="1"/>
  <c r="FN388" i="2"/>
  <c r="FO288" i="2"/>
  <c r="GJ288" i="2" s="1"/>
  <c r="FO388" i="2"/>
  <c r="GJ388" i="2" s="1"/>
  <c r="FP288" i="2"/>
  <c r="FR275" i="2" a="1"/>
  <c r="FR275" i="2" s="1"/>
  <c r="FO206" i="2"/>
  <c r="GJ206" i="2" s="1"/>
  <c r="FN75" i="2"/>
  <c r="FN235" i="2"/>
  <c r="FN265" i="2"/>
  <c r="FP310" i="2"/>
  <c r="FO324" i="2"/>
  <c r="GJ324" i="2" s="1"/>
  <c r="FP205" i="2"/>
  <c r="FO75" i="2"/>
  <c r="GJ75" i="2" s="1"/>
  <c r="FO256" i="2"/>
  <c r="GJ256" i="2" s="1"/>
  <c r="FR94" i="2" a="1"/>
  <c r="FR94" i="2" s="1"/>
  <c r="FO158" i="2"/>
  <c r="GJ158" i="2" s="1"/>
  <c r="FP158" i="2"/>
  <c r="FN25" i="2"/>
  <c r="FO25" i="2"/>
  <c r="GJ25" i="2" s="1"/>
  <c r="FN358" i="2"/>
  <c r="FP265" i="2"/>
  <c r="FN9" i="2"/>
  <c r="FO358" i="2"/>
  <c r="GJ358" i="2" s="1"/>
  <c r="FO12" i="2"/>
  <c r="GJ12" i="2" s="1"/>
  <c r="FN256" i="2"/>
  <c r="FO171" i="2"/>
  <c r="GJ171" i="2" s="1"/>
  <c r="FO157" i="2"/>
  <c r="GJ157" i="2" s="1"/>
  <c r="FO313" i="2"/>
  <c r="GJ313" i="2" s="1"/>
  <c r="FO9" i="2"/>
  <c r="GJ9" i="2" s="1"/>
  <c r="FN12" i="2"/>
  <c r="FO357" i="2"/>
  <c r="GJ357" i="2" s="1"/>
  <c r="FP157" i="2"/>
  <c r="FN313" i="2"/>
  <c r="FN188" i="2"/>
  <c r="FN357" i="2"/>
  <c r="FN171" i="2"/>
  <c r="FN198" i="2"/>
  <c r="FW43" i="2"/>
  <c r="FX43" i="2" s="1" a="1"/>
  <c r="FX43" i="2" s="1"/>
  <c r="FO116" i="2"/>
  <c r="GJ116" i="2" s="1"/>
  <c r="FP230" i="2"/>
  <c r="FN333" i="2"/>
  <c r="FO87" i="2"/>
  <c r="GJ87" i="2" s="1"/>
  <c r="FN162" i="2"/>
  <c r="FO198" i="2"/>
  <c r="GJ198" i="2" s="1"/>
  <c r="FN50" i="2"/>
  <c r="FN116" i="2"/>
  <c r="FO380" i="2"/>
  <c r="GJ380" i="2" s="1"/>
  <c r="FN55" i="2"/>
  <c r="FN380" i="2"/>
  <c r="FN181" i="2"/>
  <c r="FO50" i="2"/>
  <c r="GJ50" i="2" s="1"/>
  <c r="FP87" i="2"/>
  <c r="FO36" i="2"/>
  <c r="GJ36" i="2" s="1"/>
  <c r="FO55" i="2"/>
  <c r="GJ55" i="2" s="1"/>
  <c r="FO162" i="2"/>
  <c r="GJ162" i="2" s="1"/>
  <c r="FN120" i="2"/>
  <c r="CI64" i="2"/>
  <c r="CM64" i="2" s="1"/>
  <c r="FN119" i="2"/>
  <c r="FN42" i="2"/>
  <c r="FO308" i="2"/>
  <c r="GJ308" i="2" s="1"/>
  <c r="FN308" i="2"/>
  <c r="FP46" i="2"/>
  <c r="FO46" i="2"/>
  <c r="GJ46" i="2" s="1"/>
  <c r="FO220" i="2"/>
  <c r="GJ220" i="2" s="1"/>
  <c r="FR110" i="2" a="1"/>
  <c r="FR110" i="2" s="1"/>
  <c r="FO124" i="2"/>
  <c r="GJ124" i="2" s="1"/>
  <c r="FP124" i="2"/>
  <c r="FN259" i="2"/>
  <c r="FO112" i="2"/>
  <c r="GJ112" i="2" s="1"/>
  <c r="FN74" i="2"/>
  <c r="FO159" i="2"/>
  <c r="GJ159" i="2" s="1"/>
  <c r="FN159" i="2"/>
  <c r="FO74" i="2"/>
  <c r="GJ74" i="2" s="1"/>
  <c r="FN112" i="2"/>
  <c r="FP220" i="2"/>
  <c r="FO140" i="2"/>
  <c r="GJ140" i="2" s="1"/>
  <c r="FP204" i="2"/>
  <c r="FN68" i="2"/>
  <c r="FN85" i="2"/>
  <c r="FO212" i="2"/>
  <c r="GJ212" i="2" s="1"/>
  <c r="FN217" i="2"/>
  <c r="FO129" i="2"/>
  <c r="GJ129" i="2" s="1"/>
  <c r="FN103" i="2"/>
  <c r="FO64" i="2"/>
  <c r="GJ64" i="2" s="1"/>
  <c r="FN192" i="2"/>
  <c r="FN131" i="2"/>
  <c r="FN213" i="2"/>
  <c r="FO117" i="2"/>
  <c r="GJ117" i="2" s="1"/>
  <c r="FO231" i="2"/>
  <c r="GJ231" i="2" s="1"/>
  <c r="FN212" i="2"/>
  <c r="FP231" i="2"/>
  <c r="FR103" i="2" a="1"/>
  <c r="FR103" i="2" s="1"/>
  <c r="FN246" i="2"/>
  <c r="FO192" i="2"/>
  <c r="GJ192" i="2" s="1"/>
  <c r="FO217" i="2"/>
  <c r="GJ217" i="2" s="1"/>
  <c r="FN244" i="2"/>
  <c r="FN117" i="2"/>
  <c r="FO176" i="2"/>
  <c r="GJ176" i="2" s="1"/>
  <c r="FO165" i="2"/>
  <c r="GJ165" i="2" s="1"/>
  <c r="FO368" i="2"/>
  <c r="GJ368" i="2" s="1"/>
  <c r="FN251" i="2"/>
  <c r="FN239" i="2"/>
  <c r="FN206" i="2"/>
  <c r="FN310" i="2"/>
  <c r="FP376" i="2"/>
  <c r="FN330" i="2"/>
  <c r="FP225" i="2"/>
  <c r="FN190" i="2"/>
  <c r="FN108" i="2"/>
  <c r="FN48" i="2"/>
  <c r="FO356" i="2"/>
  <c r="GJ356" i="2" s="1"/>
  <c r="FN255" i="2"/>
  <c r="FO242" i="2"/>
  <c r="GJ242" i="2" s="1"/>
  <c r="FO327" i="2"/>
  <c r="GJ327" i="2" s="1"/>
  <c r="FO330" i="2"/>
  <c r="GJ330" i="2" s="1"/>
  <c r="FO225" i="2"/>
  <c r="GJ225" i="2" s="1"/>
  <c r="FO108" i="2"/>
  <c r="GJ108" i="2" s="1"/>
  <c r="FN123" i="2"/>
  <c r="FN160" i="2"/>
  <c r="FO262" i="2"/>
  <c r="GJ262" i="2" s="1"/>
  <c r="FO278" i="2"/>
  <c r="GJ278" i="2" s="1"/>
  <c r="FN282" i="2"/>
  <c r="FO222" i="2"/>
  <c r="GJ222" i="2" s="1"/>
  <c r="FO190" i="2"/>
  <c r="GJ190" i="2" s="1"/>
  <c r="FN109" i="2"/>
  <c r="FN392" i="2"/>
  <c r="FO250" i="2"/>
  <c r="GJ250" i="2" s="1"/>
  <c r="FN368" i="2"/>
  <c r="FN242" i="2"/>
  <c r="FO187" i="2"/>
  <c r="GJ187" i="2" s="1"/>
  <c r="FO153" i="2"/>
  <c r="GJ153" i="2" s="1"/>
  <c r="FO109" i="2"/>
  <c r="GJ109" i="2" s="1"/>
  <c r="FO86" i="2"/>
  <c r="GJ86" i="2" s="1"/>
  <c r="FN20" i="2"/>
  <c r="FN276" i="2"/>
  <c r="FO20" i="2"/>
  <c r="GJ20" i="2" s="1"/>
  <c r="FO375" i="2"/>
  <c r="GJ375" i="2" s="1"/>
  <c r="FO276" i="2"/>
  <c r="GJ276" i="2" s="1"/>
  <c r="FN356" i="2"/>
  <c r="FO10" i="2"/>
  <c r="GJ10" i="2" s="1"/>
  <c r="FO239" i="2"/>
  <c r="GJ239" i="2" s="1"/>
  <c r="FN327" i="2"/>
  <c r="FO185" i="2"/>
  <c r="GJ185" i="2" s="1"/>
  <c r="FN199" i="2"/>
  <c r="FN107" i="2"/>
  <c r="FO122" i="2"/>
  <c r="GJ122" i="2" s="1"/>
  <c r="FN187" i="2"/>
  <c r="FP222" i="2"/>
  <c r="FO92" i="2"/>
  <c r="GJ92" i="2" s="1"/>
  <c r="FP156" i="2"/>
  <c r="FP122" i="2"/>
  <c r="FN393" i="2"/>
  <c r="FO107" i="2"/>
  <c r="GJ107" i="2" s="1"/>
  <c r="FN106" i="2"/>
  <c r="FO322" i="2"/>
  <c r="GJ322" i="2" s="1"/>
  <c r="FN376" i="2"/>
  <c r="FO393" i="2"/>
  <c r="GJ393" i="2" s="1"/>
  <c r="FN328" i="2"/>
  <c r="FO282" i="2"/>
  <c r="GJ282" i="2" s="1"/>
  <c r="FO201" i="2"/>
  <c r="GJ201" i="2" s="1"/>
  <c r="FN92" i="2"/>
  <c r="FO48" i="2"/>
  <c r="GJ48" i="2" s="1"/>
  <c r="FN278" i="2"/>
  <c r="FO328" i="2"/>
  <c r="GJ328" i="2" s="1"/>
  <c r="FO235" i="2"/>
  <c r="GJ235" i="2" s="1"/>
  <c r="FO200" i="2"/>
  <c r="GJ200" i="2" s="1"/>
  <c r="FN201" i="2"/>
  <c r="FO326" i="2"/>
  <c r="GJ326" i="2" s="1"/>
  <c r="FO251" i="2"/>
  <c r="GJ251" i="2" s="1"/>
  <c r="FO123" i="2"/>
  <c r="GJ123" i="2" s="1"/>
  <c r="FN10" i="2"/>
  <c r="FN375" i="2"/>
  <c r="FP200" i="2"/>
  <c r="FO137" i="2"/>
  <c r="GJ137" i="2" s="1"/>
  <c r="FO121" i="2"/>
  <c r="GJ121" i="2" s="1"/>
  <c r="FN269" i="2"/>
  <c r="FN121" i="2"/>
  <c r="FN378" i="2"/>
  <c r="FN262" i="2"/>
  <c r="FO156" i="2"/>
  <c r="GJ156" i="2" s="1"/>
  <c r="FN322" i="2"/>
  <c r="FN371" i="2"/>
  <c r="CK338" i="2"/>
  <c r="CI338" i="2"/>
  <c r="CM338" i="2" s="1"/>
  <c r="CK291" i="2"/>
  <c r="CI291" i="2"/>
  <c r="CM291" i="2" s="1"/>
  <c r="CI14" i="2"/>
  <c r="CM14" i="2" s="1"/>
  <c r="CK26" i="2"/>
  <c r="CI26" i="2"/>
  <c r="CM26" i="2" s="1"/>
  <c r="CK12" i="2"/>
  <c r="CI12" i="2"/>
  <c r="CM12" i="2" s="1"/>
  <c r="CI15" i="2"/>
  <c r="CM15" i="2" s="1"/>
  <c r="CE126" i="2"/>
  <c r="CI126" i="2"/>
  <c r="CM126" i="2" s="1"/>
  <c r="CK304" i="2"/>
  <c r="CI304" i="2"/>
  <c r="CM304" i="2" s="1"/>
  <c r="CK88" i="2"/>
  <c r="CI88" i="2"/>
  <c r="CM88" i="2" s="1"/>
  <c r="CK212" i="2"/>
  <c r="CI212" i="2"/>
  <c r="CM212" i="2" s="1"/>
  <c r="CE127" i="2"/>
  <c r="CI127" i="2"/>
  <c r="CM127" i="2" s="1"/>
  <c r="CK50" i="2"/>
  <c r="CI50" i="2"/>
  <c r="CM50" i="2" s="1"/>
  <c r="CK264" i="2"/>
  <c r="CI264" i="2"/>
  <c r="CM264" i="2" s="1"/>
  <c r="CI256" i="2"/>
  <c r="CM256" i="2" s="1"/>
  <c r="CE287" i="2"/>
  <c r="CI287" i="2"/>
  <c r="CM287" i="2" s="1"/>
  <c r="FO247" i="2"/>
  <c r="GJ247" i="2" s="1"/>
  <c r="CI120" i="2"/>
  <c r="CM120" i="2" s="1"/>
  <c r="CE123" i="2"/>
  <c r="CI123" i="2"/>
  <c r="CM123" i="2" s="1"/>
  <c r="CE113" i="2"/>
  <c r="CI113" i="2"/>
  <c r="CM113" i="2" s="1"/>
  <c r="CE75" i="2"/>
  <c r="CI75" i="2"/>
  <c r="CM75" i="2" s="1"/>
  <c r="CK76" i="2"/>
  <c r="CI76" i="2"/>
  <c r="CM76" i="2" s="1"/>
  <c r="CK28" i="2"/>
  <c r="CI28" i="2"/>
  <c r="CM28" i="2" s="1"/>
  <c r="CK46" i="2"/>
  <c r="CI46" i="2"/>
  <c r="CM46" i="2" s="1"/>
  <c r="FN271" i="2"/>
  <c r="CK111" i="2"/>
  <c r="CI111" i="2"/>
  <c r="CM111" i="2" s="1"/>
  <c r="CK49" i="2"/>
  <c r="CI49" i="2"/>
  <c r="CM49" i="2" s="1"/>
  <c r="CK42" i="2"/>
  <c r="CI42" i="2"/>
  <c r="CM42" i="2" s="1"/>
  <c r="CK276" i="2"/>
  <c r="CI276" i="2"/>
  <c r="CM276" i="2" s="1"/>
  <c r="CE349" i="2"/>
  <c r="CI349" i="2"/>
  <c r="CM349" i="2" s="1"/>
  <c r="CK310" i="2"/>
  <c r="CI310" i="2"/>
  <c r="CM310" i="2" s="1"/>
  <c r="CI178" i="2"/>
  <c r="CM178" i="2" s="1"/>
  <c r="CE141" i="2"/>
  <c r="CI141" i="2"/>
  <c r="CM141" i="2" s="1"/>
  <c r="CE193" i="2"/>
  <c r="CI193" i="2"/>
  <c r="CM193" i="2" s="1"/>
  <c r="CK72" i="2"/>
  <c r="CI72" i="2"/>
  <c r="CM72" i="2" s="1"/>
  <c r="CK313" i="2"/>
  <c r="CI313" i="2"/>
  <c r="CM313" i="2" s="1"/>
  <c r="FP88" i="2"/>
  <c r="CK27" i="2"/>
  <c r="CI27" i="2"/>
  <c r="CM27" i="2" s="1"/>
  <c r="CK10" i="2"/>
  <c r="CI10" i="2"/>
  <c r="CM10" i="2" s="1"/>
  <c r="CE333" i="2"/>
  <c r="CI333" i="2"/>
  <c r="CM333" i="2" s="1"/>
  <c r="CK253" i="2"/>
  <c r="CI253" i="2"/>
  <c r="CM253" i="2" s="1"/>
  <c r="FN164" i="2"/>
  <c r="CE108" i="2"/>
  <c r="CI108" i="2"/>
  <c r="CM108" i="2" s="1"/>
  <c r="CI137" i="2"/>
  <c r="CM137" i="2" s="1"/>
  <c r="CE57" i="2"/>
  <c r="CI57" i="2"/>
  <c r="CM57" i="2" s="1"/>
  <c r="CE115" i="2"/>
  <c r="CI115" i="2"/>
  <c r="CM115" i="2" s="1"/>
  <c r="CE51" i="2"/>
  <c r="CI51" i="2"/>
  <c r="CM51" i="2" s="1"/>
  <c r="CK67" i="2"/>
  <c r="CI67" i="2"/>
  <c r="CM67" i="2" s="1"/>
  <c r="CK107" i="2"/>
  <c r="CI107" i="2"/>
  <c r="CM107" i="2" s="1"/>
  <c r="CK268" i="2"/>
  <c r="CI268" i="2"/>
  <c r="CM268" i="2" s="1"/>
  <c r="CK344" i="2"/>
  <c r="CI344" i="2"/>
  <c r="CM344" i="2" s="1"/>
  <c r="CE293" i="2"/>
  <c r="CI293" i="2"/>
  <c r="CM293" i="2" s="1"/>
  <c r="FN300" i="2"/>
  <c r="CI308" i="2"/>
  <c r="CM308" i="2" s="1"/>
  <c r="CI173" i="2"/>
  <c r="CM173" i="2" s="1"/>
  <c r="CK196" i="2"/>
  <c r="CI196" i="2"/>
  <c r="CM196" i="2" s="1"/>
  <c r="CK192" i="2"/>
  <c r="CI192" i="2"/>
  <c r="CM192" i="2" s="1"/>
  <c r="FO196" i="2"/>
  <c r="GJ196" i="2" s="1"/>
  <c r="FN70" i="2"/>
  <c r="CE92" i="2"/>
  <c r="CI92" i="2"/>
  <c r="CM92" i="2" s="1"/>
  <c r="CK37" i="2"/>
  <c r="CI37" i="2"/>
  <c r="CM37" i="2" s="1"/>
  <c r="CK23" i="2"/>
  <c r="CI23" i="2"/>
  <c r="CM23" i="2" s="1"/>
  <c r="FO164" i="2"/>
  <c r="GJ164" i="2" s="1"/>
  <c r="CK97" i="2"/>
  <c r="CI97" i="2"/>
  <c r="CM97" i="2" s="1"/>
  <c r="CK82" i="2"/>
  <c r="CI82" i="2"/>
  <c r="CM82" i="2" s="1"/>
  <c r="CE353" i="2"/>
  <c r="CI353" i="2"/>
  <c r="CM353" i="2" s="1"/>
  <c r="CI341" i="2"/>
  <c r="CM341" i="2" s="1"/>
  <c r="CK184" i="2"/>
  <c r="CI184" i="2"/>
  <c r="CM184" i="2" s="1"/>
  <c r="CK191" i="2"/>
  <c r="CI191" i="2"/>
  <c r="CM191" i="2" s="1"/>
  <c r="CK110" i="2"/>
  <c r="CI110" i="2"/>
  <c r="CM110" i="2" s="1"/>
  <c r="CE139" i="2"/>
  <c r="CI139" i="2"/>
  <c r="CM139" i="2" s="1"/>
  <c r="CK86" i="2"/>
  <c r="CI86" i="2"/>
  <c r="CM86" i="2" s="1"/>
  <c r="CI112" i="2"/>
  <c r="CM112" i="2" s="1"/>
  <c r="CK63" i="2"/>
  <c r="CI63" i="2"/>
  <c r="CM63" i="2" s="1"/>
  <c r="CK71" i="2"/>
  <c r="CI71" i="2"/>
  <c r="CM71" i="2" s="1"/>
  <c r="CI242" i="2"/>
  <c r="CM242" i="2" s="1"/>
  <c r="CI77" i="2"/>
  <c r="CM77" i="2" s="1"/>
  <c r="CI197" i="2"/>
  <c r="CM197" i="2" s="1"/>
  <c r="CI169" i="2"/>
  <c r="CM169" i="2" s="1"/>
  <c r="CK32" i="2"/>
  <c r="CI32" i="2"/>
  <c r="CM32" i="2" s="1"/>
  <c r="CE323" i="2"/>
  <c r="CI323" i="2"/>
  <c r="CM323" i="2" s="1"/>
  <c r="CK33" i="2"/>
  <c r="CI33" i="2"/>
  <c r="CM33" i="2" s="1"/>
  <c r="FO88" i="2"/>
  <c r="GJ88" i="2" s="1"/>
  <c r="CE54" i="2"/>
  <c r="CI54" i="2"/>
  <c r="CM54" i="2" s="1"/>
  <c r="FO70" i="2"/>
  <c r="GJ70" i="2" s="1"/>
  <c r="FO19" i="2"/>
  <c r="GJ19" i="2" s="1"/>
  <c r="CE285" i="2"/>
  <c r="CI285" i="2"/>
  <c r="CM285" i="2" s="1"/>
  <c r="CK305" i="2"/>
  <c r="CI305" i="2"/>
  <c r="CM305" i="2" s="1"/>
  <c r="CE190" i="2"/>
  <c r="CI190" i="2"/>
  <c r="CM190" i="2" s="1"/>
  <c r="CE122" i="2"/>
  <c r="CI122" i="2"/>
  <c r="CM122" i="2" s="1"/>
  <c r="CE105" i="2"/>
  <c r="CI105" i="2"/>
  <c r="CM105" i="2" s="1"/>
  <c r="CK100" i="2"/>
  <c r="CI100" i="2"/>
  <c r="CM100" i="2" s="1"/>
  <c r="CI70" i="2"/>
  <c r="CM70" i="2" s="1"/>
  <c r="FO18" i="2"/>
  <c r="GJ18" i="2" s="1"/>
  <c r="CK34" i="2"/>
  <c r="CI34" i="2"/>
  <c r="CM34" i="2" s="1"/>
  <c r="CK342" i="2"/>
  <c r="CI342" i="2"/>
  <c r="CM342" i="2" s="1"/>
  <c r="CE352" i="2"/>
  <c r="CI352" i="2"/>
  <c r="CM352" i="2" s="1"/>
  <c r="CK325" i="2"/>
  <c r="CI325" i="2"/>
  <c r="CM325" i="2" s="1"/>
  <c r="CK195" i="2"/>
  <c r="CI195" i="2"/>
  <c r="CM195" i="2" s="1"/>
  <c r="CI167" i="2"/>
  <c r="CM167" i="2" s="1"/>
  <c r="CK186" i="2"/>
  <c r="CI186" i="2"/>
  <c r="CM186" i="2" s="1"/>
  <c r="CE116" i="2"/>
  <c r="CI116" i="2"/>
  <c r="CM116" i="2" s="1"/>
  <c r="CI373" i="2"/>
  <c r="CM373" i="2" s="1"/>
  <c r="CE284" i="2"/>
  <c r="CI284" i="2"/>
  <c r="CM284" i="2" s="1"/>
  <c r="CK271" i="2"/>
  <c r="CI271" i="2"/>
  <c r="CM271" i="2" s="1"/>
  <c r="CK259" i="2"/>
  <c r="CI259" i="2"/>
  <c r="CM259" i="2" s="1"/>
  <c r="CK185" i="2"/>
  <c r="CI185" i="2"/>
  <c r="CM185" i="2" s="1"/>
  <c r="CK194" i="2"/>
  <c r="CI194" i="2"/>
  <c r="CM194" i="2" s="1"/>
  <c r="CK65" i="2"/>
  <c r="CI65" i="2"/>
  <c r="CM65" i="2" s="1"/>
  <c r="CK48" i="2"/>
  <c r="CI48" i="2"/>
  <c r="CM48" i="2" s="1"/>
  <c r="CK89" i="2"/>
  <c r="CI89" i="2"/>
  <c r="CM89" i="2" s="1"/>
  <c r="FN17" i="2"/>
  <c r="CE299" i="2"/>
  <c r="CI299" i="2"/>
  <c r="CM299" i="2" s="1"/>
  <c r="CK298" i="2"/>
  <c r="CI298" i="2"/>
  <c r="CM298" i="2" s="1"/>
  <c r="CK114" i="2"/>
  <c r="CI114" i="2"/>
  <c r="CM114" i="2" s="1"/>
  <c r="CE364" i="2"/>
  <c r="CI364" i="2"/>
  <c r="CM364" i="2" s="1"/>
  <c r="CK239" i="2"/>
  <c r="CI239" i="2"/>
  <c r="CM239" i="2" s="1"/>
  <c r="FN247" i="2"/>
  <c r="CE119" i="2"/>
  <c r="CI119" i="2"/>
  <c r="CM119" i="2" s="1"/>
  <c r="CK43" i="2"/>
  <c r="CI43" i="2"/>
  <c r="CM43" i="2" s="1"/>
  <c r="CK124" i="2"/>
  <c r="CI124" i="2"/>
  <c r="CM124" i="2" s="1"/>
  <c r="CK68" i="2"/>
  <c r="CI68" i="2"/>
  <c r="CM68" i="2" s="1"/>
  <c r="CI85" i="2"/>
  <c r="CM85" i="2" s="1"/>
  <c r="CK74" i="2"/>
  <c r="CI74" i="2"/>
  <c r="CM74" i="2" s="1"/>
  <c r="CE13" i="2"/>
  <c r="CI13" i="2"/>
  <c r="CM13" i="2" s="1"/>
  <c r="CI31" i="2"/>
  <c r="CM31" i="2" s="1"/>
  <c r="CK365" i="2"/>
  <c r="CI365" i="2"/>
  <c r="CM365" i="2" s="1"/>
  <c r="CE267" i="2"/>
  <c r="CI267" i="2"/>
  <c r="CM267" i="2" s="1"/>
  <c r="CE140" i="2"/>
  <c r="CI140" i="2"/>
  <c r="CM140" i="2" s="1"/>
  <c r="CK343" i="2"/>
  <c r="CI343" i="2"/>
  <c r="CM343" i="2" s="1"/>
  <c r="CK386" i="2"/>
  <c r="CI386" i="2"/>
  <c r="CM386" i="2" s="1"/>
  <c r="CI145" i="2"/>
  <c r="CM145" i="2" s="1"/>
  <c r="CE134" i="2"/>
  <c r="CI134" i="2"/>
  <c r="CM134" i="2" s="1"/>
  <c r="CI201" i="2"/>
  <c r="CM201" i="2" s="1"/>
  <c r="CK254" i="2"/>
  <c r="CI254" i="2"/>
  <c r="CM254" i="2" s="1"/>
  <c r="CE219" i="2"/>
  <c r="CI219" i="2"/>
  <c r="CM219" i="2" s="1"/>
  <c r="CI187" i="2"/>
  <c r="CM187" i="2" s="1"/>
  <c r="CE56" i="2"/>
  <c r="CI56" i="2"/>
  <c r="CM56" i="2" s="1"/>
  <c r="CK69" i="2"/>
  <c r="CI69" i="2"/>
  <c r="CM69" i="2" s="1"/>
  <c r="CK307" i="2"/>
  <c r="CI307" i="2"/>
  <c r="CM307" i="2" s="1"/>
  <c r="CI252" i="2"/>
  <c r="CM252" i="2" s="1"/>
  <c r="CE138" i="2"/>
  <c r="CI138" i="2"/>
  <c r="CM138" i="2" s="1"/>
  <c r="CI121" i="2"/>
  <c r="CM121" i="2" s="1"/>
  <c r="CK90" i="2"/>
  <c r="CI90" i="2"/>
  <c r="CM90" i="2" s="1"/>
  <c r="CK58" i="2"/>
  <c r="CI58" i="2"/>
  <c r="CM58" i="2" s="1"/>
  <c r="CE198" i="2"/>
  <c r="CI198" i="2"/>
  <c r="CM198" i="2" s="1"/>
  <c r="CK255" i="2"/>
  <c r="CI255" i="2"/>
  <c r="CM255" i="2" s="1"/>
  <c r="CE324" i="2"/>
  <c r="CI324" i="2"/>
  <c r="CM324" i="2" s="1"/>
  <c r="CE266" i="2"/>
  <c r="CI266" i="2"/>
  <c r="CM266" i="2" s="1"/>
  <c r="CK180" i="2"/>
  <c r="CI180" i="2"/>
  <c r="CM180" i="2" s="1"/>
  <c r="CI142" i="2"/>
  <c r="CM142" i="2" s="1"/>
  <c r="CK181" i="2"/>
  <c r="CI181" i="2"/>
  <c r="CM181" i="2" s="1"/>
  <c r="CK45" i="2"/>
  <c r="CI45" i="2"/>
  <c r="CM45" i="2" s="1"/>
  <c r="CK101" i="2"/>
  <c r="CI101" i="2"/>
  <c r="CM101" i="2" s="1"/>
  <c r="FP18" i="2"/>
  <c r="CE356" i="2"/>
  <c r="CI356" i="2"/>
  <c r="CM356" i="2" s="1"/>
  <c r="CK30" i="2"/>
  <c r="CI30" i="2"/>
  <c r="CM30" i="2" s="1"/>
  <c r="CK199" i="2"/>
  <c r="CI199" i="2"/>
  <c r="CM199" i="2" s="1"/>
  <c r="CK103" i="2"/>
  <c r="CI103" i="2"/>
  <c r="CM103" i="2" s="1"/>
  <c r="CE130" i="2"/>
  <c r="CI130" i="2"/>
  <c r="CM130" i="2" s="1"/>
  <c r="CE146" i="2"/>
  <c r="CI146" i="2"/>
  <c r="CM146" i="2" s="1"/>
  <c r="CK53" i="2"/>
  <c r="CI53" i="2"/>
  <c r="CM53" i="2" s="1"/>
  <c r="CK83" i="2"/>
  <c r="CI83" i="2"/>
  <c r="CM83" i="2" s="1"/>
  <c r="FO33" i="2"/>
  <c r="GJ33" i="2" s="1"/>
  <c r="FO381" i="2"/>
  <c r="GJ381" i="2" s="1"/>
  <c r="CK363" i="2"/>
  <c r="CI363" i="2"/>
  <c r="CM363" i="2" s="1"/>
  <c r="CE277" i="2"/>
  <c r="CI277" i="2"/>
  <c r="CM277" i="2" s="1"/>
  <c r="CI91" i="2"/>
  <c r="CM91" i="2" s="1"/>
  <c r="CE144" i="2"/>
  <c r="CI144" i="2"/>
  <c r="CM144" i="2" s="1"/>
  <c r="CE66" i="2"/>
  <c r="CI66" i="2"/>
  <c r="CM66" i="2" s="1"/>
  <c r="CK93" i="2"/>
  <c r="CI93" i="2"/>
  <c r="CM93" i="2" s="1"/>
  <c r="CK44" i="2"/>
  <c r="CI44" i="2"/>
  <c r="CM44" i="2" s="1"/>
  <c r="CK301" i="2"/>
  <c r="CI301" i="2"/>
  <c r="CM301" i="2" s="1"/>
  <c r="CK296" i="2"/>
  <c r="CI296" i="2"/>
  <c r="CM296" i="2" s="1"/>
  <c r="CK150" i="2"/>
  <c r="CI150" i="2"/>
  <c r="CM150" i="2" s="1"/>
  <c r="CK36" i="2"/>
  <c r="CI36" i="2"/>
  <c r="CM36" i="2" s="1"/>
  <c r="CK149" i="2"/>
  <c r="CI149" i="2"/>
  <c r="CM149" i="2" s="1"/>
  <c r="CK218" i="2"/>
  <c r="CI218" i="2"/>
  <c r="CM218" i="2" s="1"/>
  <c r="CE272" i="2"/>
  <c r="CI272" i="2"/>
  <c r="CM272" i="2" s="1"/>
  <c r="CI309" i="2"/>
  <c r="CM309" i="2" s="1"/>
  <c r="CE153" i="2"/>
  <c r="CI153" i="2"/>
  <c r="CM153" i="2" s="1"/>
  <c r="CK73" i="2"/>
  <c r="CI73" i="2"/>
  <c r="CM73" i="2" s="1"/>
  <c r="FN152" i="2"/>
  <c r="CI81" i="2"/>
  <c r="CM81" i="2" s="1"/>
  <c r="CK16" i="2"/>
  <c r="CI16" i="2"/>
  <c r="CM16" i="2" s="1"/>
  <c r="CE350" i="2"/>
  <c r="CI350" i="2"/>
  <c r="CM350" i="2" s="1"/>
  <c r="CE380" i="2"/>
  <c r="CI380" i="2"/>
  <c r="CM380" i="2" s="1"/>
  <c r="CE170" i="2"/>
  <c r="CI170" i="2"/>
  <c r="CM170" i="2" s="1"/>
  <c r="CK62" i="2"/>
  <c r="CI62" i="2"/>
  <c r="CM62" i="2" s="1"/>
  <c r="CK52" i="2"/>
  <c r="CI52" i="2"/>
  <c r="CM52" i="2" s="1"/>
  <c r="CK24" i="2"/>
  <c r="CI24" i="2"/>
  <c r="CM24" i="2" s="1"/>
  <c r="CK151" i="2"/>
  <c r="CI151" i="2"/>
  <c r="CM151" i="2" s="1"/>
  <c r="CE143" i="2"/>
  <c r="CI143" i="2"/>
  <c r="CM143" i="2" s="1"/>
  <c r="CI168" i="2"/>
  <c r="CM168" i="2" s="1"/>
  <c r="CE161" i="2"/>
  <c r="CI161" i="2"/>
  <c r="CM161" i="2" s="1"/>
  <c r="CE346" i="2"/>
  <c r="CI346" i="2"/>
  <c r="CM346" i="2" s="1"/>
  <c r="CE351" i="2"/>
  <c r="CI351" i="2"/>
  <c r="CM351" i="2" s="1"/>
  <c r="CK269" i="2"/>
  <c r="CI269" i="2"/>
  <c r="CM269" i="2" s="1"/>
  <c r="CE270" i="2"/>
  <c r="CI270" i="2"/>
  <c r="CM270" i="2" s="1"/>
  <c r="CK311" i="2"/>
  <c r="CI311" i="2"/>
  <c r="CM311" i="2" s="1"/>
  <c r="CK390" i="2"/>
  <c r="CI390" i="2"/>
  <c r="CM390" i="2" s="1"/>
  <c r="CI251" i="2"/>
  <c r="CM251" i="2" s="1"/>
  <c r="CK179" i="2"/>
  <c r="CI179" i="2"/>
  <c r="CM179" i="2" s="1"/>
  <c r="CK188" i="2"/>
  <c r="CI188" i="2"/>
  <c r="CM188" i="2" s="1"/>
  <c r="CE172" i="2"/>
  <c r="CI172" i="2"/>
  <c r="CM172" i="2" s="1"/>
  <c r="CE136" i="2"/>
  <c r="CI136" i="2"/>
  <c r="CM136" i="2" s="1"/>
  <c r="CK166" i="2"/>
  <c r="CI166" i="2"/>
  <c r="CM166" i="2" s="1"/>
  <c r="CK35" i="2"/>
  <c r="CI35" i="2"/>
  <c r="CM35" i="2" s="1"/>
  <c r="CE366" i="2"/>
  <c r="CI366" i="2"/>
  <c r="CM366" i="2" s="1"/>
  <c r="CE125" i="2"/>
  <c r="CI125" i="2"/>
  <c r="CM125" i="2" s="1"/>
  <c r="CK99" i="2"/>
  <c r="CI99" i="2"/>
  <c r="CM99" i="2" s="1"/>
  <c r="CE147" i="2"/>
  <c r="CI147" i="2"/>
  <c r="CM147" i="2" s="1"/>
  <c r="CK183" i="2"/>
  <c r="CI183" i="2"/>
  <c r="CM183" i="2" s="1"/>
  <c r="CE104" i="2"/>
  <c r="CI104" i="2"/>
  <c r="CM104" i="2" s="1"/>
  <c r="CK87" i="2"/>
  <c r="CI87" i="2"/>
  <c r="CM87" i="2" s="1"/>
  <c r="CK360" i="2"/>
  <c r="CI360" i="2"/>
  <c r="CM360" i="2" s="1"/>
  <c r="CK339" i="2"/>
  <c r="CI339" i="2"/>
  <c r="CM339" i="2" s="1"/>
  <c r="CK306" i="2"/>
  <c r="CI306" i="2"/>
  <c r="CM306" i="2" s="1"/>
  <c r="CI257" i="2"/>
  <c r="CM257" i="2" s="1"/>
  <c r="CK189" i="2"/>
  <c r="CI189" i="2"/>
  <c r="CM189" i="2" s="1"/>
  <c r="CI135" i="2"/>
  <c r="CM135" i="2" s="1"/>
  <c r="CK129" i="2"/>
  <c r="CI129" i="2"/>
  <c r="CM129" i="2" s="1"/>
  <c r="CI295" i="2"/>
  <c r="CM295" i="2" s="1"/>
  <c r="CI39" i="2"/>
  <c r="CM39" i="2" s="1"/>
  <c r="CK358" i="2"/>
  <c r="CI358" i="2"/>
  <c r="CM358" i="2" s="1"/>
  <c r="CE362" i="2"/>
  <c r="CI362" i="2"/>
  <c r="CM362" i="2" s="1"/>
  <c r="CK80" i="2"/>
  <c r="CI80" i="2"/>
  <c r="CM80" i="2" s="1"/>
  <c r="CK96" i="2"/>
  <c r="CI96" i="2"/>
  <c r="CM96" i="2" s="1"/>
  <c r="FN33" i="2"/>
  <c r="CI243" i="2"/>
  <c r="CM243" i="2" s="1"/>
  <c r="CE278" i="2"/>
  <c r="CI278" i="2"/>
  <c r="CM278" i="2" s="1"/>
  <c r="CE275" i="2"/>
  <c r="CI275" i="2"/>
  <c r="CM275" i="2" s="1"/>
  <c r="FN19" i="2"/>
  <c r="FP348" i="2"/>
  <c r="FN338" i="2"/>
  <c r="CK258" i="2"/>
  <c r="CI258" i="2"/>
  <c r="CM258" i="2" s="1"/>
  <c r="CE98" i="2"/>
  <c r="CI98" i="2"/>
  <c r="CM98" i="2" s="1"/>
  <c r="CI273" i="2"/>
  <c r="CM273" i="2" s="1"/>
  <c r="CI177" i="2"/>
  <c r="CM177" i="2" s="1"/>
  <c r="CE171" i="2"/>
  <c r="CI171" i="2"/>
  <c r="CM171" i="2" s="1"/>
  <c r="CE148" i="2"/>
  <c r="CI148" i="2"/>
  <c r="CM148" i="2" s="1"/>
  <c r="FO149" i="2"/>
  <c r="GJ149" i="2" s="1"/>
  <c r="CE47" i="2"/>
  <c r="CI47" i="2"/>
  <c r="CM47" i="2" s="1"/>
  <c r="CE118" i="2"/>
  <c r="CI118" i="2"/>
  <c r="CM118" i="2" s="1"/>
  <c r="CK41" i="2"/>
  <c r="CI41" i="2"/>
  <c r="CM41" i="2" s="1"/>
  <c r="FP152" i="2"/>
  <c r="CK340" i="2"/>
  <c r="CI340" i="2"/>
  <c r="CM340" i="2" s="1"/>
  <c r="CE354" i="2"/>
  <c r="CI354" i="2"/>
  <c r="CM354" i="2" s="1"/>
  <c r="CE290" i="2"/>
  <c r="CI290" i="2"/>
  <c r="CM290" i="2" s="1"/>
  <c r="CK95" i="2"/>
  <c r="CI95" i="2"/>
  <c r="CM95" i="2" s="1"/>
  <c r="CK154" i="2"/>
  <c r="CI154" i="2"/>
  <c r="CM154" i="2" s="1"/>
  <c r="CI297" i="2"/>
  <c r="CM297" i="2" s="1"/>
  <c r="CK361" i="2"/>
  <c r="CI361" i="2"/>
  <c r="CM361" i="2" s="1"/>
  <c r="FO348" i="2"/>
  <c r="GJ348" i="2" s="1"/>
  <c r="CK302" i="2"/>
  <c r="CI302" i="2"/>
  <c r="CM302" i="2" s="1"/>
  <c r="CI102" i="2"/>
  <c r="CM102" i="2" s="1"/>
  <c r="CE286" i="2"/>
  <c r="CI286" i="2"/>
  <c r="CM286" i="2" s="1"/>
  <c r="FO300" i="2"/>
  <c r="GJ300" i="2" s="1"/>
  <c r="CK182" i="2"/>
  <c r="CI182" i="2"/>
  <c r="CM182" i="2" s="1"/>
  <c r="CE78" i="2"/>
  <c r="CI78" i="2"/>
  <c r="CM78" i="2" s="1"/>
  <c r="CK84" i="2"/>
  <c r="CI84" i="2"/>
  <c r="CM84" i="2" s="1"/>
  <c r="CK29" i="2"/>
  <c r="CI29" i="2"/>
  <c r="CM29" i="2" s="1"/>
  <c r="CE9" i="2"/>
  <c r="CI9" i="2"/>
  <c r="CM9" i="2" s="1"/>
  <c r="CE294" i="2"/>
  <c r="CI294" i="2"/>
  <c r="CM294" i="2" s="1"/>
  <c r="CE381" i="2"/>
  <c r="CI381" i="2"/>
  <c r="CM381" i="2" s="1"/>
  <c r="CE359" i="2"/>
  <c r="CI359" i="2"/>
  <c r="CM359" i="2" s="1"/>
  <c r="CI392" i="2"/>
  <c r="CM392" i="2" s="1"/>
  <c r="CK303" i="2"/>
  <c r="CI303" i="2"/>
  <c r="CM303" i="2" s="1"/>
  <c r="CI176" i="2"/>
  <c r="CM176" i="2" s="1"/>
  <c r="CK25" i="2"/>
  <c r="CI25" i="2"/>
  <c r="CM25" i="2" s="1"/>
  <c r="CI131" i="2"/>
  <c r="CM131" i="2" s="1"/>
  <c r="CK94" i="2"/>
  <c r="CI94" i="2"/>
  <c r="CM94" i="2" s="1"/>
  <c r="CE279" i="2"/>
  <c r="CI279" i="2"/>
  <c r="CM279" i="2" s="1"/>
  <c r="FO91" i="2"/>
  <c r="GJ91" i="2" s="1"/>
  <c r="FN126" i="2"/>
  <c r="FO161" i="2"/>
  <c r="FO362" i="2"/>
  <c r="GJ362" i="2" s="1"/>
  <c r="FO126" i="2"/>
  <c r="GJ126" i="2" s="1"/>
  <c r="FN268" i="2"/>
  <c r="FN139" i="2"/>
  <c r="FO366" i="2"/>
  <c r="GJ366" i="2" s="1"/>
  <c r="FN307" i="2"/>
  <c r="FO172" i="2"/>
  <c r="GJ172" i="2" s="1"/>
  <c r="FO94" i="2"/>
  <c r="GJ94" i="2" s="1"/>
  <c r="FN304" i="2"/>
  <c r="FN362" i="2"/>
  <c r="FO291" i="2"/>
  <c r="GJ291" i="2" s="1"/>
  <c r="FN110" i="2"/>
  <c r="FO41" i="2"/>
  <c r="GJ41" i="2" s="1"/>
  <c r="FN59" i="2"/>
  <c r="FP292" i="2"/>
  <c r="FN387" i="2"/>
  <c r="FO59" i="2"/>
  <c r="GJ59" i="2" s="1"/>
  <c r="FN66" i="2"/>
  <c r="FN391" i="2"/>
  <c r="FO139" i="2"/>
  <c r="GJ139" i="2" s="1"/>
  <c r="FO387" i="2"/>
  <c r="GJ387" i="2" s="1"/>
  <c r="FN69" i="2"/>
  <c r="FO307" i="2"/>
  <c r="GJ307" i="2" s="1"/>
  <c r="FO263" i="2"/>
  <c r="GJ263" i="2" s="1"/>
  <c r="FN94" i="2"/>
  <c r="FO386" i="2"/>
  <c r="GJ386" i="2" s="1"/>
  <c r="FP325" i="2"/>
  <c r="FP263" i="2"/>
  <c r="FO76" i="2"/>
  <c r="GJ76" i="2" s="1"/>
  <c r="FN359" i="2"/>
  <c r="FO325" i="2"/>
  <c r="GJ325" i="2" s="1"/>
  <c r="FO30" i="2"/>
  <c r="FO180" i="2"/>
  <c r="GJ180" i="2" s="1"/>
  <c r="FO179" i="2"/>
  <c r="GJ179" i="2" s="1"/>
  <c r="FN76" i="2"/>
  <c r="FN98" i="2"/>
  <c r="FN394" i="2"/>
  <c r="FO394" i="2"/>
  <c r="GJ394" i="2" s="1"/>
  <c r="FN91" i="2"/>
  <c r="FN186" i="2"/>
  <c r="FO391" i="2"/>
  <c r="GJ391" i="2" s="1"/>
  <c r="FN320" i="2"/>
  <c r="FN90" i="2"/>
  <c r="FO73" i="2"/>
  <c r="GJ73" i="2" s="1"/>
  <c r="FN118" i="2"/>
  <c r="FN28" i="2"/>
  <c r="FO292" i="2"/>
  <c r="GJ292" i="2" s="1"/>
  <c r="FN73" i="2"/>
  <c r="FO245" i="2"/>
  <c r="GJ245" i="2" s="1"/>
  <c r="FN172" i="2"/>
  <c r="FO28" i="2"/>
  <c r="GJ28" i="2" s="1"/>
  <c r="FP197" i="2"/>
  <c r="FN386" i="2"/>
  <c r="FO304" i="2"/>
  <c r="GJ304" i="2" s="1"/>
  <c r="FR92" i="2" a="1"/>
  <c r="FR92" i="2" s="1"/>
  <c r="FN30" i="2"/>
  <c r="FN252" i="2"/>
  <c r="FN291" i="2"/>
  <c r="FN167" i="2"/>
  <c r="FN161" i="2"/>
  <c r="FO98" i="2"/>
  <c r="GJ98" i="2" s="1"/>
  <c r="FN153" i="2"/>
  <c r="FO238" i="2"/>
  <c r="GJ238" i="2" s="1"/>
  <c r="FP302" i="2"/>
  <c r="FN241" i="2"/>
  <c r="FN84" i="2"/>
  <c r="FO293" i="2"/>
  <c r="GJ293" i="2" s="1"/>
  <c r="FO305" i="2"/>
  <c r="GJ305" i="2" s="1"/>
  <c r="FN293" i="2"/>
  <c r="FN135" i="2"/>
  <c r="FN129" i="2"/>
  <c r="FN104" i="2"/>
  <c r="FN305" i="2"/>
  <c r="FP379" i="2"/>
  <c r="FP103" i="2"/>
  <c r="FO104" i="2"/>
  <c r="GJ104" i="2" s="1"/>
  <c r="FO90" i="2"/>
  <c r="GJ90" i="2" s="1"/>
  <c r="FO379" i="2"/>
  <c r="GJ379" i="2" s="1"/>
  <c r="FO84" i="2"/>
  <c r="GJ84" i="2" s="1"/>
  <c r="FO241" i="2"/>
  <c r="GJ241" i="2" s="1"/>
  <c r="FP133" i="2"/>
  <c r="FO132" i="2"/>
  <c r="FW327" i="2"/>
  <c r="FX327" i="2" s="1" a="1"/>
  <c r="FX327" i="2" s="1"/>
  <c r="FN323" i="2"/>
  <c r="FN143" i="2"/>
  <c r="FN113" i="2"/>
  <c r="FO323" i="2"/>
  <c r="GJ323" i="2" s="1"/>
  <c r="FO143" i="2"/>
  <c r="GJ143" i="2" s="1"/>
  <c r="FO272" i="2"/>
  <c r="GJ272" i="2" s="1"/>
  <c r="FP219" i="2"/>
  <c r="GT257" i="2"/>
  <c r="FO314" i="2"/>
  <c r="GJ314" i="2" s="1"/>
  <c r="FO79" i="2"/>
  <c r="GJ79" i="2" s="1"/>
  <c r="FP233" i="2"/>
  <c r="FN342" i="2"/>
  <c r="FP218" i="2"/>
  <c r="FN133" i="2"/>
  <c r="FO306" i="2"/>
  <c r="GJ306" i="2" s="1"/>
  <c r="FN140" i="2"/>
  <c r="FP79" i="2"/>
  <c r="FN253" i="2"/>
  <c r="FP203" i="2"/>
  <c r="FO218" i="2"/>
  <c r="GJ218" i="2" s="1"/>
  <c r="FN60" i="2"/>
  <c r="FN114" i="2"/>
  <c r="FO342" i="2"/>
  <c r="GJ342" i="2" s="1"/>
  <c r="FR321" i="2" a="1"/>
  <c r="FR321" i="2" s="1"/>
  <c r="FN234" i="2"/>
  <c r="FO44" i="2"/>
  <c r="FN53" i="2"/>
  <c r="FO233" i="2"/>
  <c r="GJ233" i="2" s="1"/>
  <c r="FO96" i="2"/>
  <c r="GJ96" i="2" s="1"/>
  <c r="FO53" i="2"/>
  <c r="GJ53" i="2" s="1"/>
  <c r="FO234" i="2"/>
  <c r="GJ234" i="2" s="1"/>
  <c r="FO279" i="2"/>
  <c r="GJ279" i="2" s="1"/>
  <c r="FP132" i="2"/>
  <c r="FN13" i="2"/>
  <c r="FO219" i="2"/>
  <c r="GJ219" i="2" s="1"/>
  <c r="FN174" i="2"/>
  <c r="FO114" i="2"/>
  <c r="GJ114" i="2" s="1"/>
  <c r="FO60" i="2"/>
  <c r="GJ60" i="2" s="1"/>
  <c r="FP237" i="2"/>
  <c r="FO236" i="2"/>
  <c r="GJ236" i="2" s="1"/>
  <c r="FP223" i="2"/>
  <c r="FO252" i="2"/>
  <c r="GJ252" i="2" s="1"/>
  <c r="FO237" i="2"/>
  <c r="GJ237" i="2" s="1"/>
  <c r="FO113" i="2"/>
  <c r="GJ113" i="2" s="1"/>
  <c r="FN96" i="2"/>
  <c r="FN306" i="2"/>
  <c r="FN314" i="2"/>
  <c r="FO174" i="2"/>
  <c r="GJ174" i="2" s="1"/>
  <c r="FO13" i="2"/>
  <c r="GJ13" i="2" s="1"/>
  <c r="FO203" i="2"/>
  <c r="GJ203" i="2" s="1"/>
  <c r="FN279" i="2"/>
  <c r="FO336" i="2"/>
  <c r="FP336" i="2"/>
  <c r="FN23" i="2"/>
  <c r="FR355" i="2" a="1"/>
  <c r="FR355" i="2" s="1"/>
  <c r="FN311" i="2"/>
  <c r="FN272" i="2"/>
  <c r="FO34" i="2"/>
  <c r="GJ34" i="2" s="1"/>
  <c r="FN185" i="2"/>
  <c r="FP83" i="2"/>
  <c r="FP44" i="2"/>
  <c r="FN54" i="2"/>
  <c r="FP236" i="2"/>
  <c r="FN21" i="2"/>
  <c r="FO21" i="2"/>
  <c r="GJ21" i="2" s="1"/>
  <c r="FN34" i="2"/>
  <c r="FO54" i="2"/>
  <c r="GJ54" i="2" s="1"/>
  <c r="FO223" i="2"/>
  <c r="GJ223" i="2" s="1"/>
  <c r="FO267" i="2"/>
  <c r="GJ267" i="2" s="1"/>
  <c r="FO23" i="2"/>
  <c r="GJ23" i="2" s="1"/>
  <c r="FW108" i="2"/>
  <c r="FX108" i="2" s="1" a="1"/>
  <c r="FX108" i="2" s="1"/>
  <c r="FN258" i="2"/>
  <c r="FP267" i="2"/>
  <c r="FO297" i="2"/>
  <c r="GJ297" i="2" s="1"/>
  <c r="FN151" i="2"/>
  <c r="FM395" i="2"/>
  <c r="FR220" i="2" a="1"/>
  <c r="FR220" i="2" s="1"/>
  <c r="FO349" i="2"/>
  <c r="GJ349" i="2" s="1"/>
  <c r="FN349" i="2"/>
  <c r="EH213" i="2"/>
  <c r="FO39" i="2"/>
  <c r="GJ39" i="2" s="1"/>
  <c r="FN36" i="2"/>
  <c r="FR391" i="2" a="1"/>
  <c r="FR391" i="2" s="1"/>
  <c r="FO213" i="2"/>
  <c r="GJ213" i="2" s="1"/>
  <c r="FN65" i="2"/>
  <c r="FN41" i="2"/>
  <c r="FN339" i="2"/>
  <c r="FR152" i="2" a="1"/>
  <c r="FR152" i="2" s="1"/>
  <c r="FO65" i="2"/>
  <c r="GJ65" i="2" s="1"/>
  <c r="FN254" i="2"/>
  <c r="FO77" i="2"/>
  <c r="GJ77" i="2" s="1"/>
  <c r="FN77" i="2"/>
  <c r="GT244" i="2"/>
  <c r="FO106" i="2"/>
  <c r="GJ106" i="2" s="1"/>
  <c r="FR389" i="2" a="1"/>
  <c r="FR389" i="2" s="1"/>
  <c r="FO359" i="2"/>
  <c r="GJ359" i="2" s="1"/>
  <c r="FO170" i="2"/>
  <c r="GJ170" i="2" s="1"/>
  <c r="FO43" i="2"/>
  <c r="GJ43" i="2" s="1"/>
  <c r="FN38" i="2"/>
  <c r="FO47" i="2"/>
  <c r="GJ47" i="2" s="1"/>
  <c r="FN202" i="2"/>
  <c r="FP226" i="2"/>
  <c r="FO215" i="2"/>
  <c r="GJ215" i="2" s="1"/>
  <c r="FO26" i="2"/>
  <c r="GJ26" i="2" s="1"/>
  <c r="FO214" i="2"/>
  <c r="GJ214" i="2" s="1"/>
  <c r="FN26" i="2"/>
  <c r="FN177" i="2"/>
  <c r="FN22" i="2"/>
  <c r="FO240" i="2"/>
  <c r="GJ240" i="2" s="1"/>
  <c r="FO317" i="2"/>
  <c r="GJ317" i="2" s="1"/>
  <c r="FO177" i="2"/>
  <c r="GJ177" i="2" s="1"/>
  <c r="FO148" i="2"/>
  <c r="GJ148" i="2" s="1"/>
  <c r="FP43" i="2"/>
  <c r="FO38" i="2"/>
  <c r="GJ38" i="2" s="1"/>
  <c r="FN170" i="2"/>
  <c r="FP326" i="2"/>
  <c r="FO230" i="2"/>
  <c r="GJ230" i="2" s="1"/>
  <c r="FN83" i="2"/>
  <c r="FN148" i="2"/>
  <c r="FO57" i="2"/>
  <c r="GJ57" i="2" s="1"/>
  <c r="FR383" i="2" a="1"/>
  <c r="FR383" i="2" s="1"/>
  <c r="FP202" i="2"/>
  <c r="FP57" i="2"/>
  <c r="FO22" i="2"/>
  <c r="GJ22" i="2" s="1"/>
  <c r="FO226" i="2"/>
  <c r="GJ226" i="2" s="1"/>
  <c r="FR384" i="2" a="1"/>
  <c r="FR384" i="2" s="1"/>
  <c r="FN47" i="2"/>
  <c r="FH11" i="2"/>
  <c r="FK11" i="2" s="1"/>
  <c r="FG11" i="2"/>
  <c r="FU11" i="2" s="1"/>
  <c r="FV11" i="2" s="1"/>
  <c r="FE11" i="2"/>
  <c r="FC11" i="2"/>
  <c r="FH364" i="2"/>
  <c r="FK364" i="2" s="1"/>
  <c r="FG364" i="2"/>
  <c r="FU364" i="2" s="1"/>
  <c r="FV364" i="2" s="1"/>
  <c r="FE364" i="2"/>
  <c r="FC364" i="2"/>
  <c r="FH104" i="2"/>
  <c r="FK104" i="2" s="1"/>
  <c r="FG104" i="2"/>
  <c r="FU104" i="2" s="1"/>
  <c r="FV104" i="2" s="1"/>
  <c r="FC104" i="2"/>
  <c r="FE104" i="2"/>
  <c r="FH91" i="2"/>
  <c r="FK91" i="2" s="1"/>
  <c r="FG91" i="2"/>
  <c r="FU91" i="2" s="1"/>
  <c r="FV91" i="2" s="1"/>
  <c r="FC91" i="2"/>
  <c r="FE91" i="2"/>
  <c r="FH246" i="2"/>
  <c r="FK246" i="2" s="1"/>
  <c r="FG246" i="2"/>
  <c r="FU246" i="2" s="1"/>
  <c r="FV246" i="2" s="1"/>
  <c r="FE246" i="2"/>
  <c r="FC246" i="2"/>
  <c r="FH348" i="2"/>
  <c r="FK348" i="2" s="1"/>
  <c r="FG348" i="2"/>
  <c r="FU348" i="2" s="1"/>
  <c r="FV348" i="2" s="1"/>
  <c r="FE348" i="2"/>
  <c r="FC348" i="2"/>
  <c r="FH275" i="2"/>
  <c r="FK275" i="2" s="1"/>
  <c r="FG275" i="2"/>
  <c r="FU275" i="2" s="1"/>
  <c r="FV275" i="2" s="1"/>
  <c r="FC275" i="2"/>
  <c r="FE275" i="2"/>
  <c r="FG63" i="2"/>
  <c r="FU63" i="2" s="1"/>
  <c r="FV63" i="2" s="1"/>
  <c r="FH63" i="2"/>
  <c r="FK63" i="2" s="1"/>
  <c r="FE63" i="2"/>
  <c r="FC63" i="2"/>
  <c r="FH33" i="2"/>
  <c r="FK33" i="2" s="1"/>
  <c r="FG33" i="2"/>
  <c r="FU33" i="2" s="1"/>
  <c r="FV33" i="2" s="1"/>
  <c r="FE33" i="2"/>
  <c r="FC33" i="2"/>
  <c r="FH66" i="2"/>
  <c r="FK66" i="2" s="1"/>
  <c r="FG66" i="2"/>
  <c r="FU66" i="2" s="1"/>
  <c r="FV66" i="2" s="1"/>
  <c r="FC66" i="2"/>
  <c r="FE66" i="2"/>
  <c r="FG390" i="2"/>
  <c r="FH390" i="2" s="1"/>
  <c r="FG17" i="2"/>
  <c r="FU17" i="2" s="1"/>
  <c r="FV17" i="2" s="1"/>
  <c r="FH17" i="2"/>
  <c r="FK17" i="2" s="1"/>
  <c r="FE17" i="2"/>
  <c r="FC17" i="2"/>
  <c r="FG346" i="2"/>
  <c r="FU346" i="2" s="1"/>
  <c r="FV346" i="2" s="1"/>
  <c r="FH346" i="2"/>
  <c r="FK346" i="2" s="1"/>
  <c r="FE346" i="2"/>
  <c r="FC346" i="2"/>
  <c r="FH52" i="2"/>
  <c r="FK52" i="2" s="1"/>
  <c r="FG52" i="2"/>
  <c r="FU52" i="2" s="1"/>
  <c r="FV52" i="2" s="1"/>
  <c r="FC52" i="2"/>
  <c r="FE52"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341" i="2"/>
  <c r="FU341" i="2" s="1"/>
  <c r="FV341" i="2" s="1"/>
  <c r="FH341" i="2"/>
  <c r="FK341" i="2" s="1"/>
  <c r="FC341" i="2"/>
  <c r="FE341" i="2"/>
  <c r="FH307" i="2"/>
  <c r="FK307" i="2" s="1"/>
  <c r="FG307" i="2"/>
  <c r="FU307" i="2" s="1"/>
  <c r="FV307" i="2" s="1"/>
  <c r="FC307" i="2"/>
  <c r="FE307" i="2"/>
  <c r="FG169" i="2"/>
  <c r="FU169" i="2" s="1"/>
  <c r="FV169" i="2" s="1"/>
  <c r="FH169" i="2"/>
  <c r="FK169" i="2" s="1"/>
  <c r="FC169" i="2"/>
  <c r="FE169" i="2"/>
  <c r="FH92" i="2"/>
  <c r="FK92" i="2" s="1"/>
  <c r="FG92" i="2"/>
  <c r="FU92" i="2" s="1"/>
  <c r="FV92" i="2" s="1"/>
  <c r="FE92" i="2"/>
  <c r="FC92" i="2"/>
  <c r="FH12" i="2"/>
  <c r="FK12" i="2" s="1"/>
  <c r="FG12" i="2"/>
  <c r="FU12" i="2" s="1"/>
  <c r="FV12" i="2" s="1"/>
  <c r="FE12" i="2"/>
  <c r="FC12" i="2"/>
  <c r="FG114" i="2"/>
  <c r="FU114" i="2" s="1"/>
  <c r="FV114" i="2" s="1"/>
  <c r="FH114" i="2"/>
  <c r="FK114" i="2" s="1"/>
  <c r="FC114" i="2"/>
  <c r="FE114" i="2"/>
  <c r="FH249" i="2"/>
  <c r="FK249" i="2" s="1"/>
  <c r="FG249" i="2"/>
  <c r="FU249" i="2" s="1"/>
  <c r="FV249" i="2" s="1"/>
  <c r="FE249" i="2"/>
  <c r="FC249" i="2"/>
  <c r="FH151" i="2"/>
  <c r="FK151" i="2" s="1"/>
  <c r="FC151" i="2"/>
  <c r="FG151" i="2"/>
  <c r="FU151" i="2" s="1"/>
  <c r="FV151" i="2" s="1"/>
  <c r="FE151" i="2"/>
  <c r="FG253" i="2"/>
  <c r="FU253" i="2" s="1"/>
  <c r="FV253" i="2" s="1"/>
  <c r="FH253" i="2"/>
  <c r="FK253" i="2" s="1"/>
  <c r="FE253" i="2"/>
  <c r="FC253" i="2"/>
  <c r="FH173" i="2"/>
  <c r="FK173" i="2" s="1"/>
  <c r="FG173" i="2"/>
  <c r="FU173" i="2" s="1"/>
  <c r="FV173" i="2" s="1"/>
  <c r="FE173" i="2"/>
  <c r="FC173" i="2"/>
  <c r="FH26" i="2"/>
  <c r="FK26" i="2" s="1"/>
  <c r="FG26" i="2"/>
  <c r="FU26" i="2" s="1"/>
  <c r="FV26" i="2" s="1"/>
  <c r="FE26" i="2"/>
  <c r="FC26" i="2"/>
  <c r="FH57" i="2"/>
  <c r="FK57" i="2" s="1"/>
  <c r="FG57" i="2"/>
  <c r="FU57" i="2" s="1"/>
  <c r="FV57" i="2" s="1"/>
  <c r="FC57" i="2"/>
  <c r="FE57" i="2"/>
  <c r="FH120" i="2"/>
  <c r="FK120" i="2" s="1"/>
  <c r="FG120" i="2"/>
  <c r="FU120" i="2" s="1"/>
  <c r="FV120" i="2" s="1"/>
  <c r="FC120" i="2"/>
  <c r="FE120" i="2"/>
  <c r="FG359" i="2"/>
  <c r="FU359" i="2" s="1"/>
  <c r="FV359" i="2" s="1"/>
  <c r="FH359" i="2"/>
  <c r="FK359" i="2" s="1"/>
  <c r="FE359" i="2"/>
  <c r="FC359" i="2"/>
  <c r="FH290" i="2"/>
  <c r="FK290" i="2" s="1"/>
  <c r="FG290" i="2"/>
  <c r="FU290" i="2" s="1"/>
  <c r="FV290" i="2" s="1"/>
  <c r="FE290" i="2"/>
  <c r="FC290" i="2"/>
  <c r="FG47" i="2"/>
  <c r="FU47" i="2" s="1"/>
  <c r="FV47" i="2" s="1"/>
  <c r="FH47" i="2"/>
  <c r="FK47" i="2" s="1"/>
  <c r="FE47" i="2"/>
  <c r="FC47" i="2"/>
  <c r="FH226" i="2"/>
  <c r="FK226" i="2" s="1"/>
  <c r="FG226" i="2"/>
  <c r="FU226" i="2" s="1"/>
  <c r="FV226" i="2" s="1"/>
  <c r="FE226" i="2"/>
  <c r="FC226" i="2"/>
  <c r="FH84" i="2"/>
  <c r="FK84" i="2" s="1"/>
  <c r="FG84" i="2"/>
  <c r="FU84" i="2" s="1"/>
  <c r="FV84" i="2" s="1"/>
  <c r="FC84" i="2"/>
  <c r="FE84" i="2"/>
  <c r="FH129" i="2"/>
  <c r="FK129" i="2" s="1"/>
  <c r="FG129" i="2"/>
  <c r="FU129" i="2" s="1"/>
  <c r="FV129" i="2" s="1"/>
  <c r="FE129" i="2"/>
  <c r="FC129" i="2"/>
  <c r="FH321" i="2"/>
  <c r="FK321" i="2" s="1"/>
  <c r="FG321" i="2"/>
  <c r="FU321" i="2" s="1"/>
  <c r="FV321" i="2" s="1"/>
  <c r="FE321" i="2"/>
  <c r="FC321" i="2"/>
  <c r="FG312" i="2"/>
  <c r="FU312" i="2" s="1"/>
  <c r="FV312" i="2" s="1"/>
  <c r="FE312" i="2"/>
  <c r="FH312" i="2"/>
  <c r="FK312" i="2" s="1"/>
  <c r="FC312" i="2"/>
  <c r="FH202" i="2"/>
  <c r="FK202" i="2" s="1"/>
  <c r="FG202" i="2"/>
  <c r="FU202" i="2" s="1"/>
  <c r="FV202" i="2" s="1"/>
  <c r="FE202" i="2"/>
  <c r="FC202" i="2"/>
  <c r="FG50" i="2"/>
  <c r="FU50" i="2" s="1"/>
  <c r="FV50" i="2" s="1"/>
  <c r="FH50" i="2"/>
  <c r="FK50" i="2" s="1"/>
  <c r="FC50" i="2"/>
  <c r="FE50" i="2"/>
  <c r="FH43" i="2"/>
  <c r="FK43" i="2" s="1"/>
  <c r="FG43" i="2"/>
  <c r="FU43" i="2" s="1"/>
  <c r="FV43" i="2" s="1"/>
  <c r="FE43" i="2"/>
  <c r="FC43" i="2"/>
  <c r="FG240" i="2"/>
  <c r="FU240" i="2" s="1"/>
  <c r="FV240" i="2" s="1"/>
  <c r="FE240" i="2"/>
  <c r="FH240" i="2"/>
  <c r="FK240" i="2" s="1"/>
  <c r="FC240" i="2"/>
  <c r="FG206" i="2"/>
  <c r="FU206" i="2" s="1"/>
  <c r="FV206" i="2" s="1"/>
  <c r="FH206" i="2"/>
  <c r="FK206" i="2" s="1"/>
  <c r="FE206" i="2"/>
  <c r="FC206" i="2"/>
  <c r="FH100" i="2"/>
  <c r="FK100" i="2" s="1"/>
  <c r="FG100" i="2"/>
  <c r="FU100" i="2" s="1"/>
  <c r="FV100" i="2" s="1"/>
  <c r="FC100" i="2"/>
  <c r="FE100" i="2"/>
  <c r="FG241" i="2"/>
  <c r="FU241" i="2" s="1"/>
  <c r="FV241" i="2" s="1"/>
  <c r="FH241" i="2"/>
  <c r="FK241" i="2" s="1"/>
  <c r="FE241" i="2"/>
  <c r="FC241" i="2"/>
  <c r="FG237" i="2"/>
  <c r="FU237" i="2" s="1"/>
  <c r="FV237" i="2" s="1"/>
  <c r="FH237" i="2"/>
  <c r="FK237" i="2" s="1"/>
  <c r="FC237" i="2"/>
  <c r="FE237" i="2"/>
  <c r="FH198" i="2"/>
  <c r="FK198" i="2" s="1"/>
  <c r="FG198" i="2"/>
  <c r="FU198" i="2" s="1"/>
  <c r="FV198" i="2" s="1"/>
  <c r="FC198" i="2"/>
  <c r="FE198" i="2"/>
  <c r="FG117" i="2"/>
  <c r="FU117" i="2" s="1"/>
  <c r="FV117" i="2" s="1"/>
  <c r="FH117" i="2"/>
  <c r="FK117" i="2" s="1"/>
  <c r="FC117" i="2"/>
  <c r="FE117" i="2"/>
  <c r="FH174" i="2"/>
  <c r="FK174" i="2" s="1"/>
  <c r="FG174" i="2"/>
  <c r="FU174" i="2" s="1"/>
  <c r="FV174" i="2" s="1"/>
  <c r="FE174" i="2"/>
  <c r="FC174" i="2"/>
  <c r="FH282" i="2"/>
  <c r="FK282" i="2" s="1"/>
  <c r="FG282" i="2"/>
  <c r="FU282" i="2" s="1"/>
  <c r="FV282" i="2" s="1"/>
  <c r="FE282" i="2"/>
  <c r="FC282" i="2"/>
  <c r="FH83" i="2"/>
  <c r="FK83" i="2" s="1"/>
  <c r="FG83" i="2"/>
  <c r="FU83" i="2" s="1"/>
  <c r="FV83" i="2" s="1"/>
  <c r="FE83" i="2"/>
  <c r="FC83" i="2"/>
  <c r="FH170" i="2"/>
  <c r="FK170" i="2" s="1"/>
  <c r="FG170" i="2"/>
  <c r="FE170" i="2"/>
  <c r="FC170" i="2"/>
  <c r="FH367" i="2"/>
  <c r="FK367" i="2" s="1"/>
  <c r="FG367" i="2"/>
  <c r="FU367" i="2" s="1"/>
  <c r="FV367" i="2" s="1"/>
  <c r="FE367" i="2"/>
  <c r="FC367" i="2"/>
  <c r="FH146" i="2"/>
  <c r="FK146" i="2" s="1"/>
  <c r="FG146" i="2"/>
  <c r="FC146" i="2"/>
  <c r="FE146" i="2"/>
  <c r="FH48" i="2"/>
  <c r="FK48" i="2" s="1"/>
  <c r="FG48" i="2"/>
  <c r="FU48" i="2" s="1"/>
  <c r="FV48" i="2" s="1"/>
  <c r="FE48" i="2"/>
  <c r="FC48" i="2"/>
  <c r="FG340" i="2"/>
  <c r="FU340" i="2" s="1"/>
  <c r="FV340" i="2" s="1"/>
  <c r="FH340" i="2"/>
  <c r="FK340" i="2" s="1"/>
  <c r="FE340" i="2"/>
  <c r="FC340" i="2"/>
  <c r="FH38" i="2"/>
  <c r="FK38" i="2" s="1"/>
  <c r="FG38" i="2"/>
  <c r="FU38" i="2" s="1"/>
  <c r="FV38" i="2" s="1"/>
  <c r="FC38" i="2"/>
  <c r="FE38" i="2"/>
  <c r="FH288" i="2"/>
  <c r="FK288" i="2" s="1"/>
  <c r="FE288" i="2"/>
  <c r="FG288" i="2"/>
  <c r="FU288" i="2" s="1"/>
  <c r="FV288" i="2" s="1"/>
  <c r="FC288" i="2"/>
  <c r="FH147" i="2"/>
  <c r="FK147" i="2" s="1"/>
  <c r="FG147" i="2"/>
  <c r="FU147" i="2" s="1"/>
  <c r="FV147" i="2" s="1"/>
  <c r="FE147" i="2"/>
  <c r="FC147" i="2"/>
  <c r="FH383" i="2"/>
  <c r="FK383" i="2" s="1"/>
  <c r="FG383" i="2"/>
  <c r="FU383" i="2" s="1"/>
  <c r="FV383" i="2" s="1"/>
  <c r="FE383" i="2"/>
  <c r="FC383" i="2"/>
  <c r="FG22" i="2"/>
  <c r="FU22" i="2" s="1"/>
  <c r="FV22" i="2" s="1"/>
  <c r="FH22" i="2"/>
  <c r="FK22" i="2" s="1"/>
  <c r="FC22" i="2"/>
  <c r="FE22" i="2"/>
  <c r="FH59" i="2"/>
  <c r="FK59" i="2" s="1"/>
  <c r="FG59" i="2"/>
  <c r="FU59" i="2" s="1"/>
  <c r="FV59" i="2" s="1"/>
  <c r="FC59" i="2"/>
  <c r="FE59" i="2"/>
  <c r="FH87" i="2"/>
  <c r="FK87" i="2" s="1"/>
  <c r="FC87" i="2"/>
  <c r="FG87" i="2"/>
  <c r="FU87" i="2" s="1"/>
  <c r="FV87" i="2" s="1"/>
  <c r="FE87" i="2"/>
  <c r="FH213" i="2"/>
  <c r="FK213" i="2" s="1"/>
  <c r="FG213" i="2"/>
  <c r="FU213" i="2" s="1"/>
  <c r="FV213" i="2" s="1"/>
  <c r="FC213" i="2"/>
  <c r="FE213" i="2"/>
  <c r="FG221" i="2"/>
  <c r="FU221" i="2" s="1"/>
  <c r="FV221" i="2" s="1"/>
  <c r="FH221" i="2"/>
  <c r="FK221" i="2" s="1"/>
  <c r="FC221" i="2"/>
  <c r="FE221" i="2"/>
  <c r="FG97" i="2"/>
  <c r="FU97" i="2" s="1"/>
  <c r="FV97" i="2" s="1"/>
  <c r="FE97" i="2"/>
  <c r="FH97" i="2"/>
  <c r="FK97" i="2" s="1"/>
  <c r="FC97" i="2"/>
  <c r="FH243" i="2"/>
  <c r="FK243" i="2" s="1"/>
  <c r="FG243" i="2"/>
  <c r="FU243" i="2" s="1"/>
  <c r="FV243" i="2" s="1"/>
  <c r="FE243" i="2"/>
  <c r="FC243" i="2"/>
  <c r="FH90" i="2"/>
  <c r="FK90" i="2" s="1"/>
  <c r="FG90" i="2"/>
  <c r="FU90" i="2" s="1"/>
  <c r="FV90" i="2" s="1"/>
  <c r="FE90" i="2"/>
  <c r="FC90" i="2"/>
  <c r="FH82" i="2"/>
  <c r="FK82" i="2" s="1"/>
  <c r="FG82" i="2"/>
  <c r="FU82" i="2" s="1"/>
  <c r="FV82" i="2" s="1"/>
  <c r="FC82" i="2"/>
  <c r="FE82" i="2"/>
  <c r="FG229" i="2"/>
  <c r="FU229" i="2" s="1"/>
  <c r="FV229" i="2" s="1"/>
  <c r="FH229" i="2"/>
  <c r="FK229" i="2" s="1"/>
  <c r="FC229" i="2"/>
  <c r="FE229" i="2"/>
  <c r="FH152" i="2"/>
  <c r="FK152" i="2" s="1"/>
  <c r="FG152" i="2"/>
  <c r="FU152" i="2" s="1"/>
  <c r="FV152" i="2" s="1"/>
  <c r="FC152" i="2"/>
  <c r="FE152" i="2"/>
  <c r="FH272" i="2"/>
  <c r="FK272" i="2" s="1"/>
  <c r="FG272" i="2"/>
  <c r="FU272" i="2" s="1"/>
  <c r="FV272" i="2" s="1"/>
  <c r="FE272" i="2"/>
  <c r="FC272" i="2"/>
  <c r="FG203" i="2"/>
  <c r="FU203" i="2" s="1"/>
  <c r="FV203" i="2" s="1"/>
  <c r="FH203" i="2"/>
  <c r="FK203" i="2" s="1"/>
  <c r="FE203" i="2"/>
  <c r="FC203" i="2"/>
  <c r="FH60" i="2"/>
  <c r="FK60" i="2" s="1"/>
  <c r="FG60" i="2"/>
  <c r="FU60" i="2" s="1"/>
  <c r="FV60" i="2" s="1"/>
  <c r="FE60" i="2"/>
  <c r="FC60" i="2"/>
  <c r="FH219" i="2"/>
  <c r="FK219" i="2" s="1"/>
  <c r="FG219" i="2"/>
  <c r="FU219" i="2" s="1"/>
  <c r="FV219" i="2" s="1"/>
  <c r="FC219" i="2"/>
  <c r="FE21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337" i="2"/>
  <c r="FK337" i="2" s="1"/>
  <c r="FG337" i="2"/>
  <c r="FU337" i="2" s="1"/>
  <c r="FV337" i="2" s="1"/>
  <c r="FE337" i="2"/>
  <c r="FC337" i="2"/>
  <c r="FG143" i="2"/>
  <c r="FU143" i="2" s="1"/>
  <c r="FV143" i="2" s="1"/>
  <c r="FH143" i="2"/>
  <c r="FK143" i="2" s="1"/>
  <c r="FE143" i="2"/>
  <c r="FC143" i="2"/>
  <c r="FG116" i="2"/>
  <c r="FU116" i="2" s="1"/>
  <c r="FV116" i="2" s="1"/>
  <c r="FH116" i="2"/>
  <c r="FK116" i="2" s="1"/>
  <c r="FC116" i="2"/>
  <c r="FE116" i="2"/>
  <c r="FG389" i="2"/>
  <c r="FU389" i="2" s="1"/>
  <c r="FV389" i="2" s="1"/>
  <c r="FH389" i="2"/>
  <c r="FK389" i="2" s="1"/>
  <c r="FE389" i="2"/>
  <c r="FC389" i="2"/>
  <c r="FH79" i="2"/>
  <c r="FK79" i="2" s="1"/>
  <c r="FG79" i="2"/>
  <c r="FU79" i="2" s="1"/>
  <c r="FV79" i="2" s="1"/>
  <c r="FE79" i="2"/>
  <c r="FC79" i="2"/>
  <c r="FH140" i="2"/>
  <c r="FK140" i="2" s="1"/>
  <c r="FG140" i="2"/>
  <c r="FU140" i="2" s="1"/>
  <c r="FV140" i="2" s="1"/>
  <c r="FE140" i="2"/>
  <c r="FC140" i="2"/>
  <c r="FH56" i="2"/>
  <c r="FK56" i="2" s="1"/>
  <c r="FG56" i="2"/>
  <c r="FU56" i="2" s="1"/>
  <c r="FV56" i="2" s="1"/>
  <c r="FC56" i="2"/>
  <c r="FE56" i="2"/>
  <c r="FG164" i="2"/>
  <c r="FU164" i="2" s="1"/>
  <c r="FV164" i="2" s="1"/>
  <c r="FH164" i="2"/>
  <c r="FK164" i="2" s="1"/>
  <c r="FC164" i="2"/>
  <c r="FE164" i="2"/>
  <c r="FH319" i="2"/>
  <c r="FK319" i="2" s="1"/>
  <c r="FG319" i="2"/>
  <c r="FU319" i="2" s="1"/>
  <c r="FV319" i="2" s="1"/>
  <c r="FE319" i="2"/>
  <c r="FC319" i="2"/>
  <c r="FH76" i="2"/>
  <c r="FK76" i="2" s="1"/>
  <c r="FG76" i="2"/>
  <c r="FU76" i="2" s="1"/>
  <c r="FV76" i="2" s="1"/>
  <c r="FE76" i="2"/>
  <c r="FC76" i="2"/>
  <c r="FG378" i="2"/>
  <c r="FU378" i="2" s="1"/>
  <c r="FV378" i="2" s="1"/>
  <c r="FH378" i="2"/>
  <c r="FK378" i="2" s="1"/>
  <c r="FE378" i="2"/>
  <c r="FC378" i="2"/>
  <c r="FH380" i="2"/>
  <c r="FK380" i="2" s="1"/>
  <c r="FG380" i="2"/>
  <c r="FU380" i="2" s="1"/>
  <c r="FV380" i="2" s="1"/>
  <c r="FE380" i="2"/>
  <c r="FC380" i="2"/>
  <c r="FG201" i="2"/>
  <c r="FU201" i="2" s="1"/>
  <c r="FV201" i="2" s="1"/>
  <c r="FH201" i="2"/>
  <c r="FK201" i="2" s="1"/>
  <c r="FE201" i="2"/>
  <c r="FC201" i="2"/>
  <c r="FG207" i="2"/>
  <c r="FU207" i="2" s="1"/>
  <c r="FV207" i="2" s="1"/>
  <c r="FH207" i="2"/>
  <c r="FK207" i="2" s="1"/>
  <c r="FE207" i="2"/>
  <c r="FC207" i="2"/>
  <c r="FH287" i="2"/>
  <c r="FK287" i="2" s="1"/>
  <c r="FG287" i="2"/>
  <c r="FU287" i="2" s="1"/>
  <c r="FV287" i="2" s="1"/>
  <c r="FE287" i="2"/>
  <c r="FC287" i="2"/>
  <c r="FH215" i="2"/>
  <c r="FK215" i="2" s="1"/>
  <c r="FG215" i="2"/>
  <c r="FU215" i="2" s="1"/>
  <c r="FV215" i="2" s="1"/>
  <c r="FC215" i="2"/>
  <c r="FE215" i="2"/>
  <c r="FH283" i="2"/>
  <c r="FK283" i="2" s="1"/>
  <c r="FG283" i="2"/>
  <c r="FU283" i="2" s="1"/>
  <c r="FV283" i="2" s="1"/>
  <c r="FE283" i="2"/>
  <c r="FC283" i="2"/>
  <c r="FG46" i="2"/>
  <c r="FU46" i="2" s="1"/>
  <c r="FV46" i="2" s="1"/>
  <c r="FH46" i="2"/>
  <c r="FK46" i="2" s="1"/>
  <c r="FE46" i="2"/>
  <c r="FC46" i="2"/>
  <c r="FH23" i="2"/>
  <c r="FK23" i="2" s="1"/>
  <c r="FG23" i="2"/>
  <c r="FU23" i="2" s="1"/>
  <c r="FV23" i="2" s="1"/>
  <c r="FC23" i="2"/>
  <c r="FE23" i="2"/>
  <c r="FH54" i="2"/>
  <c r="FK54" i="2" s="1"/>
  <c r="FG54" i="2"/>
  <c r="FU54" i="2" s="1"/>
  <c r="FV54" i="2" s="1"/>
  <c r="FC54" i="2"/>
  <c r="FE54" i="2"/>
  <c r="FH336" i="2"/>
  <c r="FK336" i="2" s="1"/>
  <c r="FG336" i="2"/>
  <c r="FU336" i="2" s="1"/>
  <c r="FV336" i="2" s="1"/>
  <c r="FE336" i="2"/>
  <c r="FC336" i="2"/>
  <c r="FG96" i="2"/>
  <c r="FU96" i="2" s="1"/>
  <c r="FV96" i="2" s="1"/>
  <c r="FH96" i="2"/>
  <c r="FK96" i="2" s="1"/>
  <c r="FE96" i="2"/>
  <c r="FC96" i="2"/>
  <c r="FG342" i="2"/>
  <c r="FU342" i="2" s="1"/>
  <c r="FV342" i="2" s="1"/>
  <c r="FH342" i="2"/>
  <c r="FK342" i="2" s="1"/>
  <c r="FE342" i="2"/>
  <c r="FC342" i="2"/>
  <c r="FG113" i="2"/>
  <c r="FU113" i="2" s="1"/>
  <c r="FV113" i="2" s="1"/>
  <c r="FH113" i="2"/>
  <c r="FK113" i="2" s="1"/>
  <c r="FE113" i="2"/>
  <c r="FC113" i="2"/>
  <c r="FG314" i="2"/>
  <c r="FU314" i="2" s="1"/>
  <c r="FV314" i="2" s="1"/>
  <c r="FH314" i="2"/>
  <c r="FK314" i="2" s="1"/>
  <c r="FE314" i="2"/>
  <c r="FC314" i="2"/>
  <c r="FH44" i="2"/>
  <c r="FK44" i="2" s="1"/>
  <c r="FG44" i="2"/>
  <c r="FU44" i="2" s="1"/>
  <c r="FV44" i="2" s="1"/>
  <c r="FE44" i="2"/>
  <c r="FC44" i="2"/>
  <c r="FG185" i="2"/>
  <c r="FU185" i="2" s="1"/>
  <c r="FV185" i="2" s="1"/>
  <c r="FH185" i="2"/>
  <c r="FK185" i="2" s="1"/>
  <c r="FC185" i="2"/>
  <c r="FE185" i="2"/>
  <c r="FH318" i="2"/>
  <c r="FK318" i="2" s="1"/>
  <c r="FG318" i="2"/>
  <c r="FU318" i="2" s="1"/>
  <c r="FV318" i="2" s="1"/>
  <c r="FE318" i="2"/>
  <c r="FC318" i="2"/>
  <c r="FH297" i="2"/>
  <c r="FK297" i="2" s="1"/>
  <c r="FG297" i="2"/>
  <c r="FU297" i="2" s="1"/>
  <c r="FV297" i="2" s="1"/>
  <c r="FE297" i="2"/>
  <c r="FC297" i="2"/>
  <c r="FG167" i="2"/>
  <c r="FE167" i="2"/>
  <c r="FH167" i="2"/>
  <c r="FC167" i="2"/>
  <c r="FH193" i="2"/>
  <c r="FK193" i="2" s="1"/>
  <c r="FG193" i="2"/>
  <c r="FU193" i="2" s="1"/>
  <c r="FV193" i="2" s="1"/>
  <c r="FE193" i="2"/>
  <c r="FC193" i="2"/>
  <c r="FG375" i="2"/>
  <c r="FU375" i="2" s="1"/>
  <c r="FV375" i="2" s="1"/>
  <c r="FH375" i="2"/>
  <c r="FK375" i="2" s="1"/>
  <c r="FE375" i="2"/>
  <c r="FC375" i="2"/>
  <c r="FH134" i="2"/>
  <c r="FK134" i="2" s="1"/>
  <c r="FG134" i="2"/>
  <c r="FU134" i="2" s="1"/>
  <c r="FV134" i="2" s="1"/>
  <c r="FC134" i="2"/>
  <c r="FE134" i="2"/>
  <c r="FH194" i="2"/>
  <c r="FK194" i="2" s="1"/>
  <c r="FG194" i="2"/>
  <c r="FU194" i="2" s="1"/>
  <c r="FV194" i="2" s="1"/>
  <c r="FC194" i="2"/>
  <c r="FE194" i="2"/>
  <c r="FG331" i="2"/>
  <c r="FU331" i="2" s="1"/>
  <c r="FV331" i="2" s="1"/>
  <c r="FH331" i="2"/>
  <c r="FK331" i="2" s="1"/>
  <c r="FE331" i="2"/>
  <c r="FC331" i="2"/>
  <c r="FH136" i="2"/>
  <c r="FK136" i="2" s="1"/>
  <c r="FG136" i="2"/>
  <c r="FU136" i="2" s="1"/>
  <c r="FV136" i="2" s="1"/>
  <c r="FC136" i="2"/>
  <c r="FE136" i="2"/>
  <c r="FH199" i="2"/>
  <c r="FK199" i="2" s="1"/>
  <c r="FG199" i="2"/>
  <c r="FU199" i="2" s="1"/>
  <c r="FV199" i="2" s="1"/>
  <c r="FE199" i="2"/>
  <c r="FC199" i="2"/>
  <c r="FH200" i="2"/>
  <c r="FK200" i="2" s="1"/>
  <c r="FG200" i="2"/>
  <c r="FU200" i="2" s="1"/>
  <c r="FV200" i="2" s="1"/>
  <c r="FE200" i="2"/>
  <c r="FC200" i="2"/>
  <c r="FH273" i="2"/>
  <c r="FK273" i="2" s="1"/>
  <c r="FG273" i="2"/>
  <c r="FU273" i="2" s="1"/>
  <c r="FV273" i="2" s="1"/>
  <c r="FE273" i="2"/>
  <c r="FC273" i="2"/>
  <c r="FG388" i="2"/>
  <c r="FU388" i="2" s="1"/>
  <c r="FV388" i="2" s="1"/>
  <c r="FH388" i="2"/>
  <c r="FK388" i="2" s="1"/>
  <c r="FE388" i="2"/>
  <c r="FC388" i="2"/>
  <c r="FH225" i="2"/>
  <c r="FK225" i="2" s="1"/>
  <c r="FG225" i="2"/>
  <c r="FU225" i="2" s="1"/>
  <c r="FV225" i="2" s="1"/>
  <c r="FE225" i="2"/>
  <c r="FC225" i="2"/>
  <c r="FH80" i="2"/>
  <c r="FK80" i="2" s="1"/>
  <c r="FG80" i="2"/>
  <c r="FU80" i="2" s="1"/>
  <c r="FV80" i="2" s="1"/>
  <c r="FE80" i="2"/>
  <c r="FC80" i="2"/>
  <c r="FG311" i="2"/>
  <c r="FH311" i="2" s="1"/>
  <c r="FH234" i="2"/>
  <c r="FK234" i="2" s="1"/>
  <c r="FG234" i="2"/>
  <c r="FU234" i="2" s="1"/>
  <c r="FV234" i="2" s="1"/>
  <c r="FC234" i="2"/>
  <c r="FE234" i="2"/>
  <c r="FG155" i="2"/>
  <c r="FU155" i="2" s="1"/>
  <c r="FV155" i="2" s="1"/>
  <c r="FH155" i="2"/>
  <c r="FK155" i="2" s="1"/>
  <c r="FC155" i="2"/>
  <c r="FE155" i="2"/>
  <c r="FH267" i="2"/>
  <c r="FK267" i="2" s="1"/>
  <c r="FG267" i="2"/>
  <c r="FU267" i="2" s="1"/>
  <c r="FV267" i="2" s="1"/>
  <c r="FE267" i="2"/>
  <c r="FC267" i="2"/>
  <c r="FH132" i="2"/>
  <c r="FK132" i="2" s="1"/>
  <c r="FG132" i="2"/>
  <c r="FU132" i="2" s="1"/>
  <c r="FV132" i="2" s="1"/>
  <c r="FC132" i="2"/>
  <c r="FE132" i="2"/>
  <c r="FG324" i="2"/>
  <c r="FU324" i="2" s="1"/>
  <c r="FV324" i="2" s="1"/>
  <c r="FH324" i="2"/>
  <c r="FK324" i="2" s="1"/>
  <c r="FE324" i="2"/>
  <c r="FC324" i="2"/>
  <c r="FG21" i="2"/>
  <c r="FU21" i="2" s="1"/>
  <c r="FV21" i="2" s="1"/>
  <c r="FC21" i="2"/>
  <c r="FH21" i="2"/>
  <c r="FK21" i="2" s="1"/>
  <c r="FE21" i="2"/>
  <c r="FG218" i="2"/>
  <c r="FU218" i="2" s="1"/>
  <c r="FV218" i="2" s="1"/>
  <c r="FH218" i="2"/>
  <c r="FK218" i="2" s="1"/>
  <c r="FE218" i="2"/>
  <c r="FC218" i="2"/>
  <c r="FH306" i="2"/>
  <c r="FK306" i="2" s="1"/>
  <c r="FG306" i="2"/>
  <c r="FU306" i="2" s="1"/>
  <c r="FV306" i="2" s="1"/>
  <c r="FE306" i="2"/>
  <c r="FC306" i="2"/>
  <c r="FH34" i="2"/>
  <c r="FK34" i="2" s="1"/>
  <c r="FG34" i="2"/>
  <c r="FU34" i="2" s="1"/>
  <c r="FV34" i="2" s="1"/>
  <c r="FC34" i="2"/>
  <c r="FE34" i="2"/>
  <c r="FH133" i="2"/>
  <c r="FK133" i="2" s="1"/>
  <c r="FG133" i="2"/>
  <c r="FU133" i="2" s="1"/>
  <c r="FV133" i="2" s="1"/>
  <c r="FC133" i="2"/>
  <c r="FE133" i="2"/>
  <c r="FG356" i="2"/>
  <c r="FU356" i="2" s="1"/>
  <c r="FV356" i="2" s="1"/>
  <c r="FH356" i="2"/>
  <c r="FK356" i="2" s="1"/>
  <c r="FE356" i="2"/>
  <c r="FC356" i="2"/>
  <c r="FH53" i="2"/>
  <c r="FK53" i="2" s="1"/>
  <c r="FG53" i="2"/>
  <c r="FU53" i="2" s="1"/>
  <c r="FV53" i="2" s="1"/>
  <c r="FC53" i="2"/>
  <c r="FE53" i="2"/>
  <c r="FH332" i="2"/>
  <c r="FK332" i="2" s="1"/>
  <c r="FG332" i="2"/>
  <c r="FU332" i="2" s="1"/>
  <c r="FV332" i="2" s="1"/>
  <c r="FE332" i="2"/>
  <c r="FC332" i="2"/>
  <c r="FH274" i="2"/>
  <c r="FK274" i="2" s="1"/>
  <c r="FG274" i="2"/>
  <c r="FU274" i="2" s="1"/>
  <c r="FV274" i="2" s="1"/>
  <c r="FC274" i="2"/>
  <c r="FE274" i="2"/>
  <c r="FH233" i="2"/>
  <c r="FK233" i="2" s="1"/>
  <c r="FG233" i="2"/>
  <c r="FU233" i="2" s="1"/>
  <c r="FV233" i="2" s="1"/>
  <c r="FE233" i="2"/>
  <c r="FC233" i="2"/>
  <c r="FH289" i="2"/>
  <c r="FK289" i="2" s="1"/>
  <c r="FE289" i="2"/>
  <c r="FG289" i="2"/>
  <c r="FU289" i="2" s="1"/>
  <c r="FV289" i="2" s="1"/>
  <c r="FC289" i="2"/>
  <c r="FG326" i="2"/>
  <c r="FU326" i="2" s="1"/>
  <c r="FV326" i="2" s="1"/>
  <c r="FH326" i="2"/>
  <c r="FK326" i="2" s="1"/>
  <c r="FE326" i="2"/>
  <c r="FC326" i="2"/>
  <c r="FH106" i="2"/>
  <c r="FK106" i="2" s="1"/>
  <c r="FG106" i="2"/>
  <c r="FU106" i="2" s="1"/>
  <c r="FV106" i="2" s="1"/>
  <c r="FE106" i="2"/>
  <c r="FC106" i="2"/>
  <c r="FH190" i="2"/>
  <c r="FK190" i="2" s="1"/>
  <c r="FG190" i="2"/>
  <c r="FU190" i="2" s="1"/>
  <c r="FV190" i="2" s="1"/>
  <c r="FE190" i="2"/>
  <c r="FC190" i="2"/>
  <c r="FH292" i="2"/>
  <c r="FK292" i="2" s="1"/>
  <c r="FG292" i="2"/>
  <c r="FU292" i="2" s="1"/>
  <c r="FV292" i="2" s="1"/>
  <c r="FE292" i="2"/>
  <c r="FC292" i="2"/>
  <c r="FH387" i="2"/>
  <c r="FK387" i="2" s="1"/>
  <c r="FG387" i="2"/>
  <c r="FU387" i="2" s="1"/>
  <c r="FV387" i="2" s="1"/>
  <c r="FC387" i="2"/>
  <c r="FE387" i="2"/>
  <c r="FH260" i="2"/>
  <c r="FK260" i="2" s="1"/>
  <c r="FG260" i="2"/>
  <c r="FU260" i="2" s="1"/>
  <c r="FV260" i="2" s="1"/>
  <c r="FE260" i="2"/>
  <c r="FC260" i="2"/>
  <c r="FG330" i="2"/>
  <c r="FU330" i="2" s="1"/>
  <c r="FV330" i="2" s="1"/>
  <c r="FH330" i="2"/>
  <c r="FK330" i="2" s="1"/>
  <c r="FE330" i="2"/>
  <c r="FC330" i="2"/>
  <c r="FH384" i="2"/>
  <c r="FK384" i="2" s="1"/>
  <c r="FG384" i="2"/>
  <c r="FU384" i="2" s="1"/>
  <c r="FV384" i="2" s="1"/>
  <c r="FE384" i="2"/>
  <c r="FC384" i="2"/>
  <c r="FH180" i="2"/>
  <c r="FK180" i="2" s="1"/>
  <c r="FG180" i="2"/>
  <c r="FU180" i="2" s="1"/>
  <c r="FV180" i="2" s="1"/>
  <c r="FC180" i="2"/>
  <c r="FE180" i="2"/>
  <c r="FG295" i="2"/>
  <c r="FU295" i="2" s="1"/>
  <c r="FV295" i="2" s="1"/>
  <c r="FH295" i="2"/>
  <c r="FK295" i="2" s="1"/>
  <c r="FE295" i="2"/>
  <c r="FC295" i="2"/>
  <c r="FH269" i="2"/>
  <c r="FK269" i="2" s="1"/>
  <c r="FG269" i="2"/>
  <c r="FU269" i="2" s="1"/>
  <c r="FV269" i="2" s="1"/>
  <c r="FE269" i="2"/>
  <c r="FC269" i="2"/>
  <c r="FH217" i="2"/>
  <c r="FK217" i="2" s="1"/>
  <c r="FG217" i="2"/>
  <c r="FU217" i="2" s="1"/>
  <c r="FV217" i="2" s="1"/>
  <c r="FC217" i="2"/>
  <c r="FE217" i="2"/>
  <c r="FH9" i="2"/>
  <c r="FK9" i="2" s="1"/>
  <c r="FG9" i="2"/>
  <c r="FU9" i="2" s="1"/>
  <c r="FV9" i="2" s="1"/>
  <c r="FC9" i="2"/>
  <c r="FE9" i="2"/>
  <c r="FG162" i="2"/>
  <c r="FU162" i="2" s="1"/>
  <c r="FV162" i="2" s="1"/>
  <c r="FH162" i="2"/>
  <c r="FK162" i="2" s="1"/>
  <c r="FC162" i="2"/>
  <c r="FE162" i="2"/>
  <c r="FG14" i="2"/>
  <c r="FU14" i="2" s="1"/>
  <c r="FV14" i="2" s="1"/>
  <c r="FH14" i="2"/>
  <c r="FK14" i="2" s="1"/>
  <c r="FE14" i="2"/>
  <c r="FC14" i="2"/>
  <c r="FG78" i="2"/>
  <c r="FU78" i="2" s="1"/>
  <c r="FV78" i="2" s="1"/>
  <c r="FH78" i="2"/>
  <c r="FK78" i="2" s="1"/>
  <c r="FE78" i="2"/>
  <c r="FC78" i="2"/>
  <c r="FH334" i="2"/>
  <c r="FK334" i="2" s="1"/>
  <c r="FG334" i="2"/>
  <c r="FU334" i="2" s="1"/>
  <c r="FV334" i="2" s="1"/>
  <c r="FE334" i="2"/>
  <c r="FC334" i="2"/>
  <c r="FG139" i="2"/>
  <c r="FU139" i="2" s="1"/>
  <c r="FV139" i="2" s="1"/>
  <c r="FH139" i="2"/>
  <c r="FK139" i="2" s="1"/>
  <c r="FC139" i="2"/>
  <c r="FE139" i="2"/>
  <c r="FH10" i="2"/>
  <c r="FK10" i="2" s="1"/>
  <c r="FG10" i="2"/>
  <c r="FU10" i="2" s="1"/>
  <c r="FV10" i="2" s="1"/>
  <c r="FE10" i="2"/>
  <c r="FC10" i="2"/>
  <c r="FH108" i="2"/>
  <c r="FK108" i="2" s="1"/>
  <c r="FG108" i="2"/>
  <c r="FU108" i="2" s="1"/>
  <c r="FV108" i="2" s="1"/>
  <c r="FE108" i="2"/>
  <c r="FC108" i="2"/>
  <c r="FH75" i="2"/>
  <c r="FK75" i="2" s="1"/>
  <c r="FG75" i="2"/>
  <c r="FU75" i="2" s="1"/>
  <c r="FV75" i="2" s="1"/>
  <c r="FC75" i="2"/>
  <c r="FE75" i="2"/>
  <c r="FH105" i="2"/>
  <c r="FK105" i="2" s="1"/>
  <c r="FG105" i="2"/>
  <c r="FU105" i="2" s="1"/>
  <c r="FV105" i="2" s="1"/>
  <c r="FC105" i="2"/>
  <c r="FE105" i="2"/>
  <c r="FG49" i="2"/>
  <c r="FU49" i="2" s="1"/>
  <c r="FV49" i="2" s="1"/>
  <c r="FE49" i="2"/>
  <c r="FH49" i="2"/>
  <c r="FK49" i="2" s="1"/>
  <c r="FC49" i="2"/>
  <c r="FG144" i="2"/>
  <c r="FU144" i="2" s="1"/>
  <c r="FV144" i="2" s="1"/>
  <c r="FH144" i="2"/>
  <c r="FK144" i="2" s="1"/>
  <c r="FE144" i="2"/>
  <c r="FC144" i="2"/>
  <c r="FG62" i="2"/>
  <c r="FU62" i="2" s="1"/>
  <c r="FV62" i="2" s="1"/>
  <c r="FH62" i="2"/>
  <c r="FK62" i="2" s="1"/>
  <c r="FE62" i="2"/>
  <c r="FC62" i="2"/>
  <c r="FH304" i="2"/>
  <c r="FK304" i="2" s="1"/>
  <c r="FG304" i="2"/>
  <c r="FU304" i="2" s="1"/>
  <c r="FV304" i="2" s="1"/>
  <c r="FE304" i="2"/>
  <c r="FC304" i="2"/>
  <c r="FH72" i="2"/>
  <c r="FK72" i="2" s="1"/>
  <c r="FG72" i="2"/>
  <c r="FU72" i="2" s="1"/>
  <c r="FV72" i="2" s="1"/>
  <c r="FC72" i="2"/>
  <c r="FE72" i="2"/>
  <c r="FH369" i="2"/>
  <c r="FK369" i="2" s="1"/>
  <c r="FG369" i="2"/>
  <c r="FU369" i="2" s="1"/>
  <c r="FV369" i="2" s="1"/>
  <c r="FE369" i="2"/>
  <c r="FC369" i="2"/>
  <c r="FH361" i="2"/>
  <c r="FK361" i="2" s="1"/>
  <c r="FG361" i="2"/>
  <c r="FU361" i="2" s="1"/>
  <c r="FV361" i="2" s="1"/>
  <c r="FE361" i="2"/>
  <c r="FC361" i="2"/>
  <c r="FG293" i="2"/>
  <c r="FU293" i="2" s="1"/>
  <c r="FV293" i="2" s="1"/>
  <c r="FH293" i="2"/>
  <c r="FK293" i="2" s="1"/>
  <c r="FC293" i="2"/>
  <c r="FE293" i="2"/>
  <c r="FH68" i="2"/>
  <c r="FK68" i="2" s="1"/>
  <c r="FG68" i="2"/>
  <c r="FU68" i="2" s="1"/>
  <c r="FV68" i="2" s="1"/>
  <c r="FC68" i="2"/>
  <c r="FE68" i="2"/>
  <c r="FG160" i="2"/>
  <c r="FU160" i="2" s="1"/>
  <c r="FV160" i="2" s="1"/>
  <c r="FH160" i="2"/>
  <c r="FK160" i="2" s="1"/>
  <c r="FE160" i="2"/>
  <c r="FC160" i="2"/>
  <c r="FH261" i="2"/>
  <c r="FG261" i="2"/>
  <c r="FC261" i="2"/>
  <c r="FE261" i="2"/>
  <c r="FG254" i="2"/>
  <c r="FU254" i="2" s="1"/>
  <c r="FV254" i="2" s="1"/>
  <c r="FH254" i="2"/>
  <c r="FK254" i="2" s="1"/>
  <c r="FE254" i="2"/>
  <c r="FC254" i="2"/>
  <c r="FH284" i="2"/>
  <c r="FK284" i="2" s="1"/>
  <c r="FG284" i="2"/>
  <c r="FU284" i="2" s="1"/>
  <c r="FV284" i="2" s="1"/>
  <c r="FC284" i="2"/>
  <c r="FE284" i="2"/>
  <c r="FG391" i="2"/>
  <c r="FU391" i="2" s="1"/>
  <c r="FV391" i="2" s="1"/>
  <c r="FH391" i="2"/>
  <c r="FK391" i="2" s="1"/>
  <c r="FE391" i="2"/>
  <c r="FC391" i="2"/>
  <c r="FG77" i="2"/>
  <c r="FU77" i="2" s="1"/>
  <c r="FV77" i="2" s="1"/>
  <c r="FH77" i="2"/>
  <c r="FK77" i="2" s="1"/>
  <c r="FE77" i="2"/>
  <c r="FC77" i="2"/>
  <c r="FH339" i="2"/>
  <c r="FK339" i="2" s="1"/>
  <c r="FG339" i="2"/>
  <c r="FU339" i="2" s="1"/>
  <c r="FV339" i="2" s="1"/>
  <c r="FC339" i="2"/>
  <c r="FE339" i="2"/>
  <c r="FG110" i="2"/>
  <c r="FU110" i="2" s="1"/>
  <c r="FV110" i="2" s="1"/>
  <c r="FH110" i="2"/>
  <c r="FK110" i="2" s="1"/>
  <c r="FE110" i="2"/>
  <c r="FC110" i="2"/>
  <c r="FH299" i="2"/>
  <c r="FK299" i="2" s="1"/>
  <c r="FG299" i="2"/>
  <c r="FU299" i="2" s="1"/>
  <c r="FV299" i="2" s="1"/>
  <c r="FE299" i="2"/>
  <c r="FC299" i="2"/>
  <c r="FH41" i="2"/>
  <c r="FK41" i="2" s="1"/>
  <c r="FG41" i="2"/>
  <c r="FU41" i="2" s="1"/>
  <c r="FV41" i="2" s="1"/>
  <c r="FC41" i="2"/>
  <c r="FE41" i="2"/>
  <c r="FH192" i="2"/>
  <c r="FK192" i="2" s="1"/>
  <c r="FG192" i="2"/>
  <c r="FU192" i="2" s="1"/>
  <c r="FV192" i="2" s="1"/>
  <c r="FC192" i="2"/>
  <c r="FE192" i="2"/>
  <c r="FH248" i="2"/>
  <c r="FK248" i="2" s="1"/>
  <c r="FG248" i="2"/>
  <c r="FU248" i="2" s="1"/>
  <c r="FV248" i="2" s="1"/>
  <c r="FC248" i="2"/>
  <c r="FE248" i="2"/>
  <c r="FH178" i="2"/>
  <c r="FK178" i="2" s="1"/>
  <c r="FG178" i="2"/>
  <c r="FU178" i="2" s="1"/>
  <c r="FV178" i="2" s="1"/>
  <c r="FC178" i="2"/>
  <c r="FE178" i="2"/>
  <c r="FG277" i="2"/>
  <c r="FU277" i="2" s="1"/>
  <c r="FV277" i="2" s="1"/>
  <c r="FH277" i="2"/>
  <c r="FK277" i="2" s="1"/>
  <c r="FC277" i="2"/>
  <c r="FE277" i="2"/>
  <c r="FH245" i="2"/>
  <c r="FK245" i="2" s="1"/>
  <c r="FG245" i="2"/>
  <c r="FU245" i="2" s="1"/>
  <c r="FV245" i="2" s="1"/>
  <c r="FE245" i="2"/>
  <c r="FC245" i="2"/>
  <c r="FH182" i="2"/>
  <c r="FK182" i="2" s="1"/>
  <c r="FG182" i="2"/>
  <c r="FU182" i="2" s="1"/>
  <c r="FV182" i="2" s="1"/>
  <c r="FC182" i="2"/>
  <c r="FE182" i="2"/>
  <c r="FH365" i="2"/>
  <c r="FK365" i="2" s="1"/>
  <c r="FG365" i="2"/>
  <c r="FU365" i="2" s="1"/>
  <c r="FV365" i="2" s="1"/>
  <c r="FE365" i="2"/>
  <c r="FC365" i="2"/>
  <c r="FH127" i="2"/>
  <c r="FK127" i="2" s="1"/>
  <c r="FG127" i="2"/>
  <c r="FU127" i="2" s="1"/>
  <c r="FV127" i="2" s="1"/>
  <c r="FE127" i="2"/>
  <c r="FC127" i="2"/>
  <c r="GU64" i="2"/>
  <c r="FH285" i="2"/>
  <c r="FK285" i="2" s="1"/>
  <c r="FG285" i="2"/>
  <c r="FU285" i="2" s="1"/>
  <c r="FV285" i="2" s="1"/>
  <c r="FE285" i="2"/>
  <c r="FC285" i="2"/>
  <c r="FG372" i="2"/>
  <c r="FU372" i="2" s="1"/>
  <c r="FV372" i="2" s="1"/>
  <c r="FH372" i="2"/>
  <c r="FK372" i="2" s="1"/>
  <c r="FE372" i="2"/>
  <c r="FC372" i="2"/>
  <c r="FH281" i="2"/>
  <c r="FK281" i="2" s="1"/>
  <c r="FG281" i="2"/>
  <c r="FU281" i="2" s="1"/>
  <c r="FV281" i="2" s="1"/>
  <c r="FE281" i="2"/>
  <c r="FC281" i="2"/>
  <c r="FH208" i="2"/>
  <c r="FK208" i="2" s="1"/>
  <c r="FG208" i="2"/>
  <c r="FU208" i="2" s="1"/>
  <c r="FV208" i="2" s="1"/>
  <c r="FC208" i="2"/>
  <c r="FE208" i="2"/>
  <c r="FG223" i="2"/>
  <c r="FU223" i="2" s="1"/>
  <c r="FV223" i="2" s="1"/>
  <c r="FH223" i="2"/>
  <c r="FK223" i="2" s="1"/>
  <c r="FE223" i="2"/>
  <c r="FC223" i="2"/>
  <c r="FH279" i="2"/>
  <c r="FK279" i="2" s="1"/>
  <c r="FG279" i="2"/>
  <c r="FU279" i="2" s="1"/>
  <c r="FV279" i="2" s="1"/>
  <c r="FE279" i="2"/>
  <c r="FC279" i="2"/>
  <c r="FH65" i="2"/>
  <c r="FK65" i="2" s="1"/>
  <c r="FG65" i="2"/>
  <c r="FU65" i="2" s="1"/>
  <c r="FV65" i="2" s="1"/>
  <c r="FE65" i="2"/>
  <c r="FC65" i="2"/>
  <c r="FG145" i="2"/>
  <c r="FU145" i="2" s="1"/>
  <c r="FV145" i="2" s="1"/>
  <c r="FH145" i="2"/>
  <c r="FK145" i="2" s="1"/>
  <c r="FE145" i="2"/>
  <c r="FC145" i="2"/>
  <c r="FG392" i="2"/>
  <c r="FU392" i="2" s="1"/>
  <c r="FV392" i="2" s="1"/>
  <c r="FH392" i="2"/>
  <c r="FE392" i="2"/>
  <c r="FC392" i="2"/>
  <c r="FH349" i="2"/>
  <c r="FK349" i="2" s="1"/>
  <c r="FG349" i="2"/>
  <c r="FU349" i="2" s="1"/>
  <c r="FV349" i="2" s="1"/>
  <c r="FE349" i="2"/>
  <c r="FC349" i="2"/>
  <c r="FH303" i="2"/>
  <c r="FK303" i="2" s="1"/>
  <c r="FG303" i="2"/>
  <c r="FU303" i="2" s="1"/>
  <c r="FV303" i="2" s="1"/>
  <c r="FE303" i="2"/>
  <c r="FC303" i="2"/>
  <c r="FH377" i="2"/>
  <c r="FK377" i="2" s="1"/>
  <c r="FG377" i="2"/>
  <c r="FU377" i="2" s="1"/>
  <c r="FV377" i="2" s="1"/>
  <c r="FE377" i="2"/>
  <c r="FC377" i="2"/>
  <c r="FH371" i="2"/>
  <c r="FK371" i="2" s="1"/>
  <c r="FG371" i="2"/>
  <c r="FU371" i="2" s="1"/>
  <c r="FV371" i="2" s="1"/>
  <c r="FE371" i="2"/>
  <c r="FC371" i="2"/>
  <c r="FH126" i="2"/>
  <c r="FK126" i="2" s="1"/>
  <c r="FG126" i="2"/>
  <c r="FU126" i="2" s="1"/>
  <c r="FV126" i="2" s="1"/>
  <c r="FE126" i="2"/>
  <c r="FC126" i="2"/>
  <c r="FH39" i="2"/>
  <c r="FK39" i="2" s="1"/>
  <c r="FG39" i="2"/>
  <c r="FU39" i="2" s="1"/>
  <c r="FV39" i="2" s="1"/>
  <c r="FC39" i="2"/>
  <c r="FE39" i="2"/>
  <c r="FE329" i="2"/>
  <c r="FG329" i="2"/>
  <c r="FU329" i="2" s="1"/>
  <c r="FV329" i="2" s="1"/>
  <c r="FH329" i="2"/>
  <c r="FK329" i="2" s="1"/>
  <c r="FC329" i="2"/>
  <c r="FH271" i="2"/>
  <c r="FK271" i="2" s="1"/>
  <c r="FG271" i="2"/>
  <c r="FU271" i="2" s="1"/>
  <c r="FV271" i="2" s="1"/>
  <c r="FE271" i="2"/>
  <c r="FC271" i="2"/>
  <c r="FG158" i="2"/>
  <c r="FU158" i="2" s="1"/>
  <c r="FV158" i="2" s="1"/>
  <c r="FH158" i="2"/>
  <c r="FK158" i="2" s="1"/>
  <c r="FE158" i="2"/>
  <c r="FC158" i="2"/>
  <c r="FG278" i="2"/>
  <c r="FU278" i="2" s="1"/>
  <c r="FV278" i="2" s="1"/>
  <c r="FH278" i="2"/>
  <c r="FK278" i="2" s="1"/>
  <c r="FE278" i="2"/>
  <c r="FC278" i="2"/>
  <c r="FH135" i="2"/>
  <c r="FK135" i="2" s="1"/>
  <c r="FC135" i="2"/>
  <c r="FG135" i="2"/>
  <c r="FU135" i="2" s="1"/>
  <c r="FV135" i="2" s="1"/>
  <c r="FE135" i="2"/>
  <c r="FH280" i="2"/>
  <c r="FK280" i="2" s="1"/>
  <c r="FG280" i="2"/>
  <c r="FU280" i="2" s="1"/>
  <c r="FV280" i="2" s="1"/>
  <c r="FE280" i="2"/>
  <c r="FC280" i="2"/>
  <c r="FH276" i="2"/>
  <c r="FK276" i="2" s="1"/>
  <c r="FG276" i="2"/>
  <c r="FU276" i="2" s="1"/>
  <c r="FV276" i="2" s="1"/>
  <c r="FE276" i="2"/>
  <c r="FC276" i="2"/>
  <c r="FH191" i="2"/>
  <c r="FK191" i="2" s="1"/>
  <c r="FG191" i="2"/>
  <c r="FU191" i="2" s="1"/>
  <c r="FV191" i="2" s="1"/>
  <c r="FE191" i="2"/>
  <c r="FC191" i="2"/>
  <c r="FG252" i="2"/>
  <c r="FH252" i="2"/>
  <c r="FE252" i="2"/>
  <c r="FC252" i="2"/>
  <c r="FG204" i="2"/>
  <c r="FU204" i="2" s="1"/>
  <c r="FV204" i="2" s="1"/>
  <c r="FH204" i="2"/>
  <c r="FK204" i="2" s="1"/>
  <c r="FE204" i="2"/>
  <c r="FC204" i="2"/>
  <c r="FG258" i="2"/>
  <c r="FH258" i="2"/>
  <c r="FE258" i="2"/>
  <c r="FC258" i="2"/>
  <c r="FH355" i="2"/>
  <c r="FK355" i="2" s="1"/>
  <c r="FG355" i="2"/>
  <c r="FU355" i="2" s="1"/>
  <c r="FV355" i="2" s="1"/>
  <c r="FE355" i="2"/>
  <c r="FC355" i="2"/>
  <c r="FG20" i="2"/>
  <c r="FU20" i="2" s="1"/>
  <c r="FV20" i="2" s="1"/>
  <c r="FH20" i="2"/>
  <c r="FK20" i="2" s="1"/>
  <c r="FC20" i="2"/>
  <c r="FE20" i="2"/>
  <c r="FH149" i="2"/>
  <c r="FK149" i="2" s="1"/>
  <c r="FG149" i="2"/>
  <c r="FU149" i="2" s="1"/>
  <c r="FV149" i="2" s="1"/>
  <c r="FC149" i="2"/>
  <c r="FE149" i="2"/>
  <c r="FH382" i="2"/>
  <c r="FK382" i="2" s="1"/>
  <c r="FG382" i="2"/>
  <c r="FU382" i="2" s="1"/>
  <c r="FV382" i="2" s="1"/>
  <c r="FE382" i="2"/>
  <c r="FC382" i="2"/>
  <c r="FH107" i="2"/>
  <c r="FK107" i="2" s="1"/>
  <c r="FG107" i="2"/>
  <c r="FU107" i="2" s="1"/>
  <c r="FV107" i="2" s="1"/>
  <c r="FC107" i="2"/>
  <c r="FE107" i="2"/>
  <c r="FH29" i="2"/>
  <c r="FK29" i="2" s="1"/>
  <c r="FG29" i="2"/>
  <c r="FU29" i="2" s="1"/>
  <c r="FV29" i="2" s="1"/>
  <c r="FE29" i="2"/>
  <c r="FC29" i="2"/>
  <c r="FH188" i="2"/>
  <c r="FK188" i="2" s="1"/>
  <c r="FG188" i="2"/>
  <c r="FU188" i="2" s="1"/>
  <c r="FV188" i="2" s="1"/>
  <c r="FE188" i="2"/>
  <c r="FC188" i="2"/>
  <c r="FH74" i="2"/>
  <c r="FK74" i="2" s="1"/>
  <c r="FG74" i="2"/>
  <c r="FU74" i="2" s="1"/>
  <c r="FV74" i="2" s="1"/>
  <c r="FE74" i="2"/>
  <c r="FC74" i="2"/>
  <c r="FH393" i="2"/>
  <c r="FK393" i="2" s="1"/>
  <c r="FE393" i="2"/>
  <c r="FG393" i="2"/>
  <c r="FU393" i="2" s="1"/>
  <c r="FV393" i="2" s="1"/>
  <c r="FC393" i="2"/>
  <c r="FH101" i="2"/>
  <c r="FK101" i="2" s="1"/>
  <c r="FG101" i="2"/>
  <c r="FU101" i="2" s="1"/>
  <c r="FV101" i="2" s="1"/>
  <c r="FC101" i="2"/>
  <c r="FE101" i="2"/>
  <c r="FG309" i="2"/>
  <c r="FU309" i="2" s="1"/>
  <c r="FV309" i="2" s="1"/>
  <c r="FH309" i="2"/>
  <c r="FK309" i="2" s="1"/>
  <c r="FC309" i="2"/>
  <c r="FE309" i="2"/>
  <c r="FH265" i="2"/>
  <c r="FK265" i="2" s="1"/>
  <c r="FG265" i="2"/>
  <c r="FU265" i="2" s="1"/>
  <c r="FV265" i="2" s="1"/>
  <c r="FE265" i="2"/>
  <c r="FC265" i="2"/>
  <c r="FH196" i="2"/>
  <c r="FK196" i="2" s="1"/>
  <c r="FG196" i="2"/>
  <c r="FU196" i="2" s="1"/>
  <c r="FV196" i="2" s="1"/>
  <c r="FC196" i="2"/>
  <c r="FE196" i="2"/>
  <c r="FC71" i="2"/>
  <c r="FG71" i="2"/>
  <c r="FU71" i="2" s="1"/>
  <c r="FV71" i="2" s="1"/>
  <c r="FH71" i="2"/>
  <c r="FK71" i="2" s="1"/>
  <c r="FE71" i="2"/>
  <c r="FG244" i="2"/>
  <c r="FH244" i="2" s="1"/>
  <c r="FH42" i="2"/>
  <c r="FK42" i="2" s="1"/>
  <c r="FG42" i="2"/>
  <c r="FU42" i="2" s="1"/>
  <c r="FV42" i="2" s="1"/>
  <c r="FE42" i="2"/>
  <c r="FC42" i="2"/>
  <c r="FH130" i="2"/>
  <c r="FK130" i="2" s="1"/>
  <c r="FG130" i="2"/>
  <c r="FU130" i="2" s="1"/>
  <c r="FV130" i="2" s="1"/>
  <c r="FC130" i="2"/>
  <c r="FE130" i="2"/>
  <c r="FH381" i="2"/>
  <c r="FK381" i="2" s="1"/>
  <c r="FG381" i="2"/>
  <c r="FU381" i="2" s="1"/>
  <c r="FV381" i="2" s="1"/>
  <c r="FE381" i="2"/>
  <c r="FC381" i="2"/>
  <c r="FH268" i="2"/>
  <c r="FK268" i="2" s="1"/>
  <c r="FG268" i="2"/>
  <c r="FU268" i="2" s="1"/>
  <c r="FV268" i="2" s="1"/>
  <c r="FC268" i="2"/>
  <c r="FE268" i="2"/>
  <c r="FG362" i="2"/>
  <c r="FU362" i="2" s="1"/>
  <c r="FV362" i="2" s="1"/>
  <c r="FH362" i="2"/>
  <c r="FK362" i="2" s="1"/>
  <c r="FE362" i="2"/>
  <c r="FC362" i="2"/>
  <c r="FG141" i="2"/>
  <c r="FU141" i="2" s="1"/>
  <c r="FV141" i="2" s="1"/>
  <c r="FH141" i="2"/>
  <c r="FK141" i="2" s="1"/>
  <c r="FE141" i="2"/>
  <c r="FC141" i="2"/>
  <c r="FG125" i="2"/>
  <c r="FU125" i="2" s="1"/>
  <c r="FV125" i="2" s="1"/>
  <c r="FH125" i="2"/>
  <c r="FK125" i="2" s="1"/>
  <c r="FE125" i="2"/>
  <c r="FC125" i="2"/>
  <c r="FH171" i="2"/>
  <c r="FK171" i="2" s="1"/>
  <c r="FG171" i="2"/>
  <c r="FU171" i="2" s="1"/>
  <c r="FV171" i="2" s="1"/>
  <c r="FE171" i="2"/>
  <c r="FC171" i="2"/>
  <c r="FH259" i="2"/>
  <c r="FK259" i="2" s="1"/>
  <c r="FG259" i="2"/>
  <c r="FU259" i="2" s="1"/>
  <c r="FV259" i="2" s="1"/>
  <c r="FE259" i="2"/>
  <c r="FC259" i="2"/>
  <c r="FH40" i="2"/>
  <c r="FK40" i="2" s="1"/>
  <c r="FG40" i="2"/>
  <c r="FU40" i="2" s="1"/>
  <c r="FV40" i="2" s="1"/>
  <c r="FC40" i="2"/>
  <c r="FE40" i="2"/>
  <c r="FH177" i="2"/>
  <c r="FK177" i="2" s="1"/>
  <c r="FG177" i="2"/>
  <c r="FU177" i="2" s="1"/>
  <c r="FV177" i="2" s="1"/>
  <c r="FE177" i="2"/>
  <c r="FC177" i="2"/>
  <c r="FH338" i="2"/>
  <c r="FK338" i="2" s="1"/>
  <c r="FG338" i="2"/>
  <c r="FU338" i="2" s="1"/>
  <c r="FV338" i="2" s="1"/>
  <c r="FE338" i="2"/>
  <c r="FC338" i="2"/>
  <c r="FG255" i="2"/>
  <c r="FU255" i="2" s="1"/>
  <c r="FV255" i="2" s="1"/>
  <c r="FH255" i="2"/>
  <c r="FK255" i="2" s="1"/>
  <c r="FE255" i="2"/>
  <c r="FC255" i="2"/>
  <c r="FH366" i="2"/>
  <c r="FK366" i="2" s="1"/>
  <c r="FG366" i="2"/>
  <c r="FU366" i="2" s="1"/>
  <c r="FV366" i="2" s="1"/>
  <c r="FE366" i="2"/>
  <c r="FC366" i="2"/>
  <c r="FH73" i="2"/>
  <c r="FK73" i="2" s="1"/>
  <c r="FG73" i="2"/>
  <c r="FU73" i="2" s="1"/>
  <c r="FV73" i="2" s="1"/>
  <c r="FC73" i="2"/>
  <c r="FE73" i="2"/>
  <c r="FG93" i="2"/>
  <c r="FH93" i="2"/>
  <c r="FK93" i="2" s="1"/>
  <c r="FE93" i="2"/>
  <c r="FC93" i="2"/>
  <c r="FH27" i="2"/>
  <c r="FK27" i="2" s="1"/>
  <c r="FG27" i="2"/>
  <c r="FU27" i="2" s="1"/>
  <c r="FV27" i="2" s="1"/>
  <c r="FE27" i="2"/>
  <c r="FC27" i="2"/>
  <c r="FG374" i="2"/>
  <c r="FU374" i="2" s="1"/>
  <c r="FV374" i="2" s="1"/>
  <c r="FH374" i="2"/>
  <c r="FK374" i="2" s="1"/>
  <c r="FE374" i="2"/>
  <c r="FC374" i="2"/>
  <c r="FH220" i="2"/>
  <c r="FK220" i="2" s="1"/>
  <c r="FG220" i="2"/>
  <c r="FU220" i="2" s="1"/>
  <c r="FV220" i="2" s="1"/>
  <c r="FE220" i="2"/>
  <c r="FC220" i="2"/>
  <c r="FH30" i="2"/>
  <c r="FG30" i="2"/>
  <c r="FE30" i="2"/>
  <c r="FC30" i="2"/>
  <c r="FG45" i="2"/>
  <c r="FU45" i="2" s="1"/>
  <c r="FV45" i="2" s="1"/>
  <c r="FH45" i="2"/>
  <c r="FK45" i="2" s="1"/>
  <c r="FE45" i="2"/>
  <c r="FC45" i="2"/>
  <c r="FH172" i="2"/>
  <c r="FK172" i="2" s="1"/>
  <c r="FG172" i="2"/>
  <c r="FU172" i="2" s="1"/>
  <c r="FV172" i="2" s="1"/>
  <c r="FE172" i="2"/>
  <c r="FC172" i="2"/>
  <c r="FG347" i="2"/>
  <c r="FU347" i="2" s="1"/>
  <c r="FV347" i="2" s="1"/>
  <c r="FH347" i="2"/>
  <c r="FK347" i="2" s="1"/>
  <c r="FE347" i="2"/>
  <c r="FC347" i="2"/>
  <c r="FH351" i="2"/>
  <c r="FK351" i="2" s="1"/>
  <c r="FG351" i="2"/>
  <c r="FU351" i="2" s="1"/>
  <c r="FV351" i="2" s="1"/>
  <c r="FE351" i="2"/>
  <c r="FC351" i="2"/>
  <c r="FH216" i="2"/>
  <c r="FK216" i="2" s="1"/>
  <c r="FG216" i="2"/>
  <c r="FU216" i="2" s="1"/>
  <c r="FV216" i="2" s="1"/>
  <c r="FE216" i="2"/>
  <c r="FC216" i="2"/>
  <c r="FH186" i="2"/>
  <c r="FK186" i="2" s="1"/>
  <c r="FG186" i="2"/>
  <c r="FU186" i="2" s="1"/>
  <c r="FV186" i="2" s="1"/>
  <c r="FE186" i="2"/>
  <c r="FC186" i="2"/>
  <c r="FH119" i="2"/>
  <c r="FK119" i="2" s="1"/>
  <c r="FC119" i="2"/>
  <c r="FG119" i="2"/>
  <c r="FU119" i="2" s="1"/>
  <c r="FV119" i="2" s="1"/>
  <c r="FE119" i="2"/>
  <c r="FH305" i="2"/>
  <c r="FK305" i="2" s="1"/>
  <c r="FG305" i="2"/>
  <c r="FU305" i="2" s="1"/>
  <c r="FV305" i="2" s="1"/>
  <c r="FE305" i="2"/>
  <c r="FC305" i="2"/>
  <c r="FG256" i="2"/>
  <c r="FU256" i="2" s="1"/>
  <c r="FV256" i="2" s="1"/>
  <c r="FH256" i="2"/>
  <c r="FK256" i="2" s="1"/>
  <c r="FE256" i="2"/>
  <c r="FC256" i="2"/>
  <c r="FH150" i="2"/>
  <c r="FK150" i="2" s="1"/>
  <c r="FG150" i="2"/>
  <c r="FU150" i="2" s="1"/>
  <c r="FV150" i="2" s="1"/>
  <c r="FC150" i="2"/>
  <c r="FE150" i="2"/>
  <c r="FG242" i="2"/>
  <c r="FU242" i="2" s="1"/>
  <c r="FV242" i="2" s="1"/>
  <c r="FH242" i="2"/>
  <c r="FK242" i="2" s="1"/>
  <c r="FE242" i="2"/>
  <c r="FC242" i="2"/>
  <c r="FG394" i="2"/>
  <c r="FU394" i="2" s="1"/>
  <c r="FV394" i="2" s="1"/>
  <c r="FH394" i="2"/>
  <c r="FK394" i="2" s="1"/>
  <c r="FE394" i="2"/>
  <c r="FC394" i="2"/>
  <c r="FH168" i="2"/>
  <c r="FK168" i="2" s="1"/>
  <c r="FG168" i="2"/>
  <c r="FU168" i="2" s="1"/>
  <c r="FV168" i="2" s="1"/>
  <c r="FE168" i="2"/>
  <c r="FC168" i="2"/>
  <c r="FH266" i="2"/>
  <c r="FG266" i="2"/>
  <c r="FE266" i="2"/>
  <c r="FC266" i="2"/>
  <c r="FG111" i="2"/>
  <c r="FU111" i="2" s="1"/>
  <c r="FV111" i="2" s="1"/>
  <c r="FH111" i="2"/>
  <c r="FK111" i="2" s="1"/>
  <c r="FE111" i="2"/>
  <c r="FC111" i="2"/>
  <c r="FH124" i="2"/>
  <c r="FK124" i="2" s="1"/>
  <c r="FG124" i="2"/>
  <c r="FU124" i="2" s="1"/>
  <c r="FV124" i="2" s="1"/>
  <c r="FE124" i="2"/>
  <c r="FC124" i="2"/>
  <c r="FG327" i="2"/>
  <c r="FU327" i="2" s="1"/>
  <c r="FV327" i="2" s="1"/>
  <c r="FH327" i="2"/>
  <c r="FK327" i="2" s="1"/>
  <c r="FE327" i="2"/>
  <c r="FC327" i="2"/>
  <c r="FG159" i="2"/>
  <c r="FU159" i="2" s="1"/>
  <c r="FV159" i="2" s="1"/>
  <c r="FH159" i="2"/>
  <c r="FK159" i="2" s="1"/>
  <c r="FE159" i="2"/>
  <c r="FC159" i="2"/>
  <c r="FG376" i="2"/>
  <c r="FU376" i="2" s="1"/>
  <c r="FV376" i="2" s="1"/>
  <c r="FH376" i="2"/>
  <c r="FK376" i="2" s="1"/>
  <c r="FE376" i="2"/>
  <c r="FC376" i="2"/>
  <c r="FH250" i="2"/>
  <c r="FK250" i="2" s="1"/>
  <c r="FG250" i="2"/>
  <c r="FU250" i="2" s="1"/>
  <c r="FV250" i="2" s="1"/>
  <c r="FC250" i="2"/>
  <c r="FE250" i="2"/>
  <c r="FG296" i="2"/>
  <c r="FU296" i="2" s="1"/>
  <c r="FV296" i="2" s="1"/>
  <c r="FH296" i="2"/>
  <c r="FK296" i="2" s="1"/>
  <c r="FE296" i="2"/>
  <c r="FC296" i="2"/>
  <c r="FG328" i="2"/>
  <c r="FU328" i="2" s="1"/>
  <c r="FV328" i="2" s="1"/>
  <c r="FH328" i="2"/>
  <c r="FK328" i="2" s="1"/>
  <c r="FE328" i="2"/>
  <c r="FC328" i="2"/>
  <c r="FG357" i="2"/>
  <c r="FU357" i="2" s="1"/>
  <c r="FV357" i="2" s="1"/>
  <c r="FH357" i="2"/>
  <c r="FK357" i="2" s="1"/>
  <c r="FE357" i="2"/>
  <c r="FC357" i="2"/>
  <c r="FH368" i="2"/>
  <c r="FK368" i="2" s="1"/>
  <c r="FG368" i="2"/>
  <c r="FU368" i="2" s="1"/>
  <c r="FV368" i="2" s="1"/>
  <c r="FE368" i="2"/>
  <c r="FC368" i="2"/>
  <c r="FG118" i="2"/>
  <c r="FU118" i="2" s="1"/>
  <c r="FV118" i="2" s="1"/>
  <c r="FC118" i="2"/>
  <c r="FE118" i="2"/>
  <c r="FH118" i="2"/>
  <c r="FK118" i="2" s="1"/>
  <c r="FH166" i="2"/>
  <c r="FK166" i="2" s="1"/>
  <c r="FC166" i="2"/>
  <c r="FG166" i="2"/>
  <c r="FU166" i="2" s="1"/>
  <c r="FV166" i="2" s="1"/>
  <c r="FE166" i="2"/>
  <c r="FG19" i="2"/>
  <c r="FU19" i="2" s="1"/>
  <c r="FV19" i="2" s="1"/>
  <c r="FH19" i="2"/>
  <c r="FK19" i="2" s="1"/>
  <c r="FE19" i="2"/>
  <c r="FC19" i="2"/>
  <c r="FH322" i="2"/>
  <c r="FK322" i="2" s="1"/>
  <c r="FG322" i="2"/>
  <c r="FU322" i="2" s="1"/>
  <c r="FV322" i="2" s="1"/>
  <c r="FE322" i="2"/>
  <c r="FC322" i="2"/>
  <c r="FH128" i="2"/>
  <c r="FK128" i="2" s="1"/>
  <c r="FG128" i="2"/>
  <c r="FU128" i="2" s="1"/>
  <c r="FV128" i="2" s="1"/>
  <c r="FE128" i="2"/>
  <c r="FC128" i="2"/>
  <c r="FH137" i="2"/>
  <c r="FK137" i="2" s="1"/>
  <c r="FG137" i="2"/>
  <c r="FU137" i="2" s="1"/>
  <c r="FV137" i="2" s="1"/>
  <c r="FC137" i="2"/>
  <c r="FE137" i="2"/>
  <c r="FH235" i="2"/>
  <c r="FK235" i="2" s="1"/>
  <c r="FG235" i="2"/>
  <c r="FU235" i="2" s="1"/>
  <c r="FV235" i="2" s="1"/>
  <c r="FE235" i="2"/>
  <c r="FC235" i="2"/>
  <c r="FH301" i="2"/>
  <c r="FK301" i="2" s="1"/>
  <c r="FG301" i="2"/>
  <c r="FU301" i="2" s="1"/>
  <c r="FV301" i="2" s="1"/>
  <c r="FE301" i="2"/>
  <c r="FC301" i="2"/>
  <c r="FH236" i="2"/>
  <c r="FK236" i="2" s="1"/>
  <c r="FG236" i="2"/>
  <c r="FU236" i="2" s="1"/>
  <c r="FV236" i="2" s="1"/>
  <c r="FE236" i="2"/>
  <c r="FC236" i="2"/>
  <c r="FH131" i="2"/>
  <c r="FK131" i="2" s="1"/>
  <c r="FG131" i="2"/>
  <c r="FU131" i="2" s="1"/>
  <c r="FV131" i="2" s="1"/>
  <c r="FE131" i="2"/>
  <c r="FC131" i="2"/>
  <c r="FH214" i="2"/>
  <c r="FK214" i="2" s="1"/>
  <c r="FG214" i="2"/>
  <c r="FU214" i="2" s="1"/>
  <c r="FV214" i="2" s="1"/>
  <c r="FE214" i="2"/>
  <c r="FC214" i="2"/>
  <c r="FH354" i="2"/>
  <c r="FK354" i="2" s="1"/>
  <c r="FG354" i="2"/>
  <c r="FU354" i="2" s="1"/>
  <c r="FV354" i="2" s="1"/>
  <c r="FE354" i="2"/>
  <c r="FC354" i="2"/>
  <c r="FG165" i="2"/>
  <c r="FU165" i="2" s="1"/>
  <c r="FV165" i="2" s="1"/>
  <c r="FH165" i="2"/>
  <c r="FK165" i="2" s="1"/>
  <c r="FC165" i="2"/>
  <c r="FE165" i="2"/>
  <c r="FH247" i="2"/>
  <c r="FK247" i="2" s="1"/>
  <c r="FG247" i="2"/>
  <c r="FU247" i="2" s="1"/>
  <c r="FV247" i="2" s="1"/>
  <c r="FE247" i="2"/>
  <c r="FC247" i="2"/>
  <c r="FG99" i="2"/>
  <c r="FU99" i="2" s="1"/>
  <c r="FV99" i="2" s="1"/>
  <c r="FH99" i="2"/>
  <c r="FK99" i="2" s="1"/>
  <c r="FE99" i="2"/>
  <c r="FC99" i="2"/>
  <c r="FH16" i="2"/>
  <c r="FK16" i="2" s="1"/>
  <c r="FG16" i="2"/>
  <c r="FU16" i="2" s="1"/>
  <c r="FV16" i="2" s="1"/>
  <c r="FE16" i="2"/>
  <c r="FC16" i="2"/>
  <c r="FH264" i="2"/>
  <c r="FK264" i="2" s="1"/>
  <c r="FG264" i="2"/>
  <c r="FU264" i="2" s="1"/>
  <c r="FV264" i="2" s="1"/>
  <c r="FE264" i="2"/>
  <c r="FC264" i="2"/>
  <c r="FG142" i="2"/>
  <c r="FU142" i="2" s="1"/>
  <c r="FV142" i="2" s="1"/>
  <c r="FH142" i="2"/>
  <c r="FK142" i="2" s="1"/>
  <c r="FE142" i="2"/>
  <c r="FC142" i="2"/>
  <c r="FH370" i="2"/>
  <c r="FK370" i="2" s="1"/>
  <c r="FG370" i="2"/>
  <c r="FU370" i="2" s="1"/>
  <c r="FV370" i="2" s="1"/>
  <c r="FE370" i="2"/>
  <c r="FC370" i="2"/>
  <c r="FH195" i="2"/>
  <c r="FK195" i="2" s="1"/>
  <c r="FG195" i="2"/>
  <c r="FU195" i="2" s="1"/>
  <c r="FV195" i="2" s="1"/>
  <c r="FE195" i="2"/>
  <c r="FC195" i="2"/>
  <c r="FH385" i="2"/>
  <c r="FK385" i="2" s="1"/>
  <c r="FG385" i="2"/>
  <c r="FU385" i="2" s="1"/>
  <c r="FV385" i="2" s="1"/>
  <c r="FE385" i="2"/>
  <c r="FC385" i="2"/>
  <c r="FH156" i="2"/>
  <c r="FK156" i="2" s="1"/>
  <c r="FG156" i="2"/>
  <c r="FU156" i="2" s="1"/>
  <c r="FV156" i="2" s="1"/>
  <c r="FE156" i="2"/>
  <c r="FC156" i="2"/>
  <c r="FH58" i="2"/>
  <c r="FK58" i="2" s="1"/>
  <c r="FG58" i="2"/>
  <c r="FU58" i="2" s="1"/>
  <c r="FV58" i="2" s="1"/>
  <c r="FE58" i="2"/>
  <c r="FC58" i="2"/>
  <c r="FH251" i="2"/>
  <c r="FK251" i="2" s="1"/>
  <c r="FG251" i="2"/>
  <c r="FU251" i="2" s="1"/>
  <c r="FV251" i="2" s="1"/>
  <c r="FC251" i="2"/>
  <c r="FE251" i="2"/>
  <c r="FH386" i="2"/>
  <c r="FK386" i="2" s="1"/>
  <c r="FG386" i="2"/>
  <c r="FU386" i="2" s="1"/>
  <c r="FV386" i="2" s="1"/>
  <c r="FE386" i="2"/>
  <c r="FC386" i="2"/>
  <c r="FH228" i="2"/>
  <c r="FK228" i="2" s="1"/>
  <c r="FG228" i="2"/>
  <c r="FU228" i="2" s="1"/>
  <c r="FV228" i="2" s="1"/>
  <c r="FE228" i="2"/>
  <c r="FC228" i="2"/>
  <c r="FG94" i="2"/>
  <c r="FU94" i="2" s="1"/>
  <c r="FV94" i="2" s="1"/>
  <c r="FH94" i="2"/>
  <c r="FK94" i="2" s="1"/>
  <c r="FE94" i="2"/>
  <c r="FC94" i="2"/>
  <c r="FH300" i="2"/>
  <c r="FK300" i="2" s="1"/>
  <c r="FG300" i="2"/>
  <c r="FU300" i="2" s="1"/>
  <c r="FV300" i="2" s="1"/>
  <c r="FE300" i="2"/>
  <c r="FC300" i="2"/>
  <c r="FG239" i="2"/>
  <c r="FU239" i="2" s="1"/>
  <c r="FV239" i="2" s="1"/>
  <c r="FH239" i="2"/>
  <c r="FK239" i="2" s="1"/>
  <c r="FE239" i="2"/>
  <c r="FC239" i="2"/>
  <c r="FH189" i="2"/>
  <c r="FK189" i="2" s="1"/>
  <c r="FG189" i="2"/>
  <c r="FU189" i="2" s="1"/>
  <c r="FV189" i="2" s="1"/>
  <c r="FE189" i="2"/>
  <c r="FC189" i="2"/>
  <c r="FH67" i="2"/>
  <c r="FK67" i="2" s="1"/>
  <c r="FG67" i="2"/>
  <c r="FU67" i="2" s="1"/>
  <c r="FV67" i="2" s="1"/>
  <c r="FE67" i="2"/>
  <c r="FC67" i="2"/>
  <c r="FH35" i="2"/>
  <c r="FK35" i="2" s="1"/>
  <c r="FG35" i="2"/>
  <c r="FU35" i="2" s="1"/>
  <c r="FV35" i="2" s="1"/>
  <c r="FE35" i="2"/>
  <c r="FC35" i="2"/>
  <c r="FH122" i="2"/>
  <c r="FK122" i="2" s="1"/>
  <c r="FG122" i="2"/>
  <c r="FU122" i="2" s="1"/>
  <c r="FV122" i="2" s="1"/>
  <c r="FE122" i="2"/>
  <c r="FC122" i="2"/>
  <c r="FH209" i="2"/>
  <c r="FK209" i="2" s="1"/>
  <c r="FG209" i="2"/>
  <c r="FU209" i="2" s="1"/>
  <c r="FV209" i="2" s="1"/>
  <c r="FE209" i="2"/>
  <c r="FC209" i="2"/>
  <c r="FH316" i="2"/>
  <c r="FK316" i="2" s="1"/>
  <c r="FG316" i="2"/>
  <c r="FU316" i="2" s="1"/>
  <c r="FV316" i="2" s="1"/>
  <c r="FE316" i="2"/>
  <c r="FC316" i="2"/>
  <c r="FG112" i="2"/>
  <c r="FU112" i="2" s="1"/>
  <c r="FV112" i="2" s="1"/>
  <c r="FH112" i="2"/>
  <c r="FK112" i="2" s="1"/>
  <c r="FE112" i="2"/>
  <c r="FC112" i="2"/>
  <c r="FR78" i="2" a="1"/>
  <c r="FR78" i="2" s="1"/>
  <c r="FH211" i="2"/>
  <c r="FK211" i="2" s="1"/>
  <c r="FG211" i="2"/>
  <c r="FU211" i="2" s="1"/>
  <c r="FV211" i="2" s="1"/>
  <c r="FE211" i="2"/>
  <c r="FC211" i="2"/>
  <c r="FH353" i="2"/>
  <c r="FK353" i="2" s="1"/>
  <c r="FE353" i="2"/>
  <c r="FG353" i="2"/>
  <c r="FU353" i="2" s="1"/>
  <c r="FV353" i="2" s="1"/>
  <c r="FC353" i="2"/>
  <c r="FH85" i="2"/>
  <c r="FK85" i="2" s="1"/>
  <c r="FG85" i="2"/>
  <c r="FU85" i="2" s="1"/>
  <c r="FV85" i="2" s="1"/>
  <c r="FC85" i="2"/>
  <c r="FE85" i="2"/>
  <c r="FE345" i="2"/>
  <c r="FG345" i="2"/>
  <c r="FU345" i="2" s="1"/>
  <c r="FV345" i="2" s="1"/>
  <c r="FH345" i="2"/>
  <c r="FK345" i="2" s="1"/>
  <c r="FC345" i="2"/>
  <c r="FH64" i="2"/>
  <c r="FK64" i="2" s="1"/>
  <c r="FG64" i="2"/>
  <c r="FU64" i="2" s="1"/>
  <c r="FV64" i="2" s="1"/>
  <c r="FC64" i="2"/>
  <c r="FE64" i="2"/>
  <c r="FG308" i="2"/>
  <c r="FU308" i="2" s="1"/>
  <c r="FV308" i="2" s="1"/>
  <c r="FH308" i="2"/>
  <c r="FK308" i="2" s="1"/>
  <c r="FE308" i="2"/>
  <c r="FC308" i="2"/>
  <c r="FH352" i="2"/>
  <c r="FK352" i="2" s="1"/>
  <c r="FE352" i="2"/>
  <c r="FG352" i="2"/>
  <c r="FU352" i="2" s="1"/>
  <c r="FV352" i="2" s="1"/>
  <c r="FC352" i="2"/>
  <c r="FH222" i="2"/>
  <c r="FK222" i="2" s="1"/>
  <c r="FG222" i="2"/>
  <c r="FU222" i="2" s="1"/>
  <c r="FV222" i="2" s="1"/>
  <c r="FE222" i="2"/>
  <c r="FC222" i="2"/>
  <c r="FH69" i="2"/>
  <c r="FK69" i="2" s="1"/>
  <c r="FG69" i="2"/>
  <c r="FU69" i="2" s="1"/>
  <c r="FV69" i="2" s="1"/>
  <c r="FC69" i="2"/>
  <c r="FE69" i="2"/>
  <c r="FG51" i="2"/>
  <c r="FU51" i="2" s="1"/>
  <c r="FV51" i="2" s="1"/>
  <c r="FH51" i="2"/>
  <c r="FK51" i="2" s="1"/>
  <c r="FE51" i="2"/>
  <c r="FC51" i="2"/>
  <c r="FH24" i="2"/>
  <c r="FK24" i="2" s="1"/>
  <c r="FG24" i="2"/>
  <c r="FU24" i="2" s="1"/>
  <c r="FV24" i="2" s="1"/>
  <c r="FC24" i="2"/>
  <c r="FE24" i="2"/>
  <c r="FG360" i="2"/>
  <c r="FU360" i="2" s="1"/>
  <c r="FV360" i="2" s="1"/>
  <c r="FH360" i="2"/>
  <c r="FK360" i="2" s="1"/>
  <c r="FE360" i="2"/>
  <c r="FC360" i="2"/>
  <c r="FH70" i="2"/>
  <c r="FK70" i="2" s="1"/>
  <c r="FG70" i="2"/>
  <c r="FU70" i="2" s="1"/>
  <c r="FV70" i="2" s="1"/>
  <c r="FC70" i="2"/>
  <c r="FE70" i="2"/>
  <c r="FH212" i="2"/>
  <c r="FK212" i="2" s="1"/>
  <c r="FG212" i="2"/>
  <c r="FU212" i="2" s="1"/>
  <c r="FV212" i="2" s="1"/>
  <c r="FC212" i="2"/>
  <c r="FE212" i="2"/>
  <c r="FH31" i="2"/>
  <c r="FK31" i="2" s="1"/>
  <c r="FG31" i="2"/>
  <c r="FU31" i="2" s="1"/>
  <c r="FV31" i="2" s="1"/>
  <c r="FE31" i="2"/>
  <c r="FC31" i="2"/>
  <c r="FH335" i="2"/>
  <c r="FK335" i="2" s="1"/>
  <c r="FG335" i="2"/>
  <c r="FU335" i="2" s="1"/>
  <c r="FV335" i="2" s="1"/>
  <c r="FE335" i="2"/>
  <c r="FC335" i="2"/>
  <c r="FG344" i="2"/>
  <c r="FU344" i="2" s="1"/>
  <c r="FV344" i="2" s="1"/>
  <c r="FH344" i="2"/>
  <c r="FE344" i="2"/>
  <c r="FC344" i="2"/>
  <c r="FH179" i="2"/>
  <c r="FK179" i="2" s="1"/>
  <c r="FG179" i="2"/>
  <c r="FU179" i="2" s="1"/>
  <c r="FV179" i="2" s="1"/>
  <c r="FC179" i="2"/>
  <c r="FE179" i="2"/>
  <c r="FG109" i="2"/>
  <c r="FU109" i="2" s="1"/>
  <c r="FV109" i="2" s="1"/>
  <c r="FH109" i="2"/>
  <c r="FK109" i="2" s="1"/>
  <c r="FE109" i="2"/>
  <c r="FC109" i="2"/>
  <c r="FH32" i="2"/>
  <c r="FK32" i="2" s="1"/>
  <c r="FG32" i="2"/>
  <c r="FU32" i="2" s="1"/>
  <c r="FV32" i="2" s="1"/>
  <c r="FE32" i="2"/>
  <c r="FC32" i="2"/>
  <c r="FG163" i="2"/>
  <c r="FU163" i="2" s="1"/>
  <c r="FV163" i="2" s="1"/>
  <c r="FH163" i="2"/>
  <c r="FK163" i="2" s="1"/>
  <c r="FE163" i="2"/>
  <c r="FC163" i="2"/>
  <c r="FG310" i="2"/>
  <c r="FU310" i="2" s="1"/>
  <c r="FV310" i="2" s="1"/>
  <c r="FH310" i="2"/>
  <c r="FK310" i="2" s="1"/>
  <c r="FE310" i="2"/>
  <c r="FC310" i="2"/>
  <c r="FH298" i="2"/>
  <c r="FK298" i="2" s="1"/>
  <c r="FG298" i="2"/>
  <c r="FU298" i="2" s="1"/>
  <c r="FV298" i="2" s="1"/>
  <c r="FE298" i="2"/>
  <c r="FC298" i="2"/>
  <c r="FH333" i="2"/>
  <c r="FK333" i="2" s="1"/>
  <c r="FG333" i="2"/>
  <c r="FU333" i="2" s="1"/>
  <c r="FV333" i="2" s="1"/>
  <c r="FE333" i="2"/>
  <c r="FC333" i="2"/>
  <c r="FH313" i="2"/>
  <c r="FK313" i="2" s="1"/>
  <c r="FG313" i="2"/>
  <c r="FU313" i="2" s="1"/>
  <c r="FV313" i="2" s="1"/>
  <c r="FE313" i="2"/>
  <c r="FC313" i="2"/>
  <c r="FH230" i="2"/>
  <c r="FK230" i="2" s="1"/>
  <c r="FG230" i="2"/>
  <c r="FU230" i="2" s="1"/>
  <c r="FV230" i="2" s="1"/>
  <c r="FE230" i="2"/>
  <c r="FC230" i="2"/>
  <c r="FG205" i="2"/>
  <c r="FU205" i="2" s="1"/>
  <c r="FV205" i="2" s="1"/>
  <c r="FH205" i="2"/>
  <c r="FK205" i="2" s="1"/>
  <c r="FE205" i="2"/>
  <c r="FC205" i="2"/>
  <c r="FH183" i="2"/>
  <c r="FK183" i="2" s="1"/>
  <c r="FG183" i="2"/>
  <c r="FU183" i="2" s="1"/>
  <c r="FV183" i="2" s="1"/>
  <c r="FC183" i="2"/>
  <c r="FE183"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363" i="2"/>
  <c r="FU363" i="2" s="1"/>
  <c r="FV363" i="2" s="1"/>
  <c r="FH363" i="2"/>
  <c r="FK363" i="2" s="1"/>
  <c r="FE363" i="2"/>
  <c r="FC363" i="2"/>
  <c r="FH262" i="2"/>
  <c r="FK262" i="2" s="1"/>
  <c r="FG262" i="2"/>
  <c r="FU262" i="2" s="1"/>
  <c r="FV262" i="2" s="1"/>
  <c r="FE262" i="2"/>
  <c r="FC262" i="2"/>
  <c r="FH231" i="2"/>
  <c r="FK231" i="2" s="1"/>
  <c r="FG231" i="2"/>
  <c r="FU231" i="2" s="1"/>
  <c r="FV231" i="2" s="1"/>
  <c r="FE231" i="2"/>
  <c r="FC231" i="2"/>
  <c r="FH121" i="2"/>
  <c r="FK121" i="2" s="1"/>
  <c r="FG121" i="2"/>
  <c r="FU121" i="2" s="1"/>
  <c r="FV121" i="2" s="1"/>
  <c r="FC121" i="2"/>
  <c r="FE121" i="2"/>
  <c r="FH291" i="2"/>
  <c r="FK291" i="2" s="1"/>
  <c r="FG291" i="2"/>
  <c r="FU291" i="2" s="1"/>
  <c r="FV291" i="2" s="1"/>
  <c r="FC291" i="2"/>
  <c r="FE291" i="2"/>
  <c r="FH181" i="2"/>
  <c r="FK181" i="2" s="1"/>
  <c r="FG181" i="2"/>
  <c r="FU181" i="2" s="1"/>
  <c r="FV181" i="2" s="1"/>
  <c r="FE181" i="2"/>
  <c r="FC181" i="2"/>
  <c r="FH350" i="2"/>
  <c r="FK350" i="2" s="1"/>
  <c r="FG350" i="2"/>
  <c r="FU350" i="2" s="1"/>
  <c r="FV350" i="2" s="1"/>
  <c r="FE350" i="2"/>
  <c r="FC350" i="2"/>
  <c r="FG325" i="2"/>
  <c r="FU325" i="2" s="1"/>
  <c r="FV325" i="2" s="1"/>
  <c r="FH325" i="2"/>
  <c r="FK325" i="2" s="1"/>
  <c r="FC325" i="2"/>
  <c r="FE325" i="2"/>
  <c r="FG15" i="2"/>
  <c r="FU15" i="2" s="1"/>
  <c r="FV15" i="2" s="1"/>
  <c r="FH15" i="2"/>
  <c r="FK15" i="2" s="1"/>
  <c r="FE15" i="2"/>
  <c r="FC15" i="2"/>
  <c r="FH123" i="2"/>
  <c r="FK123" i="2" s="1"/>
  <c r="FG123" i="2"/>
  <c r="FU123" i="2" s="1"/>
  <c r="FV123" i="2" s="1"/>
  <c r="FC123" i="2"/>
  <c r="FE123" i="2"/>
  <c r="FG358" i="2"/>
  <c r="FU358" i="2" s="1"/>
  <c r="FV358" i="2" s="1"/>
  <c r="FH358" i="2"/>
  <c r="FK358" i="2" s="1"/>
  <c r="FE358" i="2"/>
  <c r="FC358" i="2"/>
  <c r="FH263" i="2"/>
  <c r="FK263" i="2" s="1"/>
  <c r="FG263" i="2"/>
  <c r="FU263" i="2" s="1"/>
  <c r="FV263" i="2" s="1"/>
  <c r="FE263" i="2"/>
  <c r="FC263" i="2"/>
  <c r="FG257" i="2"/>
  <c r="FH257" i="2"/>
  <c r="FE257" i="2"/>
  <c r="FC257" i="2"/>
  <c r="FH317" i="2"/>
  <c r="FK317" i="2" s="1"/>
  <c r="FG317" i="2"/>
  <c r="FU317" i="2" s="1"/>
  <c r="FV317" i="2" s="1"/>
  <c r="FE317" i="2"/>
  <c r="FC317" i="2"/>
  <c r="FH302" i="2"/>
  <c r="FK302" i="2" s="1"/>
  <c r="FG302" i="2"/>
  <c r="FU302" i="2" s="1"/>
  <c r="FV302" i="2" s="1"/>
  <c r="FE302" i="2"/>
  <c r="FC302" i="2"/>
  <c r="FH176" i="2"/>
  <c r="FK176" i="2" s="1"/>
  <c r="FG176" i="2"/>
  <c r="FU176" i="2" s="1"/>
  <c r="FV176" i="2" s="1"/>
  <c r="FC176" i="2"/>
  <c r="FE176" i="2"/>
  <c r="FH323" i="2"/>
  <c r="FK323" i="2" s="1"/>
  <c r="FG323" i="2"/>
  <c r="FU323" i="2" s="1"/>
  <c r="FV323" i="2" s="1"/>
  <c r="FC323" i="2"/>
  <c r="FE323" i="2"/>
  <c r="FH315" i="2"/>
  <c r="FK315" i="2" s="1"/>
  <c r="FG315" i="2"/>
  <c r="FU315" i="2" s="1"/>
  <c r="FV315" i="2" s="1"/>
  <c r="FE315" i="2"/>
  <c r="FC315" i="2"/>
  <c r="FH148" i="2"/>
  <c r="FK148" i="2" s="1"/>
  <c r="FG148" i="2"/>
  <c r="FU148" i="2" s="1"/>
  <c r="FV148" i="2" s="1"/>
  <c r="FC148" i="2"/>
  <c r="FE148" i="2"/>
  <c r="FG95" i="2"/>
  <c r="FU95" i="2" s="1"/>
  <c r="FV95" i="2" s="1"/>
  <c r="FH95" i="2"/>
  <c r="FK95" i="2" s="1"/>
  <c r="FE95" i="2"/>
  <c r="FC95" i="2"/>
  <c r="FH286" i="2"/>
  <c r="FK286" i="2" s="1"/>
  <c r="FG286" i="2"/>
  <c r="FU286" i="2" s="1"/>
  <c r="FV286" i="2" s="1"/>
  <c r="FE286" i="2"/>
  <c r="FC286" i="2"/>
  <c r="FH86" i="2"/>
  <c r="FK86" i="2" s="1"/>
  <c r="FG86" i="2"/>
  <c r="FU86" i="2" s="1"/>
  <c r="FV86" i="2" s="1"/>
  <c r="FC86" i="2"/>
  <c r="FE86" i="2"/>
  <c r="FG187" i="2"/>
  <c r="FU187" i="2" s="1"/>
  <c r="FV187" i="2" s="1"/>
  <c r="FH187" i="2"/>
  <c r="FK187" i="2" s="1"/>
  <c r="FE187" i="2"/>
  <c r="FC187" i="2"/>
  <c r="FG373" i="2"/>
  <c r="FU373" i="2" s="1"/>
  <c r="FV373" i="2" s="1"/>
  <c r="FH373" i="2"/>
  <c r="FK373" i="2" s="1"/>
  <c r="FE373" i="2"/>
  <c r="FC373" i="2"/>
  <c r="FH210" i="2"/>
  <c r="FK210" i="2" s="1"/>
  <c r="FG210" i="2"/>
  <c r="FU210" i="2" s="1"/>
  <c r="FV210" i="2" s="1"/>
  <c r="FC210" i="2"/>
  <c r="FE210" i="2"/>
  <c r="FH320" i="2"/>
  <c r="FK320" i="2" s="1"/>
  <c r="FG320" i="2"/>
  <c r="FU320" i="2" s="1"/>
  <c r="FV320" i="2" s="1"/>
  <c r="FE320" i="2"/>
  <c r="FC320" i="2"/>
  <c r="FH184" i="2"/>
  <c r="FK184" i="2" s="1"/>
  <c r="FG184" i="2"/>
  <c r="FU184" i="2" s="1"/>
  <c r="FV184" i="2" s="1"/>
  <c r="FE184" i="2"/>
  <c r="FC184" i="2"/>
  <c r="FG379" i="2"/>
  <c r="FU379" i="2" s="1"/>
  <c r="FV379" i="2" s="1"/>
  <c r="FH379" i="2"/>
  <c r="FK379" i="2" s="1"/>
  <c r="FE379" i="2"/>
  <c r="FC379" i="2"/>
  <c r="FH238" i="2"/>
  <c r="FK238" i="2" s="1"/>
  <c r="FG238" i="2"/>
  <c r="FU238" i="2" s="1"/>
  <c r="FV238" i="2" s="1"/>
  <c r="FE238" i="2"/>
  <c r="FC238" i="2"/>
  <c r="FH153" i="2"/>
  <c r="FK153" i="2" s="1"/>
  <c r="FG153" i="2"/>
  <c r="FU153" i="2" s="1"/>
  <c r="FV153" i="2" s="1"/>
  <c r="FC153" i="2"/>
  <c r="FE153" i="2"/>
  <c r="FG98" i="2"/>
  <c r="FU98" i="2" s="1"/>
  <c r="FV98" i="2" s="1"/>
  <c r="FH98" i="2"/>
  <c r="FK98" i="2" s="1"/>
  <c r="FC98" i="2"/>
  <c r="FE98" i="2"/>
  <c r="FH55" i="2"/>
  <c r="FK55" i="2" s="1"/>
  <c r="FG55" i="2"/>
  <c r="FU55" i="2" s="1"/>
  <c r="FV55" i="2" s="1"/>
  <c r="FC55" i="2"/>
  <c r="FE55" i="2"/>
  <c r="FG343" i="2"/>
  <c r="FU343" i="2" s="1"/>
  <c r="FV343" i="2" s="1"/>
  <c r="FH343" i="2"/>
  <c r="FK343" i="2" s="1"/>
  <c r="FE343" i="2"/>
  <c r="FC343" i="2"/>
  <c r="FH270" i="2"/>
  <c r="FK270" i="2" s="1"/>
  <c r="FG270" i="2"/>
  <c r="FU270" i="2" s="1"/>
  <c r="FV270" i="2" s="1"/>
  <c r="FE270" i="2"/>
  <c r="FC270" i="2"/>
  <c r="FG61" i="2"/>
  <c r="FU61" i="2" s="1"/>
  <c r="FV61" i="2" s="1"/>
  <c r="FH61" i="2"/>
  <c r="FK61" i="2" s="1"/>
  <c r="FE61" i="2"/>
  <c r="FC61" i="2"/>
  <c r="FG294" i="2"/>
  <c r="FU294" i="2" s="1"/>
  <c r="FV294" i="2" s="1"/>
  <c r="FE294" i="2"/>
  <c r="FH294" i="2"/>
  <c r="FK294" i="2" s="1"/>
  <c r="FC294" i="2"/>
  <c r="FH232" i="2"/>
  <c r="FK232" i="2" s="1"/>
  <c r="FG232" i="2"/>
  <c r="FU232" i="2" s="1"/>
  <c r="FV232" i="2" s="1"/>
  <c r="FC232" i="2"/>
  <c r="FE232" i="2"/>
  <c r="FG157" i="2"/>
  <c r="FU157" i="2" s="1"/>
  <c r="FV157" i="2" s="1"/>
  <c r="FH157" i="2"/>
  <c r="FK157" i="2" s="1"/>
  <c r="FE157" i="2"/>
  <c r="FC157" i="2"/>
  <c r="FH28" i="2"/>
  <c r="FK28" i="2" s="1"/>
  <c r="FG28" i="2"/>
  <c r="FU28" i="2" s="1"/>
  <c r="FV28" i="2" s="1"/>
  <c r="FE28" i="2"/>
  <c r="FC28" i="2"/>
  <c r="FH224" i="2"/>
  <c r="FK224" i="2" s="1"/>
  <c r="FG224" i="2"/>
  <c r="FU224" i="2" s="1"/>
  <c r="FV224" i="2" s="1"/>
  <c r="FE224" i="2"/>
  <c r="FC224" i="2"/>
  <c r="FH25" i="2"/>
  <c r="FK25" i="2" s="1"/>
  <c r="FG25" i="2"/>
  <c r="FU25" i="2" s="1"/>
  <c r="FV25" i="2" s="1"/>
  <c r="FC25" i="2"/>
  <c r="FE25" i="2"/>
  <c r="FG115" i="2"/>
  <c r="FU115" i="2" s="1"/>
  <c r="FV115" i="2" s="1"/>
  <c r="FH115" i="2"/>
  <c r="FK115" i="2" s="1"/>
  <c r="FE115" i="2"/>
  <c r="FC115" i="2"/>
  <c r="FH197" i="2"/>
  <c r="FK197" i="2" s="1"/>
  <c r="FE197" i="2"/>
  <c r="FG197" i="2"/>
  <c r="FU197" i="2" s="1"/>
  <c r="FV197" i="2" s="1"/>
  <c r="FC197" i="2"/>
  <c r="FH89" i="2"/>
  <c r="FK89" i="2" s="1"/>
  <c r="FG89" i="2"/>
  <c r="FU89" i="2" s="1"/>
  <c r="FV89" i="2" s="1"/>
  <c r="FC89" i="2"/>
  <c r="FE89" i="2"/>
  <c r="FR132" i="2" a="1"/>
  <c r="FR132" i="2" s="1"/>
  <c r="FR393" i="2" a="1"/>
  <c r="FR393" i="2" s="1"/>
  <c r="FR93" i="2" a="1"/>
  <c r="FR93" i="2" s="1"/>
  <c r="FR96" i="2" a="1"/>
  <c r="FR96" i="2" s="1"/>
  <c r="FR329" i="2" a="1"/>
  <c r="FR329" i="2" s="1"/>
  <c r="FW229" i="2"/>
  <c r="FX229" i="2" s="1" a="1"/>
  <c r="FX229" i="2" s="1"/>
  <c r="FR290" i="2" a="1"/>
  <c r="FR290" i="2" s="1"/>
  <c r="FR289" i="2" a="1"/>
  <c r="FR289" i="2" s="1"/>
  <c r="FR282" i="2" a="1"/>
  <c r="FR282" i="2" s="1"/>
  <c r="GV38" i="2"/>
  <c r="GW38" i="2" s="1"/>
  <c r="FR286" i="2" a="1"/>
  <c r="FR286" i="2" s="1"/>
  <c r="GU292" i="2"/>
  <c r="CR64" i="2"/>
  <c r="CX64" i="2" s="1"/>
  <c r="FZ244" i="2"/>
  <c r="GA244" i="2" s="1"/>
  <c r="GT252" i="2"/>
  <c r="GT201" i="2"/>
  <c r="CL395" i="2"/>
  <c r="AN395" i="2"/>
  <c r="AE395" i="2"/>
  <c r="AF395" i="2"/>
  <c r="GQ395" i="2"/>
  <c r="GS395" i="2"/>
  <c r="T395" i="2"/>
  <c r="CG395" i="2"/>
  <c r="EV395" i="2"/>
  <c r="GO395" i="2"/>
  <c r="CK243" i="2"/>
  <c r="CR201" i="2"/>
  <c r="CX201" i="2" s="1"/>
  <c r="DV373" i="2"/>
  <c r="DW373" i="2" s="1"/>
  <c r="CK341" i="2"/>
  <c r="GV362" i="2"/>
  <c r="GW362" i="2" s="1"/>
  <c r="CK362" i="2"/>
  <c r="EI373" i="2"/>
  <c r="CK366" i="2"/>
  <c r="DQ34" i="2"/>
  <c r="DR34" i="2" s="1"/>
  <c r="CK134" i="2"/>
  <c r="EI213" i="2"/>
  <c r="EG213" i="2"/>
  <c r="Z64" i="2"/>
  <c r="GV44" i="2"/>
  <c r="GW44" i="2" s="1"/>
  <c r="CK356" i="2"/>
  <c r="Z61" i="2"/>
  <c r="EH40" i="2"/>
  <c r="GT167" i="2"/>
  <c r="DQ40" i="2"/>
  <c r="DR40" i="2" s="1"/>
  <c r="DS40" i="2"/>
  <c r="DY40" i="2"/>
  <c r="DZ40" i="2" s="1"/>
  <c r="EA40" i="2" s="1"/>
  <c r="DQ299" i="2"/>
  <c r="DR299" i="2" s="1"/>
  <c r="DS299" i="2"/>
  <c r="DY299" i="2"/>
  <c r="DZ299" i="2" s="1"/>
  <c r="EA299" i="2" s="1"/>
  <c r="EC299" i="2"/>
  <c r="Z213" i="2"/>
  <c r="AA301" i="2"/>
  <c r="Z33" i="2"/>
  <c r="Z80" i="2"/>
  <c r="Z18" i="2"/>
  <c r="Z179" i="2"/>
  <c r="DS64" i="2"/>
  <c r="DQ64" i="2"/>
  <c r="DR64" i="2" s="1"/>
  <c r="DS57" i="2"/>
  <c r="EI215" i="2"/>
  <c r="Z230" i="2"/>
  <c r="EG215" i="2"/>
  <c r="Z308" i="2"/>
  <c r="Z36" i="2"/>
  <c r="CR235" i="2"/>
  <c r="CX235" i="2" s="1"/>
  <c r="Z326" i="2"/>
  <c r="DV188" i="2"/>
  <c r="DW188" i="2" s="1"/>
  <c r="EG314" i="2"/>
  <c r="FR272" i="2" a="1"/>
  <c r="FR272" i="2" s="1"/>
  <c r="EI314" i="2"/>
  <c r="DQ137" i="2"/>
  <c r="DR137" i="2" s="1"/>
  <c r="Z210" i="2"/>
  <c r="DS137" i="2"/>
  <c r="Z11" i="2"/>
  <c r="DY137" i="2"/>
  <c r="DZ137" i="2" s="1"/>
  <c r="EA137" i="2" s="1"/>
  <c r="EC104" i="2"/>
  <c r="EC215" i="2"/>
  <c r="EG155" i="2"/>
  <c r="DS104" i="2"/>
  <c r="DQ215" i="2"/>
  <c r="DR215" i="2" s="1"/>
  <c r="CK145" i="2"/>
  <c r="EG152" i="2"/>
  <c r="CE145" i="2"/>
  <c r="DQ47" i="2"/>
  <c r="DR47" i="2" s="1"/>
  <c r="DY47" i="2"/>
  <c r="DZ47" i="2" s="1"/>
  <c r="EA47" i="2" s="1"/>
  <c r="Z332" i="2"/>
  <c r="Z317" i="2"/>
  <c r="CK197" i="2"/>
  <c r="Z204" i="2"/>
  <c r="Z124" i="2"/>
  <c r="DQ152" i="2"/>
  <c r="DR152" i="2" s="1"/>
  <c r="DY152" i="2"/>
  <c r="DZ152" i="2" s="1"/>
  <c r="EA152" i="2" s="1"/>
  <c r="EG162" i="2"/>
  <c r="EC152" i="2"/>
  <c r="EI162" i="2"/>
  <c r="EH152" i="2"/>
  <c r="EI152" i="2"/>
  <c r="DS47" i="2"/>
  <c r="CE298" i="2"/>
  <c r="Z214" i="2"/>
  <c r="EG10" i="2"/>
  <c r="CK168" i="2"/>
  <c r="CK290" i="2"/>
  <c r="CE168" i="2"/>
  <c r="CE62" i="2"/>
  <c r="EH47" i="2"/>
  <c r="Z370" i="2"/>
  <c r="EG47" i="2"/>
  <c r="Z10" i="2"/>
  <c r="FR281" i="2" a="1"/>
  <c r="FR281" i="2" s="1"/>
  <c r="EH23" i="2"/>
  <c r="CE42" i="2"/>
  <c r="FR378" i="2" a="1"/>
  <c r="FR378" i="2" s="1"/>
  <c r="DQ23" i="2"/>
  <c r="DR23" i="2" s="1"/>
  <c r="Z39" i="2"/>
  <c r="DS23" i="2"/>
  <c r="CE197" i="2"/>
  <c r="DY23" i="2"/>
  <c r="DZ23" i="2" s="1"/>
  <c r="EA23" i="2" s="1"/>
  <c r="DV47" i="2"/>
  <c r="DW47" i="2" s="1"/>
  <c r="CE96" i="2"/>
  <c r="AA304" i="2"/>
  <c r="EC137" i="2"/>
  <c r="DQ57" i="2"/>
  <c r="DR57" i="2" s="1"/>
  <c r="DY57" i="2"/>
  <c r="DZ57" i="2" s="1"/>
  <c r="EA57" i="2" s="1"/>
  <c r="FR371" i="2" a="1"/>
  <c r="FR371" i="2" s="1"/>
  <c r="Z113" i="2"/>
  <c r="CE89" i="2"/>
  <c r="FR51" i="2" a="1"/>
  <c r="FR51" i="2" s="1"/>
  <c r="CK138" i="2"/>
  <c r="EI10" i="2"/>
  <c r="CK137" i="2"/>
  <c r="FR90" i="2" a="1"/>
  <c r="FR90" i="2" s="1"/>
  <c r="CE243" i="2"/>
  <c r="CE276" i="2"/>
  <c r="Z252" i="2"/>
  <c r="Z172" i="2"/>
  <c r="DV323" i="2"/>
  <c r="DW323" i="2" s="1"/>
  <c r="EI323" i="2"/>
  <c r="CE58" i="2"/>
  <c r="Z383" i="2"/>
  <c r="DV307" i="2"/>
  <c r="DW307" i="2" s="1"/>
  <c r="DV365" i="2"/>
  <c r="DW365" i="2" s="1"/>
  <c r="FR233" i="2" a="1"/>
  <c r="FR233" i="2" s="1"/>
  <c r="Z382" i="2"/>
  <c r="AA111" i="2"/>
  <c r="CE67" i="2"/>
  <c r="CE50" i="2"/>
  <c r="FR58" i="2" a="1"/>
  <c r="FR58" i="2" s="1"/>
  <c r="GV50" i="2"/>
  <c r="GW50" i="2" s="1"/>
  <c r="Z163" i="2"/>
  <c r="AA267" i="2"/>
  <c r="DY202" i="2"/>
  <c r="DZ202" i="2" s="1"/>
  <c r="EA202" i="2" s="1"/>
  <c r="CK359" i="2"/>
  <c r="CK118" i="2"/>
  <c r="Z62" i="2"/>
  <c r="EH202" i="2"/>
  <c r="EC202" i="2"/>
  <c r="DQ202" i="2"/>
  <c r="DR202" i="2" s="1"/>
  <c r="Z145" i="2"/>
  <c r="EH28" i="2"/>
  <c r="DQ28" i="2"/>
  <c r="DR28" i="2" s="1"/>
  <c r="DS28" i="2"/>
  <c r="DY28" i="2"/>
  <c r="DZ28" i="2" s="1"/>
  <c r="EA28" i="2" s="1"/>
  <c r="CE44" i="2"/>
  <c r="Z19" i="2"/>
  <c r="Z50" i="2"/>
  <c r="FR91" i="2" a="1"/>
  <c r="FR91" i="2" s="1"/>
  <c r="EH41" i="2"/>
  <c r="DQ41" i="2"/>
  <c r="DR41" i="2" s="1"/>
  <c r="DS41" i="2"/>
  <c r="Z29" i="2"/>
  <c r="GV96" i="2"/>
  <c r="GW96" i="2" s="1"/>
  <c r="DY41" i="2"/>
  <c r="DZ41" i="2" s="1"/>
  <c r="EA41" i="2" s="1"/>
  <c r="DO265" i="2"/>
  <c r="DY265" i="2" s="1"/>
  <c r="DZ265" i="2" s="1"/>
  <c r="EA265" i="2" s="1"/>
  <c r="DY381" i="2"/>
  <c r="DZ381" i="2" s="1"/>
  <c r="EA381" i="2" s="1"/>
  <c r="DV32" i="2"/>
  <c r="DW32" i="2" s="1"/>
  <c r="CE87" i="2"/>
  <c r="CK135" i="2"/>
  <c r="CE264" i="2"/>
  <c r="GV350" i="2"/>
  <c r="GW350" i="2" s="1"/>
  <c r="GV40" i="2"/>
  <c r="GW40" i="2" s="1"/>
  <c r="Z134" i="2"/>
  <c r="CK297" i="2"/>
  <c r="CE114" i="2"/>
  <c r="Z140" i="2"/>
  <c r="CE297" i="2"/>
  <c r="Z361" i="2"/>
  <c r="DV235" i="2"/>
  <c r="DW235" i="2" s="1"/>
  <c r="EG235" i="2"/>
  <c r="EI32" i="2"/>
  <c r="DS374" i="2"/>
  <c r="DY374" i="2"/>
  <c r="DZ374" i="2" s="1"/>
  <c r="EA374" i="2" s="1"/>
  <c r="EC374" i="2"/>
  <c r="DQ367" i="2"/>
  <c r="DR367" i="2" s="1"/>
  <c r="DV361" i="2"/>
  <c r="DW361" i="2" s="1"/>
  <c r="Z329" i="2"/>
  <c r="FR231" i="2" a="1"/>
  <c r="FR231" i="2" s="1"/>
  <c r="DV45" i="2"/>
  <c r="DW45" i="2" s="1"/>
  <c r="EH27" i="2"/>
  <c r="Z251" i="2"/>
  <c r="CK167" i="2"/>
  <c r="CK140" i="2"/>
  <c r="EG45" i="2"/>
  <c r="DQ27" i="2"/>
  <c r="DR27" i="2" s="1"/>
  <c r="CE167" i="2"/>
  <c r="DS27" i="2"/>
  <c r="Z56" i="2"/>
  <c r="DY27" i="2"/>
  <c r="DZ27" i="2" s="1"/>
  <c r="EA27" i="2" s="1"/>
  <c r="Z129" i="2"/>
  <c r="EG307" i="2"/>
  <c r="CM40" i="2"/>
  <c r="CE40" i="2"/>
  <c r="CK40" i="2"/>
  <c r="DQ70" i="2"/>
  <c r="DR70" i="2" s="1"/>
  <c r="CK116" i="2"/>
  <c r="DS70" i="2"/>
  <c r="Z131" i="2"/>
  <c r="DY70" i="2"/>
  <c r="DZ70" i="2" s="1"/>
  <c r="EA70" i="2" s="1"/>
  <c r="EC70" i="2"/>
  <c r="Z74" i="2"/>
  <c r="CE196" i="2"/>
  <c r="Z192" i="2"/>
  <c r="CE80" i="2"/>
  <c r="Z26" i="2"/>
  <c r="EH176" i="2"/>
  <c r="Z341" i="2"/>
  <c r="DQ176" i="2"/>
  <c r="DR176" i="2" s="1"/>
  <c r="Z320" i="2"/>
  <c r="DS176" i="2"/>
  <c r="CE305" i="2"/>
  <c r="DS367" i="2"/>
  <c r="FR213" i="2" a="1"/>
  <c r="FR213" i="2" s="1"/>
  <c r="DY367" i="2"/>
  <c r="DZ367" i="2" s="1"/>
  <c r="EA367" i="2" s="1"/>
  <c r="GT229" i="2"/>
  <c r="EH367" i="2"/>
  <c r="CK351" i="2"/>
  <c r="DQ377" i="2"/>
  <c r="DR377" i="2" s="1"/>
  <c r="EG365" i="2"/>
  <c r="GV364" i="2"/>
  <c r="Z373" i="2"/>
  <c r="GV152" i="2"/>
  <c r="GW152" i="2" s="1"/>
  <c r="FR273" i="2" a="1"/>
  <c r="FR273" i="2" s="1"/>
  <c r="Z46" i="2"/>
  <c r="Z76" i="2"/>
  <c r="CK54" i="2"/>
  <c r="DY34" i="2"/>
  <c r="DZ34" i="2" s="1"/>
  <c r="EA34" i="2" s="1"/>
  <c r="FR299" i="2" a="1"/>
  <c r="FR299" i="2" s="1"/>
  <c r="DQ291" i="2"/>
  <c r="DR291" i="2" s="1"/>
  <c r="EC291" i="2"/>
  <c r="Z121" i="2"/>
  <c r="CE306" i="2"/>
  <c r="CK270" i="2"/>
  <c r="AA9" i="2"/>
  <c r="Z24" i="2"/>
  <c r="EH124" i="2"/>
  <c r="DQ124" i="2"/>
  <c r="DR124" i="2" s="1"/>
  <c r="Z339" i="2"/>
  <c r="CE340" i="2"/>
  <c r="EC15" i="2"/>
  <c r="Z125" i="2"/>
  <c r="GU392" i="2"/>
  <c r="AA31" i="2"/>
  <c r="EH104" i="2"/>
  <c r="CE296" i="2"/>
  <c r="DQ104" i="2"/>
  <c r="DR104" i="2" s="1"/>
  <c r="FR76" i="2" a="1"/>
  <c r="FR76" i="2" s="1"/>
  <c r="GV36" i="2"/>
  <c r="GW36" i="2" s="1"/>
  <c r="CE36" i="2"/>
  <c r="DV83" i="2"/>
  <c r="DW83" i="2" s="1"/>
  <c r="EG83" i="2"/>
  <c r="GV89" i="2"/>
  <c r="GW89" i="2" s="1"/>
  <c r="DS307" i="2"/>
  <c r="EX30" i="2"/>
  <c r="EI274" i="2"/>
  <c r="DS34" i="2"/>
  <c r="GT266" i="2"/>
  <c r="DS83" i="2"/>
  <c r="EC34" i="2"/>
  <c r="DY83" i="2"/>
  <c r="DZ83" i="2" s="1"/>
  <c r="EA83" i="2" s="1"/>
  <c r="EC83" i="2"/>
  <c r="CE179" i="2"/>
  <c r="CE97" i="2"/>
  <c r="EH83" i="2"/>
  <c r="Z232" i="2"/>
  <c r="Z59" i="2"/>
  <c r="CK294" i="2"/>
  <c r="DS322" i="2"/>
  <c r="EG321" i="2"/>
  <c r="CK126" i="2"/>
  <c r="DV104" i="2"/>
  <c r="DW104" i="2" s="1"/>
  <c r="FR235" i="2" a="1"/>
  <c r="FR235" i="2" s="1"/>
  <c r="CK333" i="2"/>
  <c r="EI321" i="2"/>
  <c r="DS124" i="2"/>
  <c r="EH20" i="2"/>
  <c r="EC322" i="2"/>
  <c r="DY124" i="2"/>
  <c r="DZ124" i="2" s="1"/>
  <c r="EA124" i="2" s="1"/>
  <c r="DQ20" i="2"/>
  <c r="DR20" i="2" s="1"/>
  <c r="DY20" i="2"/>
  <c r="DZ20" i="2" s="1"/>
  <c r="EA20" i="2" s="1"/>
  <c r="AB362" i="2"/>
  <c r="Z81" i="2"/>
  <c r="GV359" i="2"/>
  <c r="GW359" i="2" s="1"/>
  <c r="CK278" i="2"/>
  <c r="FR230" i="2" a="1"/>
  <c r="FR230" i="2" s="1"/>
  <c r="Z206" i="2"/>
  <c r="Z88" i="2"/>
  <c r="CK121" i="2"/>
  <c r="DY322" i="2"/>
  <c r="DZ322" i="2" s="1"/>
  <c r="EA322" i="2" s="1"/>
  <c r="Z117" i="2"/>
  <c r="DQ322" i="2"/>
  <c r="DR322" i="2" s="1"/>
  <c r="Z256" i="2"/>
  <c r="Z112" i="2"/>
  <c r="CE90" i="2"/>
  <c r="CE35" i="2"/>
  <c r="CE12" i="2"/>
  <c r="GV278" i="2"/>
  <c r="GW278" i="2" s="1"/>
  <c r="EG104" i="2"/>
  <c r="FR40" i="2" a="1"/>
  <c r="FR40" i="2" s="1"/>
  <c r="DS20" i="2"/>
  <c r="Z363" i="2"/>
  <c r="CE124" i="2"/>
  <c r="CK92" i="2"/>
  <c r="GV275" i="2"/>
  <c r="GW275" i="2" s="1"/>
  <c r="EG20" i="2"/>
  <c r="Z290" i="2"/>
  <c r="EH39" i="2"/>
  <c r="GV365" i="2"/>
  <c r="GW365" i="2" s="1"/>
  <c r="CE73" i="2"/>
  <c r="DQ39" i="2"/>
  <c r="DR39" i="2" s="1"/>
  <c r="CE121" i="2"/>
  <c r="DV325" i="2"/>
  <c r="DW325" i="2" s="1"/>
  <c r="EG214" i="2"/>
  <c r="CE72" i="2"/>
  <c r="EC39" i="2"/>
  <c r="EI20" i="2"/>
  <c r="FR24" i="2" a="1"/>
  <c r="FR24" i="2" s="1"/>
  <c r="FR124" i="2" a="1"/>
  <c r="FR124" i="2" s="1"/>
  <c r="GV268" i="2"/>
  <c r="GW268" i="2" s="1"/>
  <c r="CE365" i="2"/>
  <c r="GV353" i="2"/>
  <c r="GW353" i="2" s="1"/>
  <c r="EG325" i="2"/>
  <c r="CE268" i="2"/>
  <c r="EC10" i="2"/>
  <c r="CK275" i="2"/>
  <c r="DQ35" i="2"/>
  <c r="DR35" i="2" s="1"/>
  <c r="EH10" i="2"/>
  <c r="EC35" i="2"/>
  <c r="DQ10" i="2"/>
  <c r="DR10" i="2" s="1"/>
  <c r="Z261" i="2"/>
  <c r="CE313" i="2"/>
  <c r="DS10" i="2"/>
  <c r="GV35" i="2"/>
  <c r="GW35" i="2" s="1"/>
  <c r="GV42" i="2"/>
  <c r="GW42" i="2" s="1"/>
  <c r="EI214" i="2"/>
  <c r="DQ149" i="2"/>
  <c r="DR149" i="2" s="1"/>
  <c r="FW189" i="2"/>
  <c r="FX189" i="2" s="1" a="1"/>
  <c r="FX189" i="2" s="1"/>
  <c r="GV124" i="2"/>
  <c r="GW124" i="2" s="1"/>
  <c r="CE24" i="2"/>
  <c r="CE101" i="2"/>
  <c r="DQ324" i="2"/>
  <c r="DR324" i="2" s="1"/>
  <c r="EI157" i="2"/>
  <c r="AA347" i="2"/>
  <c r="FR13" i="2" a="1"/>
  <c r="FR13" i="2" s="1"/>
  <c r="CE107" i="2"/>
  <c r="EH46" i="2"/>
  <c r="Z104" i="2"/>
  <c r="CK295" i="2"/>
  <c r="DS324" i="2"/>
  <c r="CE259" i="2"/>
  <c r="CE251" i="2"/>
  <c r="EH324" i="2"/>
  <c r="DQ46" i="2"/>
  <c r="DR46" i="2" s="1"/>
  <c r="Z23" i="2"/>
  <c r="CE82" i="2"/>
  <c r="DS46" i="2"/>
  <c r="DY46" i="2"/>
  <c r="DZ46" i="2" s="1"/>
  <c r="EA46" i="2" s="1"/>
  <c r="Z78" i="2"/>
  <c r="EG116" i="2"/>
  <c r="CE110" i="2"/>
  <c r="EI116" i="2"/>
  <c r="EI147" i="2"/>
  <c r="FR268" i="2" a="1"/>
  <c r="FR268" i="2" s="1"/>
  <c r="Z147" i="2"/>
  <c r="GT261" i="2"/>
  <c r="Z391" i="2"/>
  <c r="GV13" i="2"/>
  <c r="GW13" i="2" s="1"/>
  <c r="Z259" i="2"/>
  <c r="DY15" i="2"/>
  <c r="DZ15" i="2" s="1"/>
  <c r="EA15" i="2" s="1"/>
  <c r="DQ15" i="2"/>
  <c r="DR15" i="2" s="1"/>
  <c r="CE188" i="2"/>
  <c r="DS15" i="2"/>
  <c r="CE129" i="2"/>
  <c r="GV272" i="2"/>
  <c r="GW272" i="2" s="1"/>
  <c r="DQ295" i="2"/>
  <c r="DR295" i="2" s="1"/>
  <c r="Z316" i="2"/>
  <c r="CK272" i="2"/>
  <c r="FR172" i="2" a="1"/>
  <c r="FR172" i="2" s="1"/>
  <c r="FR278" i="2" a="1"/>
  <c r="FR278" i="2" s="1"/>
  <c r="CK380" i="2"/>
  <c r="GV360" i="2"/>
  <c r="GW360" i="2" s="1"/>
  <c r="Z315" i="2"/>
  <c r="CE255" i="2"/>
  <c r="CE83" i="2"/>
  <c r="CE360" i="2"/>
  <c r="CK177" i="2"/>
  <c r="CE390" i="2"/>
  <c r="CE295" i="2"/>
  <c r="DQ11" i="2"/>
  <c r="DR11" i="2" s="1"/>
  <c r="Z335" i="2"/>
  <c r="FR214" i="2" a="1"/>
  <c r="FR214" i="2" s="1"/>
  <c r="CE84" i="2"/>
  <c r="Z120" i="2"/>
  <c r="Z311" i="2"/>
  <c r="GV87" i="2"/>
  <c r="GW87" i="2" s="1"/>
  <c r="CE361" i="2"/>
  <c r="Z321" i="2"/>
  <c r="GV259" i="2"/>
  <c r="GU252" i="2"/>
  <c r="EI158" i="2"/>
  <c r="CE311" i="2"/>
  <c r="EG163" i="2"/>
  <c r="EH363" i="2"/>
  <c r="Z239" i="2"/>
  <c r="FR23" i="2" a="1"/>
  <c r="FR23" i="2" s="1"/>
  <c r="Z322" i="2"/>
  <c r="Z331" i="2"/>
  <c r="AA170" i="2"/>
  <c r="CE254" i="2"/>
  <c r="DV147" i="2"/>
  <c r="DW147" i="2" s="1"/>
  <c r="FR370" i="2" a="1"/>
  <c r="FR370" i="2" s="1"/>
  <c r="Z262" i="2"/>
  <c r="DY295" i="2"/>
  <c r="DZ295" i="2" s="1"/>
  <c r="EA295" i="2" s="1"/>
  <c r="EH352" i="2"/>
  <c r="CE102" i="2"/>
  <c r="CE257" i="2"/>
  <c r="Z197" i="2"/>
  <c r="CK142" i="2"/>
  <c r="CE93" i="2"/>
  <c r="EC295" i="2"/>
  <c r="GV254" i="2"/>
  <c r="GW254" i="2" s="1"/>
  <c r="DQ352" i="2"/>
  <c r="DR352" i="2" s="1"/>
  <c r="Z263" i="2"/>
  <c r="CK102" i="2"/>
  <c r="Z265" i="2"/>
  <c r="CE142" i="2"/>
  <c r="EC352" i="2"/>
  <c r="DS352" i="2"/>
  <c r="DY303" i="2"/>
  <c r="DZ303" i="2" s="1"/>
  <c r="EA303" i="2" s="1"/>
  <c r="DS303" i="2"/>
  <c r="Z205" i="2"/>
  <c r="GV99" i="2"/>
  <c r="GW99" i="2" s="1"/>
  <c r="CE99" i="2"/>
  <c r="AB391" i="2"/>
  <c r="CE43" i="2"/>
  <c r="CK131" i="2"/>
  <c r="FR48" i="2" a="1"/>
  <c r="FR48" i="2" s="1"/>
  <c r="CK349" i="2"/>
  <c r="CE304" i="2"/>
  <c r="CE307" i="2"/>
  <c r="CE131" i="2"/>
  <c r="DV156" i="2"/>
  <c r="DW156" i="2" s="1"/>
  <c r="DS127" i="2"/>
  <c r="GV103" i="2"/>
  <c r="GW103" i="2" s="1"/>
  <c r="Z243" i="2"/>
  <c r="DY127" i="2"/>
  <c r="DZ127" i="2" s="1"/>
  <c r="EA127" i="2" s="1"/>
  <c r="EG156" i="2"/>
  <c r="EH33" i="2"/>
  <c r="CE103" i="2"/>
  <c r="CE341" i="2"/>
  <c r="DV261" i="2"/>
  <c r="DW261" i="2" s="1"/>
  <c r="FR324" i="2" a="1"/>
  <c r="FR324" i="2" s="1"/>
  <c r="Z224" i="2"/>
  <c r="DS295" i="2"/>
  <c r="DS213" i="2"/>
  <c r="EG136" i="2"/>
  <c r="DS33" i="2"/>
  <c r="CK279" i="2"/>
  <c r="CE242" i="2"/>
  <c r="DY33" i="2"/>
  <c r="DZ33" i="2" s="1"/>
  <c r="EA33" i="2" s="1"/>
  <c r="DV246" i="2"/>
  <c r="DW246" i="2" s="1"/>
  <c r="Z217" i="2"/>
  <c r="CE180" i="2"/>
  <c r="GV88" i="2"/>
  <c r="GW88" i="2" s="1"/>
  <c r="EC33" i="2"/>
  <c r="DS358" i="2"/>
  <c r="EI254" i="2"/>
  <c r="Z57" i="2"/>
  <c r="DY358" i="2"/>
  <c r="DZ358" i="2" s="1"/>
  <c r="EA358" i="2" s="1"/>
  <c r="DY165" i="2"/>
  <c r="DZ165" i="2" s="1"/>
  <c r="EA165" i="2" s="1"/>
  <c r="DQ213" i="2"/>
  <c r="DR213" i="2" s="1"/>
  <c r="EC358" i="2"/>
  <c r="DQ184" i="2"/>
  <c r="DR184" i="2" s="1"/>
  <c r="DS165" i="2"/>
  <c r="EC165" i="2"/>
  <c r="DQ67" i="2"/>
  <c r="DR67" i="2" s="1"/>
  <c r="Z177" i="2"/>
  <c r="EH358" i="2"/>
  <c r="DS184" i="2"/>
  <c r="CK187" i="2"/>
  <c r="EH165" i="2"/>
  <c r="DV136" i="2"/>
  <c r="DW136" i="2" s="1"/>
  <c r="DS67" i="2"/>
  <c r="DY184" i="2"/>
  <c r="DZ184" i="2" s="1"/>
  <c r="EA184" i="2" s="1"/>
  <c r="Z328" i="2"/>
  <c r="EG246" i="2"/>
  <c r="EC184" i="2"/>
  <c r="Z17" i="2"/>
  <c r="Z28" i="2"/>
  <c r="CK242" i="2"/>
  <c r="EI163" i="2"/>
  <c r="CK266" i="2"/>
  <c r="Z126" i="2"/>
  <c r="CE154" i="2"/>
  <c r="CK143" i="2"/>
  <c r="CE88" i="2"/>
  <c r="DY213" i="2"/>
  <c r="DZ213" i="2" s="1"/>
  <c r="EA213" i="2" s="1"/>
  <c r="EH127" i="2"/>
  <c r="FR360" i="2" a="1"/>
  <c r="FR360" i="2" s="1"/>
  <c r="GV242" i="2"/>
  <c r="GW242" i="2" s="1"/>
  <c r="DQ127" i="2"/>
  <c r="DR127" i="2" s="1"/>
  <c r="GV197" i="2"/>
  <c r="GW197" i="2" s="1"/>
  <c r="CE41" i="2"/>
  <c r="GV34" i="2"/>
  <c r="GW34" i="2" s="1"/>
  <c r="GV41" i="2"/>
  <c r="GW41" i="2" s="1"/>
  <c r="GV54" i="2"/>
  <c r="GW54" i="2" s="1"/>
  <c r="CE128" i="2"/>
  <c r="GU311" i="2"/>
  <c r="FR116" i="2" a="1"/>
  <c r="FR116" i="2" s="1"/>
  <c r="GV188" i="2"/>
  <c r="GW188" i="2" s="1"/>
  <c r="DY176" i="2"/>
  <c r="DZ176" i="2" s="1"/>
  <c r="EA176" i="2" s="1"/>
  <c r="CE137" i="2"/>
  <c r="Z65" i="2"/>
  <c r="CE182" i="2"/>
  <c r="AA137" i="2"/>
  <c r="CE81" i="2"/>
  <c r="DY338" i="2"/>
  <c r="DZ338" i="2" s="1"/>
  <c r="EA338" i="2" s="1"/>
  <c r="CK350" i="2"/>
  <c r="Z350" i="2"/>
  <c r="EC338" i="2"/>
  <c r="CK309" i="2"/>
  <c r="EH238" i="2"/>
  <c r="Z218" i="2"/>
  <c r="Z196" i="2"/>
  <c r="EH188" i="2"/>
  <c r="CE71" i="2"/>
  <c r="CK81" i="2"/>
  <c r="DY67" i="2"/>
  <c r="DZ67" i="2" s="1"/>
  <c r="EA67" i="2" s="1"/>
  <c r="Z51" i="2"/>
  <c r="Z42" i="2"/>
  <c r="FR232" i="2" a="1"/>
  <c r="FR232" i="2" s="1"/>
  <c r="FW191" i="2"/>
  <c r="FX191" i="2" s="1" a="1"/>
  <c r="FX191" i="2" s="1"/>
  <c r="Z199" i="2"/>
  <c r="CK277" i="2"/>
  <c r="DO252" i="2"/>
  <c r="DY252" i="2" s="1"/>
  <c r="DZ252" i="2" s="1"/>
  <c r="EA252" i="2" s="1"/>
  <c r="DV238" i="2"/>
  <c r="DW238" i="2" s="1"/>
  <c r="EH178" i="2"/>
  <c r="DQ188" i="2"/>
  <c r="DR188" i="2" s="1"/>
  <c r="DV155" i="2"/>
  <c r="DW155" i="2" s="1"/>
  <c r="FR95" i="2" a="1"/>
  <c r="FR95" i="2" s="1"/>
  <c r="EC67" i="2"/>
  <c r="EE67" i="2" s="1"/>
  <c r="EF67" i="2" s="1"/>
  <c r="EG67" i="2" s="1"/>
  <c r="EC57" i="2"/>
  <c r="Z22" i="2"/>
  <c r="Z229" i="2"/>
  <c r="DQ374" i="2"/>
  <c r="DR374" i="2" s="1"/>
  <c r="EI338" i="2"/>
  <c r="CK324" i="2"/>
  <c r="Z255" i="2"/>
  <c r="CE269" i="2"/>
  <c r="EH30" i="2"/>
  <c r="Z248" i="2"/>
  <c r="DU252" i="2"/>
  <c r="EG238" i="2"/>
  <c r="DQ178" i="2"/>
  <c r="DR178" i="2" s="1"/>
  <c r="EG164" i="2"/>
  <c r="DS188" i="2"/>
  <c r="Z144" i="2"/>
  <c r="GV67" i="2"/>
  <c r="GW67" i="2" s="1"/>
  <c r="GV111" i="2"/>
  <c r="GW111" i="2" s="1"/>
  <c r="DQ26" i="2"/>
  <c r="DR26" i="2" s="1"/>
  <c r="EC324" i="2"/>
  <c r="CK346" i="2"/>
  <c r="DV338" i="2"/>
  <c r="DW338" i="2" s="1"/>
  <c r="DV102" i="2"/>
  <c r="DW102" i="2" s="1"/>
  <c r="DY30" i="2"/>
  <c r="DZ30" i="2" s="1"/>
  <c r="EA30" i="2" s="1"/>
  <c r="DS178" i="2"/>
  <c r="EI164" i="2"/>
  <c r="DY188" i="2"/>
  <c r="DZ188" i="2" s="1"/>
  <c r="EA188" i="2" s="1"/>
  <c r="Z141" i="2"/>
  <c r="GV81" i="2"/>
  <c r="GW81" i="2" s="1"/>
  <c r="CE100" i="2"/>
  <c r="CE69" i="2"/>
  <c r="FR26" i="2" a="1"/>
  <c r="FR26" i="2" s="1"/>
  <c r="GV127" i="2"/>
  <c r="GW127" i="2" s="1"/>
  <c r="CE309" i="2"/>
  <c r="GV346" i="2"/>
  <c r="GW346" i="2" s="1"/>
  <c r="Z299" i="2"/>
  <c r="EG102" i="2"/>
  <c r="EC30" i="2"/>
  <c r="GU167" i="2"/>
  <c r="FR210" i="2" a="1"/>
  <c r="FR210" i="2" s="1"/>
  <c r="Z194" i="2"/>
  <c r="DY178" i="2"/>
  <c r="DZ178" i="2" s="1"/>
  <c r="EA178" i="2" s="1"/>
  <c r="Z164" i="2"/>
  <c r="CK127" i="2"/>
  <c r="FW99" i="2"/>
  <c r="FX99" i="2" s="1" a="1"/>
  <c r="FX99" i="2" s="1"/>
  <c r="FR9" i="2" a="1"/>
  <c r="FR9" i="2" s="1"/>
  <c r="GV373" i="2"/>
  <c r="GW373" i="2" s="1"/>
  <c r="EG361" i="2"/>
  <c r="DQ338" i="2"/>
  <c r="DR338" i="2" s="1"/>
  <c r="CE271" i="2"/>
  <c r="CK256" i="2"/>
  <c r="DQ30" i="2"/>
  <c r="DR30" i="2" s="1"/>
  <c r="CE218" i="2"/>
  <c r="GV148" i="2"/>
  <c r="GW148" i="2" s="1"/>
  <c r="Z115" i="2"/>
  <c r="Z127" i="2"/>
  <c r="CE166" i="2"/>
  <c r="Z72" i="2"/>
  <c r="Z200" i="2"/>
  <c r="Z357" i="2"/>
  <c r="GV390" i="2"/>
  <c r="Z257" i="2"/>
  <c r="EG247" i="2"/>
  <c r="DY64" i="2"/>
  <c r="DZ64" i="2" s="1"/>
  <c r="EA64" i="2" s="1"/>
  <c r="GV154" i="2"/>
  <c r="GW154" i="2" s="1"/>
  <c r="CK147" i="2"/>
  <c r="DV67" i="2"/>
  <c r="DW67" i="2" s="1"/>
  <c r="CE49" i="2"/>
  <c r="CK57" i="2"/>
  <c r="CE373" i="2"/>
  <c r="DV254" i="2"/>
  <c r="DW254" i="2" s="1"/>
  <c r="EI247" i="2"/>
  <c r="AA207" i="2"/>
  <c r="EC64" i="2"/>
  <c r="EI114" i="2"/>
  <c r="CE111" i="2"/>
  <c r="FR61" i="2" a="1"/>
  <c r="FR61" i="2" s="1"/>
  <c r="Z327" i="2"/>
  <c r="DS338" i="2"/>
  <c r="CK373" i="2"/>
  <c r="CE178" i="2"/>
  <c r="EG188" i="2"/>
  <c r="EG158" i="2"/>
  <c r="GV57" i="2"/>
  <c r="GW57" i="2" s="1"/>
  <c r="GV32" i="2"/>
  <c r="GW32" i="2" s="1"/>
  <c r="CE34" i="2"/>
  <c r="Z21" i="2"/>
  <c r="FR319" i="2" a="1"/>
  <c r="FR319" i="2" s="1"/>
  <c r="FR59" i="2" a="1"/>
  <c r="FR59" i="2" s="1"/>
  <c r="Z77" i="2"/>
  <c r="FR369" i="2" a="1"/>
  <c r="FR369" i="2" s="1"/>
  <c r="CE177" i="2"/>
  <c r="CE32" i="2"/>
  <c r="Z238" i="2"/>
  <c r="GV113" i="2"/>
  <c r="GW113" i="2" s="1"/>
  <c r="CE185" i="2"/>
  <c r="GV83" i="2"/>
  <c r="GW83" i="2" s="1"/>
  <c r="GV82" i="2"/>
  <c r="GW82" i="2" s="1"/>
  <c r="EC123" i="2"/>
  <c r="EH123" i="2"/>
  <c r="DQ123" i="2"/>
  <c r="DR123" i="2" s="1"/>
  <c r="Z379" i="2"/>
  <c r="DY214" i="2"/>
  <c r="DZ214" i="2" s="1"/>
  <c r="EA214" i="2" s="1"/>
  <c r="DS123" i="2"/>
  <c r="FR225" i="2" a="1"/>
  <c r="FR225" i="2" s="1"/>
  <c r="CE253" i="2"/>
  <c r="GV18" i="2"/>
  <c r="GW18" i="2" s="1"/>
  <c r="FR211" i="2" a="1"/>
  <c r="FR211" i="2" s="1"/>
  <c r="GV189" i="2"/>
  <c r="GW189" i="2" s="1"/>
  <c r="CE48" i="2"/>
  <c r="CK113" i="2"/>
  <c r="CE189" i="2"/>
  <c r="DS82" i="2"/>
  <c r="Z169" i="2"/>
  <c r="DY82" i="2"/>
  <c r="DZ82" i="2" s="1"/>
  <c r="EA82" i="2" s="1"/>
  <c r="EC82" i="2"/>
  <c r="CE76" i="2"/>
  <c r="Z334" i="2"/>
  <c r="EH82" i="2"/>
  <c r="DV165" i="2"/>
  <c r="DW165" i="2" s="1"/>
  <c r="CK66" i="2"/>
  <c r="EC116" i="2"/>
  <c r="GV307" i="2"/>
  <c r="GW307" i="2" s="1"/>
  <c r="CE187" i="2"/>
  <c r="EH307" i="2"/>
  <c r="DQ116" i="2"/>
  <c r="DR116" i="2" s="1"/>
  <c r="DY307" i="2"/>
  <c r="DZ307" i="2" s="1"/>
  <c r="EA307" i="2" s="1"/>
  <c r="FR135" i="2" a="1"/>
  <c r="FR135" i="2" s="1"/>
  <c r="GV104" i="2"/>
  <c r="GW104" i="2" s="1"/>
  <c r="GV274" i="2"/>
  <c r="GW274" i="2" s="1"/>
  <c r="EC307" i="2"/>
  <c r="GU257" i="2"/>
  <c r="Z247" i="2"/>
  <c r="FR218" i="2" a="1"/>
  <c r="FR218" i="2" s="1"/>
  <c r="EG165" i="2"/>
  <c r="CK70" i="2"/>
  <c r="EH69" i="2"/>
  <c r="DQ69" i="2"/>
  <c r="DR69" i="2" s="1"/>
  <c r="CE258" i="2"/>
  <c r="Z191" i="2"/>
  <c r="CE85" i="2"/>
  <c r="DS69" i="2"/>
  <c r="DY69" i="2"/>
  <c r="DZ69" i="2" s="1"/>
  <c r="EA69" i="2" s="1"/>
  <c r="Z195" i="2"/>
  <c r="CE302" i="2"/>
  <c r="GV193" i="2"/>
  <c r="GW193" i="2" s="1"/>
  <c r="CK85" i="2"/>
  <c r="CE256" i="2"/>
  <c r="Z225" i="2"/>
  <c r="Z152" i="2"/>
  <c r="CK91" i="2"/>
  <c r="CK257" i="2"/>
  <c r="Z228" i="2"/>
  <c r="DS357" i="2"/>
  <c r="Z325" i="2"/>
  <c r="DY357" i="2"/>
  <c r="DZ357" i="2" s="1"/>
  <c r="EA357" i="2" s="1"/>
  <c r="CK392" i="2"/>
  <c r="EC363" i="2"/>
  <c r="CE392" i="2"/>
  <c r="GV324" i="2"/>
  <c r="GW324" i="2" s="1"/>
  <c r="FR222" i="2" a="1"/>
  <c r="FR222" i="2" s="1"/>
  <c r="FR345" i="2" a="1"/>
  <c r="FR345" i="2" s="1"/>
  <c r="Z318" i="2"/>
  <c r="CE339" i="2"/>
  <c r="Z298" i="2"/>
  <c r="FR279" i="2" a="1"/>
  <c r="FR279" i="2" s="1"/>
  <c r="CE310" i="2"/>
  <c r="Z273" i="2"/>
  <c r="Z231" i="2"/>
  <c r="Z354" i="2"/>
  <c r="CE342" i="2"/>
  <c r="GV214" i="2"/>
  <c r="GW214" i="2" s="1"/>
  <c r="EH215" i="2"/>
  <c r="Z159" i="2"/>
  <c r="Z135" i="2"/>
  <c r="GV26" i="2"/>
  <c r="GW26" i="2" s="1"/>
  <c r="CE27" i="2"/>
  <c r="Z356" i="2"/>
  <c r="EH26" i="2"/>
  <c r="DV25" i="2"/>
  <c r="DW25" i="2" s="1"/>
  <c r="DQ323" i="2"/>
  <c r="DR323" i="2" s="1"/>
  <c r="FR277" i="2" a="1"/>
  <c r="FR277" i="2" s="1"/>
  <c r="FR217" i="2" a="1"/>
  <c r="FR217" i="2" s="1"/>
  <c r="DS215" i="2"/>
  <c r="EC214" i="2"/>
  <c r="CE86" i="2"/>
  <c r="DS26" i="2"/>
  <c r="FR32" i="2" a="1"/>
  <c r="FR32" i="2" s="1"/>
  <c r="DS323" i="2"/>
  <c r="DV303" i="2"/>
  <c r="DW303" i="2" s="1"/>
  <c r="FR215" i="2" a="1"/>
  <c r="FR215" i="2" s="1"/>
  <c r="EH214" i="2"/>
  <c r="CK144" i="2"/>
  <c r="Z123" i="2"/>
  <c r="DY26" i="2"/>
  <c r="DZ26" i="2" s="1"/>
  <c r="EA26" i="2" s="1"/>
  <c r="FR318" i="2" a="1"/>
  <c r="FR318" i="2" s="1"/>
  <c r="CK323" i="2"/>
  <c r="FR36" i="2" a="1"/>
  <c r="FR36" i="2" s="1"/>
  <c r="DY323" i="2"/>
  <c r="DZ323" i="2" s="1"/>
  <c r="EA323" i="2" s="1"/>
  <c r="DQ214" i="2"/>
  <c r="DR214" i="2" s="1"/>
  <c r="Z209" i="2"/>
  <c r="FR49" i="2" a="1"/>
  <c r="FR49" i="2" s="1"/>
  <c r="GV116" i="2"/>
  <c r="GW116" i="2" s="1"/>
  <c r="CE149" i="2"/>
  <c r="Z48" i="2"/>
  <c r="CK286" i="2"/>
  <c r="DV239" i="2"/>
  <c r="DW239" i="2" s="1"/>
  <c r="DY159" i="2"/>
  <c r="DZ159" i="2" s="1"/>
  <c r="EA159" i="2" s="1"/>
  <c r="EG64" i="2"/>
  <c r="Z73" i="2"/>
  <c r="EH25" i="2"/>
  <c r="CE26" i="2"/>
  <c r="Z349" i="2"/>
  <c r="EG367" i="2"/>
  <c r="FR221" i="2" a="1"/>
  <c r="FR221" i="2" s="1"/>
  <c r="EG239" i="2"/>
  <c r="GV177" i="2"/>
  <c r="GW177" i="2" s="1"/>
  <c r="EC159" i="2"/>
  <c r="EI64" i="2"/>
  <c r="Z157" i="2"/>
  <c r="DS108" i="2"/>
  <c r="EI33" i="2"/>
  <c r="DQ25" i="2"/>
  <c r="DR25" i="2" s="1"/>
  <c r="FR63" i="2" a="1"/>
  <c r="FR63" i="2" s="1"/>
  <c r="Z55" i="2"/>
  <c r="EG33" i="2"/>
  <c r="EI367" i="2"/>
  <c r="Z346" i="2"/>
  <c r="EI303" i="2"/>
  <c r="GV218" i="2"/>
  <c r="GW218" i="2" s="1"/>
  <c r="CK169" i="2"/>
  <c r="EH159" i="2"/>
  <c r="CK173" i="2"/>
  <c r="EC108" i="2"/>
  <c r="DS25" i="2"/>
  <c r="Z300" i="2"/>
  <c r="EC349" i="2"/>
  <c r="EI210" i="2"/>
  <c r="CE169" i="2"/>
  <c r="DQ159" i="2"/>
  <c r="DR159" i="2" s="1"/>
  <c r="CE173" i="2"/>
  <c r="Z133" i="2"/>
  <c r="CK119" i="2"/>
  <c r="CE77" i="2"/>
  <c r="DY25" i="2"/>
  <c r="DZ25" i="2" s="1"/>
  <c r="EA25" i="2" s="1"/>
  <c r="EH24" i="2"/>
  <c r="Z60" i="2"/>
  <c r="Z330" i="2"/>
  <c r="GU244" i="2"/>
  <c r="CK123" i="2"/>
  <c r="CK353" i="2"/>
  <c r="CK77" i="2"/>
  <c r="EC323" i="2"/>
  <c r="EH349" i="2"/>
  <c r="Z276" i="2"/>
  <c r="Z168" i="2"/>
  <c r="EH177" i="2"/>
  <c r="Z118" i="2"/>
  <c r="GV123" i="2"/>
  <c r="GW123" i="2" s="1"/>
  <c r="CE65" i="2"/>
  <c r="Z180" i="2"/>
  <c r="Z393" i="2"/>
  <c r="Z378" i="2"/>
  <c r="DQ349" i="2"/>
  <c r="DR349" i="2" s="1"/>
  <c r="CK267" i="2"/>
  <c r="DQ177" i="2"/>
  <c r="DR177" i="2" s="1"/>
  <c r="DS349" i="2"/>
  <c r="DS177" i="2"/>
  <c r="CK120" i="2"/>
  <c r="DV82" i="2"/>
  <c r="DW82" i="2" s="1"/>
  <c r="CE46" i="2"/>
  <c r="Z353" i="2"/>
  <c r="DY177" i="2"/>
  <c r="DZ177" i="2" s="1"/>
  <c r="EA177" i="2" s="1"/>
  <c r="EG82" i="2"/>
  <c r="Z15" i="2"/>
  <c r="Z14" i="2"/>
  <c r="CE16" i="2"/>
  <c r="GV215" i="2"/>
  <c r="GW215" i="2" s="1"/>
  <c r="Z153" i="2"/>
  <c r="Z198" i="2"/>
  <c r="Z37" i="2"/>
  <c r="GV176" i="2"/>
  <c r="GW176" i="2" s="1"/>
  <c r="Z82" i="2"/>
  <c r="GU265" i="2"/>
  <c r="DY361" i="2"/>
  <c r="DZ361" i="2" s="1"/>
  <c r="EA361" i="2" s="1"/>
  <c r="CE176" i="2"/>
  <c r="CK172" i="2"/>
  <c r="Z296" i="2"/>
  <c r="EH361" i="2"/>
  <c r="CE181" i="2"/>
  <c r="CK176" i="2"/>
  <c r="Z146" i="2"/>
  <c r="EI27" i="2"/>
  <c r="CE291" i="2"/>
  <c r="CK47" i="2"/>
  <c r="DV27" i="2"/>
  <c r="DW27" i="2" s="1"/>
  <c r="Z221" i="2"/>
  <c r="Z142" i="2"/>
  <c r="DQ45" i="2"/>
  <c r="DR45" i="2" s="1"/>
  <c r="DV259" i="2"/>
  <c r="DW259" i="2" s="1"/>
  <c r="Z155" i="2"/>
  <c r="DS45" i="2"/>
  <c r="FR380" i="2" a="1"/>
  <c r="FR380" i="2" s="1"/>
  <c r="FR367" i="2" a="1"/>
  <c r="FR367" i="2" s="1"/>
  <c r="EG259" i="2"/>
  <c r="EI23" i="2"/>
  <c r="DY45" i="2"/>
  <c r="DZ45" i="2" s="1"/>
  <c r="EA45" i="2" s="1"/>
  <c r="GV291" i="2"/>
  <c r="GW291" i="2" s="1"/>
  <c r="Z79" i="2"/>
  <c r="DV23" i="2"/>
  <c r="DW23" i="2" s="1"/>
  <c r="EC45" i="2"/>
  <c r="DQ361" i="2"/>
  <c r="DR361" i="2" s="1"/>
  <c r="DS361" i="2"/>
  <c r="GV47" i="2"/>
  <c r="GW47" i="2" s="1"/>
  <c r="Z44" i="2"/>
  <c r="Z102" i="2"/>
  <c r="GV134" i="2"/>
  <c r="GW134" i="2" s="1"/>
  <c r="CK104" i="2"/>
  <c r="GU266" i="2"/>
  <c r="Z258" i="2"/>
  <c r="CE70" i="2"/>
  <c r="CE386" i="2"/>
  <c r="GV172" i="2"/>
  <c r="GW172" i="2" s="1"/>
  <c r="CE45" i="2"/>
  <c r="CK287" i="2"/>
  <c r="CK178" i="2"/>
  <c r="CE135" i="2"/>
  <c r="Z136" i="2"/>
  <c r="GV46" i="2"/>
  <c r="GW46" i="2" s="1"/>
  <c r="FR74" i="2" a="1"/>
  <c r="FR74" i="2" s="1"/>
  <c r="GV49" i="2"/>
  <c r="GW49" i="2" s="1"/>
  <c r="Z392" i="2"/>
  <c r="Z143" i="2"/>
  <c r="Z139" i="2"/>
  <c r="GV45" i="2"/>
  <c r="GW45" i="2" s="1"/>
  <c r="AA54" i="2"/>
  <c r="DQ48" i="2"/>
  <c r="DR48" i="2" s="1"/>
  <c r="FR75" i="2" a="1"/>
  <c r="FR75" i="2" s="1"/>
  <c r="DV390" i="2"/>
  <c r="DW390" i="2" s="1"/>
  <c r="GV78" i="2"/>
  <c r="GW78" i="2" s="1"/>
  <c r="EI295" i="2"/>
  <c r="DV295" i="2"/>
  <c r="DW295" i="2" s="1"/>
  <c r="DS48" i="2"/>
  <c r="DV22" i="2"/>
  <c r="DW22" i="2" s="1"/>
  <c r="FR193" i="2" a="1"/>
  <c r="FR193" i="2" s="1"/>
  <c r="Z348" i="2"/>
  <c r="EG390" i="2"/>
  <c r="GV30" i="2"/>
  <c r="GV147" i="2"/>
  <c r="GW147" i="2" s="1"/>
  <c r="DQ147" i="2"/>
  <c r="DR147" i="2" s="1"/>
  <c r="GV80" i="2"/>
  <c r="GW80" i="2" s="1"/>
  <c r="FW53" i="2"/>
  <c r="FX53" i="2" s="1" a="1"/>
  <c r="FX53" i="2" s="1"/>
  <c r="DY48" i="2"/>
  <c r="DZ48" i="2" s="1"/>
  <c r="EA48" i="2" s="1"/>
  <c r="EC379" i="2"/>
  <c r="Z193" i="2"/>
  <c r="AA174" i="2"/>
  <c r="GV28" i="2"/>
  <c r="GW28" i="2" s="1"/>
  <c r="EC48" i="2"/>
  <c r="CK38" i="2"/>
  <c r="Z381" i="2"/>
  <c r="EI358" i="2"/>
  <c r="Z372" i="2"/>
  <c r="EH379" i="2"/>
  <c r="DY366" i="2"/>
  <c r="DZ366" i="2" s="1"/>
  <c r="EA366" i="2" s="1"/>
  <c r="GV354" i="2"/>
  <c r="GW354" i="2" s="1"/>
  <c r="Z84" i="2"/>
  <c r="EI78" i="2"/>
  <c r="GV33" i="2"/>
  <c r="GW33" i="2" s="1"/>
  <c r="FZ30" i="2"/>
  <c r="GA30" i="2" s="1"/>
  <c r="FR21" i="2" a="1"/>
  <c r="FR21" i="2" s="1"/>
  <c r="CK354" i="2"/>
  <c r="GV135" i="2"/>
  <c r="GW135" i="2" s="1"/>
  <c r="Z114" i="2"/>
  <c r="EI36" i="2"/>
  <c r="DQ379" i="2"/>
  <c r="DR379" i="2" s="1"/>
  <c r="DS379" i="2"/>
  <c r="EH366" i="2"/>
  <c r="Z358" i="2"/>
  <c r="GV178" i="2"/>
  <c r="GW178" i="2" s="1"/>
  <c r="Z173" i="2"/>
  <c r="Z122" i="2"/>
  <c r="GV48" i="2"/>
  <c r="GW48" i="2" s="1"/>
  <c r="CM38" i="2"/>
  <c r="DV346" i="2"/>
  <c r="DW346" i="2" s="1"/>
  <c r="FR128" i="2" a="1"/>
  <c r="FR128" i="2" s="1"/>
  <c r="FR170" i="2" a="1"/>
  <c r="FR170" i="2" s="1"/>
  <c r="EG36" i="2"/>
  <c r="Z351" i="2"/>
  <c r="GV358" i="2"/>
  <c r="GW358" i="2" s="1"/>
  <c r="CK284" i="2"/>
  <c r="CE195" i="2"/>
  <c r="CK198" i="2"/>
  <c r="Z38" i="2"/>
  <c r="GV16" i="2"/>
  <c r="GW16" i="2" s="1"/>
  <c r="Z366" i="2"/>
  <c r="Z211" i="2"/>
  <c r="CE117" i="2"/>
  <c r="FR365" i="2" a="1"/>
  <c r="FR365" i="2" s="1"/>
  <c r="EC381" i="2"/>
  <c r="EG366" i="2"/>
  <c r="Z297" i="2"/>
  <c r="Z260" i="2"/>
  <c r="CE29" i="2"/>
  <c r="CE38" i="2"/>
  <c r="CE33" i="2"/>
  <c r="EI366" i="2"/>
  <c r="CE338" i="2"/>
  <c r="Z202" i="2"/>
  <c r="CE186" i="2"/>
  <c r="CE28" i="2"/>
  <c r="FR10" i="2" a="1"/>
  <c r="FR10" i="2" s="1"/>
  <c r="CK381" i="2"/>
  <c r="CE358" i="2"/>
  <c r="Z219" i="2"/>
  <c r="DQ381" i="2"/>
  <c r="DR381" i="2" s="1"/>
  <c r="FR263" i="2" a="1"/>
  <c r="FR263" i="2" s="1"/>
  <c r="CK252" i="2"/>
  <c r="CK139" i="2"/>
  <c r="Z47" i="2"/>
  <c r="FR312" i="2" a="1"/>
  <c r="FR312" i="2" s="1"/>
  <c r="GV381" i="2"/>
  <c r="GW381" i="2" s="1"/>
  <c r="DS381" i="2"/>
  <c r="GV338" i="2"/>
  <c r="GW338" i="2" s="1"/>
  <c r="Z338" i="2"/>
  <c r="CE252" i="2"/>
  <c r="Z119" i="2"/>
  <c r="Z89" i="2"/>
  <c r="Z365" i="2"/>
  <c r="FR169" i="2" a="1"/>
  <c r="FR169" i="2" s="1"/>
  <c r="FR107" i="2" a="1"/>
  <c r="FR107" i="2" s="1"/>
  <c r="FR376" i="2" a="1"/>
  <c r="FR376" i="2" s="1"/>
  <c r="CK308" i="2"/>
  <c r="EI26" i="2"/>
  <c r="FR267" i="2" a="1"/>
  <c r="FR267" i="2" s="1"/>
  <c r="FR353" i="2" a="1"/>
  <c r="FR353" i="2" s="1"/>
  <c r="CE308" i="2"/>
  <c r="DY218" i="2"/>
  <c r="DZ218" i="2" s="1"/>
  <c r="EA218" i="2" s="1"/>
  <c r="Z158" i="2"/>
  <c r="EG159" i="2"/>
  <c r="DV26" i="2"/>
  <c r="DW26" i="2" s="1"/>
  <c r="EH218" i="2"/>
  <c r="EI159" i="2"/>
  <c r="CK13" i="2"/>
  <c r="Z367" i="2"/>
  <c r="GV23" i="2"/>
  <c r="GW23" i="2" s="1"/>
  <c r="CE23" i="2"/>
  <c r="GV12" i="2"/>
  <c r="GW12" i="2" s="1"/>
  <c r="Z240" i="2"/>
  <c r="Z53" i="2"/>
  <c r="CE52" i="2"/>
  <c r="EG21" i="2"/>
  <c r="Z13" i="2"/>
  <c r="CK51" i="2"/>
  <c r="EI25" i="2"/>
  <c r="FR223" i="2" a="1"/>
  <c r="FR223" i="2" s="1"/>
  <c r="DV228" i="2"/>
  <c r="DW228" i="2" s="1"/>
  <c r="DV81" i="2"/>
  <c r="DW81" i="2" s="1"/>
  <c r="EG228" i="2"/>
  <c r="CK125" i="2"/>
  <c r="EG81" i="2"/>
  <c r="AA180" i="2"/>
  <c r="FR228" i="2" a="1"/>
  <c r="FR228" i="2" s="1"/>
  <c r="CE301" i="2"/>
  <c r="GV125" i="2"/>
  <c r="GW125" i="2" s="1"/>
  <c r="DV210" i="2"/>
  <c r="DW210" i="2" s="1"/>
  <c r="CE120" i="2"/>
  <c r="GV51" i="2"/>
  <c r="GW51" i="2" s="1"/>
  <c r="GV10" i="2"/>
  <c r="GW10" i="2" s="1"/>
  <c r="FR151" i="2" a="1"/>
  <c r="FR151" i="2" s="1"/>
  <c r="DV21" i="2"/>
  <c r="DW21" i="2" s="1"/>
  <c r="GV388" i="2"/>
  <c r="Z189" i="2"/>
  <c r="CE150" i="2"/>
  <c r="FR247" i="2" a="1"/>
  <c r="FR247" i="2" s="1"/>
  <c r="FR254" i="2" a="1"/>
  <c r="FR254" i="2" s="1"/>
  <c r="FR204" i="2" a="1"/>
  <c r="FR204" i="2" s="1"/>
  <c r="EI133" i="2"/>
  <c r="EG133" i="2"/>
  <c r="FR163" i="2" a="1"/>
  <c r="FR163" i="2" s="1"/>
  <c r="Z190" i="2"/>
  <c r="GV173" i="2"/>
  <c r="GW173" i="2" s="1"/>
  <c r="FR246" i="2" a="1"/>
  <c r="FR246" i="2" s="1"/>
  <c r="FR168" i="2" a="1"/>
  <c r="FR168" i="2" s="1"/>
  <c r="Z208" i="2"/>
  <c r="GV308" i="2"/>
  <c r="FW190" i="2"/>
  <c r="FX190" i="2" s="1" a="1"/>
  <c r="FX190" i="2" s="1"/>
  <c r="Z181" i="2"/>
  <c r="AA176" i="2"/>
  <c r="FR242" i="2" a="1"/>
  <c r="FR242" i="2" s="1"/>
  <c r="FR202" i="2" a="1"/>
  <c r="FR202" i="2" s="1"/>
  <c r="GV298" i="2"/>
  <c r="GW298" i="2" s="1"/>
  <c r="Z63" i="2"/>
  <c r="DQ24" i="2"/>
  <c r="DR24" i="2" s="1"/>
  <c r="FR123" i="2" a="1"/>
  <c r="FR123" i="2" s="1"/>
  <c r="FR125" i="2" a="1"/>
  <c r="FR125" i="2" s="1"/>
  <c r="FR38" i="2" a="1"/>
  <c r="FR38" i="2" s="1"/>
  <c r="CK364" i="2"/>
  <c r="GV150" i="2"/>
  <c r="GW150" i="2" s="1"/>
  <c r="GV90" i="2"/>
  <c r="GW90" i="2" s="1"/>
  <c r="Z106" i="2"/>
  <c r="DS24" i="2"/>
  <c r="CE10" i="2"/>
  <c r="AA376" i="2"/>
  <c r="Z295" i="2"/>
  <c r="DY24" i="2"/>
  <c r="DZ24" i="2" s="1"/>
  <c r="EA24" i="2" s="1"/>
  <c r="Z242" i="2"/>
  <c r="EI349" i="2"/>
  <c r="DS35" i="2"/>
  <c r="FR50" i="2" a="1"/>
  <c r="FR50" i="2" s="1"/>
  <c r="GT258" i="2"/>
  <c r="DV349" i="2"/>
  <c r="DW349" i="2" s="1"/>
  <c r="EI359" i="2"/>
  <c r="GV185" i="2"/>
  <c r="GW185" i="2" s="1"/>
  <c r="Z161" i="2"/>
  <c r="DY35" i="2"/>
  <c r="DZ35" i="2" s="1"/>
  <c r="EA35" i="2" s="1"/>
  <c r="CE39" i="2"/>
  <c r="Z41" i="2"/>
  <c r="GV295" i="2"/>
  <c r="GW295" i="2" s="1"/>
  <c r="DV359" i="2"/>
  <c r="DW359" i="2" s="1"/>
  <c r="Z369" i="2"/>
  <c r="FR269" i="2" a="1"/>
  <c r="FR269" i="2" s="1"/>
  <c r="CK251" i="2"/>
  <c r="DQ108" i="2"/>
  <c r="DR108" i="2" s="1"/>
  <c r="DV274" i="2"/>
  <c r="DW274" i="2" s="1"/>
  <c r="EH37" i="2"/>
  <c r="DY228" i="2"/>
  <c r="DZ228" i="2" s="1"/>
  <c r="EA228" i="2" s="1"/>
  <c r="CK136" i="2"/>
  <c r="DY108" i="2"/>
  <c r="DZ108" i="2" s="1"/>
  <c r="EA108" i="2" s="1"/>
  <c r="CE63" i="2"/>
  <c r="DQ37" i="2"/>
  <c r="DR37" i="2" s="1"/>
  <c r="Z25" i="2"/>
  <c r="EC228" i="2"/>
  <c r="DS37" i="2"/>
  <c r="Z12" i="2"/>
  <c r="Z34" i="2"/>
  <c r="CE30" i="2"/>
  <c r="GV289" i="2"/>
  <c r="GW289" i="2" s="1"/>
  <c r="EG218" i="2"/>
  <c r="EH228" i="2"/>
  <c r="FR165" i="2" a="1"/>
  <c r="FR165" i="2" s="1"/>
  <c r="DY37" i="2"/>
  <c r="DZ37" i="2" s="1"/>
  <c r="EA37" i="2" s="1"/>
  <c r="DS39" i="2"/>
  <c r="GV341" i="2"/>
  <c r="GW341" i="2" s="1"/>
  <c r="FR216" i="2" a="1"/>
  <c r="FR216" i="2" s="1"/>
  <c r="DQ228" i="2"/>
  <c r="DR228" i="2" s="1"/>
  <c r="GV24" i="2"/>
  <c r="GW24" i="2" s="1"/>
  <c r="FR16" i="2" a="1"/>
  <c r="FR16" i="2" s="1"/>
  <c r="GU30" i="2"/>
  <c r="GV356" i="2"/>
  <c r="GW356" i="2" s="1"/>
  <c r="EI9" i="2"/>
  <c r="EG346" i="2"/>
  <c r="Z359" i="2"/>
  <c r="AA390" i="2"/>
  <c r="GV184" i="2"/>
  <c r="GW184" i="2" s="1"/>
  <c r="DS195" i="2"/>
  <c r="DY181" i="2"/>
  <c r="DZ181" i="2" s="1"/>
  <c r="EA181" i="2" s="1"/>
  <c r="DY162" i="2"/>
  <c r="DZ162" i="2" s="1"/>
  <c r="EA162" i="2" s="1"/>
  <c r="Z130" i="2"/>
  <c r="CK115" i="2"/>
  <c r="GV166" i="2"/>
  <c r="GW166" i="2" s="1"/>
  <c r="GV53" i="2"/>
  <c r="GW53" i="2" s="1"/>
  <c r="FR171" i="2" a="1"/>
  <c r="FR171" i="2" s="1"/>
  <c r="Z132" i="2"/>
  <c r="Z386" i="2"/>
  <c r="EC348" i="2"/>
  <c r="Z319" i="2"/>
  <c r="GV303" i="2"/>
  <c r="GW303" i="2" s="1"/>
  <c r="EH296" i="2"/>
  <c r="Z226" i="2"/>
  <c r="DY195" i="2"/>
  <c r="DZ195" i="2" s="1"/>
  <c r="EA195" i="2" s="1"/>
  <c r="EC181" i="2"/>
  <c r="EC162" i="2"/>
  <c r="CK108" i="2"/>
  <c r="CK170" i="2"/>
  <c r="CM117" i="2"/>
  <c r="CE325" i="2"/>
  <c r="EG25" i="2"/>
  <c r="GV370" i="2"/>
  <c r="GW370" i="2" s="1"/>
  <c r="FR362" i="2" a="1"/>
  <c r="FR362" i="2" s="1"/>
  <c r="DQ348" i="2"/>
  <c r="DR348" i="2" s="1"/>
  <c r="Z355" i="2"/>
  <c r="DQ296" i="2"/>
  <c r="DR296" i="2" s="1"/>
  <c r="GV284" i="2"/>
  <c r="GW284" i="2" s="1"/>
  <c r="Z167" i="2"/>
  <c r="Z250" i="2"/>
  <c r="EC195" i="2"/>
  <c r="EH162" i="2"/>
  <c r="EH138" i="2"/>
  <c r="EC114" i="2"/>
  <c r="DV107" i="2"/>
  <c r="DW107" i="2" s="1"/>
  <c r="CK117" i="2"/>
  <c r="GV100" i="2"/>
  <c r="GW100" i="2" s="1"/>
  <c r="CK31" i="2"/>
  <c r="CE25" i="2"/>
  <c r="GV15" i="2"/>
  <c r="GW15" i="2" s="1"/>
  <c r="Z27" i="2"/>
  <c r="FR12" i="2" a="1"/>
  <c r="FR12" i="2" s="1"/>
  <c r="Z203" i="2"/>
  <c r="DS181" i="2"/>
  <c r="DV157" i="2"/>
  <c r="DW157" i="2" s="1"/>
  <c r="DS348" i="2"/>
  <c r="Z337" i="2"/>
  <c r="DS296" i="2"/>
  <c r="GU258" i="2"/>
  <c r="Z220" i="2"/>
  <c r="GV190" i="2"/>
  <c r="GW190" i="2" s="1"/>
  <c r="DQ162" i="2"/>
  <c r="DR162" i="2" s="1"/>
  <c r="FR153" i="2" a="1"/>
  <c r="FR153" i="2" s="1"/>
  <c r="DQ138" i="2"/>
  <c r="DR138" i="2" s="1"/>
  <c r="GV107" i="2"/>
  <c r="GW107" i="2" s="1"/>
  <c r="EH114" i="2"/>
  <c r="GV126" i="2"/>
  <c r="GW126" i="2" s="1"/>
  <c r="EH122" i="2"/>
  <c r="Z105" i="2"/>
  <c r="CK122" i="2"/>
  <c r="EC126" i="2"/>
  <c r="GV25" i="2"/>
  <c r="GW25" i="2" s="1"/>
  <c r="Z40" i="2"/>
  <c r="FR366" i="2" a="1"/>
  <c r="FR366" i="2" s="1"/>
  <c r="FR33" i="2" a="1"/>
  <c r="FR33" i="2" s="1"/>
  <c r="GV195" i="2"/>
  <c r="GW195" i="2" s="1"/>
  <c r="DQ195" i="2"/>
  <c r="DR195" i="2" s="1"/>
  <c r="GT235" i="2"/>
  <c r="DY348" i="2"/>
  <c r="DZ348" i="2" s="1"/>
  <c r="EA348" i="2" s="1"/>
  <c r="DY296" i="2"/>
  <c r="DZ296" i="2" s="1"/>
  <c r="EA296" i="2" s="1"/>
  <c r="GV299" i="2"/>
  <c r="GW299" i="2" s="1"/>
  <c r="GV199" i="2"/>
  <c r="GW199" i="2" s="1"/>
  <c r="Z156" i="2"/>
  <c r="GV191" i="2"/>
  <c r="GW191" i="2" s="1"/>
  <c r="DS138" i="2"/>
  <c r="DQ114" i="2"/>
  <c r="DR114" i="2" s="1"/>
  <c r="EG107" i="2"/>
  <c r="CK146" i="2"/>
  <c r="EG114" i="2"/>
  <c r="DQ122" i="2"/>
  <c r="DR122" i="2" s="1"/>
  <c r="GV122" i="2"/>
  <c r="GW122" i="2" s="1"/>
  <c r="EH126" i="2"/>
  <c r="FR122" i="2" a="1"/>
  <c r="FR122" i="2" s="1"/>
  <c r="CE151" i="2"/>
  <c r="EI275" i="2"/>
  <c r="DQ182" i="2"/>
  <c r="DR182" i="2" s="1"/>
  <c r="EG11" i="2"/>
  <c r="GV130" i="2"/>
  <c r="GW130" i="2" s="1"/>
  <c r="DY138" i="2"/>
  <c r="DZ138" i="2" s="1"/>
  <c r="EA138" i="2" s="1"/>
  <c r="DS114" i="2"/>
  <c r="DS122" i="2"/>
  <c r="DQ126" i="2"/>
  <c r="DR126" i="2" s="1"/>
  <c r="GV39" i="2"/>
  <c r="GW39" i="2" s="1"/>
  <c r="GV84" i="2"/>
  <c r="GW84" i="2" s="1"/>
  <c r="EG22" i="2"/>
  <c r="FR226" i="2" a="1"/>
  <c r="FR226" i="2" s="1"/>
  <c r="CE343" i="2"/>
  <c r="EC351" i="2"/>
  <c r="DV317" i="2"/>
  <c r="DW317" i="2" s="1"/>
  <c r="CK299" i="2"/>
  <c r="EG275" i="2"/>
  <c r="EG261" i="2"/>
  <c r="Z249" i="2"/>
  <c r="FR249" i="2" a="1"/>
  <c r="FR249" i="2" s="1"/>
  <c r="CE212" i="2"/>
  <c r="CE184" i="2"/>
  <c r="DS182" i="2"/>
  <c r="EI182" i="2"/>
  <c r="GV171" i="2"/>
  <c r="GW171" i="2" s="1"/>
  <c r="EI11" i="2"/>
  <c r="Z148" i="2"/>
  <c r="EH179" i="2"/>
  <c r="DY122" i="2"/>
  <c r="DZ122" i="2" s="1"/>
  <c r="EA122" i="2" s="1"/>
  <c r="DS126" i="2"/>
  <c r="CE94" i="2"/>
  <c r="GV56" i="2"/>
  <c r="GW56" i="2" s="1"/>
  <c r="CE68" i="2"/>
  <c r="FR57" i="2" a="1"/>
  <c r="FR57" i="2" s="1"/>
  <c r="FR25" i="2" a="1"/>
  <c r="FR25" i="2" s="1"/>
  <c r="DQ181" i="2"/>
  <c r="DR181" i="2" s="1"/>
  <c r="GV95" i="2"/>
  <c r="GW95" i="2" s="1"/>
  <c r="DV78" i="2"/>
  <c r="DW78" i="2" s="1"/>
  <c r="CK352" i="2"/>
  <c r="EH351" i="2"/>
  <c r="DV348" i="2"/>
  <c r="DW348" i="2" s="1"/>
  <c r="EG317" i="2"/>
  <c r="EG312" i="2"/>
  <c r="GV309" i="2"/>
  <c r="GW309" i="2" s="1"/>
  <c r="CE303" i="2"/>
  <c r="GV304" i="2"/>
  <c r="GW304" i="2" s="1"/>
  <c r="DV241" i="2"/>
  <c r="DW241" i="2" s="1"/>
  <c r="GV267" i="2"/>
  <c r="Z233" i="2"/>
  <c r="Z160" i="2"/>
  <c r="DY182" i="2"/>
  <c r="DZ182" i="2" s="1"/>
  <c r="EA182" i="2" s="1"/>
  <c r="DV182" i="2"/>
  <c r="DW182" i="2" s="1"/>
  <c r="Z165" i="2"/>
  <c r="CK171" i="2"/>
  <c r="DQ179" i="2"/>
  <c r="DR179" i="2" s="1"/>
  <c r="GV198" i="2"/>
  <c r="GW198" i="2" s="1"/>
  <c r="FR80" i="2" a="1"/>
  <c r="FR80" i="2" s="1"/>
  <c r="CE95" i="2"/>
  <c r="CK39" i="2"/>
  <c r="CK56" i="2"/>
  <c r="CE53" i="2"/>
  <c r="FR315" i="2" a="1"/>
  <c r="FR315" i="2" s="1"/>
  <c r="FR22" i="2" a="1"/>
  <c r="FR22" i="2" s="1"/>
  <c r="Z360" i="2"/>
  <c r="EH378" i="2"/>
  <c r="Z83" i="2"/>
  <c r="DS378" i="2"/>
  <c r="GV363" i="2"/>
  <c r="GW363" i="2" s="1"/>
  <c r="GV352" i="2"/>
  <c r="GW352" i="2" s="1"/>
  <c r="CE344" i="2"/>
  <c r="Z340" i="2"/>
  <c r="FR336" i="2" a="1"/>
  <c r="FR336" i="2" s="1"/>
  <c r="DQ351" i="2"/>
  <c r="DR351" i="2" s="1"/>
  <c r="EG348" i="2"/>
  <c r="FR322" i="2" a="1"/>
  <c r="FR322" i="2" s="1"/>
  <c r="EI312" i="2"/>
  <c r="CE239" i="2"/>
  <c r="EG216" i="2"/>
  <c r="Z245" i="2"/>
  <c r="GV217" i="2"/>
  <c r="GW217" i="2" s="1"/>
  <c r="DY216" i="2"/>
  <c r="DZ216" i="2" s="1"/>
  <c r="EA216" i="2" s="1"/>
  <c r="CE183" i="2"/>
  <c r="GV187" i="2"/>
  <c r="GW187" i="2" s="1"/>
  <c r="EC182" i="2"/>
  <c r="DS179" i="2"/>
  <c r="GV68" i="2"/>
  <c r="GW68" i="2" s="1"/>
  <c r="CK130" i="2"/>
  <c r="EG9" i="2"/>
  <c r="EC9" i="2"/>
  <c r="GT311" i="2"/>
  <c r="DV218" i="2"/>
  <c r="DW218" i="2" s="1"/>
  <c r="GV212" i="2"/>
  <c r="GW212" i="2" s="1"/>
  <c r="DY378" i="2"/>
  <c r="DZ378" i="2" s="1"/>
  <c r="EA378" i="2" s="1"/>
  <c r="GV351" i="2"/>
  <c r="GW351" i="2" s="1"/>
  <c r="DS351" i="2"/>
  <c r="GV310" i="2"/>
  <c r="GW310" i="2" s="1"/>
  <c r="GV305" i="2"/>
  <c r="GW305" i="2" s="1"/>
  <c r="Z254" i="2"/>
  <c r="Z216" i="2"/>
  <c r="EC216" i="2"/>
  <c r="CE194" i="2"/>
  <c r="FR206" i="2" a="1"/>
  <c r="FR206" i="2" s="1"/>
  <c r="EI181" i="2"/>
  <c r="Z171" i="2"/>
  <c r="DS11" i="2"/>
  <c r="CK141" i="2"/>
  <c r="DY179" i="2"/>
  <c r="DZ179" i="2" s="1"/>
  <c r="EA179" i="2" s="1"/>
  <c r="FR97" i="2" a="1"/>
  <c r="FR97" i="2" s="1"/>
  <c r="Z58" i="2"/>
  <c r="GV37" i="2"/>
  <c r="GW37" i="2" s="1"/>
  <c r="GV9" i="2"/>
  <c r="GW9" i="2" s="1"/>
  <c r="EH9" i="2"/>
  <c r="CE15" i="2"/>
  <c r="AA241" i="2"/>
  <c r="EC378" i="2"/>
  <c r="CE363" i="2"/>
  <c r="CK293" i="2"/>
  <c r="GV239" i="2"/>
  <c r="GW239" i="2" s="1"/>
  <c r="DV242" i="2"/>
  <c r="DW242" i="2" s="1"/>
  <c r="GV216" i="2"/>
  <c r="GW216" i="2" s="1"/>
  <c r="EH216" i="2"/>
  <c r="EG181" i="2"/>
  <c r="CE199" i="2"/>
  <c r="DY11" i="2"/>
  <c r="DZ11" i="2" s="1"/>
  <c r="EA11" i="2" s="1"/>
  <c r="GV114" i="2"/>
  <c r="GW114" i="2" s="1"/>
  <c r="EI48" i="2"/>
  <c r="CE37" i="2"/>
  <c r="DV48" i="2"/>
  <c r="DW48" i="2" s="1"/>
  <c r="EI24" i="2"/>
  <c r="CK9" i="2"/>
  <c r="DQ9" i="2"/>
  <c r="DR9" i="2" s="1"/>
  <c r="CK15" i="2"/>
  <c r="FR72" i="2" a="1"/>
  <c r="FR72" i="2" s="1"/>
  <c r="DV41" i="2"/>
  <c r="DW41" i="2" s="1"/>
  <c r="EG41" i="2"/>
  <c r="FR359" i="2" a="1"/>
  <c r="FR359" i="2" s="1"/>
  <c r="GV293" i="2"/>
  <c r="GW293" i="2" s="1"/>
  <c r="CK285" i="2"/>
  <c r="Z253" i="2"/>
  <c r="Z234" i="2"/>
  <c r="EI216" i="2"/>
  <c r="Z215" i="2"/>
  <c r="EG242" i="2"/>
  <c r="DQ216" i="2"/>
  <c r="DR216" i="2" s="1"/>
  <c r="CE192" i="2"/>
  <c r="EC11" i="2"/>
  <c r="CE91" i="2"/>
  <c r="CK161" i="2"/>
  <c r="DV24" i="2"/>
  <c r="DW24" i="2" s="1"/>
  <c r="CE31" i="2"/>
  <c r="DS9" i="2"/>
  <c r="FR37" i="2" a="1"/>
  <c r="FR37" i="2" s="1"/>
  <c r="EG241" i="2"/>
  <c r="CE191" i="2"/>
  <c r="GV186" i="2"/>
  <c r="GW186" i="2" s="1"/>
  <c r="FR177" i="2" a="1"/>
  <c r="FR177" i="2" s="1"/>
  <c r="GV112" i="2"/>
  <c r="GW112" i="2" s="1"/>
  <c r="Z138" i="2"/>
  <c r="CE74" i="2"/>
  <c r="FR27" i="2" a="1"/>
  <c r="FR27" i="2" s="1"/>
  <c r="Z178" i="2"/>
  <c r="FR316" i="2" a="1"/>
  <c r="FR316" i="2" s="1"/>
  <c r="DV358" i="2"/>
  <c r="DW358" i="2" s="1"/>
  <c r="FR333" i="2" a="1"/>
  <c r="FR333" i="2" s="1"/>
  <c r="GV264" i="2"/>
  <c r="Z236" i="2"/>
  <c r="FR29" i="2" a="1"/>
  <c r="FR29" i="2" s="1"/>
  <c r="GV382" i="2"/>
  <c r="GW382" i="2" s="1"/>
  <c r="FR251" i="2" a="1"/>
  <c r="FR251" i="2" s="1"/>
  <c r="FR237" i="2" a="1"/>
  <c r="FR237" i="2" s="1"/>
  <c r="FR186" i="2" a="1"/>
  <c r="FR186" i="2" s="1"/>
  <c r="FR224" i="2" a="1"/>
  <c r="FR224" i="2" s="1"/>
  <c r="FR381" i="2" a="1"/>
  <c r="FR381" i="2" s="1"/>
  <c r="Z394" i="2"/>
  <c r="FR292" i="2" a="1"/>
  <c r="FR292" i="2" s="1"/>
  <c r="FR351" i="2" a="1"/>
  <c r="FR351" i="2" s="1"/>
  <c r="GV306" i="2"/>
  <c r="GW306" i="2" s="1"/>
  <c r="GV271" i="2"/>
  <c r="GW271" i="2" s="1"/>
  <c r="FR102" i="2" a="1"/>
  <c r="FR102" i="2" s="1"/>
  <c r="FR253" i="2" a="1"/>
  <c r="FR253" i="2" s="1"/>
  <c r="FR136" i="2" a="1"/>
  <c r="FR136" i="2" s="1"/>
  <c r="GT228" i="2"/>
  <c r="GV94" i="2"/>
  <c r="GW94" i="2" s="1"/>
  <c r="GV29" i="2"/>
  <c r="GW29" i="2" s="1"/>
  <c r="FR374" i="2" a="1"/>
  <c r="FR374" i="2" s="1"/>
  <c r="GV367" i="2"/>
  <c r="GW367" i="2" s="1"/>
  <c r="FR361" i="2" a="1"/>
  <c r="FR361" i="2" s="1"/>
  <c r="GV312" i="2"/>
  <c r="GW312" i="2" s="1"/>
  <c r="GV257" i="2"/>
  <c r="GV75" i="2"/>
  <c r="GW75" i="2" s="1"/>
  <c r="GV161" i="2"/>
  <c r="DV351" i="2"/>
  <c r="DW351" i="2" s="1"/>
  <c r="EG351" i="2"/>
  <c r="FR375" i="2" a="1"/>
  <c r="FR375" i="2" s="1"/>
  <c r="GV379" i="2"/>
  <c r="GW379" i="2" s="1"/>
  <c r="GV286" i="2"/>
  <c r="GW286" i="2" s="1"/>
  <c r="FR173" i="2" a="1"/>
  <c r="FR173" i="2" s="1"/>
  <c r="GV141" i="2"/>
  <c r="GW141" i="2" s="1"/>
  <c r="AA368" i="2"/>
  <c r="Z368" i="2"/>
  <c r="GV269" i="2"/>
  <c r="GW269" i="2" s="1"/>
  <c r="FW314" i="2"/>
  <c r="FX314" i="2" s="1" a="1"/>
  <c r="FX314" i="2" s="1"/>
  <c r="FR314" i="2" a="1"/>
  <c r="FR314" i="2" s="1"/>
  <c r="FR234" i="2" a="1"/>
  <c r="FR234" i="2" s="1"/>
  <c r="FR240" i="2" a="1"/>
  <c r="FR240" i="2" s="1"/>
  <c r="FR338" i="2" a="1"/>
  <c r="FR338" i="2" s="1"/>
  <c r="FR262" i="2" a="1"/>
  <c r="FR262" i="2" s="1"/>
  <c r="GV139" i="2"/>
  <c r="GW139" i="2" s="1"/>
  <c r="FR69" i="2" a="1"/>
  <c r="FR69" i="2" s="1"/>
  <c r="FR271" i="2" a="1"/>
  <c r="FR271" i="2" s="1"/>
  <c r="FR20" i="2" a="1"/>
  <c r="FR20" i="2" s="1"/>
  <c r="FR41" i="2" a="1"/>
  <c r="FR41" i="2" s="1"/>
  <c r="Z291" i="2"/>
  <c r="GV288" i="2"/>
  <c r="GW288" i="2" s="1"/>
  <c r="Z389" i="2"/>
  <c r="EG299" i="2"/>
  <c r="EI299" i="2"/>
  <c r="DV386" i="2"/>
  <c r="DW386" i="2" s="1"/>
  <c r="EG386" i="2"/>
  <c r="FR377" i="2" a="1"/>
  <c r="FR377" i="2" s="1"/>
  <c r="EI245" i="2"/>
  <c r="EG245" i="2"/>
  <c r="DV245" i="2"/>
  <c r="DW245" i="2" s="1"/>
  <c r="FR194" i="2" a="1"/>
  <c r="FR194" i="2" s="1"/>
  <c r="FW194" i="2"/>
  <c r="FX194" i="2" s="1" a="1"/>
  <c r="FX194" i="2" s="1"/>
  <c r="EG237" i="2"/>
  <c r="EI237" i="2"/>
  <c r="CK148" i="2"/>
  <c r="AA162" i="2"/>
  <c r="Z162" i="2"/>
  <c r="EI137" i="2"/>
  <c r="DV137" i="2"/>
  <c r="DW137" i="2" s="1"/>
  <c r="DV38" i="2"/>
  <c r="DW38" i="2" s="1"/>
  <c r="EG38" i="2"/>
  <c r="DV34" i="2"/>
  <c r="DW34" i="2" s="1"/>
  <c r="EG34" i="2"/>
  <c r="FR164" i="2" a="1"/>
  <c r="FR164" i="2" s="1"/>
  <c r="GV143" i="2"/>
  <c r="GW143" i="2" s="1"/>
  <c r="FR159" i="2" a="1"/>
  <c r="FR159" i="2" s="1"/>
  <c r="EG357" i="2"/>
  <c r="DV357" i="2"/>
  <c r="DW357" i="2" s="1"/>
  <c r="Z222" i="2"/>
  <c r="EI199" i="2"/>
  <c r="EG199" i="2"/>
  <c r="EI108" i="2"/>
  <c r="EG108" i="2"/>
  <c r="DV108" i="2"/>
  <c r="DW108" i="2" s="1"/>
  <c r="EH107" i="2"/>
  <c r="EC107" i="2"/>
  <c r="DY107" i="2"/>
  <c r="DZ107" i="2" s="1"/>
  <c r="EA107" i="2" s="1"/>
  <c r="DQ107" i="2"/>
  <c r="DR107" i="2" s="1"/>
  <c r="DS107" i="2"/>
  <c r="EI138" i="2"/>
  <c r="DV138" i="2"/>
  <c r="DW138" i="2" s="1"/>
  <c r="CE14" i="2"/>
  <c r="CK14" i="2"/>
  <c r="FR387" i="2" a="1"/>
  <c r="FR387" i="2" s="1"/>
  <c r="GV333" i="2"/>
  <c r="GW333" i="2" s="1"/>
  <c r="FR352" i="2" a="1"/>
  <c r="FR352" i="2" s="1"/>
  <c r="GV253" i="2"/>
  <c r="GW253" i="2" s="1"/>
  <c r="GV142" i="2"/>
  <c r="GW142" i="2" s="1"/>
  <c r="EG362" i="2"/>
  <c r="EI362" i="2"/>
  <c r="DY291" i="2"/>
  <c r="DZ291" i="2" s="1"/>
  <c r="EA291" i="2" s="1"/>
  <c r="EH291" i="2"/>
  <c r="DQ357" i="2"/>
  <c r="DR357" i="2" s="1"/>
  <c r="EC357" i="2"/>
  <c r="DQ303" i="2"/>
  <c r="DR303" i="2" s="1"/>
  <c r="EH303" i="2"/>
  <c r="FR192" i="2" a="1"/>
  <c r="FR192" i="2" s="1"/>
  <c r="FW192" i="2"/>
  <c r="FX192" i="2" s="1" a="1"/>
  <c r="FX192" i="2" s="1"/>
  <c r="DS149" i="2"/>
  <c r="EH149" i="2"/>
  <c r="DY149" i="2"/>
  <c r="DZ149" i="2" s="1"/>
  <c r="EA149" i="2" s="1"/>
  <c r="FR101" i="2" a="1"/>
  <c r="FR101" i="2" s="1"/>
  <c r="FW101" i="2"/>
  <c r="FX101" i="2" s="1" a="1"/>
  <c r="FX101" i="2" s="1"/>
  <c r="DV28" i="2"/>
  <c r="DW28" i="2" s="1"/>
  <c r="EG28" i="2"/>
  <c r="GV355" i="2"/>
  <c r="GW355" i="2" s="1"/>
  <c r="FR17" i="2" a="1"/>
  <c r="FR17" i="2" s="1"/>
  <c r="FR212" i="2" a="1"/>
  <c r="FR212" i="2" s="1"/>
  <c r="EG202" i="2"/>
  <c r="DV202" i="2"/>
  <c r="DW202" i="2" s="1"/>
  <c r="EI202" i="2"/>
  <c r="FR62" i="2" a="1"/>
  <c r="FR62" i="2" s="1"/>
  <c r="DY147" i="2"/>
  <c r="DZ147" i="2" s="1"/>
  <c r="EA147" i="2" s="1"/>
  <c r="EC147" i="2"/>
  <c r="DS147" i="2"/>
  <c r="FR100" i="2" a="1"/>
  <c r="FR100" i="2" s="1"/>
  <c r="FW100" i="2"/>
  <c r="FX100" i="2" s="1" a="1"/>
  <c r="FX100" i="2" s="1"/>
  <c r="GV297" i="2"/>
  <c r="GW297" i="2" s="1"/>
  <c r="FR372" i="2" a="1"/>
  <c r="FR372" i="2" s="1"/>
  <c r="FR255" i="2" a="1"/>
  <c r="FR255" i="2" s="1"/>
  <c r="GV140" i="2"/>
  <c r="GW140" i="2" s="1"/>
  <c r="GV132" i="2"/>
  <c r="GW132" i="2" s="1"/>
  <c r="GV77" i="2"/>
  <c r="GW77" i="2" s="1"/>
  <c r="DV381" i="2"/>
  <c r="DW381" i="2" s="1"/>
  <c r="EG381" i="2"/>
  <c r="Z385" i="2"/>
  <c r="FR236" i="2" a="1"/>
  <c r="FR236" i="2" s="1"/>
  <c r="FR313" i="2" a="1"/>
  <c r="FR313" i="2" s="1"/>
  <c r="FW313" i="2"/>
  <c r="FX313" i="2" s="1" a="1"/>
  <c r="FX313" i="2" s="1"/>
  <c r="DV40" i="2"/>
  <c r="DW40" i="2" s="1"/>
  <c r="EG40" i="2"/>
  <c r="Z32" i="2"/>
  <c r="FR388" i="2" a="1"/>
  <c r="FR388" i="2" s="1"/>
  <c r="GV340" i="2"/>
  <c r="GW340" i="2" s="1"/>
  <c r="FR342" i="2" a="1"/>
  <c r="FR342" i="2" s="1"/>
  <c r="Z387" i="2"/>
  <c r="FR368" i="2" a="1"/>
  <c r="FR368" i="2" s="1"/>
  <c r="EH274" i="2"/>
  <c r="EC274" i="2"/>
  <c r="DS274" i="2"/>
  <c r="DQ274" i="2"/>
  <c r="DR274" i="2" s="1"/>
  <c r="DY274" i="2"/>
  <c r="DZ274" i="2" s="1"/>
  <c r="EA274" i="2" s="1"/>
  <c r="CK190"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350" i="2"/>
  <c r="DW350" i="2" s="1"/>
  <c r="EG350" i="2"/>
  <c r="Z384" i="2"/>
  <c r="Z336" i="2"/>
  <c r="AA336" i="2"/>
  <c r="CK98" i="2"/>
  <c r="DY238" i="2"/>
  <c r="DZ238" i="2" s="1"/>
  <c r="EA238" i="2" s="1"/>
  <c r="DQ238" i="2"/>
  <c r="DR238" i="2" s="1"/>
  <c r="DS238" i="2"/>
  <c r="DQ218" i="2"/>
  <c r="DR218" i="2" s="1"/>
  <c r="DS218" i="2"/>
  <c r="FR126" i="2" a="1"/>
  <c r="FR126" i="2" s="1"/>
  <c r="EI123" i="2"/>
  <c r="EG123" i="2"/>
  <c r="DV123" i="2"/>
  <c r="DW123" i="2" s="1"/>
  <c r="EG177" i="2"/>
  <c r="EI177" i="2"/>
  <c r="FR60" i="2" a="1"/>
  <c r="FR60" i="2" s="1"/>
  <c r="FR77" i="2" a="1"/>
  <c r="FR77" i="2" s="1"/>
  <c r="GV393" i="2"/>
  <c r="GV357" i="2"/>
  <c r="GW357" i="2" s="1"/>
  <c r="GV243" i="2"/>
  <c r="GW243" i="2" s="1"/>
  <c r="GV129" i="2"/>
  <c r="GW129" i="2" s="1"/>
  <c r="GV74" i="2"/>
  <c r="GW74" i="2" s="1"/>
  <c r="EG354" i="2"/>
  <c r="EI354" i="2"/>
  <c r="Z312" i="2"/>
  <c r="EI296" i="2"/>
  <c r="DV296" i="2"/>
  <c r="DW296" i="2" s="1"/>
  <c r="EG296" i="2"/>
  <c r="FR71" i="2" a="1"/>
  <c r="FR71" i="2" s="1"/>
  <c r="EI126" i="2"/>
  <c r="EG126" i="2"/>
  <c r="DV126" i="2"/>
  <c r="DW126" i="2" s="1"/>
  <c r="EI122" i="2"/>
  <c r="DV122" i="2"/>
  <c r="DW122" i="2" s="1"/>
  <c r="EG122" i="2"/>
  <c r="GV294" i="2"/>
  <c r="GW294" i="2" s="1"/>
  <c r="FR138" i="2" a="1"/>
  <c r="FR138" i="2" s="1"/>
  <c r="FR291" i="2" a="1"/>
  <c r="FR291" i="2" s="1"/>
  <c r="Z201" i="2"/>
  <c r="AA201" i="2"/>
  <c r="Z49" i="2"/>
  <c r="EI57" i="2"/>
  <c r="EG57" i="2"/>
  <c r="FR201" i="2" a="1"/>
  <c r="FR201" i="2" s="1"/>
  <c r="FR134" i="2" a="1"/>
  <c r="FR134" i="2" s="1"/>
  <c r="GU390" i="2"/>
  <c r="DV362" i="2"/>
  <c r="DW362" i="2" s="1"/>
  <c r="DV363" i="2"/>
  <c r="DW363" i="2" s="1"/>
  <c r="EG363" i="2"/>
  <c r="FR287" i="2" a="1"/>
  <c r="FR287" i="2" s="1"/>
  <c r="FW288" i="2"/>
  <c r="FX288" i="2" s="1" a="1"/>
  <c r="FX288" i="2" s="1"/>
  <c r="FR288" i="2" a="1"/>
  <c r="FR288" i="2" s="1"/>
  <c r="CK219" i="2"/>
  <c r="CK153" i="2"/>
  <c r="FR64" i="2" a="1"/>
  <c r="FR64" i="2" s="1"/>
  <c r="GV71" i="2"/>
  <c r="GW71" i="2" s="1"/>
  <c r="DS363" i="2"/>
  <c r="DQ363" i="2"/>
  <c r="DR363" i="2" s="1"/>
  <c r="CK273" i="2"/>
  <c r="CE273" i="2"/>
  <c r="AA292" i="2"/>
  <c r="Z292" i="2"/>
  <c r="CK193" i="2"/>
  <c r="CM152" i="2"/>
  <c r="CK152" i="2"/>
  <c r="EI125" i="2"/>
  <c r="EG125" i="2"/>
  <c r="DV125" i="2"/>
  <c r="DW125" i="2" s="1"/>
  <c r="CK105" i="2"/>
  <c r="FR87" i="2" a="1"/>
  <c r="FR87" i="2" s="1"/>
  <c r="FR104" i="2" a="1"/>
  <c r="FR104" i="2" s="1"/>
  <c r="AA380" i="2"/>
  <c r="Z380" i="2"/>
  <c r="FR270" i="2" a="1"/>
  <c r="FR270" i="2" s="1"/>
  <c r="CM128" i="2"/>
  <c r="CK128" i="2"/>
  <c r="FR148" i="2" a="1"/>
  <c r="FR148" i="2" s="1"/>
  <c r="CE152" i="2"/>
  <c r="DV37" i="2"/>
  <c r="DW37" i="2" s="1"/>
  <c r="EG37" i="2"/>
  <c r="FR305" i="2" a="1"/>
  <c r="FR305" i="2" s="1"/>
  <c r="FR35" i="2" a="1"/>
  <c r="FR35" i="2" s="1"/>
  <c r="DV244" i="2"/>
  <c r="DW244" i="2" s="1"/>
  <c r="EI244" i="2"/>
  <c r="EG244" i="2"/>
  <c r="EC366" i="2"/>
  <c r="DQ366" i="2"/>
  <c r="DR366" i="2" s="1"/>
  <c r="FW285" i="2"/>
  <c r="FX285" i="2" s="1" a="1"/>
  <c r="FX285" i="2" s="1"/>
  <c r="FR285" i="2" a="1"/>
  <c r="FR285" i="2" s="1"/>
  <c r="CE112" i="2"/>
  <c r="CK112" i="2"/>
  <c r="FR39" i="2" a="1"/>
  <c r="FR39" i="2" s="1"/>
  <c r="GV344" i="2"/>
  <c r="GW344" i="2" s="1"/>
  <c r="FR323" i="2" a="1"/>
  <c r="FR323" i="2" s="1"/>
  <c r="GV281" i="2"/>
  <c r="GW281" i="2" s="1"/>
  <c r="FR207" i="2" a="1"/>
  <c r="FR207" i="2" s="1"/>
  <c r="FR150" i="2" a="1"/>
  <c r="FR150" i="2" s="1"/>
  <c r="EC377" i="2"/>
  <c r="EH377" i="2"/>
  <c r="DY377" i="2"/>
  <c r="DZ377" i="2" s="1"/>
  <c r="EA377" i="2" s="1"/>
  <c r="Z388" i="2"/>
  <c r="AB388" i="2"/>
  <c r="FR317" i="2" a="1"/>
  <c r="FR317" i="2" s="1"/>
  <c r="FR320" i="2" a="1"/>
  <c r="FR320" i="2" s="1"/>
  <c r="AA246" i="2"/>
  <c r="Z246" i="2"/>
  <c r="CK78" i="2"/>
  <c r="AA75" i="2"/>
  <c r="Z75" i="2"/>
  <c r="Z45" i="2"/>
  <c r="Z116" i="2"/>
  <c r="AA116" i="2"/>
  <c r="FR379" i="2" a="1"/>
  <c r="FR379" i="2" s="1"/>
  <c r="GV380" i="2"/>
  <c r="GW380" i="2" s="1"/>
  <c r="FR343" i="2" a="1"/>
  <c r="FR343" i="2" s="1"/>
  <c r="GV280" i="2"/>
  <c r="GW280" i="2" s="1"/>
  <c r="GV270" i="2"/>
  <c r="GW270" i="2" s="1"/>
  <c r="FR203" i="2" a="1"/>
  <c r="FR203" i="2" s="1"/>
  <c r="Z20" i="2"/>
  <c r="FW284" i="2"/>
  <c r="FX284" i="2" s="1" a="1"/>
  <c r="FX284" i="2" s="1"/>
  <c r="FR284" i="2" a="1"/>
  <c r="FR284" i="2" s="1"/>
  <c r="FW283" i="2"/>
  <c r="FX283" i="2" s="1" a="1"/>
  <c r="FX283" i="2" s="1"/>
  <c r="FR283" i="2" a="1"/>
  <c r="FR283" i="2" s="1"/>
  <c r="Z223" i="2"/>
  <c r="DV200" i="2"/>
  <c r="DW200" i="2" s="1"/>
  <c r="EI200" i="2"/>
  <c r="EG200" i="2"/>
  <c r="DY116" i="2"/>
  <c r="DZ116" i="2" s="1"/>
  <c r="EA116" i="2" s="1"/>
  <c r="DS116" i="2"/>
  <c r="GV389" i="2"/>
  <c r="GV339" i="2"/>
  <c r="GW339" i="2" s="1"/>
  <c r="FR264" i="2" a="1"/>
  <c r="FR264" i="2" s="1"/>
  <c r="FR303" i="2" a="1"/>
  <c r="FR303" i="2" s="1"/>
  <c r="FR259" i="2" a="1"/>
  <c r="FR259" i="2" s="1"/>
  <c r="FR199" i="2" a="1"/>
  <c r="FR199" i="2" s="1"/>
  <c r="FR18" i="2" a="1"/>
  <c r="FR18" i="2" s="1"/>
  <c r="DV352" i="2"/>
  <c r="DW352" i="2" s="1"/>
  <c r="EG352" i="2"/>
  <c r="AA289" i="2"/>
  <c r="Z289" i="2"/>
  <c r="FR98" i="2" a="1"/>
  <c r="FR98" i="2" s="1"/>
  <c r="EI127" i="2"/>
  <c r="DV127" i="2"/>
  <c r="DW127" i="2" s="1"/>
  <c r="EG127" i="2"/>
  <c r="FR73" i="2" a="1"/>
  <c r="FR73" i="2" s="1"/>
  <c r="EI105" i="2"/>
  <c r="DV105" i="2"/>
  <c r="DW105" i="2" s="1"/>
  <c r="FR34" i="2" a="1"/>
  <c r="FR34" i="2" s="1"/>
  <c r="CK18" i="2"/>
  <c r="CM18" i="2"/>
  <c r="CE18" i="2"/>
  <c r="DV39" i="2"/>
  <c r="DW39" i="2" s="1"/>
  <c r="EG39" i="2"/>
  <c r="CR265" i="2"/>
  <c r="DU258" i="2"/>
  <c r="DO258" i="2"/>
  <c r="GV258" i="2" s="1"/>
  <c r="GT265" i="2"/>
  <c r="DO263" i="2"/>
  <c r="GV263" i="2" s="1"/>
  <c r="GU263" i="2"/>
  <c r="DU263" i="2"/>
  <c r="GT263" i="2"/>
  <c r="DU266" i="2"/>
  <c r="DO266" i="2"/>
  <c r="EG44" i="2"/>
  <c r="DV44" i="2"/>
  <c r="DW44" i="2" s="1"/>
  <c r="EI44" i="2"/>
  <c r="FR294" i="2" a="1"/>
  <c r="FR294" i="2" s="1"/>
  <c r="FW294" i="2"/>
  <c r="FX294" i="2" s="1" a="1"/>
  <c r="FX294" i="2" s="1"/>
  <c r="CK159" i="2"/>
  <c r="CM159" i="2"/>
  <c r="CE159" i="2"/>
  <c r="GV159" i="2"/>
  <c r="GW159" i="2" s="1"/>
  <c r="Z90" i="2"/>
  <c r="AA90" i="2"/>
  <c r="AA375" i="2"/>
  <c r="Z375" i="2"/>
  <c r="AA287" i="2"/>
  <c r="Z287" i="2"/>
  <c r="EG267" i="2"/>
  <c r="DV267" i="2"/>
  <c r="DW267" i="2" s="1"/>
  <c r="EI267" i="2"/>
  <c r="EH219" i="2"/>
  <c r="DY219" i="2"/>
  <c r="DZ219" i="2" s="1"/>
  <c r="EA219" i="2" s="1"/>
  <c r="DQ219" i="2"/>
  <c r="DR219" i="2" s="1"/>
  <c r="EC219" i="2"/>
  <c r="DS219" i="2"/>
  <c r="CK225" i="2"/>
  <c r="CM225" i="2"/>
  <c r="CE225" i="2"/>
  <c r="GV225" i="2"/>
  <c r="GW225" i="2" s="1"/>
  <c r="CE206" i="2"/>
  <c r="GV206" i="2"/>
  <c r="GW206" i="2" s="1"/>
  <c r="CK206" i="2"/>
  <c r="CM206" i="2"/>
  <c r="CK211" i="2"/>
  <c r="CM211" i="2"/>
  <c r="CE211" i="2"/>
  <c r="GV211" i="2"/>
  <c r="GW211" i="2" s="1"/>
  <c r="EI211" i="2"/>
  <c r="DV211" i="2"/>
  <c r="DW211" i="2" s="1"/>
  <c r="EG211" i="2"/>
  <c r="FR147" i="2" a="1"/>
  <c r="FR147" i="2" s="1"/>
  <c r="FW147" i="2"/>
  <c r="FX147" i="2" s="1" a="1"/>
  <c r="FX147" i="2" s="1"/>
  <c r="CK163" i="2"/>
  <c r="CM163" i="2"/>
  <c r="CE163" i="2"/>
  <c r="GV163" i="2"/>
  <c r="GW163" i="2" s="1"/>
  <c r="DS110" i="2"/>
  <c r="EH110" i="2"/>
  <c r="DQ110" i="2"/>
  <c r="DR110" i="2" s="1"/>
  <c r="EC110" i="2"/>
  <c r="DY110" i="2"/>
  <c r="DZ110" i="2" s="1"/>
  <c r="EA110" i="2" s="1"/>
  <c r="DY119" i="2"/>
  <c r="DZ119" i="2" s="1"/>
  <c r="EA119" i="2" s="1"/>
  <c r="DS119" i="2"/>
  <c r="DQ119" i="2"/>
  <c r="DR119" i="2" s="1"/>
  <c r="EH119" i="2"/>
  <c r="EC119" i="2"/>
  <c r="DY115" i="2"/>
  <c r="DZ115" i="2" s="1"/>
  <c r="EA115" i="2" s="1"/>
  <c r="DS115" i="2"/>
  <c r="DQ115" i="2"/>
  <c r="DR115" i="2" s="1"/>
  <c r="EH115" i="2"/>
  <c r="EC115" i="2"/>
  <c r="FU93" i="2"/>
  <c r="FV93" i="2" s="1"/>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384" i="2"/>
  <c r="DY384" i="2"/>
  <c r="DZ384" i="2" s="1"/>
  <c r="EA384" i="2" s="1"/>
  <c r="DS384" i="2"/>
  <c r="DQ384" i="2"/>
  <c r="DR384" i="2" s="1"/>
  <c r="EH384" i="2"/>
  <c r="DS277" i="2"/>
  <c r="EH277" i="2"/>
  <c r="EC277" i="2"/>
  <c r="DY277" i="2"/>
  <c r="DZ277" i="2" s="1"/>
  <c r="EA277" i="2" s="1"/>
  <c r="DQ277" i="2"/>
  <c r="DR277" i="2" s="1"/>
  <c r="Z342" i="2"/>
  <c r="AA342" i="2"/>
  <c r="DS128" i="2"/>
  <c r="DQ128" i="2"/>
  <c r="DR128" i="2" s="1"/>
  <c r="EC128" i="2"/>
  <c r="DY128" i="2"/>
  <c r="DZ128" i="2" s="1"/>
  <c r="EA128" i="2" s="1"/>
  <c r="GV128" i="2"/>
  <c r="GW128" i="2" s="1"/>
  <c r="EH128" i="2"/>
  <c r="CK221" i="2"/>
  <c r="CM221" i="2"/>
  <c r="GV221" i="2"/>
  <c r="GW221" i="2" s="1"/>
  <c r="CE221" i="2"/>
  <c r="CM385" i="2"/>
  <c r="GV385" i="2"/>
  <c r="GW385" i="2" s="1"/>
  <c r="CK385" i="2"/>
  <c r="CE385" i="2"/>
  <c r="AA377" i="2"/>
  <c r="Z377" i="2"/>
  <c r="EI347" i="2"/>
  <c r="EG347" i="2"/>
  <c r="DV347" i="2"/>
  <c r="DW347" i="2" s="1"/>
  <c r="EC343" i="2"/>
  <c r="DY343" i="2"/>
  <c r="DZ343" i="2" s="1"/>
  <c r="EA343" i="2" s="1"/>
  <c r="DS343" i="2"/>
  <c r="EH343" i="2"/>
  <c r="DQ343" i="2"/>
  <c r="DR343" i="2" s="1"/>
  <c r="AA324" i="2"/>
  <c r="Z324" i="2"/>
  <c r="EG344" i="2"/>
  <c r="DV344" i="2"/>
  <c r="DW344" i="2" s="1"/>
  <c r="EI344" i="2"/>
  <c r="Z264" i="2"/>
  <c r="AA264" i="2"/>
  <c r="FW331" i="2"/>
  <c r="FX331" i="2" s="1" a="1"/>
  <c r="FX331" i="2" s="1"/>
  <c r="FR331" i="2" a="1"/>
  <c r="FR331" i="2" s="1"/>
  <c r="CK312" i="2"/>
  <c r="CM312" i="2"/>
  <c r="CE312" i="2"/>
  <c r="CK300" i="2"/>
  <c r="CE300" i="2"/>
  <c r="GV300" i="2"/>
  <c r="GW300" i="2" s="1"/>
  <c r="CM300" i="2"/>
  <c r="DY293" i="2"/>
  <c r="DZ293" i="2" s="1"/>
  <c r="EA293" i="2" s="1"/>
  <c r="DS293" i="2"/>
  <c r="DQ293" i="2"/>
  <c r="DR293" i="2" s="1"/>
  <c r="EH293" i="2"/>
  <c r="EC293" i="2"/>
  <c r="GV296" i="2"/>
  <c r="GW296" i="2" s="1"/>
  <c r="DS284" i="2"/>
  <c r="DQ284" i="2"/>
  <c r="DR284" i="2" s="1"/>
  <c r="EH284" i="2"/>
  <c r="EC284" i="2"/>
  <c r="DY284" i="2"/>
  <c r="DZ284" i="2" s="1"/>
  <c r="EA284" i="2" s="1"/>
  <c r="AA284" i="2"/>
  <c r="Z284" i="2"/>
  <c r="FO390" i="2"/>
  <c r="FR260" i="2" a="1"/>
  <c r="FR260" i="2" s="1"/>
  <c r="EH255" i="2"/>
  <c r="EC255" i="2"/>
  <c r="DY255" i="2"/>
  <c r="DZ255" i="2" s="1"/>
  <c r="EA255" i="2" s="1"/>
  <c r="DS255" i="2"/>
  <c r="DQ255" i="2"/>
  <c r="DR255" i="2" s="1"/>
  <c r="EG128" i="2"/>
  <c r="DV128" i="2"/>
  <c r="DW128" i="2" s="1"/>
  <c r="EI128" i="2"/>
  <c r="FR243" i="2" a="1"/>
  <c r="FR243" i="2" s="1"/>
  <c r="CE241" i="2"/>
  <c r="GV241" i="2"/>
  <c r="GW241" i="2" s="1"/>
  <c r="CK241" i="2"/>
  <c r="CM241" i="2"/>
  <c r="EG219" i="2"/>
  <c r="EI219" i="2"/>
  <c r="DV219" i="2"/>
  <c r="DW219" i="2" s="1"/>
  <c r="EI236" i="2"/>
  <c r="EG236" i="2"/>
  <c r="DV236" i="2"/>
  <c r="DW236" i="2" s="1"/>
  <c r="AA212" i="2"/>
  <c r="Z212" i="2"/>
  <c r="CK214" i="2"/>
  <c r="CM214" i="2"/>
  <c r="CE214" i="2"/>
  <c r="EI212" i="2"/>
  <c r="EG212" i="2"/>
  <c r="DV212" i="2"/>
  <c r="DW212" i="2" s="1"/>
  <c r="EG203" i="2"/>
  <c r="EI203" i="2"/>
  <c r="DV203" i="2"/>
  <c r="DW203" i="2" s="1"/>
  <c r="GV181" i="2"/>
  <c r="GW181" i="2" s="1"/>
  <c r="FR188" i="2" a="1"/>
  <c r="FR188" i="2" s="1"/>
  <c r="FR160" i="2" a="1"/>
  <c r="FR160" i="2" s="1"/>
  <c r="FR146" i="2" a="1"/>
  <c r="FR146" i="2" s="1"/>
  <c r="FW146" i="2"/>
  <c r="FX146" i="2" s="1" a="1"/>
  <c r="FX146" i="2" s="1"/>
  <c r="CR228" i="2"/>
  <c r="CX228" i="2" s="1"/>
  <c r="GV151" i="2"/>
  <c r="GW151" i="2" s="1"/>
  <c r="EC186" i="2"/>
  <c r="DY186" i="2"/>
  <c r="DZ186" i="2" s="1"/>
  <c r="EA186" i="2" s="1"/>
  <c r="DS186" i="2"/>
  <c r="DQ186" i="2"/>
  <c r="DR186" i="2" s="1"/>
  <c r="EH186" i="2"/>
  <c r="EH109" i="2"/>
  <c r="EC109" i="2"/>
  <c r="DY109" i="2"/>
  <c r="DZ109" i="2" s="1"/>
  <c r="EA109" i="2" s="1"/>
  <c r="DS109" i="2"/>
  <c r="DQ109" i="2"/>
  <c r="DR109" i="2" s="1"/>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DV55" i="2"/>
  <c r="DW55" i="2" s="1"/>
  <c r="EG55" i="2"/>
  <c r="EI55" i="2"/>
  <c r="CK17" i="2"/>
  <c r="CM17" i="2"/>
  <c r="CE17" i="2"/>
  <c r="EH196" i="2"/>
  <c r="EC196" i="2"/>
  <c r="DY196" i="2"/>
  <c r="DZ196" i="2" s="1"/>
  <c r="EA196" i="2" s="1"/>
  <c r="DS196" i="2"/>
  <c r="DQ196" i="2"/>
  <c r="DR196" i="2" s="1"/>
  <c r="DY347" i="2"/>
  <c r="DZ347" i="2" s="1"/>
  <c r="EA347" i="2" s="1"/>
  <c r="DQ347" i="2"/>
  <c r="DR347" i="2" s="1"/>
  <c r="EC347" i="2"/>
  <c r="DS347" i="2"/>
  <c r="EH347" i="2"/>
  <c r="AB352" i="2"/>
  <c r="Z352" i="2"/>
  <c r="CE345" i="2"/>
  <c r="CK345" i="2"/>
  <c r="CM345" i="2"/>
  <c r="GV345" i="2"/>
  <c r="GW345" i="2" s="1"/>
  <c r="EG343" i="2"/>
  <c r="DV343" i="2"/>
  <c r="DW343" i="2" s="1"/>
  <c r="EI343" i="2"/>
  <c r="Z307" i="2"/>
  <c r="AA307" i="2"/>
  <c r="EI315" i="2"/>
  <c r="EG315" i="2"/>
  <c r="DV315" i="2"/>
  <c r="DW315" i="2" s="1"/>
  <c r="FR298" i="2" a="1"/>
  <c r="FR298" i="2" s="1"/>
  <c r="FW298" i="2"/>
  <c r="FX298" i="2" s="1" a="1"/>
  <c r="FX298" i="2" s="1"/>
  <c r="EC302" i="2"/>
  <c r="DS302" i="2"/>
  <c r="DQ302" i="2"/>
  <c r="DR302" i="2" s="1"/>
  <c r="GV302" i="2"/>
  <c r="GW302" i="2" s="1"/>
  <c r="EH302" i="2"/>
  <c r="DY302" i="2"/>
  <c r="DZ302" i="2" s="1"/>
  <c r="EA302" i="2" s="1"/>
  <c r="AA281" i="2"/>
  <c r="Z281" i="2"/>
  <c r="DV284" i="2"/>
  <c r="DW284" i="2" s="1"/>
  <c r="EI284" i="2"/>
  <c r="EG284" i="2"/>
  <c r="GV282" i="2"/>
  <c r="GW282" i="2" s="1"/>
  <c r="EH262" i="2"/>
  <c r="DS262" i="2"/>
  <c r="DQ262" i="2"/>
  <c r="DR262" i="2" s="1"/>
  <c r="EC262" i="2"/>
  <c r="DY262" i="2"/>
  <c r="DZ262" i="2" s="1"/>
  <c r="EA262" i="2" s="1"/>
  <c r="CK262" i="2"/>
  <c r="CM262" i="2"/>
  <c r="GV262" i="2"/>
  <c r="GW262" i="2" s="1"/>
  <c r="CE262" i="2"/>
  <c r="EX392" i="2"/>
  <c r="DS234" i="2"/>
  <c r="DQ234" i="2"/>
  <c r="DR234" i="2" s="1"/>
  <c r="EH234" i="2"/>
  <c r="EC234" i="2"/>
  <c r="DY234" i="2"/>
  <c r="DZ234" i="2" s="1"/>
  <c r="EA234" i="2" s="1"/>
  <c r="FR238" i="2" a="1"/>
  <c r="FR238" i="2" s="1"/>
  <c r="CE246" i="2"/>
  <c r="GV246" i="2"/>
  <c r="GW246" i="2" s="1"/>
  <c r="CK246" i="2"/>
  <c r="CM246" i="2"/>
  <c r="DS217" i="2"/>
  <c r="DQ217" i="2"/>
  <c r="DR217" i="2" s="1"/>
  <c r="EH217" i="2"/>
  <c r="EC217" i="2"/>
  <c r="DY217" i="2"/>
  <c r="DZ217" i="2" s="1"/>
  <c r="EA217" i="2" s="1"/>
  <c r="DQ203" i="2"/>
  <c r="DR203" i="2" s="1"/>
  <c r="EH203" i="2"/>
  <c r="EC203" i="2"/>
  <c r="DY203" i="2"/>
  <c r="DZ203" i="2" s="1"/>
  <c r="EA203" i="2" s="1"/>
  <c r="DS203" i="2"/>
  <c r="GV196" i="2"/>
  <c r="GW196" i="2" s="1"/>
  <c r="EC185" i="2"/>
  <c r="DY185" i="2"/>
  <c r="DZ185" i="2" s="1"/>
  <c r="EA185" i="2" s="1"/>
  <c r="DS185" i="2"/>
  <c r="DQ185" i="2"/>
  <c r="DR185" i="2" s="1"/>
  <c r="EH185" i="2"/>
  <c r="FR185" i="2" a="1"/>
  <c r="FR185" i="2" s="1"/>
  <c r="EC194" i="2"/>
  <c r="DY194" i="2"/>
  <c r="DZ194" i="2" s="1"/>
  <c r="EA194" i="2" s="1"/>
  <c r="DS194" i="2"/>
  <c r="DQ194" i="2"/>
  <c r="DR194" i="2" s="1"/>
  <c r="EH194" i="2"/>
  <c r="FR145" i="2" a="1"/>
  <c r="FR145" i="2" s="1"/>
  <c r="FW145" i="2"/>
  <c r="FX145" i="2" s="1" a="1"/>
  <c r="FX145" i="2" s="1"/>
  <c r="DV186" i="2"/>
  <c r="DW186" i="2" s="1"/>
  <c r="EI186" i="2"/>
  <c r="EG186" i="2"/>
  <c r="GV194" i="2"/>
  <c r="GW194"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10" i="2"/>
  <c r="AA310" i="2"/>
  <c r="AA285" i="2"/>
  <c r="Z285" i="2"/>
  <c r="DV190" i="2"/>
  <c r="DW190" i="2" s="1"/>
  <c r="EI190" i="2"/>
  <c r="EG190" i="2"/>
  <c r="GV105" i="2"/>
  <c r="GW105" i="2" s="1"/>
  <c r="CM387" i="2"/>
  <c r="GV387" i="2"/>
  <c r="CK387" i="2"/>
  <c r="CE387" i="2"/>
  <c r="EI331" i="2"/>
  <c r="EG331" i="2"/>
  <c r="DV331" i="2"/>
  <c r="DW331" i="2" s="1"/>
  <c r="Z306" i="2"/>
  <c r="AA306" i="2"/>
  <c r="EG335" i="2"/>
  <c r="DV335" i="2"/>
  <c r="DW335" i="2" s="1"/>
  <c r="EI335" i="2"/>
  <c r="FR364" i="2" a="1"/>
  <c r="FR364" i="2" s="1"/>
  <c r="FR307" i="2" a="1"/>
  <c r="FR307" i="2" s="1"/>
  <c r="FR297" i="2" a="1"/>
  <c r="FR297" i="2" s="1"/>
  <c r="FW297" i="2"/>
  <c r="FX297" i="2" s="1" a="1"/>
  <c r="FX297" i="2" s="1"/>
  <c r="FR306" i="2" a="1"/>
  <c r="FR306" i="2" s="1"/>
  <c r="DY287" i="2"/>
  <c r="DZ287" i="2" s="1"/>
  <c r="EA287" i="2" s="1"/>
  <c r="DS287" i="2"/>
  <c r="DQ287" i="2"/>
  <c r="DR287" i="2" s="1"/>
  <c r="EH287" i="2"/>
  <c r="EC287" i="2"/>
  <c r="CK235" i="2"/>
  <c r="GV235" i="2"/>
  <c r="CE235" i="2"/>
  <c r="Z30" i="2"/>
  <c r="AA30" i="2"/>
  <c r="EI311" i="2"/>
  <c r="EG311" i="2"/>
  <c r="DV311" i="2"/>
  <c r="DW311" i="2" s="1"/>
  <c r="DY392" i="2"/>
  <c r="DZ392" i="2" s="1"/>
  <c r="EA392" i="2" s="1"/>
  <c r="DS392" i="2"/>
  <c r="DQ392" i="2"/>
  <c r="DR392" i="2" s="1"/>
  <c r="EH392" i="2"/>
  <c r="EC392" i="2"/>
  <c r="DS233" i="2"/>
  <c r="DQ233" i="2"/>
  <c r="DR233" i="2" s="1"/>
  <c r="EH233" i="2"/>
  <c r="EC233" i="2"/>
  <c r="DY233" i="2"/>
  <c r="DZ233" i="2" s="1"/>
  <c r="EA233" i="2" s="1"/>
  <c r="CE247" i="2"/>
  <c r="CK247" i="2"/>
  <c r="CM247" i="2"/>
  <c r="GV247" i="2"/>
  <c r="GW247" i="2" s="1"/>
  <c r="GV392" i="2"/>
  <c r="CK236" i="2"/>
  <c r="GV236" i="2"/>
  <c r="GW236" i="2" s="1"/>
  <c r="CM236" i="2"/>
  <c r="CE236" i="2"/>
  <c r="GV219" i="2"/>
  <c r="GW219" i="2" s="1"/>
  <c r="AA237" i="2"/>
  <c r="Z237" i="2"/>
  <c r="EH236" i="2"/>
  <c r="EC236" i="2"/>
  <c r="DY236" i="2"/>
  <c r="DZ236" i="2" s="1"/>
  <c r="EA236" i="2" s="1"/>
  <c r="DS236" i="2"/>
  <c r="DQ236" i="2"/>
  <c r="DR236" i="2" s="1"/>
  <c r="EH222" i="2"/>
  <c r="EC222" i="2"/>
  <c r="DY222" i="2"/>
  <c r="DZ222" i="2" s="1"/>
  <c r="EA222" i="2" s="1"/>
  <c r="DS222" i="2"/>
  <c r="DQ222" i="2"/>
  <c r="DR222" i="2" s="1"/>
  <c r="CK213" i="2"/>
  <c r="CM213" i="2"/>
  <c r="CE213" i="2"/>
  <c r="DV217" i="2"/>
  <c r="DW217" i="2" s="1"/>
  <c r="EI217" i="2"/>
  <c r="EG217" i="2"/>
  <c r="CK210" i="2"/>
  <c r="CM210" i="2"/>
  <c r="CE210" i="2"/>
  <c r="GV210" i="2"/>
  <c r="GW210" i="2" s="1"/>
  <c r="AA188" i="2"/>
  <c r="Z188" i="2"/>
  <c r="CE209" i="2"/>
  <c r="GV209" i="2"/>
  <c r="GW209" i="2" s="1"/>
  <c r="CK209" i="2"/>
  <c r="CM209" i="2"/>
  <c r="CE207" i="2"/>
  <c r="GV207" i="2"/>
  <c r="GW207" i="2" s="1"/>
  <c r="CK207" i="2"/>
  <c r="CM207" i="2"/>
  <c r="DV194" i="2"/>
  <c r="DW194" i="2" s="1"/>
  <c r="EI194" i="2"/>
  <c r="EG194" i="2"/>
  <c r="EC180" i="2"/>
  <c r="DY180" i="2"/>
  <c r="DZ180" i="2" s="1"/>
  <c r="EA180" i="2" s="1"/>
  <c r="DS180" i="2"/>
  <c r="DQ180" i="2"/>
  <c r="DR180" i="2" s="1"/>
  <c r="EH180" i="2"/>
  <c r="CK201" i="2"/>
  <c r="CE201" i="2"/>
  <c r="GV201" i="2"/>
  <c r="EG197" i="2"/>
  <c r="DV197" i="2"/>
  <c r="DW197" i="2" s="1"/>
  <c r="EI197" i="2"/>
  <c r="DY146" i="2"/>
  <c r="DZ146" i="2" s="1"/>
  <c r="EA146" i="2" s="1"/>
  <c r="DS146" i="2"/>
  <c r="DQ146" i="2"/>
  <c r="DR146" i="2" s="1"/>
  <c r="EH146" i="2"/>
  <c r="EC146" i="2"/>
  <c r="CE133" i="2"/>
  <c r="CK133" i="2"/>
  <c r="CM133" i="2"/>
  <c r="Z87" i="2"/>
  <c r="AA87" i="2"/>
  <c r="AA103" i="2"/>
  <c r="Z103" i="2"/>
  <c r="AA67" i="2"/>
  <c r="Z67" i="2"/>
  <c r="FR198" i="2" a="1"/>
  <c r="FR198" i="2" s="1"/>
  <c r="EC60" i="2"/>
  <c r="DY60" i="2"/>
  <c r="DZ60" i="2" s="1"/>
  <c r="EA60" i="2" s="1"/>
  <c r="DQ60" i="2"/>
  <c r="DR60" i="2" s="1"/>
  <c r="EH60" i="2"/>
  <c r="DS60" i="2"/>
  <c r="GV73" i="2"/>
  <c r="GW73" i="2" s="1"/>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393" i="2"/>
  <c r="CE393" i="2"/>
  <c r="CK393" i="2"/>
  <c r="EG270" i="2"/>
  <c r="DV270" i="2"/>
  <c r="DW270" i="2" s="1"/>
  <c r="EI270" i="2"/>
  <c r="CK215" i="2"/>
  <c r="CM215" i="2"/>
  <c r="CE215" i="2"/>
  <c r="CK368" i="2"/>
  <c r="CM368" i="2"/>
  <c r="CE368" i="2"/>
  <c r="FZ390" i="2"/>
  <c r="GA390" i="2" s="1"/>
  <c r="GV372" i="2"/>
  <c r="GW372" i="2" s="1"/>
  <c r="GV349" i="2"/>
  <c r="GW349" i="2" s="1"/>
  <c r="CM383" i="2"/>
  <c r="GV383" i="2"/>
  <c r="GW383" i="2" s="1"/>
  <c r="CK383" i="2"/>
  <c r="CE383" i="2"/>
  <c r="CM372" i="2"/>
  <c r="CK372" i="2"/>
  <c r="CE372" i="2"/>
  <c r="EC391" i="2"/>
  <c r="DY391" i="2"/>
  <c r="DZ391" i="2" s="1"/>
  <c r="EA391" i="2" s="1"/>
  <c r="DQ391" i="2"/>
  <c r="DR391" i="2" s="1"/>
  <c r="EH391" i="2"/>
  <c r="DS391" i="2"/>
  <c r="DV393" i="2"/>
  <c r="DW393" i="2" s="1"/>
  <c r="EG393" i="2"/>
  <c r="EI393" i="2"/>
  <c r="DV380" i="2"/>
  <c r="DW380" i="2" s="1"/>
  <c r="EG380" i="2"/>
  <c r="EI380" i="2"/>
  <c r="EG372" i="2"/>
  <c r="EI372" i="2"/>
  <c r="DV372" i="2"/>
  <c r="DW372" i="2" s="1"/>
  <c r="Z371" i="2"/>
  <c r="EI370" i="2"/>
  <c r="EG370" i="2"/>
  <c r="DV370" i="2"/>
  <c r="DW370" i="2" s="1"/>
  <c r="FR339" i="2" a="1"/>
  <c r="FR339" i="2" s="1"/>
  <c r="CK328" i="2"/>
  <c r="GV328" i="2"/>
  <c r="GW328" i="2" s="1"/>
  <c r="CE328" i="2"/>
  <c r="CM328" i="2"/>
  <c r="EH331" i="2"/>
  <c r="EC331" i="2"/>
  <c r="DY331" i="2"/>
  <c r="DZ331" i="2" s="1"/>
  <c r="EA331" i="2" s="1"/>
  <c r="DS331" i="2"/>
  <c r="DQ331" i="2"/>
  <c r="DR331" i="2" s="1"/>
  <c r="Z305" i="2"/>
  <c r="AA305" i="2"/>
  <c r="FR325" i="2" a="1"/>
  <c r="FR325" i="2" s="1"/>
  <c r="DY335" i="2"/>
  <c r="DZ335" i="2" s="1"/>
  <c r="EA335" i="2" s="1"/>
  <c r="DQ335" i="2"/>
  <c r="DR335" i="2" s="1"/>
  <c r="EH335" i="2"/>
  <c r="EC335" i="2"/>
  <c r="DS335" i="2"/>
  <c r="GV321" i="2"/>
  <c r="GW321" i="2" s="1"/>
  <c r="CK321" i="2"/>
  <c r="CM321" i="2"/>
  <c r="CE321" i="2"/>
  <c r="EG364" i="2"/>
  <c r="DV364" i="2"/>
  <c r="DW364" i="2" s="1"/>
  <c r="EI364" i="2"/>
  <c r="AA314" i="2"/>
  <c r="Z314" i="2"/>
  <c r="EC300" i="2"/>
  <c r="EH300" i="2"/>
  <c r="DY300" i="2"/>
  <c r="DZ300" i="2" s="1"/>
  <c r="EA300" i="2" s="1"/>
  <c r="DS300" i="2"/>
  <c r="DQ300" i="2"/>
  <c r="DR300" i="2" s="1"/>
  <c r="EC289" i="2"/>
  <c r="DY289" i="2"/>
  <c r="DZ289" i="2" s="1"/>
  <c r="EA289" i="2" s="1"/>
  <c r="DS289" i="2"/>
  <c r="DQ289" i="2"/>
  <c r="DR289" i="2" s="1"/>
  <c r="EH289" i="2"/>
  <c r="AA274" i="2"/>
  <c r="Z274" i="2"/>
  <c r="EC288" i="2"/>
  <c r="DS288" i="2"/>
  <c r="DQ288" i="2"/>
  <c r="DR288" i="2" s="1"/>
  <c r="EH288" i="2"/>
  <c r="DY288" i="2"/>
  <c r="DZ288" i="2" s="1"/>
  <c r="EA288" i="2" s="1"/>
  <c r="DS283" i="2"/>
  <c r="DQ283" i="2"/>
  <c r="DR283" i="2" s="1"/>
  <c r="EH283" i="2"/>
  <c r="EC283" i="2"/>
  <c r="DY283" i="2"/>
  <c r="DZ283" i="2" s="1"/>
  <c r="EA283" i="2" s="1"/>
  <c r="CK289" i="2"/>
  <c r="CM289" i="2"/>
  <c r="CE289" i="2"/>
  <c r="DV273" i="2"/>
  <c r="DW273" i="2" s="1"/>
  <c r="EI273" i="2"/>
  <c r="EG273" i="2"/>
  <c r="EI260" i="2"/>
  <c r="DV260" i="2"/>
  <c r="DW260" i="2" s="1"/>
  <c r="FZ311" i="2"/>
  <c r="GA311" i="2" s="1"/>
  <c r="EH311" i="2"/>
  <c r="EC311" i="2"/>
  <c r="DY311" i="2"/>
  <c r="DZ311" i="2" s="1"/>
  <c r="EA311" i="2" s="1"/>
  <c r="DS311" i="2"/>
  <c r="DQ311" i="2"/>
  <c r="DR311" i="2" s="1"/>
  <c r="DV392" i="2"/>
  <c r="DW392" i="2" s="1"/>
  <c r="EI392" i="2"/>
  <c r="EG392" i="2"/>
  <c r="DY250" i="2"/>
  <c r="DZ250" i="2" s="1"/>
  <c r="EA250" i="2" s="1"/>
  <c r="DQ250" i="2"/>
  <c r="DR250" i="2" s="1"/>
  <c r="EH250" i="2"/>
  <c r="EC250" i="2"/>
  <c r="DS250" i="2"/>
  <c r="DS232" i="2"/>
  <c r="DQ232" i="2"/>
  <c r="DR232" i="2" s="1"/>
  <c r="EH232" i="2"/>
  <c r="EC232" i="2"/>
  <c r="DY232" i="2"/>
  <c r="DZ232" i="2" s="1"/>
  <c r="EA232" i="2" s="1"/>
  <c r="CE238" i="2"/>
  <c r="CK238" i="2"/>
  <c r="CM238" i="2"/>
  <c r="GV238" i="2"/>
  <c r="GW238" i="2" s="1"/>
  <c r="EH292" i="2"/>
  <c r="DY292" i="2"/>
  <c r="DZ292" i="2" s="1"/>
  <c r="EA292" i="2" s="1"/>
  <c r="DS292" i="2"/>
  <c r="DQ292" i="2"/>
  <c r="DR292" i="2" s="1"/>
  <c r="EC292" i="2"/>
  <c r="EG222" i="2"/>
  <c r="EI222" i="2"/>
  <c r="DV222" i="2"/>
  <c r="DW222" i="2" s="1"/>
  <c r="DY240" i="2"/>
  <c r="DZ240" i="2" s="1"/>
  <c r="EA240" i="2" s="1"/>
  <c r="DS240" i="2"/>
  <c r="DQ240" i="2"/>
  <c r="DR240" i="2" s="1"/>
  <c r="EH240" i="2"/>
  <c r="EC240" i="2"/>
  <c r="EE240" i="2" s="1"/>
  <c r="EF240" i="2" s="1"/>
  <c r="EG240" i="2" s="1"/>
  <c r="AA187" i="2"/>
  <c r="Z187" i="2"/>
  <c r="CE208" i="2"/>
  <c r="GV208" i="2"/>
  <c r="GW208" i="2" s="1"/>
  <c r="CK208" i="2"/>
  <c r="CM208" i="2"/>
  <c r="CE203" i="2"/>
  <c r="GV203" i="2"/>
  <c r="GW203" i="2" s="1"/>
  <c r="CK203" i="2"/>
  <c r="CM203" i="2"/>
  <c r="EG180" i="2"/>
  <c r="DV180" i="2"/>
  <c r="DW180" i="2" s="1"/>
  <c r="EI180" i="2"/>
  <c r="CK162" i="2"/>
  <c r="CM162" i="2"/>
  <c r="CE162" i="2"/>
  <c r="GV162" i="2"/>
  <c r="GW162" i="2" s="1"/>
  <c r="EH197" i="2"/>
  <c r="EC197" i="2"/>
  <c r="DY197" i="2"/>
  <c r="DZ197" i="2" s="1"/>
  <c r="EA197" i="2" s="1"/>
  <c r="DS197" i="2"/>
  <c r="DQ197" i="2"/>
  <c r="DR197" i="2" s="1"/>
  <c r="FR183" i="2" a="1"/>
  <c r="FR183" i="2" s="1"/>
  <c r="CK164" i="2"/>
  <c r="CM164" i="2"/>
  <c r="CE164" i="2"/>
  <c r="GV164" i="2"/>
  <c r="GW164" i="2" s="1"/>
  <c r="DY145" i="2"/>
  <c r="DZ145" i="2" s="1"/>
  <c r="EA145" i="2" s="1"/>
  <c r="DS145" i="2"/>
  <c r="DQ145" i="2"/>
  <c r="DR145" i="2" s="1"/>
  <c r="EH145" i="2"/>
  <c r="EC145" i="2"/>
  <c r="CK228" i="2"/>
  <c r="CE228" i="2"/>
  <c r="GV22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391" i="2"/>
  <c r="CE391" i="2"/>
  <c r="CK391" i="2"/>
  <c r="Z302" i="2"/>
  <c r="AA302" i="2"/>
  <c r="AA71" i="2"/>
  <c r="Z71" i="2"/>
  <c r="CM389" i="2"/>
  <c r="CK389" i="2"/>
  <c r="CE389" i="2"/>
  <c r="Z309" i="2"/>
  <c r="AA309" i="2"/>
  <c r="DY380" i="2"/>
  <c r="DZ380" i="2" s="1"/>
  <c r="EA380" i="2" s="1"/>
  <c r="DS380" i="2"/>
  <c r="DQ380" i="2"/>
  <c r="DR380" i="2" s="1"/>
  <c r="EH380" i="2"/>
  <c r="EC380" i="2"/>
  <c r="EH370" i="2"/>
  <c r="DY370" i="2"/>
  <c r="DZ370" i="2" s="1"/>
  <c r="EA370" i="2" s="1"/>
  <c r="EC370" i="2"/>
  <c r="DS370" i="2"/>
  <c r="DQ370" i="2"/>
  <c r="DR370" i="2" s="1"/>
  <c r="CE348" i="2"/>
  <c r="GV348" i="2"/>
  <c r="GW348" i="2" s="1"/>
  <c r="CK348" i="2"/>
  <c r="CM348" i="2"/>
  <c r="CK326" i="2"/>
  <c r="GV326" i="2"/>
  <c r="GW326" i="2" s="1"/>
  <c r="CM326" i="2"/>
  <c r="CE326" i="2"/>
  <c r="EI329" i="2"/>
  <c r="EG329" i="2"/>
  <c r="DV329" i="2"/>
  <c r="DW329" i="2" s="1"/>
  <c r="DS279" i="2"/>
  <c r="EH279" i="2"/>
  <c r="EC279" i="2"/>
  <c r="DY279" i="2"/>
  <c r="DZ279" i="2" s="1"/>
  <c r="EA279" i="2" s="1"/>
  <c r="DQ279" i="2"/>
  <c r="DR279" i="2" s="1"/>
  <c r="CE283" i="2"/>
  <c r="CK283" i="2"/>
  <c r="CM283" i="2"/>
  <c r="EI288" i="2"/>
  <c r="EG288" i="2"/>
  <c r="DV288" i="2"/>
  <c r="DW288" i="2" s="1"/>
  <c r="DV283" i="2"/>
  <c r="DW283" i="2" s="1"/>
  <c r="EI283" i="2"/>
  <c r="EG283" i="2"/>
  <c r="AA277" i="2"/>
  <c r="Z277" i="2"/>
  <c r="EH273" i="2"/>
  <c r="DY273" i="2"/>
  <c r="DZ273" i="2" s="1"/>
  <c r="EA273" i="2" s="1"/>
  <c r="DS273" i="2"/>
  <c r="DQ273" i="2"/>
  <c r="DR273" i="2" s="1"/>
  <c r="EC273" i="2"/>
  <c r="DQ260" i="2"/>
  <c r="DR260" i="2" s="1"/>
  <c r="EH260" i="2"/>
  <c r="EC260" i="2"/>
  <c r="EE260" i="2" s="1"/>
  <c r="EF260" i="2" s="1"/>
  <c r="EG260" i="2" s="1"/>
  <c r="DY260" i="2"/>
  <c r="DZ260" i="2" s="1"/>
  <c r="EA260" i="2" s="1"/>
  <c r="DS260" i="2"/>
  <c r="Z128" i="2"/>
  <c r="AA128" i="2"/>
  <c r="FO167" i="2"/>
  <c r="EI250" i="2"/>
  <c r="EG250" i="2"/>
  <c r="DV250" i="2"/>
  <c r="DW250" i="2" s="1"/>
  <c r="DS231" i="2"/>
  <c r="DQ231" i="2"/>
  <c r="DR231" i="2" s="1"/>
  <c r="EH231" i="2"/>
  <c r="EC231" i="2"/>
  <c r="DY231" i="2"/>
  <c r="DZ231" i="2" s="1"/>
  <c r="EA231" i="2" s="1"/>
  <c r="DY257" i="2"/>
  <c r="DZ257" i="2" s="1"/>
  <c r="EA257" i="2" s="1"/>
  <c r="DS257" i="2"/>
  <c r="DQ257" i="2"/>
  <c r="DR257" i="2" s="1"/>
  <c r="EH257" i="2"/>
  <c r="EC257" i="2"/>
  <c r="CK234" i="2"/>
  <c r="CM234" i="2"/>
  <c r="GV234" i="2"/>
  <c r="GW234" i="2" s="1"/>
  <c r="CE234" i="2"/>
  <c r="DV292" i="2"/>
  <c r="DW292" i="2" s="1"/>
  <c r="EI292" i="2"/>
  <c r="EG292" i="2"/>
  <c r="EI240" i="2"/>
  <c r="DV240" i="2"/>
  <c r="DW240" i="2" s="1"/>
  <c r="GV213" i="2"/>
  <c r="GW213" i="2" s="1"/>
  <c r="AA186" i="2"/>
  <c r="Z186" i="2"/>
  <c r="FR155" i="2" a="1"/>
  <c r="FR155" i="2" s="1"/>
  <c r="DY144" i="2"/>
  <c r="DZ144" i="2" s="1"/>
  <c r="EA144" i="2" s="1"/>
  <c r="DS144" i="2"/>
  <c r="DQ144" i="2"/>
  <c r="DR144" i="2" s="1"/>
  <c r="EH144" i="2"/>
  <c r="EC144" i="2"/>
  <c r="CK160" i="2"/>
  <c r="CM160" i="2"/>
  <c r="CE160" i="2"/>
  <c r="GV160" i="2"/>
  <c r="GW160" i="2" s="1"/>
  <c r="FR143" i="2" a="1"/>
  <c r="FR143" i="2" s="1"/>
  <c r="GV136" i="2"/>
  <c r="GW136" i="2" s="1"/>
  <c r="AA109" i="2"/>
  <c r="Z109" i="2"/>
  <c r="Z166" i="2"/>
  <c r="AA166"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369" i="2"/>
  <c r="CM369" i="2"/>
  <c r="GV369" i="2"/>
  <c r="GW369" i="2" s="1"/>
  <c r="CE369" i="2"/>
  <c r="CK355" i="2"/>
  <c r="CM355" i="2"/>
  <c r="CE355" i="2"/>
  <c r="CK222" i="2"/>
  <c r="CM222" i="2"/>
  <c r="GV222" i="2"/>
  <c r="GW222" i="2" s="1"/>
  <c r="CE222" i="2"/>
  <c r="DY18" i="2"/>
  <c r="DZ18" i="2" s="1"/>
  <c r="EA18" i="2" s="1"/>
  <c r="EH18" i="2"/>
  <c r="EC18" i="2"/>
  <c r="DS18" i="2"/>
  <c r="DQ18" i="2"/>
  <c r="DR18" i="2" s="1"/>
  <c r="CK376" i="2"/>
  <c r="CE376" i="2"/>
  <c r="CM376" i="2"/>
  <c r="GV376" i="2"/>
  <c r="GW376" i="2" s="1"/>
  <c r="DV192" i="2"/>
  <c r="DW192" i="2" s="1"/>
  <c r="EI192" i="2"/>
  <c r="EG192" i="2"/>
  <c r="GV391" i="2"/>
  <c r="EC375" i="2"/>
  <c r="EH375" i="2"/>
  <c r="DY375" i="2"/>
  <c r="DZ375" i="2" s="1"/>
  <c r="EA375" i="2" s="1"/>
  <c r="DS375" i="2"/>
  <c r="DQ375" i="2"/>
  <c r="DR375" i="2" s="1"/>
  <c r="EC393" i="2"/>
  <c r="DY393" i="2"/>
  <c r="DZ393" i="2" s="1"/>
  <c r="EA393" i="2" s="1"/>
  <c r="DQ393" i="2"/>
  <c r="DR393" i="2" s="1"/>
  <c r="EH393" i="2"/>
  <c r="DS393" i="2"/>
  <c r="CK378" i="2"/>
  <c r="CE378" i="2"/>
  <c r="GV378" i="2"/>
  <c r="GW378" i="2" s="1"/>
  <c r="CM378" i="2"/>
  <c r="CM384" i="2"/>
  <c r="GV384" i="2"/>
  <c r="GW384" i="2" s="1"/>
  <c r="CE384" i="2"/>
  <c r="CK384" i="2"/>
  <c r="EC383" i="2"/>
  <c r="EE383" i="2" s="1"/>
  <c r="EF383" i="2" s="1"/>
  <c r="DY383" i="2"/>
  <c r="DZ383" i="2" s="1"/>
  <c r="EA383" i="2" s="1"/>
  <c r="EH383" i="2"/>
  <c r="DS383" i="2"/>
  <c r="DQ383" i="2"/>
  <c r="DR383" i="2" s="1"/>
  <c r="DV383" i="2"/>
  <c r="DW383" i="2" s="1"/>
  <c r="EG383" i="2"/>
  <c r="EI383" i="2"/>
  <c r="DV369" i="2"/>
  <c r="DW369" i="2" s="1"/>
  <c r="EI369" i="2"/>
  <c r="EG369" i="2"/>
  <c r="FW354" i="2"/>
  <c r="FX354" i="2" s="1" a="1"/>
  <c r="FX354" i="2" s="1"/>
  <c r="FR354" i="2" a="1"/>
  <c r="FR354" i="2" s="1"/>
  <c r="FR349" i="2" a="1"/>
  <c r="FR349" i="2" s="1"/>
  <c r="GV386" i="2"/>
  <c r="EC340" i="2"/>
  <c r="DY340" i="2"/>
  <c r="DZ340" i="2" s="1"/>
  <c r="EA340" i="2" s="1"/>
  <c r="DS340" i="2"/>
  <c r="EH340" i="2"/>
  <c r="DQ340" i="2"/>
  <c r="DR340" i="2" s="1"/>
  <c r="EC342" i="2"/>
  <c r="DY342" i="2"/>
  <c r="DZ342" i="2" s="1"/>
  <c r="EA342" i="2" s="1"/>
  <c r="DS342" i="2"/>
  <c r="EH342" i="2"/>
  <c r="DQ342" i="2"/>
  <c r="DR342" i="2" s="1"/>
  <c r="EH329" i="2"/>
  <c r="EC329" i="2"/>
  <c r="DY329" i="2"/>
  <c r="DZ329" i="2" s="1"/>
  <c r="EA329" i="2" s="1"/>
  <c r="DS329" i="2"/>
  <c r="DQ329" i="2"/>
  <c r="DR329" i="2" s="1"/>
  <c r="EC298" i="2"/>
  <c r="DY298" i="2"/>
  <c r="DZ298" i="2" s="1"/>
  <c r="EA298" i="2" s="1"/>
  <c r="DS298" i="2"/>
  <c r="DQ298" i="2"/>
  <c r="DR298" i="2" s="1"/>
  <c r="EH298" i="2"/>
  <c r="DS278" i="2"/>
  <c r="EH278" i="2"/>
  <c r="EC278" i="2"/>
  <c r="DY278" i="2"/>
  <c r="DZ278" i="2" s="1"/>
  <c r="EA278" i="2" s="1"/>
  <c r="DQ278" i="2"/>
  <c r="DR278" i="2" s="1"/>
  <c r="FR296" i="2" a="1"/>
  <c r="FR296" i="2" s="1"/>
  <c r="CE282" i="2"/>
  <c r="CK282" i="2"/>
  <c r="CM282" i="2"/>
  <c r="AA278" i="2"/>
  <c r="Z278" i="2"/>
  <c r="AA272" i="2"/>
  <c r="Z272" i="2"/>
  <c r="DS280" i="2"/>
  <c r="DQ280" i="2"/>
  <c r="DR280" i="2" s="1"/>
  <c r="EH280" i="2"/>
  <c r="EC280" i="2"/>
  <c r="DY280" i="2"/>
  <c r="DZ280" i="2" s="1"/>
  <c r="EA280" i="2" s="1"/>
  <c r="AA283" i="2"/>
  <c r="Z283" i="2"/>
  <c r="GV273" i="2"/>
  <c r="GW273" i="2" s="1"/>
  <c r="GV311" i="2"/>
  <c r="CE248" i="2"/>
  <c r="CM248" i="2"/>
  <c r="GV248" i="2"/>
  <c r="GW248" i="2" s="1"/>
  <c r="CK248" i="2"/>
  <c r="DS230" i="2"/>
  <c r="DQ230" i="2"/>
  <c r="DR230" i="2" s="1"/>
  <c r="EH230" i="2"/>
  <c r="EC230" i="2"/>
  <c r="DY230" i="2"/>
  <c r="DZ230" i="2" s="1"/>
  <c r="EA230" i="2" s="1"/>
  <c r="CE245" i="2"/>
  <c r="CK245" i="2"/>
  <c r="CM245" i="2"/>
  <c r="GV245" i="2"/>
  <c r="GW245" i="2" s="1"/>
  <c r="DV257" i="2"/>
  <c r="DW257" i="2" s="1"/>
  <c r="EI257" i="2"/>
  <c r="EG257" i="2"/>
  <c r="CK233" i="2"/>
  <c r="CM233" i="2"/>
  <c r="CE233" i="2"/>
  <c r="GV233" i="2"/>
  <c r="GW233" i="2" s="1"/>
  <c r="DY243" i="2"/>
  <c r="DZ243" i="2" s="1"/>
  <c r="EA243" i="2" s="1"/>
  <c r="EC243" i="2"/>
  <c r="DS243" i="2"/>
  <c r="DQ243" i="2"/>
  <c r="DR243" i="2" s="1"/>
  <c r="EH243" i="2"/>
  <c r="EH221" i="2"/>
  <c r="DY221" i="2"/>
  <c r="DZ221" i="2" s="1"/>
  <c r="EA221" i="2" s="1"/>
  <c r="DQ221" i="2"/>
  <c r="DR221" i="2" s="1"/>
  <c r="EC221" i="2"/>
  <c r="DS221" i="2"/>
  <c r="AA185" i="2"/>
  <c r="Z185" i="2"/>
  <c r="FR181" i="2" a="1"/>
  <c r="FR181" i="2" s="1"/>
  <c r="GV180" i="2"/>
  <c r="GW180" i="2" s="1"/>
  <c r="FR197" i="2" a="1"/>
  <c r="FR197" i="2" s="1"/>
  <c r="CE174" i="2"/>
  <c r="CK174" i="2"/>
  <c r="CM174" i="2"/>
  <c r="GV174" i="2"/>
  <c r="GW174" i="2" s="1"/>
  <c r="CK157" i="2"/>
  <c r="CE157" i="2"/>
  <c r="GV157" i="2"/>
  <c r="GW157" i="2" s="1"/>
  <c r="CM157" i="2"/>
  <c r="CK158" i="2"/>
  <c r="CM158" i="2"/>
  <c r="CE158" i="2"/>
  <c r="GV158" i="2"/>
  <c r="GW158" i="2" s="1"/>
  <c r="FR157" i="2" a="1"/>
  <c r="FR157" i="2" s="1"/>
  <c r="CK11" i="2"/>
  <c r="CM11" i="2"/>
  <c r="CE11" i="2"/>
  <c r="GV11" i="2"/>
  <c r="GW11" i="2" s="1"/>
  <c r="GV149" i="2"/>
  <c r="GW149" i="2" s="1"/>
  <c r="DY143" i="2"/>
  <c r="DZ143" i="2" s="1"/>
  <c r="EA143" i="2" s="1"/>
  <c r="DS143" i="2"/>
  <c r="DQ143" i="2"/>
  <c r="DR143" i="2" s="1"/>
  <c r="EH143" i="2"/>
  <c r="EC143"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13" i="2"/>
  <c r="DQ313" i="2"/>
  <c r="DR313" i="2" s="1"/>
  <c r="EH313" i="2"/>
  <c r="EC313" i="2"/>
  <c r="DY313" i="2"/>
  <c r="DZ313" i="2" s="1"/>
  <c r="EA313" i="2" s="1"/>
  <c r="GV313" i="2"/>
  <c r="GW313"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375" i="2"/>
  <c r="CE375" i="2"/>
  <c r="GV375" i="2"/>
  <c r="GW375" i="2" s="1"/>
  <c r="CM375" i="2"/>
  <c r="DV281" i="2"/>
  <c r="DW281" i="2" s="1"/>
  <c r="EI281" i="2"/>
  <c r="EG281" i="2"/>
  <c r="DY120" i="2"/>
  <c r="DZ120" i="2" s="1"/>
  <c r="EA120" i="2" s="1"/>
  <c r="DS120" i="2"/>
  <c r="DQ120" i="2"/>
  <c r="DR120" i="2" s="1"/>
  <c r="EH120" i="2"/>
  <c r="EC120" i="2"/>
  <c r="DV189" i="2"/>
  <c r="DW189" i="2" s="1"/>
  <c r="EI189" i="2"/>
  <c r="EG189" i="2"/>
  <c r="FR373" i="2" a="1"/>
  <c r="FR373" i="2" s="1"/>
  <c r="DV387" i="2"/>
  <c r="DW387" i="2" s="1"/>
  <c r="EG387" i="2"/>
  <c r="EI387" i="2"/>
  <c r="EH369" i="2"/>
  <c r="DY369" i="2"/>
  <c r="DZ369" i="2" s="1"/>
  <c r="EA369" i="2" s="1"/>
  <c r="EC369" i="2"/>
  <c r="DS369" i="2"/>
  <c r="DQ369" i="2"/>
  <c r="DR369" i="2" s="1"/>
  <c r="FR348" i="2" a="1"/>
  <c r="FR348" i="2" s="1"/>
  <c r="CK337" i="2"/>
  <c r="CM337" i="2"/>
  <c r="CE337" i="2"/>
  <c r="GV337" i="2"/>
  <c r="GW337" i="2" s="1"/>
  <c r="FR341" i="2" a="1"/>
  <c r="FR341" i="2" s="1"/>
  <c r="EG340" i="2"/>
  <c r="DV340" i="2"/>
  <c r="DW340" i="2" s="1"/>
  <c r="EI340" i="2"/>
  <c r="EC341" i="2"/>
  <c r="DY341" i="2"/>
  <c r="DZ341" i="2" s="1"/>
  <c r="EA341" i="2" s="1"/>
  <c r="DS341" i="2"/>
  <c r="DQ341" i="2"/>
  <c r="DR341" i="2" s="1"/>
  <c r="EH341" i="2"/>
  <c r="EI319" i="2"/>
  <c r="EG319" i="2"/>
  <c r="DV319" i="2"/>
  <c r="DW319" i="2" s="1"/>
  <c r="Z303" i="2"/>
  <c r="AA303" i="2"/>
  <c r="EC297" i="2"/>
  <c r="DY297" i="2"/>
  <c r="DZ297" i="2" s="1"/>
  <c r="EA297" i="2" s="1"/>
  <c r="DS297" i="2"/>
  <c r="DQ297" i="2"/>
  <c r="DR297" i="2" s="1"/>
  <c r="EH297" i="2"/>
  <c r="FR310" i="2" a="1"/>
  <c r="FR310" i="2" s="1"/>
  <c r="EC306" i="2"/>
  <c r="DY306" i="2"/>
  <c r="DZ306" i="2" s="1"/>
  <c r="EA306" i="2" s="1"/>
  <c r="DS306" i="2"/>
  <c r="DQ306" i="2"/>
  <c r="DR306" i="2" s="1"/>
  <c r="EH306" i="2"/>
  <c r="EC304" i="2"/>
  <c r="DY304" i="2"/>
  <c r="DZ304" i="2" s="1"/>
  <c r="EA304" i="2" s="1"/>
  <c r="DS304" i="2"/>
  <c r="EH304" i="2"/>
  <c r="DQ304" i="2"/>
  <c r="DR304" i="2" s="1"/>
  <c r="CE281" i="2"/>
  <c r="CK281" i="2"/>
  <c r="CM281" i="2"/>
  <c r="AA271" i="2"/>
  <c r="Z271" i="2"/>
  <c r="DV280" i="2"/>
  <c r="DW280" i="2" s="1"/>
  <c r="EI280" i="2"/>
  <c r="EG280" i="2"/>
  <c r="GV287" i="2"/>
  <c r="GW287" i="2" s="1"/>
  <c r="FW274" i="2"/>
  <c r="FX274" i="2" s="1" a="1"/>
  <c r="FX274" i="2" s="1"/>
  <c r="FR274" i="2" a="1"/>
  <c r="FR274" i="2" s="1"/>
  <c r="AA282" i="2"/>
  <c r="Z282" i="2"/>
  <c r="AA275" i="2"/>
  <c r="Z275" i="2"/>
  <c r="FW276" i="2"/>
  <c r="FX276" i="2" s="1" a="1"/>
  <c r="FX276" i="2" s="1"/>
  <c r="FR276" i="2" a="1"/>
  <c r="FR276" i="2" s="1"/>
  <c r="CK261" i="2"/>
  <c r="CE261" i="2"/>
  <c r="GV261" i="2"/>
  <c r="CM261" i="2"/>
  <c r="FR239" i="2" a="1"/>
  <c r="FR239" i="2" s="1"/>
  <c r="DY167" i="2"/>
  <c r="DZ167" i="2" s="1"/>
  <c r="EA167" i="2" s="1"/>
  <c r="DS167" i="2"/>
  <c r="DQ167" i="2"/>
  <c r="DR167" i="2" s="1"/>
  <c r="EH167" i="2"/>
  <c r="EC167" i="2"/>
  <c r="CE237" i="2"/>
  <c r="CM237" i="2"/>
  <c r="GV237" i="2"/>
  <c r="GW237" i="2" s="1"/>
  <c r="CK237" i="2"/>
  <c r="CK232" i="2"/>
  <c r="CM232" i="2"/>
  <c r="CE232" i="2"/>
  <c r="GV232" i="2"/>
  <c r="GW232" i="2" s="1"/>
  <c r="GV167" i="2"/>
  <c r="CK292" i="2"/>
  <c r="GV292" i="2"/>
  <c r="CM292" i="2"/>
  <c r="CE292" i="2"/>
  <c r="EG221" i="2"/>
  <c r="EI221" i="2"/>
  <c r="DV221" i="2"/>
  <c r="DW221" i="2" s="1"/>
  <c r="AA184" i="2"/>
  <c r="Z184" i="2"/>
  <c r="FR208" i="2" a="1"/>
  <c r="FR208" i="2" s="1"/>
  <c r="FR209" i="2" a="1"/>
  <c r="FR209" i="2" s="1"/>
  <c r="EC201" i="2"/>
  <c r="DY201" i="2"/>
  <c r="DZ201" i="2" s="1"/>
  <c r="EA201" i="2" s="1"/>
  <c r="DQ201" i="2"/>
  <c r="DR201" i="2" s="1"/>
  <c r="EH201" i="2"/>
  <c r="DS201"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DS103" i="2"/>
  <c r="DQ103" i="2"/>
  <c r="DR103" i="2" s="1"/>
  <c r="EH103" i="2"/>
  <c r="EC103" i="2"/>
  <c r="DY103" i="2"/>
  <c r="DZ103" i="2" s="1"/>
  <c r="EA103" i="2" s="1"/>
  <c r="EG87" i="2"/>
  <c r="DV87" i="2"/>
  <c r="DW87" i="2" s="1"/>
  <c r="EI87" i="2"/>
  <c r="EI313" i="2"/>
  <c r="EG313" i="2"/>
  <c r="DV313" i="2"/>
  <c r="DW313" i="2" s="1"/>
  <c r="EG97" i="2"/>
  <c r="DV97" i="2"/>
  <c r="DW97" i="2" s="1"/>
  <c r="EI97" i="2"/>
  <c r="EG89" i="2"/>
  <c r="DV89" i="2"/>
  <c r="DW89" i="2" s="1"/>
  <c r="EI89" i="2"/>
  <c r="DV161" i="2"/>
  <c r="DW161" i="2" s="1"/>
  <c r="EI161" i="2"/>
  <c r="EG161" i="2"/>
  <c r="GV61" i="2"/>
  <c r="GW61" i="2" s="1"/>
  <c r="EC371" i="2"/>
  <c r="DQ371" i="2"/>
  <c r="DR371" i="2" s="1"/>
  <c r="EH371" i="2"/>
  <c r="DY371" i="2"/>
  <c r="DZ371" i="2" s="1"/>
  <c r="EA371" i="2" s="1"/>
  <c r="DS371" i="2"/>
  <c r="DY267" i="2"/>
  <c r="DZ267" i="2" s="1"/>
  <c r="EA267" i="2" s="1"/>
  <c r="DS267" i="2"/>
  <c r="DQ267" i="2"/>
  <c r="DR267" i="2" s="1"/>
  <c r="EH267" i="2"/>
  <c r="EC267" i="2"/>
  <c r="DV132" i="2"/>
  <c r="DW132" i="2" s="1"/>
  <c r="EG132" i="2"/>
  <c r="EI132" i="2"/>
  <c r="EC71" i="2"/>
  <c r="DY71" i="2"/>
  <c r="DZ71" i="2" s="1"/>
  <c r="EA71" i="2" s="1"/>
  <c r="DS71" i="2"/>
  <c r="DQ71" i="2"/>
  <c r="DR71" i="2" s="1"/>
  <c r="EH71" i="2"/>
  <c r="FR56" i="2" a="1"/>
  <c r="FR56" i="2" s="1"/>
  <c r="FW56" i="2"/>
  <c r="FX56" i="2" s="1" a="1"/>
  <c r="FX56" i="2" s="1"/>
  <c r="EC305" i="2"/>
  <c r="DY305" i="2"/>
  <c r="DZ305" i="2" s="1"/>
  <c r="EA305" i="2" s="1"/>
  <c r="DS305" i="2"/>
  <c r="EH305" i="2"/>
  <c r="DQ305" i="2"/>
  <c r="DR305" i="2" s="1"/>
  <c r="DS290" i="2"/>
  <c r="EC290" i="2"/>
  <c r="DY290" i="2"/>
  <c r="DZ290" i="2" s="1"/>
  <c r="EA290" i="2" s="1"/>
  <c r="DQ290" i="2"/>
  <c r="DR290" i="2" s="1"/>
  <c r="EH290" i="2"/>
  <c r="EI255" i="2"/>
  <c r="EG255" i="2"/>
  <c r="DV255" i="2"/>
  <c r="DW255" i="2" s="1"/>
  <c r="CM382" i="2"/>
  <c r="CE382" i="2"/>
  <c r="CK382" i="2"/>
  <c r="CK367" i="2"/>
  <c r="CM367" i="2"/>
  <c r="CE367" i="2"/>
  <c r="DY372" i="2"/>
  <c r="DZ372" i="2" s="1"/>
  <c r="EA372" i="2" s="1"/>
  <c r="DQ372" i="2"/>
  <c r="DR372" i="2" s="1"/>
  <c r="EH372" i="2"/>
  <c r="EC372" i="2"/>
  <c r="DS372" i="2"/>
  <c r="GV368" i="2"/>
  <c r="GW368" i="2" s="1"/>
  <c r="EC382" i="2"/>
  <c r="DY382" i="2"/>
  <c r="DZ382" i="2" s="1"/>
  <c r="EA382" i="2" s="1"/>
  <c r="DS382" i="2"/>
  <c r="DQ382" i="2"/>
  <c r="DR382" i="2" s="1"/>
  <c r="EH382" i="2"/>
  <c r="EC387" i="2"/>
  <c r="DY387" i="2"/>
  <c r="DZ387" i="2" s="1"/>
  <c r="EA387" i="2" s="1"/>
  <c r="DQ387" i="2"/>
  <c r="DR387" i="2" s="1"/>
  <c r="EH387" i="2"/>
  <c r="DS387" i="2"/>
  <c r="DV391" i="2"/>
  <c r="DW391" i="2" s="1"/>
  <c r="EG391" i="2"/>
  <c r="EI391" i="2"/>
  <c r="EG360" i="2"/>
  <c r="DV360" i="2"/>
  <c r="DW360" i="2" s="1"/>
  <c r="EI360" i="2"/>
  <c r="EC388" i="2"/>
  <c r="DY388" i="2"/>
  <c r="DZ388" i="2" s="1"/>
  <c r="EA388" i="2" s="1"/>
  <c r="DQ388" i="2"/>
  <c r="DR388" i="2" s="1"/>
  <c r="DS388" i="2"/>
  <c r="EH388" i="2"/>
  <c r="CM371" i="2"/>
  <c r="CK371" i="2"/>
  <c r="GV371" i="2"/>
  <c r="GW371" i="2" s="1"/>
  <c r="CE371" i="2"/>
  <c r="DV388" i="2"/>
  <c r="DW388" i="2" s="1"/>
  <c r="EG388" i="2"/>
  <c r="EI388" i="2"/>
  <c r="DV368" i="2"/>
  <c r="DW368" i="2" s="1"/>
  <c r="EI368" i="2"/>
  <c r="EG368" i="2"/>
  <c r="EG353" i="2"/>
  <c r="DV353" i="2"/>
  <c r="DW353" i="2" s="1"/>
  <c r="EI353" i="2"/>
  <c r="FK344" i="2"/>
  <c r="FR346" i="2" a="1"/>
  <c r="FR346" i="2" s="1"/>
  <c r="CE347" i="2"/>
  <c r="CK347" i="2"/>
  <c r="CM347" i="2"/>
  <c r="GV347" i="2"/>
  <c r="GW347" i="2" s="1"/>
  <c r="EG341" i="2"/>
  <c r="DV341" i="2"/>
  <c r="DW341" i="2" s="1"/>
  <c r="EI341" i="2"/>
  <c r="FW332" i="2"/>
  <c r="FX332" i="2" s="1" a="1"/>
  <c r="FX332" i="2" s="1"/>
  <c r="FR332" i="2" a="1"/>
  <c r="FR332" i="2" s="1"/>
  <c r="EI318" i="2"/>
  <c r="EG318" i="2"/>
  <c r="DV318" i="2"/>
  <c r="DW318" i="2" s="1"/>
  <c r="CK317" i="2"/>
  <c r="CM317" i="2"/>
  <c r="CE317" i="2"/>
  <c r="GV317" i="2"/>
  <c r="GW317" i="2" s="1"/>
  <c r="CM315" i="2"/>
  <c r="CE315" i="2"/>
  <c r="GV315" i="2"/>
  <c r="GW315" i="2" s="1"/>
  <c r="CK315" i="2"/>
  <c r="FR309" i="2" a="1"/>
  <c r="FR309" i="2" s="1"/>
  <c r="AA294" i="2"/>
  <c r="Z294" i="2"/>
  <c r="EG306" i="2"/>
  <c r="DV306" i="2"/>
  <c r="DW306" i="2" s="1"/>
  <c r="EI306" i="2"/>
  <c r="EC264" i="2"/>
  <c r="DY264" i="2"/>
  <c r="DZ264" i="2" s="1"/>
  <c r="EA264" i="2" s="1"/>
  <c r="DS264" i="2"/>
  <c r="DQ264" i="2"/>
  <c r="DR264" i="2" s="1"/>
  <c r="EH264" i="2"/>
  <c r="FR293" i="2" a="1"/>
  <c r="FR293" i="2" s="1"/>
  <c r="EG304" i="2"/>
  <c r="EI304" i="2"/>
  <c r="DV304" i="2"/>
  <c r="DW304" i="2" s="1"/>
  <c r="CE280" i="2"/>
  <c r="CK280" i="2"/>
  <c r="CM280" i="2"/>
  <c r="AA270" i="2"/>
  <c r="Z270" i="2"/>
  <c r="AA280" i="2"/>
  <c r="Z280" i="2"/>
  <c r="EG272" i="2"/>
  <c r="DV272" i="2"/>
  <c r="DW272" i="2" s="1"/>
  <c r="EI272" i="2"/>
  <c r="EG269" i="2"/>
  <c r="DV269" i="2"/>
  <c r="DW269" i="2" s="1"/>
  <c r="EI269" i="2"/>
  <c r="EI253" i="2"/>
  <c r="EG253" i="2"/>
  <c r="DV253" i="2"/>
  <c r="DW253" i="2" s="1"/>
  <c r="FR256" i="2" a="1"/>
  <c r="FR256" i="2" s="1"/>
  <c r="DV167" i="2"/>
  <c r="DW167" i="2" s="1"/>
  <c r="EI167" i="2"/>
  <c r="EG167" i="2"/>
  <c r="CK231" i="2"/>
  <c r="CM231" i="2"/>
  <c r="CE231" i="2"/>
  <c r="GV231" i="2"/>
  <c r="GW231" i="2" s="1"/>
  <c r="DY248" i="2"/>
  <c r="DZ248" i="2" s="1"/>
  <c r="EA248" i="2" s="1"/>
  <c r="DQ248" i="2"/>
  <c r="DR248" i="2" s="1"/>
  <c r="EH248" i="2"/>
  <c r="DS248" i="2"/>
  <c r="EC248" i="2"/>
  <c r="DY249" i="2"/>
  <c r="DZ249" i="2" s="1"/>
  <c r="EA249" i="2" s="1"/>
  <c r="DQ249" i="2"/>
  <c r="DR249" i="2" s="1"/>
  <c r="EH249" i="2"/>
  <c r="DS249" i="2"/>
  <c r="EC249" i="2"/>
  <c r="AA183" i="2"/>
  <c r="Z183" i="2"/>
  <c r="FR205" i="2" a="1"/>
  <c r="FR205" i="2" s="1"/>
  <c r="FR178" i="2" a="1"/>
  <c r="FR178" i="2" s="1"/>
  <c r="DY172" i="2"/>
  <c r="DZ172" i="2" s="1"/>
  <c r="EA172" i="2" s="1"/>
  <c r="DS172" i="2"/>
  <c r="DQ172" i="2"/>
  <c r="DR172" i="2" s="1"/>
  <c r="EH172" i="2"/>
  <c r="EC172" i="2"/>
  <c r="FR174" i="2" a="1"/>
  <c r="FR174" i="2" s="1"/>
  <c r="FR195" i="2" a="1"/>
  <c r="FR195" i="2" s="1"/>
  <c r="DY141" i="2"/>
  <c r="DZ141" i="2" s="1"/>
  <c r="EA141" i="2" s="1"/>
  <c r="DS141" i="2"/>
  <c r="DQ141" i="2"/>
  <c r="DR141" i="2" s="1"/>
  <c r="EH141" i="2"/>
  <c r="EC141" i="2"/>
  <c r="DS150" i="2"/>
  <c r="EH150" i="2"/>
  <c r="EC150" i="2"/>
  <c r="DY150" i="2"/>
  <c r="DZ150" i="2" s="1"/>
  <c r="EA150" i="2" s="1"/>
  <c r="DQ150" i="2"/>
  <c r="DR150" i="2" s="1"/>
  <c r="EC174" i="2"/>
  <c r="DY174" i="2"/>
  <c r="DZ174" i="2" s="1"/>
  <c r="EA174" i="2" s="1"/>
  <c r="DS174" i="2"/>
  <c r="DQ174" i="2"/>
  <c r="DR174" i="2" s="1"/>
  <c r="EH174" i="2"/>
  <c r="FR139" i="2" a="1"/>
  <c r="FR139" i="2" s="1"/>
  <c r="Z97" i="2"/>
  <c r="AA97" i="2"/>
  <c r="FR129" i="2" a="1"/>
  <c r="FR129" i="2" s="1"/>
  <c r="GV120" i="2"/>
  <c r="GW120" i="2" s="1"/>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356" i="2"/>
  <c r="DZ356" i="2" s="1"/>
  <c r="EA356" i="2" s="1"/>
  <c r="DS356" i="2"/>
  <c r="DQ356" i="2"/>
  <c r="DR356" i="2" s="1"/>
  <c r="EC356" i="2"/>
  <c r="EH356" i="2"/>
  <c r="FR356" i="2" a="1"/>
  <c r="FR356" i="2" s="1"/>
  <c r="AA244" i="2"/>
  <c r="Z244" i="2"/>
  <c r="Z374" i="2"/>
  <c r="AA374" i="2"/>
  <c r="FR335" i="2" a="1"/>
  <c r="FR335" i="2" s="1"/>
  <c r="FR350" i="2" a="1"/>
  <c r="FR350" i="2" s="1"/>
  <c r="FR334" i="2" a="1"/>
  <c r="FR334" i="2" s="1"/>
  <c r="EC339" i="2"/>
  <c r="DY339" i="2"/>
  <c r="DZ339" i="2" s="1"/>
  <c r="EA339" i="2" s="1"/>
  <c r="DS339" i="2"/>
  <c r="EH339" i="2"/>
  <c r="DQ339" i="2"/>
  <c r="DR339" i="2" s="1"/>
  <c r="EI327" i="2"/>
  <c r="EG327" i="2"/>
  <c r="DV327" i="2"/>
  <c r="DW327" i="2" s="1"/>
  <c r="CK332" i="2"/>
  <c r="CM332" i="2"/>
  <c r="CE332" i="2"/>
  <c r="GV332" i="2"/>
  <c r="GW332" i="2" s="1"/>
  <c r="AA293" i="2"/>
  <c r="Z293" i="2"/>
  <c r="FR304" i="2" a="1"/>
  <c r="FR304" i="2" s="1"/>
  <c r="GV290" i="2"/>
  <c r="GW290" i="2" s="1"/>
  <c r="AA266" i="2"/>
  <c r="Z266" i="2"/>
  <c r="EG264" i="2"/>
  <c r="DV264" i="2"/>
  <c r="DW264" i="2" s="1"/>
  <c r="EI264" i="2"/>
  <c r="DS276" i="2"/>
  <c r="EH276" i="2"/>
  <c r="EC276" i="2"/>
  <c r="DY276" i="2"/>
  <c r="DZ276" i="2" s="1"/>
  <c r="EA276" i="2" s="1"/>
  <c r="DQ276" i="2"/>
  <c r="DR276" i="2" s="1"/>
  <c r="AA269" i="2"/>
  <c r="Z269" i="2"/>
  <c r="EH272" i="2"/>
  <c r="EC272" i="2"/>
  <c r="DY272" i="2"/>
  <c r="DZ272" i="2" s="1"/>
  <c r="EA272" i="2" s="1"/>
  <c r="DS272" i="2"/>
  <c r="DQ272" i="2"/>
  <c r="DR272" i="2" s="1"/>
  <c r="EH269" i="2"/>
  <c r="EC269" i="2"/>
  <c r="DY269" i="2"/>
  <c r="DZ269" i="2" s="1"/>
  <c r="EA269" i="2" s="1"/>
  <c r="DS269" i="2"/>
  <c r="DQ269" i="2"/>
  <c r="DR269" i="2" s="1"/>
  <c r="FO311" i="2"/>
  <c r="EH253" i="2"/>
  <c r="DY253" i="2"/>
  <c r="DZ253" i="2" s="1"/>
  <c r="EA253" i="2" s="1"/>
  <c r="DS253" i="2"/>
  <c r="EC253" i="2"/>
  <c r="DQ253" i="2"/>
  <c r="DR253" i="2" s="1"/>
  <c r="GV255" i="2"/>
  <c r="GW255" i="2" s="1"/>
  <c r="CK230" i="2"/>
  <c r="CM230" i="2"/>
  <c r="GV230" i="2"/>
  <c r="GW230" i="2" s="1"/>
  <c r="CE230" i="2"/>
  <c r="EI248" i="2"/>
  <c r="EG248" i="2"/>
  <c r="DV248" i="2"/>
  <c r="DW248" i="2" s="1"/>
  <c r="EI249" i="2"/>
  <c r="EG249" i="2"/>
  <c r="DV249" i="2"/>
  <c r="DW249" i="2" s="1"/>
  <c r="AA182" i="2"/>
  <c r="Z182" i="2"/>
  <c r="EC187" i="2"/>
  <c r="DY187" i="2"/>
  <c r="DZ187" i="2" s="1"/>
  <c r="EA187" i="2" s="1"/>
  <c r="DS187" i="2"/>
  <c r="DQ187" i="2"/>
  <c r="DR187" i="2" s="1"/>
  <c r="EH187" i="2"/>
  <c r="FR179" i="2" a="1"/>
  <c r="FR179" i="2" s="1"/>
  <c r="DY171" i="2"/>
  <c r="DZ171" i="2" s="1"/>
  <c r="EA171" i="2" s="1"/>
  <c r="DS171" i="2"/>
  <c r="DQ171" i="2"/>
  <c r="DR171" i="2" s="1"/>
  <c r="EH171" i="2"/>
  <c r="EC171" i="2"/>
  <c r="AA149" i="2"/>
  <c r="Z149" i="2"/>
  <c r="DY140" i="2"/>
  <c r="DZ140" i="2" s="1"/>
  <c r="EA140" i="2" s="1"/>
  <c r="DS140" i="2"/>
  <c r="DQ140" i="2"/>
  <c r="DR140" i="2" s="1"/>
  <c r="EH140" i="2"/>
  <c r="EC140" i="2"/>
  <c r="AA150" i="2"/>
  <c r="Z150" i="2"/>
  <c r="EC148" i="2"/>
  <c r="DY148" i="2"/>
  <c r="DZ148" i="2" s="1"/>
  <c r="EA148" i="2" s="1"/>
  <c r="DS148" i="2"/>
  <c r="DQ148" i="2"/>
  <c r="DR148" i="2" s="1"/>
  <c r="EH148" i="2"/>
  <c r="DV150" i="2"/>
  <c r="DW150" i="2" s="1"/>
  <c r="EI150" i="2"/>
  <c r="EG150" i="2"/>
  <c r="EG174" i="2"/>
  <c r="DV174" i="2"/>
  <c r="DW174" i="2" s="1"/>
  <c r="EI174" i="2"/>
  <c r="GV138" i="2"/>
  <c r="GW138" i="2" s="1"/>
  <c r="GV108" i="2"/>
  <c r="GW108" i="2" s="1"/>
  <c r="FR119" i="2" a="1"/>
  <c r="FR119" i="2" s="1"/>
  <c r="Z96" i="2"/>
  <c r="AA96" i="2"/>
  <c r="DY198" i="2"/>
  <c r="DZ198" i="2" s="1"/>
  <c r="EA198" i="2" s="1"/>
  <c r="DS198" i="2"/>
  <c r="DQ198" i="2"/>
  <c r="DR198" i="2" s="1"/>
  <c r="EH198" i="2"/>
  <c r="EC198" i="2"/>
  <c r="FR85" i="2" a="1"/>
  <c r="FR85" i="2" s="1"/>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356" i="2"/>
  <c r="DW356" i="2" s="1"/>
  <c r="EI356" i="2"/>
  <c r="EG356" i="2"/>
  <c r="EH256" i="2"/>
  <c r="EC256" i="2"/>
  <c r="DY256" i="2"/>
  <c r="DZ256" i="2" s="1"/>
  <c r="EA256" i="2" s="1"/>
  <c r="DS256" i="2"/>
  <c r="DQ256" i="2"/>
  <c r="DR256" i="2" s="1"/>
  <c r="EC193" i="2"/>
  <c r="DY193" i="2"/>
  <c r="DZ193" i="2" s="1"/>
  <c r="EA193" i="2" s="1"/>
  <c r="DS193" i="2"/>
  <c r="DQ193" i="2"/>
  <c r="DR193" i="2" s="1"/>
  <c r="EH193" i="2"/>
  <c r="EC192" i="2"/>
  <c r="DY192" i="2"/>
  <c r="DZ192" i="2" s="1"/>
  <c r="EA192" i="2" s="1"/>
  <c r="DS192" i="2"/>
  <c r="DQ192" i="2"/>
  <c r="DR192" i="2" s="1"/>
  <c r="EH192" i="2"/>
  <c r="DV384" i="2"/>
  <c r="DW384" i="2" s="1"/>
  <c r="EG384" i="2"/>
  <c r="EI384" i="2"/>
  <c r="EC344" i="2"/>
  <c r="DY344" i="2"/>
  <c r="DZ344" i="2" s="1"/>
  <c r="EA344" i="2" s="1"/>
  <c r="DS344" i="2"/>
  <c r="EH344" i="2"/>
  <c r="DQ344" i="2"/>
  <c r="DR344" i="2" s="1"/>
  <c r="DV385" i="2"/>
  <c r="DW385" i="2" s="1"/>
  <c r="EG385" i="2"/>
  <c r="EI385" i="2"/>
  <c r="FR386" i="2" a="1"/>
  <c r="FR386" i="2" s="1"/>
  <c r="CK357" i="2"/>
  <c r="CM357" i="2"/>
  <c r="CE357" i="2"/>
  <c r="DY345" i="2"/>
  <c r="DZ345" i="2" s="1"/>
  <c r="EA345" i="2" s="1"/>
  <c r="DS345" i="2"/>
  <c r="DQ345" i="2"/>
  <c r="DR345" i="2" s="1"/>
  <c r="EH345" i="2"/>
  <c r="EC345" i="2"/>
  <c r="CK331" i="2"/>
  <c r="CM331" i="2"/>
  <c r="CE331" i="2"/>
  <c r="GV331" i="2"/>
  <c r="GW331" i="2" s="1"/>
  <c r="FR340" i="2" a="1"/>
  <c r="FR340" i="2" s="1"/>
  <c r="EI332" i="2"/>
  <c r="EG332" i="2"/>
  <c r="DV332" i="2"/>
  <c r="DW332" i="2" s="1"/>
  <c r="EI320" i="2"/>
  <c r="EG320" i="2"/>
  <c r="DV320" i="2"/>
  <c r="DW320" i="2" s="1"/>
  <c r="EH327" i="2"/>
  <c r="EC327" i="2"/>
  <c r="DY327" i="2"/>
  <c r="DZ327" i="2" s="1"/>
  <c r="EA327" i="2" s="1"/>
  <c r="DS327" i="2"/>
  <c r="DQ327" i="2"/>
  <c r="DR327" i="2" s="1"/>
  <c r="CK319" i="2"/>
  <c r="CM319" i="2"/>
  <c r="CE319" i="2"/>
  <c r="GV319" i="2"/>
  <c r="GW319" i="2" s="1"/>
  <c r="AA323" i="2"/>
  <c r="Z323" i="2"/>
  <c r="AA288" i="2"/>
  <c r="Z288" i="2"/>
  <c r="CK288" i="2"/>
  <c r="CM288" i="2"/>
  <c r="CE288" i="2"/>
  <c r="DS285" i="2"/>
  <c r="DQ285" i="2"/>
  <c r="DR285" i="2" s="1"/>
  <c r="EH285" i="2"/>
  <c r="EC285" i="2"/>
  <c r="DY285" i="2"/>
  <c r="DZ285" i="2" s="1"/>
  <c r="EA285" i="2" s="1"/>
  <c r="DV276" i="2"/>
  <c r="DW276" i="2" s="1"/>
  <c r="EG276" i="2"/>
  <c r="EI276" i="2"/>
  <c r="AA268" i="2"/>
  <c r="Z268" i="2"/>
  <c r="GV277" i="2"/>
  <c r="GW277" i="2" s="1"/>
  <c r="CK274" i="2"/>
  <c r="CM274" i="2"/>
  <c r="CE274" i="2"/>
  <c r="GV256" i="2"/>
  <c r="GW256" i="2" s="1"/>
  <c r="CK260" i="2"/>
  <c r="CM260" i="2"/>
  <c r="CE260" i="2"/>
  <c r="GV260" i="2"/>
  <c r="GW260" i="2" s="1"/>
  <c r="Z98" i="2"/>
  <c r="AA98" i="2"/>
  <c r="CK263" i="2"/>
  <c r="CM263" i="2"/>
  <c r="CE263" i="2"/>
  <c r="CE250" i="2"/>
  <c r="GV250" i="2"/>
  <c r="GW250" i="2" s="1"/>
  <c r="CK250" i="2"/>
  <c r="CM250" i="2"/>
  <c r="DS226" i="2"/>
  <c r="DQ226" i="2"/>
  <c r="DR226" i="2" s="1"/>
  <c r="EH226" i="2"/>
  <c r="EC226" i="2"/>
  <c r="DY226" i="2"/>
  <c r="DZ226" i="2" s="1"/>
  <c r="EA226" i="2" s="1"/>
  <c r="GV251" i="2"/>
  <c r="GW251" i="2" s="1"/>
  <c r="EI209" i="2"/>
  <c r="EG209" i="2"/>
  <c r="DV209" i="2"/>
  <c r="DW209" i="2" s="1"/>
  <c r="FR176" i="2" a="1"/>
  <c r="FR176" i="2" s="1"/>
  <c r="EC183" i="2"/>
  <c r="DY183" i="2"/>
  <c r="DZ183" i="2" s="1"/>
  <c r="EA183" i="2" s="1"/>
  <c r="DS183" i="2"/>
  <c r="DQ183" i="2"/>
  <c r="DR183" i="2" s="1"/>
  <c r="EH183" i="2"/>
  <c r="DY170" i="2"/>
  <c r="DZ170" i="2" s="1"/>
  <c r="EA170" i="2" s="1"/>
  <c r="DS170" i="2"/>
  <c r="DQ170" i="2"/>
  <c r="DR170" i="2" s="1"/>
  <c r="EH170" i="2"/>
  <c r="EC170" i="2"/>
  <c r="FR196" i="2" a="1"/>
  <c r="FR196" i="2" s="1"/>
  <c r="CK155" i="2"/>
  <c r="CE155" i="2"/>
  <c r="GV155" i="2"/>
  <c r="GW155" i="2" s="1"/>
  <c r="CM155" i="2"/>
  <c r="GV170" i="2"/>
  <c r="GW170" i="2" s="1"/>
  <c r="DY139" i="2"/>
  <c r="DZ139" i="2" s="1"/>
  <c r="EA139" i="2" s="1"/>
  <c r="DS139" i="2"/>
  <c r="DQ139" i="2"/>
  <c r="DR139" i="2" s="1"/>
  <c r="EH139" i="2"/>
  <c r="EC139" i="2"/>
  <c r="DV148" i="2"/>
  <c r="DW148" i="2" s="1"/>
  <c r="EI148" i="2"/>
  <c r="EG148" i="2"/>
  <c r="EI106" i="2"/>
  <c r="EG106" i="2"/>
  <c r="DV106" i="2"/>
  <c r="DW106" i="2" s="1"/>
  <c r="Z95" i="2"/>
  <c r="AA95" i="2"/>
  <c r="DV198" i="2"/>
  <c r="DW198" i="2" s="1"/>
  <c r="EG198" i="2"/>
  <c r="EI198" i="2"/>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295" i="2" a="1"/>
  <c r="FR295" i="2" s="1"/>
  <c r="EC91" i="2"/>
  <c r="DY91" i="2"/>
  <c r="DZ91" i="2" s="1"/>
  <c r="EA91" i="2" s="1"/>
  <c r="DS91" i="2"/>
  <c r="DQ91" i="2"/>
  <c r="DR91" i="2" s="1"/>
  <c r="EH91" i="2"/>
  <c r="CK316" i="2"/>
  <c r="CM316" i="2"/>
  <c r="CE316" i="2"/>
  <c r="GV316" i="2"/>
  <c r="GW316" i="2" s="1"/>
  <c r="EG308" i="2"/>
  <c r="DV308" i="2"/>
  <c r="DW308" i="2" s="1"/>
  <c r="EI308" i="2"/>
  <c r="CK223" i="2"/>
  <c r="CM223" i="2"/>
  <c r="GV223" i="2"/>
  <c r="GW223" i="2" s="1"/>
  <c r="CE223" i="2"/>
  <c r="CM388" i="2"/>
  <c r="CK388" i="2"/>
  <c r="CE388" i="2"/>
  <c r="DY294" i="2"/>
  <c r="DZ294" i="2" s="1"/>
  <c r="EA294" i="2" s="1"/>
  <c r="DS294" i="2"/>
  <c r="DQ294" i="2"/>
  <c r="DR294" i="2" s="1"/>
  <c r="EH294" i="2"/>
  <c r="EC294" i="2"/>
  <c r="GV343" i="2"/>
  <c r="GW343" i="2" s="1"/>
  <c r="EC394" i="2"/>
  <c r="DY394" i="2"/>
  <c r="DZ394" i="2" s="1"/>
  <c r="EA394" i="2" s="1"/>
  <c r="DQ394" i="2"/>
  <c r="DR394" i="2" s="1"/>
  <c r="EH394" i="2"/>
  <c r="DS394" i="2"/>
  <c r="DV229" i="2"/>
  <c r="DW229" i="2" s="1"/>
  <c r="EG229" i="2"/>
  <c r="EI229" i="2"/>
  <c r="CK335" i="2"/>
  <c r="CM335" i="2"/>
  <c r="CE335" i="2"/>
  <c r="GV335" i="2"/>
  <c r="GW335" i="2" s="1"/>
  <c r="AA333" i="2"/>
  <c r="Z333" i="2"/>
  <c r="EI345" i="2"/>
  <c r="EG345" i="2"/>
  <c r="DV345" i="2"/>
  <c r="DW345" i="2" s="1"/>
  <c r="CK334" i="2"/>
  <c r="CE334" i="2"/>
  <c r="CM334" i="2"/>
  <c r="GV334" i="2"/>
  <c r="GW334" i="2" s="1"/>
  <c r="EC337" i="2"/>
  <c r="DY337" i="2"/>
  <c r="DZ337" i="2" s="1"/>
  <c r="EA337" i="2" s="1"/>
  <c r="DS337" i="2"/>
  <c r="EH337" i="2"/>
  <c r="DQ337" i="2"/>
  <c r="DR337" i="2" s="1"/>
  <c r="DY334" i="2"/>
  <c r="DZ334" i="2" s="1"/>
  <c r="EA334" i="2" s="1"/>
  <c r="EC334" i="2"/>
  <c r="DS334" i="2"/>
  <c r="DQ334" i="2"/>
  <c r="DR334" i="2" s="1"/>
  <c r="EH334" i="2"/>
  <c r="EH332" i="2"/>
  <c r="EC332" i="2"/>
  <c r="DY332" i="2"/>
  <c r="DZ332" i="2" s="1"/>
  <c r="EA332" i="2" s="1"/>
  <c r="DS332" i="2"/>
  <c r="DQ332" i="2"/>
  <c r="DR332" i="2" s="1"/>
  <c r="EI330" i="2"/>
  <c r="EG330" i="2"/>
  <c r="DV330" i="2"/>
  <c r="DW330" i="2" s="1"/>
  <c r="GV323" i="2"/>
  <c r="GW323" i="2" s="1"/>
  <c r="CK318" i="2"/>
  <c r="CM318" i="2"/>
  <c r="CE318" i="2"/>
  <c r="GV318" i="2"/>
  <c r="GW318" i="2" s="1"/>
  <c r="EI326" i="2"/>
  <c r="DV326" i="2"/>
  <c r="DW326" i="2" s="1"/>
  <c r="EG326" i="2"/>
  <c r="DV285" i="2"/>
  <c r="DW285" i="2" s="1"/>
  <c r="EI285" i="2"/>
  <c r="EG285" i="2"/>
  <c r="GV276" i="2"/>
  <c r="GW276" i="2" s="1"/>
  <c r="AA279" i="2"/>
  <c r="Z279" i="2"/>
  <c r="DS282" i="2"/>
  <c r="DQ282" i="2"/>
  <c r="DR282" i="2" s="1"/>
  <c r="EH282" i="2"/>
  <c r="EC282" i="2"/>
  <c r="DY282" i="2"/>
  <c r="DZ282" i="2" s="1"/>
  <c r="EA282" i="2" s="1"/>
  <c r="CK265" i="2"/>
  <c r="CM265" i="2"/>
  <c r="CE265" i="2"/>
  <c r="DS98" i="2"/>
  <c r="DQ98" i="2"/>
  <c r="DR98" i="2" s="1"/>
  <c r="EC98" i="2"/>
  <c r="DY98" i="2"/>
  <c r="DZ98" i="2" s="1"/>
  <c r="EA98" i="2" s="1"/>
  <c r="GV98" i="2"/>
  <c r="GW98" i="2" s="1"/>
  <c r="EH98" i="2"/>
  <c r="CE249" i="2"/>
  <c r="GV249" i="2"/>
  <c r="GW249" i="2" s="1"/>
  <c r="CK249" i="2"/>
  <c r="CM249" i="2"/>
  <c r="DQ225" i="2"/>
  <c r="DR225" i="2" s="1"/>
  <c r="EH225" i="2"/>
  <c r="EC225" i="2"/>
  <c r="DY225" i="2"/>
  <c r="DZ225" i="2" s="1"/>
  <c r="EA225" i="2" s="1"/>
  <c r="DS225" i="2"/>
  <c r="FR241" i="2" a="1"/>
  <c r="FR241" i="2" s="1"/>
  <c r="FR248" i="2" a="1"/>
  <c r="FR248" i="2" s="1"/>
  <c r="EG265" i="2"/>
  <c r="DV265" i="2"/>
  <c r="DW265" i="2" s="1"/>
  <c r="EI265" i="2"/>
  <c r="FR250" i="2" a="1"/>
  <c r="FR250" i="2" s="1"/>
  <c r="DY251" i="2"/>
  <c r="DZ251" i="2" s="1"/>
  <c r="EA251" i="2" s="1"/>
  <c r="DS251" i="2"/>
  <c r="DQ251" i="2"/>
  <c r="DR251" i="2" s="1"/>
  <c r="EH251" i="2"/>
  <c r="EC251" i="2"/>
  <c r="CK217" i="2"/>
  <c r="CM217" i="2"/>
  <c r="CE217" i="2"/>
  <c r="EH220" i="2"/>
  <c r="DY220" i="2"/>
  <c r="DZ220" i="2" s="1"/>
  <c r="EA220" i="2" s="1"/>
  <c r="DS220" i="2"/>
  <c r="DQ220" i="2"/>
  <c r="DR220" i="2" s="1"/>
  <c r="EC220" i="2"/>
  <c r="EI208" i="2"/>
  <c r="EG208" i="2"/>
  <c r="DV208" i="2"/>
  <c r="DW208" i="2" s="1"/>
  <c r="GV183" i="2"/>
  <c r="GW183" i="2" s="1"/>
  <c r="EG204" i="2"/>
  <c r="DV204" i="2"/>
  <c r="DW204" i="2" s="1"/>
  <c r="EI204" i="2"/>
  <c r="DY169" i="2"/>
  <c r="DZ169" i="2" s="1"/>
  <c r="EA169" i="2" s="1"/>
  <c r="DS169" i="2"/>
  <c r="DQ169" i="2"/>
  <c r="DR169" i="2" s="1"/>
  <c r="EH169" i="2"/>
  <c r="EC169" i="2"/>
  <c r="GV179" i="2"/>
  <c r="GW179" i="2" s="1"/>
  <c r="EG154" i="2"/>
  <c r="DV154" i="2"/>
  <c r="DW154" i="2" s="1"/>
  <c r="FR156" i="2" a="1"/>
  <c r="FR156" i="2" s="1"/>
  <c r="EC191" i="2"/>
  <c r="DY191" i="2"/>
  <c r="DZ191" i="2" s="1"/>
  <c r="EA191" i="2" s="1"/>
  <c r="DS191" i="2"/>
  <c r="DQ191" i="2"/>
  <c r="DR191" i="2" s="1"/>
  <c r="EH191" i="2"/>
  <c r="GV169" i="2"/>
  <c r="GW169" i="2" s="1"/>
  <c r="Z154" i="2"/>
  <c r="GV144" i="2"/>
  <c r="GW144" i="2" s="1"/>
  <c r="DS151" i="2"/>
  <c r="EH151" i="2"/>
  <c r="EC151" i="2"/>
  <c r="DY151" i="2"/>
  <c r="DZ151" i="2" s="1"/>
  <c r="EA151" i="2" s="1"/>
  <c r="DQ151" i="2"/>
  <c r="DR151" i="2" s="1"/>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343" i="2"/>
  <c r="AA343" i="2"/>
  <c r="EC189" i="2"/>
  <c r="DY189" i="2"/>
  <c r="DZ189" i="2" s="1"/>
  <c r="EA189" i="2" s="1"/>
  <c r="DS189" i="2"/>
  <c r="DQ189" i="2"/>
  <c r="DR189" i="2" s="1"/>
  <c r="EH189" i="2"/>
  <c r="CK132" i="2"/>
  <c r="CM132" i="2"/>
  <c r="CE132" i="2"/>
  <c r="DV277" i="2"/>
  <c r="DW277" i="2" s="1"/>
  <c r="EG277" i="2"/>
  <c r="EI277" i="2"/>
  <c r="EH270" i="2"/>
  <c r="EC270" i="2"/>
  <c r="DY270" i="2"/>
  <c r="DZ270" i="2" s="1"/>
  <c r="EA270" i="2" s="1"/>
  <c r="DS270" i="2"/>
  <c r="DQ270" i="2"/>
  <c r="DR270" i="2" s="1"/>
  <c r="EH368" i="2"/>
  <c r="DY368" i="2"/>
  <c r="DZ368" i="2" s="1"/>
  <c r="EA368" i="2" s="1"/>
  <c r="DS368" i="2"/>
  <c r="DQ368" i="2"/>
  <c r="DR368" i="2" s="1"/>
  <c r="EC368" i="2"/>
  <c r="EC229" i="2"/>
  <c r="DY229" i="2"/>
  <c r="DZ229" i="2" s="1"/>
  <c r="EA229" i="2" s="1"/>
  <c r="DQ229" i="2"/>
  <c r="DR229" i="2" s="1"/>
  <c r="EH229" i="2"/>
  <c r="DS229" i="2"/>
  <c r="CK370" i="2"/>
  <c r="CM370" i="2"/>
  <c r="CE370" i="2"/>
  <c r="FR347" i="2" a="1"/>
  <c r="FR347" i="2" s="1"/>
  <c r="CK336" i="2"/>
  <c r="CM336" i="2"/>
  <c r="CE336" i="2"/>
  <c r="GV336" i="2"/>
  <c r="GW336" i="2" s="1"/>
  <c r="CK327" i="2"/>
  <c r="GV327" i="2"/>
  <c r="GW327" i="2" s="1"/>
  <c r="CM327" i="2"/>
  <c r="CE327" i="2"/>
  <c r="EG337" i="2"/>
  <c r="DV337" i="2"/>
  <c r="DW337" i="2" s="1"/>
  <c r="EI337" i="2"/>
  <c r="CK330" i="2"/>
  <c r="CM330" i="2"/>
  <c r="CE330" i="2"/>
  <c r="GV330" i="2"/>
  <c r="GW330" i="2" s="1"/>
  <c r="EG334" i="2"/>
  <c r="DV334" i="2"/>
  <c r="DW334" i="2" s="1"/>
  <c r="EI334" i="2"/>
  <c r="CK329" i="2"/>
  <c r="GV329" i="2"/>
  <c r="GW329" i="2" s="1"/>
  <c r="CM329" i="2"/>
  <c r="CE329" i="2"/>
  <c r="EH330" i="2"/>
  <c r="EC330" i="2"/>
  <c r="DY330" i="2"/>
  <c r="DZ330" i="2" s="1"/>
  <c r="EA330" i="2" s="1"/>
  <c r="DS330" i="2"/>
  <c r="DQ330" i="2"/>
  <c r="DR330" i="2" s="1"/>
  <c r="EI316" i="2"/>
  <c r="EG316" i="2"/>
  <c r="DV316" i="2"/>
  <c r="DW316" i="2" s="1"/>
  <c r="EH326" i="2"/>
  <c r="EC326" i="2"/>
  <c r="DY326" i="2"/>
  <c r="DZ326" i="2" s="1"/>
  <c r="EA326" i="2" s="1"/>
  <c r="DS326" i="2"/>
  <c r="DQ326" i="2"/>
  <c r="DR326" i="2" s="1"/>
  <c r="FR344" i="2" a="1"/>
  <c r="FR344" i="2" s="1"/>
  <c r="EC310" i="2"/>
  <c r="DY310" i="2"/>
  <c r="DZ310" i="2" s="1"/>
  <c r="EA310" i="2" s="1"/>
  <c r="DS310" i="2"/>
  <c r="DQ310" i="2"/>
  <c r="DR310" i="2" s="1"/>
  <c r="EH310" i="2"/>
  <c r="EG301" i="2"/>
  <c r="EI301" i="2"/>
  <c r="DV301" i="2"/>
  <c r="DW301" i="2" s="1"/>
  <c r="FW326" i="2"/>
  <c r="FX326" i="2" s="1" a="1"/>
  <c r="FX326" i="2" s="1"/>
  <c r="FR326" i="2" a="1"/>
  <c r="FR326" i="2" s="1"/>
  <c r="AA235" i="2"/>
  <c r="Z235" i="2"/>
  <c r="GV283" i="2"/>
  <c r="GW283" i="2" s="1"/>
  <c r="DS286" i="2"/>
  <c r="DQ286" i="2"/>
  <c r="DR286" i="2" s="1"/>
  <c r="EH286" i="2"/>
  <c r="EC286" i="2"/>
  <c r="DY286" i="2"/>
  <c r="DZ286" i="2" s="1"/>
  <c r="EA286" i="2" s="1"/>
  <c r="DV282" i="2"/>
  <c r="DW282" i="2" s="1"/>
  <c r="EI282" i="2"/>
  <c r="EG282" i="2"/>
  <c r="EG98" i="2"/>
  <c r="DV98" i="2"/>
  <c r="DW98" i="2" s="1"/>
  <c r="EI98" i="2"/>
  <c r="DQ224" i="2"/>
  <c r="DR224" i="2" s="1"/>
  <c r="EH224" i="2"/>
  <c r="EC224" i="2"/>
  <c r="DY224" i="2"/>
  <c r="DZ224" i="2" s="1"/>
  <c r="EA224" i="2" s="1"/>
  <c r="DS224" i="2"/>
  <c r="CE240" i="2"/>
  <c r="CK240" i="2"/>
  <c r="CM240" i="2"/>
  <c r="GV240" i="2"/>
  <c r="GW240" i="2" s="1"/>
  <c r="FR245" i="2" a="1"/>
  <c r="FR245" i="2" s="1"/>
  <c r="DV251" i="2"/>
  <c r="DW251" i="2" s="1"/>
  <c r="EI251" i="2"/>
  <c r="EG251" i="2"/>
  <c r="CK224" i="2"/>
  <c r="CM224" i="2"/>
  <c r="GV224" i="2"/>
  <c r="GW224" i="2" s="1"/>
  <c r="CE224" i="2"/>
  <c r="EG220" i="2"/>
  <c r="DV220" i="2"/>
  <c r="DW220" i="2" s="1"/>
  <c r="EI220" i="2"/>
  <c r="EI207" i="2"/>
  <c r="EG207" i="2"/>
  <c r="DV207" i="2"/>
  <c r="DW207" i="2" s="1"/>
  <c r="CE205" i="2"/>
  <c r="GV205" i="2"/>
  <c r="GW205" i="2" s="1"/>
  <c r="CK205" i="2"/>
  <c r="CM205" i="2"/>
  <c r="CE204" i="2"/>
  <c r="CK204" i="2"/>
  <c r="CM204" i="2"/>
  <c r="GV204" i="2"/>
  <c r="GW204" i="2" s="1"/>
  <c r="DQ204" i="2"/>
  <c r="DR204" i="2" s="1"/>
  <c r="EH204" i="2"/>
  <c r="EC204" i="2"/>
  <c r="DY204" i="2"/>
  <c r="DZ204" i="2" s="1"/>
  <c r="EA204" i="2" s="1"/>
  <c r="DS204" i="2"/>
  <c r="GV192" i="2"/>
  <c r="GW192" i="2" s="1"/>
  <c r="DY168" i="2"/>
  <c r="DZ168" i="2" s="1"/>
  <c r="EA168" i="2" s="1"/>
  <c r="DS168" i="2"/>
  <c r="DQ168" i="2"/>
  <c r="DR168" i="2" s="1"/>
  <c r="EH168" i="2"/>
  <c r="EC168" i="2"/>
  <c r="FR187" i="2" a="1"/>
  <c r="FR187" i="2" s="1"/>
  <c r="FR180" i="2" a="1"/>
  <c r="FR180" i="2" s="1"/>
  <c r="DV191" i="2"/>
  <c r="DW191" i="2" s="1"/>
  <c r="EI191" i="2"/>
  <c r="EG191" i="2"/>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394" i="2"/>
  <c r="CE394" i="2"/>
  <c r="CK394" i="2"/>
  <c r="DV193" i="2"/>
  <c r="DW193" i="2" s="1"/>
  <c r="EI193" i="2"/>
  <c r="EG193" i="2"/>
  <c r="CK377" i="2"/>
  <c r="CE377" i="2"/>
  <c r="CM377" i="2"/>
  <c r="GV377" i="2"/>
  <c r="GW377" i="2" s="1"/>
  <c r="EC389" i="2"/>
  <c r="DY389" i="2"/>
  <c r="DZ389" i="2" s="1"/>
  <c r="EA389" i="2" s="1"/>
  <c r="DQ389" i="2"/>
  <c r="DR389" i="2" s="1"/>
  <c r="DS389" i="2"/>
  <c r="EH389" i="2"/>
  <c r="EG355" i="2"/>
  <c r="DV355" i="2"/>
  <c r="DW355" i="2" s="1"/>
  <c r="EI355" i="2"/>
  <c r="GV394" i="2"/>
  <c r="EC376" i="2"/>
  <c r="EH376" i="2"/>
  <c r="DY376" i="2"/>
  <c r="DZ376" i="2" s="1"/>
  <c r="EA376" i="2" s="1"/>
  <c r="DS376" i="2"/>
  <c r="DQ376" i="2"/>
  <c r="DR376" i="2" s="1"/>
  <c r="FR363" i="2" a="1"/>
  <c r="FR363" i="2" s="1"/>
  <c r="Z345" i="2"/>
  <c r="AA345" i="2"/>
  <c r="GV342" i="2"/>
  <c r="GW342" i="2" s="1"/>
  <c r="FW330" i="2"/>
  <c r="FX330" i="2" s="1" a="1"/>
  <c r="FX330" i="2" s="1"/>
  <c r="FR330" i="2" a="1"/>
  <c r="FR330" i="2" s="1"/>
  <c r="CK322" i="2"/>
  <c r="CM322" i="2"/>
  <c r="GV322" i="2"/>
  <c r="GW322" i="2" s="1"/>
  <c r="CE322" i="2"/>
  <c r="DY333" i="2"/>
  <c r="DZ333" i="2" s="1"/>
  <c r="EA333" i="2" s="1"/>
  <c r="DS333" i="2"/>
  <c r="DQ333" i="2"/>
  <c r="DR333" i="2" s="1"/>
  <c r="EH333" i="2"/>
  <c r="EC333" i="2"/>
  <c r="CK320" i="2"/>
  <c r="CM320" i="2"/>
  <c r="CE320" i="2"/>
  <c r="GV320" i="2"/>
  <c r="GW320" i="2" s="1"/>
  <c r="GV301" i="2"/>
  <c r="GW301" i="2" s="1"/>
  <c r="FW301" i="2"/>
  <c r="FX301" i="2" s="1" a="1"/>
  <c r="FX301" i="2" s="1"/>
  <c r="FR301" i="2" a="1"/>
  <c r="FR301" i="2" s="1"/>
  <c r="DY336" i="2"/>
  <c r="DZ336" i="2" s="1"/>
  <c r="EA336" i="2" s="1"/>
  <c r="DS336" i="2"/>
  <c r="DQ336" i="2"/>
  <c r="DR336" i="2" s="1"/>
  <c r="EH336" i="2"/>
  <c r="EC336" i="2"/>
  <c r="EC301" i="2"/>
  <c r="DS301" i="2"/>
  <c r="EH301" i="2"/>
  <c r="DY301" i="2"/>
  <c r="DZ301" i="2" s="1"/>
  <c r="EA301" i="2" s="1"/>
  <c r="DQ301" i="2"/>
  <c r="DR301" i="2" s="1"/>
  <c r="GV285" i="2"/>
  <c r="GW285" i="2" s="1"/>
  <c r="GV279" i="2"/>
  <c r="GW279" i="2" s="1"/>
  <c r="DV286" i="2"/>
  <c r="DW286" i="2" s="1"/>
  <c r="EI286" i="2"/>
  <c r="EG286" i="2"/>
  <c r="EG271" i="2"/>
  <c r="DV271" i="2"/>
  <c r="DW271" i="2" s="1"/>
  <c r="EI271" i="2"/>
  <c r="GV244" i="2"/>
  <c r="CK244" i="2"/>
  <c r="CM244" i="2"/>
  <c r="CE244" i="2"/>
  <c r="FW308" i="2"/>
  <c r="FX308" i="2" s="1" a="1"/>
  <c r="FX308" i="2" s="1"/>
  <c r="FR308" i="2" a="1"/>
  <c r="FR308" i="2" s="1"/>
  <c r="FZ261" i="2"/>
  <c r="GA261" i="2" s="1"/>
  <c r="EH223" i="2"/>
  <c r="EC223" i="2"/>
  <c r="DY223" i="2"/>
  <c r="DZ223" i="2" s="1"/>
  <c r="EA223" i="2" s="1"/>
  <c r="DS223" i="2"/>
  <c r="DQ223" i="2"/>
  <c r="DR223" i="2" s="1"/>
  <c r="CK226" i="2"/>
  <c r="CM226" i="2"/>
  <c r="GV226" i="2"/>
  <c r="GW226" i="2" s="1"/>
  <c r="CE226" i="2"/>
  <c r="CK216" i="2"/>
  <c r="CM216" i="2"/>
  <c r="CE216" i="2"/>
  <c r="EI206" i="2"/>
  <c r="EG206" i="2"/>
  <c r="DV206" i="2"/>
  <c r="DW206" i="2" s="1"/>
  <c r="GV200" i="2"/>
  <c r="GW200" i="2" s="1"/>
  <c r="CK200" i="2"/>
  <c r="CM200" i="2"/>
  <c r="CE200" i="2"/>
  <c r="CE202" i="2"/>
  <c r="CK202" i="2"/>
  <c r="CM202" i="2"/>
  <c r="GV202" i="2"/>
  <c r="GW202" i="2" s="1"/>
  <c r="FR184" i="2" a="1"/>
  <c r="FR184" i="2" s="1"/>
  <c r="GV153" i="2"/>
  <c r="GW153" i="2" s="1"/>
  <c r="CK156" i="2"/>
  <c r="CE156" i="2"/>
  <c r="GV156" i="2"/>
  <c r="GW156" i="2" s="1"/>
  <c r="CM156" i="2"/>
  <c r="FR182" i="2" a="1"/>
  <c r="FR182" i="2" s="1"/>
  <c r="FU146" i="2"/>
  <c r="FV146" i="2" s="1"/>
  <c r="FR158" i="2" a="1"/>
  <c r="FR158" i="2" s="1"/>
  <c r="AA151" i="2"/>
  <c r="Z151" i="2"/>
  <c r="GV168" i="2"/>
  <c r="GW168" i="2" s="1"/>
  <c r="FR137" i="2" a="1"/>
  <c r="FR137" i="2" s="1"/>
  <c r="FR144" i="2" a="1"/>
  <c r="FR144" i="2" s="1"/>
  <c r="DY129" i="2"/>
  <c r="DZ129" i="2" s="1"/>
  <c r="EA129" i="2" s="1"/>
  <c r="DS129" i="2"/>
  <c r="DQ129" i="2"/>
  <c r="DR129" i="2" s="1"/>
  <c r="EH129" i="2"/>
  <c r="EC129" i="2"/>
  <c r="Z92" i="2"/>
  <c r="AA92" i="2"/>
  <c r="FW166" i="2"/>
  <c r="FX166" i="2" s="1" a="1"/>
  <c r="FX166" i="2" s="1"/>
  <c r="FR166" i="2" a="1"/>
  <c r="FR166"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328" i="2"/>
  <c r="EC328" i="2"/>
  <c r="DY328" i="2"/>
  <c r="DZ328" i="2" s="1"/>
  <c r="EA328" i="2" s="1"/>
  <c r="DS328" i="2"/>
  <c r="DQ328" i="2"/>
  <c r="DR328" i="2" s="1"/>
  <c r="EC385" i="2"/>
  <c r="DY385" i="2"/>
  <c r="DZ385" i="2" s="1"/>
  <c r="EA385" i="2" s="1"/>
  <c r="EH385" i="2"/>
  <c r="DS385" i="2"/>
  <c r="DQ385" i="2"/>
  <c r="DR385" i="2" s="1"/>
  <c r="GV361" i="2"/>
  <c r="GW361" i="2" s="1"/>
  <c r="GV366" i="2"/>
  <c r="GW366" i="2" s="1"/>
  <c r="FR394" i="2" a="1"/>
  <c r="FR394" i="2" s="1"/>
  <c r="FW394" i="2"/>
  <c r="FX394" i="2" s="1" a="1"/>
  <c r="FX394" i="2" s="1"/>
  <c r="DV389" i="2"/>
  <c r="DW389" i="2" s="1"/>
  <c r="EG389" i="2"/>
  <c r="EI389" i="2"/>
  <c r="CK374" i="2"/>
  <c r="CE374" i="2"/>
  <c r="CM374" i="2"/>
  <c r="GV374" i="2"/>
  <c r="GW374" i="2" s="1"/>
  <c r="GV229" i="2"/>
  <c r="CM229" i="2"/>
  <c r="CK229" i="2"/>
  <c r="CE229" i="2"/>
  <c r="CK379" i="2"/>
  <c r="CE379" i="2"/>
  <c r="CM379" i="2"/>
  <c r="EI376" i="2"/>
  <c r="EG376" i="2"/>
  <c r="DV376" i="2"/>
  <c r="DW376" i="2" s="1"/>
  <c r="Z344" i="2"/>
  <c r="AA344" i="2"/>
  <c r="FR337" i="2" a="1"/>
  <c r="FR337" i="2" s="1"/>
  <c r="EI328" i="2"/>
  <c r="EG328" i="2"/>
  <c r="DV328" i="2"/>
  <c r="DW328" i="2" s="1"/>
  <c r="EG333" i="2"/>
  <c r="DV333" i="2"/>
  <c r="DW333" i="2" s="1"/>
  <c r="EI333" i="2"/>
  <c r="GV325" i="2"/>
  <c r="GW325" i="2" s="1"/>
  <c r="FW328" i="2"/>
  <c r="FX328" i="2" s="1" a="1"/>
  <c r="FX328" i="2" s="1"/>
  <c r="FR328" i="2" a="1"/>
  <c r="FR328" i="2" s="1"/>
  <c r="Z364" i="2"/>
  <c r="AA364" i="2"/>
  <c r="CM314" i="2"/>
  <c r="CE314" i="2"/>
  <c r="GV314" i="2"/>
  <c r="GW314" i="2" s="1"/>
  <c r="CK314" i="2"/>
  <c r="EG336" i="2"/>
  <c r="DV336" i="2"/>
  <c r="DW336" i="2" s="1"/>
  <c r="EI336" i="2"/>
  <c r="EC309" i="2"/>
  <c r="DY309" i="2"/>
  <c r="DZ309" i="2" s="1"/>
  <c r="EA309" i="2" s="1"/>
  <c r="DS309" i="2"/>
  <c r="DQ309" i="2"/>
  <c r="DR309" i="2" s="1"/>
  <c r="EH309" i="2"/>
  <c r="FR302" i="2" a="1"/>
  <c r="FR302" i="2" s="1"/>
  <c r="DS281" i="2"/>
  <c r="DQ281" i="2"/>
  <c r="DR281" i="2" s="1"/>
  <c r="EH281" i="2"/>
  <c r="EC281" i="2"/>
  <c r="DY281" i="2"/>
  <c r="DZ281" i="2" s="1"/>
  <c r="EA281" i="2" s="1"/>
  <c r="AA286" i="2"/>
  <c r="Z286" i="2"/>
  <c r="EH271" i="2"/>
  <c r="EC271" i="2"/>
  <c r="DY271" i="2"/>
  <c r="DZ271" i="2" s="1"/>
  <c r="EA271" i="2" s="1"/>
  <c r="DS271" i="2"/>
  <c r="DQ271" i="2"/>
  <c r="DR271" i="2" s="1"/>
  <c r="EG268" i="2"/>
  <c r="DV268" i="2"/>
  <c r="DW268" i="2" s="1"/>
  <c r="EI268" i="2"/>
  <c r="FW280" i="2"/>
  <c r="FX280" i="2" s="1" a="1"/>
  <c r="FX280" i="2" s="1"/>
  <c r="FR280" i="2" a="1"/>
  <c r="FR280" i="2" s="1"/>
  <c r="GV102" i="2"/>
  <c r="GW102" i="2" s="1"/>
  <c r="EI256" i="2"/>
  <c r="EG256" i="2"/>
  <c r="DV256" i="2"/>
  <c r="DW256" i="2" s="1"/>
  <c r="DS308" i="2"/>
  <c r="DQ308" i="2"/>
  <c r="DR308" i="2" s="1"/>
  <c r="EC308" i="2"/>
  <c r="EH308" i="2"/>
  <c r="DY308" i="2"/>
  <c r="DZ308" i="2" s="1"/>
  <c r="EA308" i="2" s="1"/>
  <c r="FQ265" i="2"/>
  <c r="CK220" i="2"/>
  <c r="CM220" i="2"/>
  <c r="CE220" i="2"/>
  <c r="GV220" i="2"/>
  <c r="GW220" i="2" s="1"/>
  <c r="EI205" i="2"/>
  <c r="EG205" i="2"/>
  <c r="DV205" i="2"/>
  <c r="DW205" i="2" s="1"/>
  <c r="GV182" i="2"/>
  <c r="GW182" i="2" s="1"/>
  <c r="FR200" i="2" a="1"/>
  <c r="FR200" i="2" s="1"/>
  <c r="FU170" i="2"/>
  <c r="FV170" i="2" s="1"/>
  <c r="EC190" i="2"/>
  <c r="DY190" i="2"/>
  <c r="DZ190" i="2" s="1"/>
  <c r="EA190" i="2" s="1"/>
  <c r="DS190" i="2"/>
  <c r="DQ190" i="2"/>
  <c r="DR190" i="2" s="1"/>
  <c r="EH190" i="2"/>
  <c r="EG196" i="2"/>
  <c r="DV196" i="2"/>
  <c r="DW196" i="2" s="1"/>
  <c r="EI196" i="2"/>
  <c r="DY173" i="2"/>
  <c r="DZ173" i="2" s="1"/>
  <c r="EA173" i="2" s="1"/>
  <c r="EC173" i="2"/>
  <c r="DS173" i="2"/>
  <c r="DQ173" i="2"/>
  <c r="DR173" i="2" s="1"/>
  <c r="EH173" i="2"/>
  <c r="DV135" i="2"/>
  <c r="DW135" i="2" s="1"/>
  <c r="EG135" i="2"/>
  <c r="EI135" i="2"/>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R118" i="2" a="1"/>
  <c r="FR118" i="2" s="1"/>
  <c r="FR114" i="2" a="1"/>
  <c r="FR114" i="2" s="1"/>
  <c r="EG79" i="2"/>
  <c r="DV79" i="2"/>
  <c r="DW79" i="2" s="1"/>
  <c r="EI79" i="2"/>
  <c r="EC166" i="2"/>
  <c r="DY166" i="2"/>
  <c r="DZ166" i="2" s="1"/>
  <c r="EA166" i="2" s="1"/>
  <c r="DS166" i="2"/>
  <c r="DQ166" i="2"/>
  <c r="DR166" i="2" s="1"/>
  <c r="EH166"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161" i="2"/>
  <c r="FC161" i="2"/>
  <c r="FC390" i="2"/>
  <c r="FE244" i="2"/>
  <c r="FC244" i="2"/>
  <c r="FE311" i="2"/>
  <c r="FC311" i="2"/>
  <c r="FE390" i="2"/>
  <c r="FU161" i="2" l="1"/>
  <c r="FV161" i="2" s="1"/>
  <c r="FH161" i="2"/>
  <c r="FK161" i="2" s="1"/>
  <c r="GJ161" i="2"/>
  <c r="FN395" i="2"/>
  <c r="FU244" i="2"/>
  <c r="FV244" i="2" s="1"/>
  <c r="EX244" i="2"/>
  <c r="AB395" i="2"/>
  <c r="FK257" i="2"/>
  <c r="FU257" i="2"/>
  <c r="FV257" i="2" s="1"/>
  <c r="EX257" i="2"/>
  <c r="DU395" i="2"/>
  <c r="DO395" i="2"/>
  <c r="CM395" i="2"/>
  <c r="CI395" i="2"/>
  <c r="AA395" i="2"/>
  <c r="CK395" i="2"/>
  <c r="CF405" i="2" s="1"/>
  <c r="CF406" i="2" s="1"/>
  <c r="FO395" i="2"/>
  <c r="FU252" i="2"/>
  <c r="FV252" i="2" s="1"/>
  <c r="EX252" i="2"/>
  <c r="EY252" i="2" s="1"/>
  <c r="FK252" i="2"/>
  <c r="FU30" i="2"/>
  <c r="FV30" i="2" s="1"/>
  <c r="EC265" i="2"/>
  <c r="EH265" i="2"/>
  <c r="GV265" i="2"/>
  <c r="DQ265" i="2"/>
  <c r="DR265" i="2" s="1"/>
  <c r="DS265" i="2"/>
  <c r="FK30" i="2"/>
  <c r="GV252" i="2"/>
  <c r="EC252" i="2"/>
  <c r="EH252" i="2"/>
  <c r="DQ252" i="2"/>
  <c r="DR252" i="2" s="1"/>
  <c r="EG252" i="2"/>
  <c r="EI252" i="2" s="1"/>
  <c r="DS252" i="2"/>
  <c r="DV252" i="2"/>
  <c r="DW252" i="2" s="1"/>
  <c r="DY266" i="2"/>
  <c r="DZ266" i="2" s="1"/>
  <c r="EA266" i="2" s="1"/>
  <c r="EC266" i="2"/>
  <c r="EE266" i="2" s="1"/>
  <c r="EF266" i="2" s="1"/>
  <c r="EG266" i="2" s="1"/>
  <c r="EI266" i="2" s="1"/>
  <c r="DQ266" i="2"/>
  <c r="DR266" i="2" s="1"/>
  <c r="EH266" i="2"/>
  <c r="GV266" i="2"/>
  <c r="DS266" i="2"/>
  <c r="DV266" i="2"/>
  <c r="DW266" i="2" s="1"/>
  <c r="EH258" i="2"/>
  <c r="EC258" i="2"/>
  <c r="DY258" i="2"/>
  <c r="DZ258" i="2" s="1"/>
  <c r="EA258" i="2" s="1"/>
  <c r="DS258" i="2"/>
  <c r="DQ258" i="2"/>
  <c r="DR258" i="2" s="1"/>
  <c r="EI258" i="2"/>
  <c r="DV258" i="2"/>
  <c r="DW258" i="2" s="1"/>
  <c r="EG258" i="2"/>
  <c r="EI263" i="2"/>
  <c r="EG263" i="2"/>
  <c r="DV263" i="2"/>
  <c r="DW263" i="2" s="1"/>
  <c r="DS263" i="2"/>
  <c r="DY263" i="2"/>
  <c r="DZ263" i="2" s="1"/>
  <c r="EA263" i="2" s="1"/>
  <c r="DQ263" i="2"/>
  <c r="DR263" i="2" s="1"/>
  <c r="EH263" i="2"/>
  <c r="EC263" i="2"/>
  <c r="FU311" i="2"/>
  <c r="FV311" i="2" s="1"/>
  <c r="EX311" i="2"/>
  <c r="EY311" i="2" s="1"/>
  <c r="FU258" i="2"/>
  <c r="FV258" i="2" s="1"/>
  <c r="EX258" i="2"/>
  <c r="EY258" i="2" s="1"/>
  <c r="FK258" i="2"/>
  <c r="EY392" i="2"/>
  <c r="GJ392" i="2"/>
  <c r="FU266" i="2"/>
  <c r="FV266" i="2" s="1"/>
  <c r="EX266" i="2"/>
  <c r="EY266" i="2" s="1"/>
  <c r="FW265" i="2"/>
  <c r="FX265" i="2" s="1" a="1"/>
  <c r="FU390" i="2"/>
  <c r="FV390" i="2" s="1"/>
  <c r="EX390" i="2"/>
  <c r="EY390" i="2" s="1"/>
  <c r="GJ30" i="2"/>
  <c r="EY30" i="2"/>
  <c r="FK390" i="2"/>
  <c r="FU261" i="2"/>
  <c r="FV261" i="2" s="1"/>
  <c r="EX261" i="2"/>
  <c r="FK392" i="2"/>
  <c r="FQ392" i="2"/>
  <c r="FU167" i="2"/>
  <c r="FV167" i="2" s="1"/>
  <c r="EX167" i="2"/>
  <c r="EY167" i="2" s="1"/>
  <c r="FR265" i="2" a="1"/>
  <c r="FQ161" i="2" l="1"/>
  <c r="FW161" i="2" s="1"/>
  <c r="FX161" i="2" s="1" a="1"/>
  <c r="FK244" i="2"/>
  <c r="FQ244" i="2"/>
  <c r="EY244" i="2"/>
  <c r="GJ244" i="2"/>
  <c r="EY257" i="2"/>
  <c r="GJ257" i="2"/>
  <c r="FQ257" i="2"/>
  <c r="GV395" i="2"/>
  <c r="DS395" i="2"/>
  <c r="EG395" i="2"/>
  <c r="EH395" i="2"/>
  <c r="DV395" i="2"/>
  <c r="FQ252" i="2"/>
  <c r="FW252" i="2" s="1"/>
  <c r="FX252" i="2" s="1" a="1"/>
  <c r="FQ30" i="2"/>
  <c r="FW30" i="2" s="1"/>
  <c r="FX30" i="2" s="1" a="1"/>
  <c r="GJ390" i="2"/>
  <c r="FQ258" i="2"/>
  <c r="FW258" i="2" s="1"/>
  <c r="FX258" i="2" s="1" a="1"/>
  <c r="GJ311" i="2"/>
  <c r="FQ390" i="2"/>
  <c r="FW390" i="2" s="1"/>
  <c r="FX390" i="2" s="1" a="1"/>
  <c r="FR265" i="2"/>
  <c r="FX265" i="2"/>
  <c r="GW267" i="2"/>
  <c r="FK266" i="2"/>
  <c r="FQ266" i="2"/>
  <c r="EY261" i="2"/>
  <c r="GJ261" i="2"/>
  <c r="GJ167" i="2"/>
  <c r="FW392" i="2"/>
  <c r="FX392" i="2" s="1" a="1"/>
  <c r="FK311" i="2"/>
  <c r="FQ311" i="2"/>
  <c r="FK167" i="2"/>
  <c r="FQ167" i="2"/>
  <c r="FK261" i="2"/>
  <c r="FQ261" i="2"/>
  <c r="FR392" i="2" a="1"/>
  <c r="FR161" i="2" l="1" a="1"/>
  <c r="FR161" i="2" s="1"/>
  <c r="FX161" i="2"/>
  <c r="GW175" i="2"/>
  <c r="GW64" i="2"/>
  <c r="FW244" i="2"/>
  <c r="FX244" i="2" s="1" a="1"/>
  <c r="FR30" i="2" a="1"/>
  <c r="FR30" i="2" s="1"/>
  <c r="FW257" i="2"/>
  <c r="FX257" i="2" s="1" a="1"/>
  <c r="GW161" i="2"/>
  <c r="FX252" i="2"/>
  <c r="GW201" i="2"/>
  <c r="GW227" i="2"/>
  <c r="GW252" i="2"/>
  <c r="GW258" i="2"/>
  <c r="GW261" i="2"/>
  <c r="GW388" i="2"/>
  <c r="GW389" i="2"/>
  <c r="GW264" i="2"/>
  <c r="GW228" i="2"/>
  <c r="GW263" i="2"/>
  <c r="GW259" i="2"/>
  <c r="GW257" i="2"/>
  <c r="GW244" i="2"/>
  <c r="GW364" i="2"/>
  <c r="GW266" i="2"/>
  <c r="GW387" i="2"/>
  <c r="GW292" i="2"/>
  <c r="GW167" i="2"/>
  <c r="GW235" i="2"/>
  <c r="GW391" i="2"/>
  <c r="GW30" i="2"/>
  <c r="GW393" i="2"/>
  <c r="GW265" i="2"/>
  <c r="GW394" i="2"/>
  <c r="GW308" i="2"/>
  <c r="GW311" i="2"/>
  <c r="GW229" i="2"/>
  <c r="GW392" i="2"/>
  <c r="GW386" i="2"/>
  <c r="GW390" i="2"/>
  <c r="FX258" i="2"/>
  <c r="FX390" i="2"/>
  <c r="FR392" i="2"/>
  <c r="FX30" i="2"/>
  <c r="FX392" i="2"/>
  <c r="FW311" i="2"/>
  <c r="FX311" i="2" s="1" a="1"/>
  <c r="FW266" i="2"/>
  <c r="FX266" i="2" s="1" a="1"/>
  <c r="FW261" i="2"/>
  <c r="FX261" i="2" s="1" a="1"/>
  <c r="FW167" i="2"/>
  <c r="FX167" i="2" s="1" a="1"/>
  <c r="FR167" i="2" a="1"/>
  <c r="FR257" i="2" a="1"/>
  <c r="FR258" i="2" a="1"/>
  <c r="FR266" i="2" a="1"/>
  <c r="FR261" i="2" a="1"/>
  <c r="FR252" i="2" a="1"/>
  <c r="FR311" i="2" a="1"/>
  <c r="FR390" i="2" a="1"/>
  <c r="FR244" i="2" a="1"/>
  <c r="FX244" i="2" l="1"/>
  <c r="FR252" i="2"/>
  <c r="FR244" i="2"/>
  <c r="FR257" i="2"/>
  <c r="FX257" i="2"/>
  <c r="FR258" i="2"/>
  <c r="GW395" i="2"/>
  <c r="FR390" i="2"/>
  <c r="FR311" i="2"/>
  <c r="FX311" i="2"/>
  <c r="FX266" i="2"/>
  <c r="FR167" i="2"/>
  <c r="FX167" i="2"/>
  <c r="FR261" i="2"/>
  <c r="FX261" i="2"/>
  <c r="FR26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<sst xmlns="http://schemas.openxmlformats.org/spreadsheetml/2006/main" count="2887" uniqueCount="1309">
  <si>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</si>
  <si>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</si>
  <si>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</si>
  <si>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</si>
  <si>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</si>
  <si>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</si>
  <si>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</si>
  <si>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</si>
  <si>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</si>
  <si>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</si>
  <si>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</si>
  <si>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</si>
  <si>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</si>
  <si>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</si>
  <si>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</si>
  <si>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</si>
  <si>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</si>
  <si>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</si>
  <si>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</si>
  <si>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</si>
  <si>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</si>
  <si>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</si>
  <si>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</si>
  <si>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</si>
  <si>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</si>
  <si>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</si>
  <si>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</si>
  <si>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</si>
  <si>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</si>
  <si>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</si>
  <si>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</si>
  <si>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</si>
  <si>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</si>
  <si>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</si>
  <si>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</si>
  <si>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</si>
  <si>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Telecom Services - Domestic</t>
  </si>
  <si>
    <t>VZ</t>
  </si>
  <si>
    <t>free money</t>
  </si>
  <si>
    <t>Internet Software &amp; Services</t>
  </si>
  <si>
    <t>SQ</t>
  </si>
  <si>
    <t>Basic Materials</t>
  </si>
  <si>
    <t>Oil &amp; Gas Equipment &amp; Services</t>
  </si>
  <si>
    <t>Sporting Goods Stores</t>
  </si>
  <si>
    <t>DKS</t>
  </si>
  <si>
    <t>Losses</t>
  </si>
  <si>
    <t>ITM</t>
  </si>
  <si>
    <t>Specialty Retail, Other</t>
  </si>
  <si>
    <t>EBAY</t>
  </si>
  <si>
    <t>Healthcare</t>
  </si>
  <si>
    <t>AGN</t>
  </si>
  <si>
    <t>Specialty Eateries</t>
  </si>
  <si>
    <t>SBUX</t>
  </si>
  <si>
    <t>T</t>
  </si>
  <si>
    <t>Silver</t>
  </si>
  <si>
    <t>Business Software &amp; Services</t>
  </si>
  <si>
    <t>AVGO</t>
  </si>
  <si>
    <t>AMD</t>
  </si>
  <si>
    <t>Security Software &amp; Services</t>
  </si>
  <si>
    <t>CHKP</t>
  </si>
  <si>
    <t>Restaurants</t>
  </si>
  <si>
    <t>DRI</t>
  </si>
  <si>
    <t>DPZ</t>
  </si>
  <si>
    <t>Aerospace/Defense - Major Diversified</t>
  </si>
  <si>
    <t>Resorts &amp; Casinos</t>
  </si>
  <si>
    <t>WYNN</t>
  </si>
  <si>
    <t>Rental &amp; Leasing Services</t>
  </si>
  <si>
    <t>CAR</t>
  </si>
  <si>
    <t>REIT - Office</t>
  </si>
  <si>
    <t>ARE</t>
  </si>
  <si>
    <t>Regional Airlines</t>
  </si>
  <si>
    <t>LUV</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</si>
  <si>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</si>
  <si>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</si>
  <si>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</si>
  <si>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</si>
  <si>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</si>
  <si>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</si>
  <si>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</si>
  <si>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</si>
  <si>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</si>
  <si>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</si>
  <si>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</si>
  <si>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</si>
  <si>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</si>
  <si>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</si>
  <si>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</si>
  <si>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</si>
  <si>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</si>
  <si>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</si>
  <si>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</si>
  <si>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</si>
  <si>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</si>
  <si>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</si>
  <si>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</si>
  <si>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HAL</t>
  </si>
  <si>
    <t>DNOW</t>
  </si>
  <si>
    <t>Oil &amp; Gas Drilling &amp; Exploration</t>
  </si>
  <si>
    <t>ESV</t>
  </si>
  <si>
    <t>CSCO</t>
  </si>
  <si>
    <t>ATVI</t>
  </si>
  <si>
    <t>WFC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</si>
  <si>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</si>
  <si>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</si>
  <si>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</si>
  <si>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</si>
  <si>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</si>
  <si>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</si>
  <si>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</si>
  <si>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</si>
  <si>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</si>
  <si>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</si>
  <si>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Independent Oil &amp; Gas</t>
  </si>
  <si>
    <t>XEC</t>
  </si>
  <si>
    <t>Major Integrated Oil &amp; Gas</t>
  </si>
  <si>
    <t>XOM</t>
  </si>
  <si>
    <t>BP</t>
  </si>
  <si>
    <t>Major Airlines</t>
  </si>
  <si>
    <t>DAL</t>
  </si>
  <si>
    <t>SWK</t>
  </si>
  <si>
    <t>Waste Management</t>
  </si>
  <si>
    <t>TWTR</t>
  </si>
  <si>
    <t>SNAP</t>
  </si>
  <si>
    <t>GDDY</t>
  </si>
  <si>
    <t>Discount, Variety Stores</t>
  </si>
  <si>
    <t>WMT</t>
  </si>
  <si>
    <t>TXT</t>
  </si>
  <si>
    <t>Beverages - Wineries &amp; Distillers</t>
  </si>
  <si>
    <t>STZ</t>
  </si>
  <si>
    <t>Information Technology Services</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</si>
  <si>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</si>
  <si>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</si>
  <si>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</si>
  <si>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</si>
  <si>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</si>
  <si>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</si>
  <si>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</si>
  <si>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</si>
  <si>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</si>
  <si>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</si>
  <si>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</si>
  <si>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</si>
  <si>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</si>
  <si>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</si>
  <si>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</si>
  <si>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</si>
  <si>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</si>
  <si>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</si>
  <si>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</si>
  <si>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</si>
  <si>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</si>
  <si>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</si>
  <si>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</si>
  <si>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</si>
  <si>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</si>
  <si>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</si>
  <si>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</si>
  <si>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</si>
  <si>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</si>
  <si>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</si>
  <si>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</si>
  <si>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</si>
  <si>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</si>
  <si>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</si>
  <si>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</si>
  <si>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</si>
  <si>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</si>
  <si>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</si>
  <si>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Capped Gain</t>
  </si>
  <si>
    <t>GLD</t>
  </si>
  <si>
    <t>EZU</t>
  </si>
  <si>
    <t>FOXA</t>
  </si>
  <si>
    <t>Macau revenue release</t>
  </si>
  <si>
    <t>LVS</t>
  </si>
  <si>
    <t>CBS</t>
  </si>
  <si>
    <t>BBY</t>
  </si>
  <si>
    <t>Apparel Stores</t>
  </si>
  <si>
    <t>JWN</t>
  </si>
  <si>
    <t>Utilities</t>
  </si>
  <si>
    <t>Electric Utilities</t>
  </si>
  <si>
    <t>ED</t>
  </si>
  <si>
    <t>DUK</t>
  </si>
  <si>
    <t>AEP</t>
  </si>
  <si>
    <t>Credit Services</t>
  </si>
  <si>
    <t>Drug Stores</t>
  </si>
  <si>
    <t>WBA</t>
  </si>
  <si>
    <t>JPM</t>
  </si>
  <si>
    <t>Chemicals - Major Diversified</t>
  </si>
  <si>
    <t>JNJ</t>
  </si>
  <si>
    <t>GSK</t>
  </si>
  <si>
    <t>ABBV</t>
  </si>
  <si>
    <t>Gaming Activities</t>
  </si>
  <si>
    <t>TSG</t>
  </si>
  <si>
    <t>GE</t>
  </si>
  <si>
    <t>ETN</t>
  </si>
  <si>
    <t>CMI</t>
  </si>
  <si>
    <t>Semiconductor - Specialized</t>
  </si>
  <si>
    <t>TGT</t>
  </si>
  <si>
    <t>keep?</t>
  </si>
  <si>
    <t>DG</t>
  </si>
  <si>
    <t>Exit</t>
  </si>
  <si>
    <t>sales report</t>
  </si>
  <si>
    <t>COST</t>
  </si>
  <si>
    <t>M</t>
  </si>
  <si>
    <t>V</t>
  </si>
  <si>
    <t>file form 10s for breakup entities</t>
  </si>
  <si>
    <t>MA</t>
  </si>
  <si>
    <t>AXP</t>
  </si>
  <si>
    <t>Copper</t>
  </si>
  <si>
    <t>Confectioners</t>
  </si>
  <si>
    <t>Communication Equipment</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</si>
  <si>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</si>
  <si>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</si>
  <si>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</si>
  <si>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</si>
  <si>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</si>
  <si>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</si>
  <si>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</si>
  <si>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</si>
  <si>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</si>
  <si>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</si>
  <si>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</si>
  <si>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</si>
  <si>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</si>
  <si>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</si>
  <si>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</si>
  <si>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</si>
  <si>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</si>
  <si>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</si>
  <si>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</si>
  <si>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</si>
  <si>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</si>
  <si>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</si>
  <si>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</si>
  <si>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</si>
  <si>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</si>
  <si>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Auto Manufacturers - Major</t>
  </si>
  <si>
    <t>TSLA</t>
  </si>
  <si>
    <t>GM</t>
  </si>
  <si>
    <t>Auto Dealerships</t>
  </si>
  <si>
    <t>ABG</t>
  </si>
  <si>
    <t>Asset Management</t>
  </si>
  <si>
    <t>BK</t>
  </si>
  <si>
    <t>Semiconductor Equipment &amp; Materials</t>
  </si>
  <si>
    <t>AMAT</t>
  </si>
  <si>
    <t>ADBE</t>
  </si>
  <si>
    <t>APC</t>
  </si>
  <si>
    <t>Aluminum</t>
  </si>
  <si>
    <t>ARNC</t>
  </si>
  <si>
    <t>XPO</t>
  </si>
  <si>
    <t>FDX</t>
  </si>
  <si>
    <t>UTX</t>
  </si>
  <si>
    <t>AMZN</t>
  </si>
  <si>
    <t>LMT</t>
  </si>
  <si>
    <t>BA</t>
  </si>
  <si>
    <t>UNH</t>
  </si>
  <si>
    <t>ABT</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</si>
  <si>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</si>
  <si>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</si>
  <si>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</si>
  <si>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</si>
  <si>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</si>
  <si>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</si>
  <si>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</si>
  <si>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</si>
  <si>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</si>
  <si>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</si>
  <si>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</si>
  <si>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</si>
  <si>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</si>
  <si>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</si>
  <si>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</si>
  <si>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</si>
  <si>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</si>
  <si>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</si>
  <si>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</si>
  <si>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</si>
  <si>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</si>
  <si>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</si>
  <si>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</si>
  <si>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</si>
  <si>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</si>
  <si>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</si>
  <si>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</si>
  <si>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</si>
  <si>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</si>
  <si>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</si>
  <si>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</si>
  <si>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</si>
  <si>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</si>
  <si>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</si>
  <si>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</si>
  <si>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</si>
  <si>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</si>
  <si>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</si>
  <si>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</si>
  <si>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</si>
  <si>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</si>
  <si>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</si>
  <si>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</si>
  <si>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</si>
  <si>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</si>
  <si>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</si>
  <si>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</si>
  <si>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</si>
  <si>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</si>
  <si>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</si>
  <si>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</si>
  <si>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</si>
  <si>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</si>
  <si>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</si>
  <si>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</si>
  <si>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</si>
  <si>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</si>
  <si>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</si>
  <si>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</si>
  <si>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</si>
  <si>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</si>
  <si>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</si>
  <si>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</si>
  <si>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</si>
  <si>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</si>
  <si>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</si>
  <si>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</si>
  <si>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</si>
  <si>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</si>
  <si>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</si>
  <si>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</si>
  <si>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</si>
  <si>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</si>
  <si>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</si>
  <si>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</si>
  <si>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</si>
  <si>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</si>
  <si>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</si>
  <si>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</si>
  <si>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</si>
  <si>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</si>
  <si>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</si>
  <si>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</si>
  <si>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</si>
  <si>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</si>
  <si>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</si>
  <si>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</si>
  <si>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</si>
  <si>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</si>
  <si>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</si>
  <si>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</si>
  <si>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</si>
  <si>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</si>
  <si>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</si>
  <si>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</si>
  <si>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</si>
  <si>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</si>
  <si>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</si>
  <si>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</si>
  <si>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</si>
  <si>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</si>
  <si>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</si>
  <si>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</si>
  <si>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</si>
  <si>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</si>
  <si>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</si>
  <si>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</si>
  <si>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</si>
  <si>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</si>
  <si>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</si>
  <si>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</si>
  <si>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</si>
  <si>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</si>
  <si>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</si>
  <si>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</si>
  <si>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</si>
  <si>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</si>
  <si>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</si>
  <si>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</si>
  <si>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</si>
  <si>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</si>
  <si>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</si>
  <si>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</si>
  <si>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</si>
  <si>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</si>
  <si>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</si>
  <si>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</si>
  <si>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</si>
  <si>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</si>
  <si>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</si>
  <si>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</si>
  <si>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</si>
  <si>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</si>
  <si>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</si>
  <si>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</si>
  <si>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</si>
  <si>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</si>
  <si>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</si>
  <si>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</si>
  <si>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</si>
  <si>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</si>
  <si>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</si>
  <si>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</si>
  <si>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</si>
  <si>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</si>
  <si>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</si>
  <si>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</si>
  <si>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</si>
  <si>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</si>
  <si>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</si>
  <si>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</si>
  <si>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</si>
  <si>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</si>
  <si>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</si>
  <si>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</si>
  <si>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</si>
  <si>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</si>
  <si>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</si>
  <si>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</si>
  <si>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</si>
  <si>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</si>
  <si>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</si>
  <si>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</si>
  <si>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</si>
  <si>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</si>
  <si>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</si>
  <si>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</si>
  <si>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</si>
  <si>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</si>
  <si>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</si>
  <si>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</si>
  <si>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</si>
  <si>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</si>
  <si>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</si>
  <si>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</si>
  <si>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</si>
  <si>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</si>
  <si>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</si>
  <si>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</si>
  <si>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</si>
  <si>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</si>
  <si>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</si>
  <si>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</si>
  <si>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</si>
  <si>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</si>
  <si>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</si>
  <si>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</si>
  <si>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</si>
  <si>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</si>
  <si>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</si>
  <si>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</si>
  <si>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</si>
  <si>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</si>
  <si>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</si>
  <si>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</si>
  <si>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</si>
  <si>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</si>
  <si>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</si>
  <si>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</si>
  <si>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</si>
  <si>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</si>
  <si>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</si>
  <si>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</si>
  <si>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</si>
  <si>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</si>
  <si>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</si>
  <si>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</si>
  <si>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</si>
  <si>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</si>
  <si>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</si>
  <si>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</si>
  <si>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</si>
  <si>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</si>
  <si>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</si>
  <si>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</si>
  <si>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</si>
  <si>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</si>
  <si>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</si>
  <si>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</si>
  <si>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</si>
  <si>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</si>
  <si>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</si>
  <si>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</si>
  <si>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</si>
  <si>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</si>
  <si>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</si>
  <si>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</si>
  <si>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</si>
  <si>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</si>
  <si>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</si>
  <si>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</si>
  <si>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</si>
  <si>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</si>
  <si>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</si>
  <si>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</si>
  <si>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KO</t>
  </si>
  <si>
    <t>TWLO</t>
  </si>
  <si>
    <t>LRCX</t>
  </si>
  <si>
    <t>CVS</t>
  </si>
  <si>
    <t>YNDX</t>
  </si>
  <si>
    <t>KTOS</t>
  </si>
  <si>
    <t>LABU</t>
  </si>
  <si>
    <t>XBI</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</si>
  <si>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</si>
  <si>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</si>
  <si>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</si>
  <si>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</si>
  <si>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</si>
  <si>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</si>
  <si>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</si>
  <si>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</si>
  <si>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</si>
  <si>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</si>
  <si>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</si>
  <si>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</si>
  <si>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</si>
  <si>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</si>
  <si>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</si>
  <si>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</si>
  <si>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</si>
  <si>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</si>
  <si>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</si>
  <si>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</si>
  <si>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ARWR</t>
  </si>
  <si>
    <t>TMUS</t>
  </si>
  <si>
    <t>Wireless Communications</t>
  </si>
  <si>
    <t>FCC ruling</t>
  </si>
  <si>
    <t>DE</t>
  </si>
  <si>
    <t>Farm &amp; Construction Machinery</t>
  </si>
  <si>
    <t>CTVA</t>
  </si>
  <si>
    <t>DD</t>
  </si>
  <si>
    <t>UBER</t>
  </si>
  <si>
    <t>LYFT</t>
  </si>
  <si>
    <t>HAS</t>
  </si>
  <si>
    <t>Toys &amp; Games</t>
  </si>
  <si>
    <t>BuPS</t>
  </si>
  <si>
    <t>BuCS</t>
  </si>
  <si>
    <t>GH</t>
  </si>
  <si>
    <t>BuyWrite</t>
  </si>
  <si>
    <t>CODA</t>
  </si>
  <si>
    <t>BRKS</t>
  </si>
  <si>
    <t>SPs</t>
  </si>
  <si>
    <t>Sample usage of Match/Index</t>
  </si>
  <si>
    <t>BURL</t>
  </si>
  <si>
    <t>CAT</t>
  </si>
  <si>
    <t>CCs</t>
  </si>
  <si>
    <t>LPs</t>
  </si>
  <si>
    <t>SPLK</t>
  </si>
  <si>
    <t>butterfly</t>
  </si>
  <si>
    <t>127, 132</t>
  </si>
  <si>
    <t>TNDM</t>
  </si>
  <si>
    <t>BIDU</t>
  </si>
  <si>
    <t>BeCS</t>
  </si>
  <si>
    <t>Gold</t>
  </si>
  <si>
    <t>GIS</t>
  </si>
  <si>
    <t>Processed &amp; Packaged Goods</t>
  </si>
  <si>
    <t>Strangle</t>
  </si>
  <si>
    <t>ZM</t>
  </si>
  <si>
    <t>AAP</t>
  </si>
  <si>
    <t>TREX</t>
  </si>
  <si>
    <t>Annual Dividend Per Share</t>
  </si>
  <si>
    <t>2./20/2020</t>
  </si>
  <si>
    <t>2/233/2020</t>
  </si>
  <si>
    <t>1/163/2020</t>
  </si>
  <si>
    <t>CPRT</t>
  </si>
  <si>
    <t>No Fill</t>
  </si>
  <si>
    <t>Position Description</t>
  </si>
  <si>
    <t>SP No Fill</t>
  </si>
  <si>
    <t>LP No Fill</t>
  </si>
  <si>
    <t>LC Not Filled</t>
  </si>
  <si>
    <t>SC Not Filled</t>
  </si>
  <si>
    <t>SPY</t>
  </si>
  <si>
    <t>EWZ</t>
  </si>
  <si>
    <t>Agricultural Chemicals</t>
  </si>
  <si>
    <t>CLX</t>
  </si>
  <si>
    <t>FLT</t>
  </si>
  <si>
    <t>BMY</t>
  </si>
  <si>
    <t>VIAC</t>
  </si>
  <si>
    <t>LCs</t>
  </si>
  <si>
    <t>TSN</t>
  </si>
  <si>
    <t>Meat Products</t>
  </si>
  <si>
    <t>Swing</t>
  </si>
  <si>
    <t>BYND</t>
  </si>
  <si>
    <t>ABBV takeover</t>
  </si>
  <si>
    <t>*</t>
  </si>
  <si>
    <t>AEM</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</si>
  <si>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</si>
  <si>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</si>
  <si>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</si>
  <si>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</si>
  <si>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</si>
  <si>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</si>
  <si>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</si>
  <si>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</si>
  <si>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</si>
  <si>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</si>
  <si>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</si>
  <si>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</si>
  <si>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</si>
  <si>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</si>
  <si>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</si>
  <si>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</si>
  <si>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</si>
  <si>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</si>
  <si>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</si>
  <si>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</si>
  <si>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</si>
  <si>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</si>
  <si>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</si>
  <si>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</si>
  <si>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</si>
  <si>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</si>
  <si>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</si>
  <si>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</si>
  <si>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</si>
  <si>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</si>
  <si>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</si>
  <si>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</si>
  <si>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</si>
  <si>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</si>
  <si>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</si>
  <si>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</si>
  <si>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</si>
  <si>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</si>
  <si>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</si>
  <si>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</si>
  <si>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</si>
  <si>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</si>
  <si>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</si>
  <si>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</si>
  <si>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</si>
  <si>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</si>
  <si>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</si>
  <si>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</si>
  <si>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</si>
  <si>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</si>
  <si>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</si>
  <si>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</si>
  <si>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</si>
  <si>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</si>
  <si>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</si>
  <si>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</si>
  <si>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</si>
  <si>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</si>
  <si>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</si>
  <si>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</si>
  <si>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</si>
  <si>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</si>
  <si>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</si>
  <si>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</si>
  <si>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</si>
  <si>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</si>
  <si>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</si>
  <si>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</si>
  <si>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</si>
  <si>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</si>
  <si>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</si>
  <si>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</si>
  <si>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</si>
  <si>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</si>
  <si>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</si>
  <si>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</si>
  <si>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</si>
  <si>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</si>
  <si>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</si>
  <si>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</si>
  <si>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</si>
  <si>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</si>
  <si>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</si>
  <si>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</si>
  <si>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</si>
  <si>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</si>
  <si>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</si>
  <si>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</si>
  <si>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</si>
  <si>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</si>
  <si>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</si>
  <si>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</si>
  <si>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</si>
  <si>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</si>
  <si>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</si>
  <si>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</si>
  <si>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</si>
  <si>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</si>
  <si>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</si>
  <si>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</si>
  <si>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</si>
  <si>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</si>
  <si>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</si>
  <si>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</si>
  <si>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</si>
  <si>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</si>
  <si>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</si>
  <si>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</si>
  <si>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</si>
  <si>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</si>
  <si>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</si>
  <si>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</si>
  <si>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</si>
  <si>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</si>
  <si>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</si>
  <si>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</si>
  <si>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</si>
  <si>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</si>
  <si>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</si>
  <si>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</si>
  <si>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</si>
  <si>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</si>
  <si>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</si>
  <si>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</si>
  <si>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</si>
  <si>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</si>
  <si>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</si>
  <si>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</si>
  <si>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</si>
  <si>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</si>
  <si>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</si>
  <si>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</si>
  <si>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</si>
  <si>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</si>
  <si>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</si>
  <si>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</si>
  <si>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</si>
  <si>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</si>
  <si>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</si>
  <si>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</si>
  <si>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</si>
  <si>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</si>
  <si>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</si>
  <si>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</si>
  <si>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</si>
  <si>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</si>
  <si>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</si>
  <si>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</si>
  <si>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</si>
  <si>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</si>
  <si>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</si>
  <si>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</si>
  <si>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</si>
  <si>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</si>
  <si>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</si>
  <si>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</si>
  <si>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</si>
  <si>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</si>
  <si>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</si>
  <si>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</si>
  <si>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</si>
  <si>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</si>
  <si>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</si>
  <si>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</si>
  <si>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</si>
  <si>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</si>
  <si>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</si>
  <si>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</si>
  <si>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</si>
  <si>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{A43965DD-60CA-41F4-BBA3-674716E1B326}</t>
  </si>
  <si>
    <t>{58ACF3D6-B512-4548-9C4C-9240EAFA5161}</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</si>
  <si>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</si>
  <si>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</si>
  <si>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</si>
  <si>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</si>
  <si>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</si>
  <si>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</si>
  <si>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</si>
  <si>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</si>
  <si>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</si>
  <si>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</si>
  <si>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</si>
  <si>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</si>
  <si>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</si>
  <si>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</si>
  <si>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</si>
  <si>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</si>
  <si>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</si>
  <si>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</si>
  <si>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</si>
  <si>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</si>
  <si>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</si>
  <si>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</si>
  <si>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</si>
  <si>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</si>
  <si>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</si>
  <si>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</si>
  <si>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</si>
  <si>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</si>
  <si>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</si>
  <si>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</si>
  <si>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</si>
  <si>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</si>
  <si>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</si>
  <si>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</si>
  <si>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</si>
  <si>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</si>
  <si>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</si>
  <si>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</si>
  <si>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</si>
  <si>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</si>
  <si>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</si>
  <si>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</si>
  <si>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</si>
  <si>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</si>
  <si>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</si>
  <si>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</si>
  <si>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</si>
  <si>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</si>
  <si>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</si>
  <si>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</si>
  <si>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</si>
  <si>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</si>
  <si>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</si>
  <si>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</si>
  <si>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</si>
  <si>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</si>
  <si>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{86881B99-0901-4FE6-AFAA-F6929A73B44C}</t>
  </si>
  <si>
    <t>{9B36A4E4-8304-451B-90E8-E4832F0F18E8}</t>
  </si>
  <si>
    <t>STMP</t>
  </si>
  <si>
    <t>LEAPS</t>
  </si>
  <si>
    <t>Leisure</t>
  </si>
  <si>
    <t>LKNCY</t>
  </si>
  <si>
    <t>LC Stop %</t>
  </si>
  <si>
    <t>LC Break Even</t>
  </si>
  <si>
    <t>CoveredCall_Available</t>
  </si>
  <si>
    <t>Potential Covered Call Candidates</t>
  </si>
  <si>
    <t>FNV</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</si>
  <si>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</si>
  <si>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</si>
  <si>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</si>
  <si>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</si>
  <si>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</si>
  <si>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</si>
  <si>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</si>
  <si>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</si>
  <si>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</si>
  <si>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</si>
  <si>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</si>
  <si>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</si>
  <si>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</si>
  <si>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</si>
  <si>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</si>
  <si>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</si>
  <si>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</si>
  <si>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</si>
  <si>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</si>
  <si>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</si>
  <si>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</si>
  <si>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</si>
  <si>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</si>
  <si>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</si>
  <si>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</si>
  <si>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</si>
  <si>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</si>
  <si>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</si>
  <si>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</si>
  <si>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</si>
  <si>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</si>
  <si>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</si>
  <si>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</si>
  <si>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</si>
  <si>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</si>
  <si>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</si>
  <si>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</si>
  <si>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</si>
  <si>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</si>
  <si>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</si>
  <si>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</si>
  <si>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</si>
  <si>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</si>
  <si>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</si>
  <si>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</si>
  <si>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</si>
  <si>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</si>
  <si>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</si>
  <si>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</si>
  <si>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</si>
  <si>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</si>
  <si>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</si>
  <si>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</si>
  <si>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</si>
  <si>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</si>
  <si>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</si>
  <si>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</si>
  <si>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</si>
  <si>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</si>
  <si>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</si>
  <si>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</si>
  <si>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</si>
  <si>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</si>
  <si>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</si>
  <si>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</si>
  <si>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</si>
  <si>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</si>
  <si>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</si>
  <si>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</si>
  <si>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</si>
  <si>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</si>
  <si>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</si>
  <si>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</si>
  <si>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</si>
  <si>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</si>
  <si>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</si>
  <si>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</si>
  <si>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LVGO</t>
  </si>
  <si>
    <t>KKR</t>
  </si>
  <si>
    <t>KGC</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</si>
  <si>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</si>
  <si>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</si>
  <si>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</si>
  <si>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</si>
  <si>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</si>
  <si>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</si>
  <si>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</si>
  <si>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</si>
  <si>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</si>
  <si>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</si>
  <si>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</si>
  <si>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</si>
  <si>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</si>
  <si>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</si>
  <si>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</si>
  <si>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</si>
  <si>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</si>
  <si>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</si>
  <si>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</si>
  <si>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</si>
  <si>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</si>
  <si>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</si>
  <si>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</si>
  <si>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SP Stop Override</t>
  </si>
  <si>
    <t>SP Stop To Use</t>
  </si>
  <si>
    <t>SP Stop Loss</t>
  </si>
  <si>
    <t>Short Put Stops</t>
  </si>
  <si>
    <t>SP Strike  Stop  Max Loss</t>
  </si>
  <si>
    <t>EL</t>
  </si>
  <si>
    <t>SPOT</t>
  </si>
  <si>
    <t>FTCH</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</si>
  <si>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</si>
  <si>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</si>
  <si>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</si>
  <si>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</si>
  <si>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</si>
  <si>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</si>
  <si>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</si>
  <si>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</si>
  <si>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</si>
  <si>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</si>
  <si>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</si>
  <si>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</si>
  <si>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</si>
  <si>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</si>
  <si>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</si>
  <si>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</si>
  <si>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</si>
  <si>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GBTC</t>
  </si>
  <si>
    <t>Crypto</t>
  </si>
  <si>
    <t>FCEL</t>
  </si>
  <si>
    <t>BRK.B</t>
  </si>
  <si>
    <t>Insurance - Diversified</t>
  </si>
  <si>
    <t>CC</t>
  </si>
  <si>
    <t>TLRY</t>
  </si>
  <si>
    <t>TEVA</t>
  </si>
  <si>
    <t>SOLO</t>
  </si>
  <si>
    <t>Computer Hardware</t>
  </si>
  <si>
    <t>SP POW</t>
  </si>
  <si>
    <t>SP Cash Reserve</t>
  </si>
  <si>
    <t>GME</t>
  </si>
  <si>
    <t>BLNK</t>
  </si>
  <si>
    <t>Real Estate Services</t>
  </si>
  <si>
    <t>FROG</t>
  </si>
  <si>
    <t>CHWY</t>
  </si>
  <si>
    <t>Stock 6.83</t>
  </si>
  <si>
    <t>To Do</t>
  </si>
  <si>
    <t>roll up?</t>
  </si>
  <si>
    <t>WPM</t>
  </si>
  <si>
    <t>Aerospace &amp; Defense</t>
  </si>
  <si>
    <t>VXX</t>
  </si>
  <si>
    <t>Hedge</t>
  </si>
  <si>
    <t>CRWD</t>
  </si>
  <si>
    <t>ER</t>
  </si>
  <si>
    <t>Oil &amp; Gas E&amp;P</t>
  </si>
  <si>
    <t>CZR</t>
  </si>
  <si>
    <t>ZS</t>
  </si>
  <si>
    <t>VIPS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</si>
  <si>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</si>
  <si>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</si>
  <si>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</si>
  <si>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</si>
  <si>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</si>
  <si>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</si>
  <si>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</si>
  <si>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</si>
  <si>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</si>
  <si>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</si>
  <si>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</si>
  <si>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</si>
  <si>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</si>
  <si>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</si>
  <si>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</si>
  <si>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</si>
  <si>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</si>
  <si>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</si>
  <si>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</si>
  <si>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</si>
  <si>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</si>
  <si>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</si>
  <si>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</si>
  <si>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</si>
  <si>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</si>
  <si>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</si>
  <si>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</si>
  <si>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</si>
  <si>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</si>
  <si>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DEN</t>
  </si>
  <si>
    <t>KWEB</t>
  </si>
  <si>
    <t>FUBO</t>
  </si>
  <si>
    <t>Broadcasting</t>
  </si>
  <si>
    <t>SC Upside Potential</t>
  </si>
  <si>
    <t>LCID</t>
  </si>
  <si>
    <t>{63F05D95-E0E2-4096-900B-9BC47E8C48DC}</t>
  </si>
  <si>
    <t>{2B2DE5DF-1094-421D-BFC2-5DE23168F5FD}</t>
  </si>
  <si>
    <t>{BB549F43-26B8-4DDC-A210-1139E6482E1E}</t>
  </si>
  <si>
    <t>{A3855D45-5D09-40C2-9837-DAC3CB9F84D0}</t>
  </si>
  <si>
    <t>{6769565A-0B0C-4785-B3EF-7A2643C373C3}</t>
  </si>
  <si>
    <t>{774CA4D8-DE6F-4B78-AF4A-F6DEA3900055}</t>
  </si>
  <si>
    <t>{0940800E-8051-47BC-87FE-06057DAA9B2D}</t>
  </si>
  <si>
    <t>{08554B1C-B1EF-461D-93BD-FA6DFBB4CDD8}</t>
  </si>
  <si>
    <t>{A769CD2C-BBFB-4AF8-9A47-8A613340E2F9}</t>
  </si>
  <si>
    <t>BTU</t>
  </si>
  <si>
    <t>Thermal Coal</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</si>
  <si>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</si>
  <si>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</si>
  <si>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</si>
  <si>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</si>
  <si>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</si>
  <si>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</si>
  <si>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</si>
  <si>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</si>
  <si>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</si>
  <si>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</si>
  <si>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</si>
  <si>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</si>
  <si>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</si>
  <si>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</si>
  <si>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</si>
  <si>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</si>
  <si>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</si>
  <si>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</si>
  <si>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</si>
  <si>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</si>
  <si>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</si>
  <si>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</si>
  <si>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</si>
  <si>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</si>
  <si>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</si>
  <si>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</si>
  <si>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</si>
  <si>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</si>
  <si>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</si>
  <si>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</si>
  <si>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</si>
  <si>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</si>
  <si>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</si>
  <si>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</si>
  <si>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</si>
  <si>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</si>
  <si>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</si>
  <si>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</si>
  <si>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</si>
  <si>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</si>
  <si>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</si>
  <si>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</si>
  <si>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</si>
  <si>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</si>
  <si>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</si>
  <si>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</si>
  <si>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</si>
  <si>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</si>
  <si>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</si>
  <si>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</si>
  <si>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</si>
  <si>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</si>
  <si>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</si>
  <si>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</si>
  <si>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</si>
  <si>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</si>
  <si>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</si>
  <si>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</si>
  <si>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</si>
  <si>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</si>
  <si>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</si>
  <si>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</si>
  <si>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</si>
  <si>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</si>
  <si>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</si>
  <si>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</si>
  <si>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</si>
  <si>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</si>
  <si>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</si>
  <si>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</si>
  <si>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</si>
  <si>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</si>
  <si>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</si>
  <si>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</si>
  <si>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</si>
  <si>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</si>
  <si>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</si>
  <si>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</si>
  <si>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</si>
  <si>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</si>
  <si>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</si>
  <si>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</si>
  <si>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</si>
  <si>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</si>
  <si>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</si>
  <si>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</si>
  <si>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</si>
  <si>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</si>
  <si>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</si>
  <si>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</si>
  <si>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</si>
  <si>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</si>
  <si>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</si>
  <si>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</si>
  <si>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</si>
  <si>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</si>
  <si>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</si>
  <si>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</si>
  <si>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</si>
  <si>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</si>
  <si>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</si>
  <si>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</si>
  <si>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</si>
  <si>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</si>
  <si>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</si>
  <si>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</si>
  <si>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</si>
  <si>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</si>
  <si>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</si>
  <si>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</si>
  <si>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</si>
  <si>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</si>
  <si>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</si>
  <si>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</si>
  <si>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</si>
  <si>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</si>
  <si>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IBKR</t>
  </si>
  <si>
    <t>SMCI</t>
  </si>
  <si>
    <t>EXPIRE</t>
  </si>
  <si>
    <t>MAX LOSS COMING</t>
  </si>
  <si>
    <t>SP DTE</t>
  </si>
  <si>
    <t>SPOK</t>
  </si>
  <si>
    <t>NAKED call</t>
  </si>
  <si>
    <t>CCRRF</t>
  </si>
  <si>
    <t>Talc</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</si>
  <si>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</si>
  <si>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</si>
  <si>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</si>
  <si>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</si>
  <si>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</si>
  <si>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</si>
  <si>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</si>
  <si>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</si>
  <si>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</si>
  <si>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</si>
  <si>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</si>
  <si>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</si>
  <si>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</si>
  <si>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</si>
  <si>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</si>
  <si>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</si>
  <si>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</si>
  <si>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</si>
  <si>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</si>
  <si>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</si>
  <si>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</si>
  <si>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CLSK</t>
  </si>
  <si>
    <t>SC Bid TIF2</t>
  </si>
  <si>
    <t>SP Bid TIF</t>
  </si>
  <si>
    <t>CWST</t>
  </si>
  <si>
    <t>RKLB</t>
  </si>
  <si>
    <t>JXN</t>
  </si>
  <si>
    <t>Insurance - Life</t>
  </si>
  <si>
    <t>TGTX</t>
  </si>
  <si>
    <t>SVIX</t>
  </si>
  <si>
    <t>SP Buyback Cost to Close</t>
  </si>
  <si>
    <t>{AAF09123-8F9B-4357-85AC-6D269741EB07}</t>
  </si>
  <si>
    <t>COMP</t>
  </si>
  <si>
    <t>EXEL</t>
  </si>
  <si>
    <t>Industrals</t>
  </si>
  <si>
    <t>ConvSpr</t>
  </si>
  <si>
    <t>ASC</t>
  </si>
  <si>
    <t>GDX</t>
  </si>
  <si>
    <t>TAX LOSS</t>
  </si>
  <si>
    <t>WULF</t>
  </si>
  <si>
    <t>WULF_2</t>
  </si>
  <si>
    <t>NLR</t>
  </si>
  <si>
    <t>VRT</t>
  </si>
  <si>
    <t>tax loss?</t>
  </si>
  <si>
    <t>{ACD78BBA-629A-4951-8CE7-29B0E1517072}</t>
  </si>
  <si>
    <t xml:space="preserve"> . </t>
  </si>
  <si>
    <t>LC Cost To Exercise</t>
  </si>
  <si>
    <t>$AW$8:$AZ$8</t>
  </si>
  <si>
    <t>$AL$8:$AN$8</t>
  </si>
  <si>
    <t>$AC$8:$AG$8</t>
  </si>
  <si>
    <t>$P$8:$AA$8</t>
  </si>
  <si>
    <t>$M$8:$N$8</t>
  </si>
  <si>
    <t>$H$8:$K$8</t>
  </si>
  <si>
    <t>$F$8</t>
  </si>
  <si>
    <t>ASTS</t>
  </si>
  <si>
    <t>URA</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</si>
  <si>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</si>
  <si>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</si>
  <si>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</si>
  <si>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</si>
  <si>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</si>
  <si>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</si>
  <si>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</si>
  <si>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</si>
  <si>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</si>
  <si>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</si>
  <si>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</si>
  <si>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</si>
  <si>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</si>
  <si>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</si>
  <si>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</si>
  <si>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</si>
  <si>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</si>
  <si>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</si>
  <si>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</si>
  <si>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</si>
  <si>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</si>
  <si>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</si>
  <si>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</si>
  <si>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</si>
  <si>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</si>
  <si>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</si>
  <si>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B</t>
  </si>
  <si>
    <t>Max Loss</t>
  </si>
  <si>
    <t>TGEN</t>
  </si>
  <si>
    <t>DVN</t>
  </si>
  <si>
    <t>LGDTF</t>
  </si>
  <si>
    <t>AETUF</t>
  </si>
  <si>
    <t>SOUN</t>
  </si>
  <si>
    <t>LEU</t>
  </si>
  <si>
    <t>CRWV</t>
  </si>
  <si>
    <t>BTG_2</t>
  </si>
  <si>
    <t>152 &gt;= SC's</t>
  </si>
  <si>
    <t>{D69D2DDF-123D-4FAB-B22B-18A698ACEA33}</t>
  </si>
  <si>
    <t>BTG_3</t>
  </si>
  <si>
    <t>{846D9CED-AF74-4F9C-B867-ADD4D115CE60}</t>
  </si>
  <si>
    <t>{50E1D342-378B-494E-8E67-BCA9C2F2BE77}</t>
  </si>
  <si>
    <t>IREN</t>
  </si>
  <si>
    <t>PCT</t>
  </si>
  <si>
    <t>Pollution &amp; Treatment Controls</t>
  </si>
  <si>
    <t>CPRX</t>
  </si>
  <si>
    <t>PCT_1</t>
  </si>
  <si>
    <t>CLPT</t>
  </si>
  <si>
    <t>Health Care Equipment &amp; Supplies</t>
  </si>
  <si>
    <t>LAC</t>
  </si>
  <si>
    <t>Metals &amp; Mining</t>
  </si>
  <si>
    <t>SOFI_6</t>
  </si>
  <si>
    <t>QUBT</t>
  </si>
  <si>
    <t>NAK</t>
  </si>
  <si>
    <t>SLV_31</t>
  </si>
  <si>
    <t>ETHA_1</t>
  </si>
  <si>
    <t>IBIT_5</t>
  </si>
  <si>
    <t>FCX_20</t>
  </si>
  <si>
    <t>ONDS_3</t>
  </si>
  <si>
    <t>INFQ_2</t>
  </si>
  <si>
    <t>NFLX</t>
  </si>
  <si>
    <t>INFQ_1</t>
  </si>
  <si>
    <t>SMR_2</t>
  </si>
  <si>
    <t>AMPX</t>
  </si>
  <si>
    <t>RCUS</t>
  </si>
  <si>
    <t>OSLO</t>
  </si>
  <si>
    <t>FIADH</t>
  </si>
  <si>
    <t>PSIL</t>
  </si>
  <si>
    <t>LULU_7</t>
  </si>
  <si>
    <t>TSM</t>
  </si>
  <si>
    <t>EVLV</t>
  </si>
  <si>
    <t>Security &amp; Protection Services</t>
  </si>
  <si>
    <t>UUUU_3.1</t>
  </si>
  <si>
    <t>UUUU_3.2</t>
  </si>
  <si>
    <t>UAMY</t>
  </si>
  <si>
    <t>Other Industrial Metals &amp; Mining</t>
  </si>
  <si>
    <t>SOFI_2</t>
  </si>
  <si>
    <t>DRAM</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</si>
  <si>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</si>
  <si>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</si>
  <si>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</si>
  <si>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</si>
  <si>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</si>
  <si>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</si>
  <si>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</si>
  <si>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</si>
  <si>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</si>
  <si>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</si>
  <si>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</si>
  <si>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</si>
  <si>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</si>
  <si>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</si>
  <si>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</si>
  <si>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</si>
  <si>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</si>
  <si>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</si>
  <si>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</si>
  <si>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</si>
  <si>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</si>
  <si>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</si>
  <si>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</si>
  <si>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</si>
  <si>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next Friday OPEX</t>
  </si>
  <si>
    <t>next monthly 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</si>
</sst>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68"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0"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66" fillId="5" borderId="5" applyNumberFormat="0" applyAlignment="0" applyProtection="0"/>
    <xf numFmtId="0" fontId="67" fillId="0" borderId="0" applyNumberFormat="0" applyFill="0" applyBorder="0" applyAlignment="0" applyProtection="0"/>
  </cellStyleXfs>
  <cellXfs count="424">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1" fillId="0" borderId="0" xfId="2" applyFont="1"/>
    <xf numFmtId="1" fontId="41" fillId="0" borderId="0" xfId="2" applyNumberFormat="1" applyFont="1" applyAlignment="1"/>
    <xf numFmtId="164" fontId="41" fillId="0" borderId="0" xfId="2" applyNumberFormat="1" applyFont="1" applyAlignment="1"/>
    <xf numFmtId="168" fontId="41" fillId="0" borderId="0" xfId="1" applyNumberFormat="1" applyFont="1"/>
    <xf numFmtId="4" fontId="41" fillId="0" borderId="0" xfId="1" applyNumberFormat="1" applyFont="1"/>
    <xf numFmtId="3" fontId="41"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43" fontId="43" fillId="0" borderId="0" xfId="4" applyFont="1"/>
    <xf numFmtId="170" fontId="44"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5" fillId="0" borderId="0" xfId="2" applyFont="1"/>
    <xf numFmtId="1" fontId="45" fillId="0" borderId="0" xfId="2" applyNumberFormat="1" applyFont="1" applyAlignment="1"/>
    <xf numFmtId="164" fontId="45" fillId="0" borderId="0" xfId="2" applyNumberFormat="1" applyFont="1" applyAlignment="1"/>
    <xf numFmtId="168" fontId="45" fillId="0" borderId="0" xfId="1" applyNumberFormat="1" applyFont="1"/>
    <xf numFmtId="4" fontId="45" fillId="0" borderId="0" xfId="1" applyNumberFormat="1" applyFont="1"/>
    <xf numFmtId="3" fontId="45" fillId="0" borderId="0" xfId="1" applyNumberFormat="1" applyFont="1"/>
    <xf numFmtId="44" fontId="43" fillId="0" borderId="0" xfId="6" applyFont="1"/>
    <xf numFmtId="44" fontId="26" fillId="0" borderId="0" xfId="6" applyFont="1" applyAlignment="1">
      <alignment horizontal="center" wrapText="1"/>
    </xf>
    <xf numFmtId="44" fontId="9" fillId="0" borderId="0" xfId="7" applyNumberFormat="1" applyFont="1"/>
    <xf numFmtId="44" fontId="39" fillId="0" borderId="0" xfId="6" applyFont="1" applyAlignment="1"/>
    <xf numFmtId="164" fontId="39" fillId="0" borderId="0" xfId="6" applyNumberFormat="1" applyFont="1" applyAlignment="1"/>
    <xf numFmtId="44" fontId="1" fillId="0" borderId="0" xfId="2" applyFont="1" applyAlignment="1"/>
    <xf numFmtId="0" fontId="46" fillId="0" borderId="0" xfId="1" applyFont="1"/>
    <xf numFmtId="49" fontId="46" fillId="0" borderId="0" xfId="1" applyNumberFormat="1" applyFont="1"/>
    <xf numFmtId="0" fontId="47" fillId="0" borderId="0" xfId="1" applyFont="1"/>
    <xf numFmtId="44" fontId="39"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0" fontId="0" fillId="0" borderId="0" xfId="0" applyAlignment="1">
      <alignment horizontal="left" indent="1"/>
    </xf>
    <xf numFmtId="0" fontId="48" fillId="0" borderId="0" xfId="1" applyFont="1"/>
    <xf numFmtId="49" fontId="48"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0" fillId="0" borderId="0" xfId="2" applyNumberFormat="1" applyFont="1"/>
    <xf numFmtId="165" fontId="50"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1" fillId="0" borderId="0" xfId="2" applyFont="1"/>
    <xf numFmtId="44" fontId="52" fillId="0" borderId="0" xfId="2" applyFont="1"/>
    <xf numFmtId="1" fontId="52" fillId="0" borderId="0" xfId="2" applyNumberFormat="1" applyFont="1" applyAlignment="1"/>
    <xf numFmtId="164" fontId="52" fillId="0" borderId="0" xfId="2" applyNumberFormat="1" applyFont="1" applyAlignment="1"/>
    <xf numFmtId="44" fontId="52" fillId="0" borderId="0" xfId="2" applyFont="1" applyAlignment="1"/>
    <xf numFmtId="166" fontId="34" fillId="0" borderId="0" xfId="2" applyNumberFormat="1" applyFont="1"/>
    <xf numFmtId="44" fontId="16" fillId="0" borderId="0" xfId="2" applyFont="1"/>
    <xf numFmtId="168" fontId="52" fillId="0" borderId="0" xfId="1" applyNumberFormat="1" applyFont="1"/>
    <xf numFmtId="4" fontId="52" fillId="0" borderId="0" xfId="1" applyNumberFormat="1" applyFont="1"/>
    <xf numFmtId="3" fontId="52"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3"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3" fillId="0" borderId="0" xfId="1" applyNumberFormat="1" applyFont="1"/>
    <xf numFmtId="4" fontId="53" fillId="0" borderId="0" xfId="1" applyNumberFormat="1" applyFont="1"/>
    <xf numFmtId="3" fontId="53" fillId="0" borderId="0" xfId="1" applyNumberFormat="1" applyFont="1"/>
    <xf numFmtId="44" fontId="54" fillId="0" borderId="0" xfId="2" applyFont="1"/>
    <xf numFmtId="1" fontId="54" fillId="0" borderId="0" xfId="2" applyNumberFormat="1" applyFont="1" applyAlignment="1"/>
    <xf numFmtId="164" fontId="54" fillId="0" borderId="0" xfId="2" applyNumberFormat="1" applyFont="1" applyAlignment="1"/>
    <xf numFmtId="44" fontId="54" fillId="0" borderId="0" xfId="2" applyFont="1" applyAlignment="1"/>
    <xf numFmtId="168" fontId="54" fillId="0" borderId="0" xfId="1" applyNumberFormat="1" applyFont="1"/>
    <xf numFmtId="4" fontId="54" fillId="0" borderId="0" xfId="1" applyNumberFormat="1" applyFont="1"/>
    <xf numFmtId="3" fontId="54" fillId="0" borderId="0" xfId="1" applyNumberFormat="1" applyFont="1"/>
    <xf numFmtId="44" fontId="11" fillId="0" borderId="0" xfId="2" applyFont="1" applyAlignment="1"/>
    <xf numFmtId="166" fontId="14" fillId="0" borderId="0" xfId="2" applyNumberFormat="1" applyFont="1"/>
    <xf numFmtId="168" fontId="55" fillId="0" borderId="0" xfId="1" applyNumberFormat="1" applyFont="1"/>
    <xf numFmtId="4" fontId="55" fillId="0" borderId="0" xfId="1" applyNumberFormat="1" applyFont="1"/>
    <xf numFmtId="3" fontId="55"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0" fillId="0" borderId="0" xfId="2" applyNumberFormat="1" applyFont="1" applyAlignment="1"/>
    <xf numFmtId="165" fontId="1" fillId="0" borderId="0" xfId="2" applyNumberFormat="1" applyFont="1"/>
    <xf numFmtId="44" fontId="35" fillId="0" borderId="0" xfId="6" applyFont="1" applyAlignment="1">
      <alignment horizontal="center"/>
    </xf>
    <xf numFmtId="165" fontId="40"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39" fillId="0" borderId="0" xfId="6" applyNumberFormat="1" applyFont="1" applyAlignment="1"/>
    <xf numFmtId="10" fontId="39" fillId="0" borderId="0" xfId="6" applyNumberFormat="1" applyFont="1" applyBorder="1" applyAlignment="1"/>
    <xf numFmtId="44" fontId="56" fillId="0" borderId="0" xfId="2" applyFont="1"/>
    <xf numFmtId="1" fontId="56" fillId="0" borderId="0" xfId="2" applyNumberFormat="1" applyFont="1" applyAlignment="1"/>
    <xf numFmtId="164" fontId="56" fillId="0" borderId="0" xfId="2" applyNumberFormat="1" applyFont="1" applyAlignment="1"/>
    <xf numFmtId="44" fontId="56" fillId="0" borderId="0" xfId="2" applyFont="1" applyAlignment="1"/>
    <xf numFmtId="168" fontId="56" fillId="0" borderId="0" xfId="1" applyNumberFormat="1" applyFont="1"/>
    <xf numFmtId="4" fontId="56" fillId="0" borderId="0" xfId="1" applyNumberFormat="1" applyFont="1"/>
    <xf numFmtId="3" fontId="56"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57"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58"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39" fillId="0" borderId="0" xfId="6" applyFont="1" applyFill="1" applyAlignment="1"/>
    <xf numFmtId="166" fontId="59" fillId="0" borderId="0" xfId="2" applyNumberFormat="1" applyFont="1" applyAlignment="1">
      <alignment horizontal="center" wrapText="1"/>
    </xf>
    <xf numFmtId="0" fontId="8" fillId="0" borderId="0" xfId="1" applyFont="1" applyAlignment="1">
      <alignment horizontal="left"/>
    </xf>
    <xf numFmtId="1" fontId="60"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1"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6" fontId="11" fillId="0" borderId="0" xfId="2" applyNumberFormat="1" applyFont="1" applyAlignment="1">
      <alignment horizontal="center"/>
    </xf>
    <xf numFmtId="44" fontId="63" fillId="0" borderId="0" xfId="7" applyNumberFormat="1" applyFont="1" applyAlignment="1">
      <alignment horizontal="center"/>
    </xf>
    <xf numFmtId="2" fontId="63" fillId="0" borderId="0" xfId="7" applyNumberFormat="1" applyFont="1" applyAlignment="1">
      <alignment horizontal="center"/>
    </xf>
    <xf numFmtId="168" fontId="62" fillId="0" borderId="0" xfId="1" applyNumberFormat="1" applyFont="1"/>
    <xf numFmtId="4" fontId="62" fillId="0" borderId="0" xfId="1" applyNumberFormat="1" applyFont="1"/>
    <xf numFmtId="3" fontId="62"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64" fillId="0" borderId="0" xfId="7" applyNumberFormat="1" applyFo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65" fillId="0" borderId="0" xfId="2" applyFont="1"/>
    <xf numFmtId="1" fontId="65" fillId="0" borderId="0" xfId="2" applyNumberFormat="1" applyFont="1" applyAlignment="1"/>
    <xf numFmtId="164" fontId="65" fillId="0" borderId="0" xfId="2" applyNumberFormat="1" applyFont="1" applyAlignment="1"/>
    <xf numFmtId="44" fontId="65"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65" fillId="0" borderId="0" xfId="1" applyNumberFormat="1" applyFont="1"/>
    <xf numFmtId="4" fontId="65" fillId="0" borderId="0" xfId="1" applyNumberFormat="1" applyFont="1"/>
    <xf numFmtId="3" fontId="65" fillId="0" borderId="0" xfId="1" applyNumberFormat="1" applyFont="1"/>
    <xf numFmtId="44" fontId="0" fillId="0" borderId="0" xfId="0" applyNumberFormat="1"/>
    <xf numFmtId="44" fontId="67" fillId="0" borderId="0" xfId="11" applyNumberFormat="1"/>
    <xf numFmtId="42" fontId="5" fillId="0" borderId="0" xfId="6" applyNumberFormat="1" applyFont="1" applyBorder="1"/>
    <xf numFmtId="176" fontId="66" fillId="5" borderId="5" xfId="10" applyNumberFormat="1" applyAlignment="1">
      <alignment horizontal="center" wrapText="1"/>
    </xf>
    <xf numFmtId="7" fontId="0" fillId="0" borderId="0" xfId="6" applyNumberFormat="1" applyFont="1"/>
    <xf numFmtId="7" fontId="9" fillId="0" borderId="0" xfId="7" applyNumberFormat="1" applyFont="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492">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color rgb="FFFFFFFF"/>
      </font>
      <fill>
        <patternFill patternType="solid">
          <fgColor indexed="64"/>
          <bgColor rgb="FF00B050"/>
        </patternFill>
      </fill>
    </dxf>
    <dxf>
      <font>
        <b/>
        <i val="0"/>
        <color rgb="FF008000"/>
      </font>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SC pricing.xlsx]Sector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1">
      <pivotArea dataOnly="0" labelOnly="1" outline="0" axis="axisValues" fieldPosition="0"/>
    </format>
    <format dxfId="180">
      <pivotArea dataOnly="0" labelOnly="1" outline="0" axis="axisValues" fieldPosition="0"/>
    </format>
    <format dxfId="179">
      <pivotArea outline="0" collapsedLevelsAreSubtotals="1" fieldPosition="0"/>
    </format>
    <format dxfId="178">
      <pivotArea dataOnly="0" labelOnly="1" outline="0" axis="axisValues" fieldPosition="0"/>
    </format>
    <format dxfId="177">
      <pivotArea dataOnly="0" labelOnly="1" outline="0" axis="axisValues" fieldPosition="0"/>
    </format>
    <format dxfId="176">
      <pivotArea outline="0" fieldPosition="0">
        <references count="1">
          <reference field="4294967294" count="1">
            <x v="0"/>
          </reference>
        </references>
      </pivotArea>
    </format>
    <format dxfId="175">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395" insertRowShift="1" totalsRowCount="1" headerRowDxfId="491" totalsRowDxfId="490">
  <autoFilter ref="B8:GW394" xr:uid="{4CAB0560-660F-4FA4-B413-B37E35D90017}">
    <filterColumn colId="139">
      <customFilters>
        <customFilter operator="notEqual" val=" "/>
      </customFilters>
    </filterColumn>
  </autoFilter>
  <tableColumns count="204">
    <tableColumn id="1" xr3:uid="{00000000-0010-0000-0000-000001000000}" name="Symbol" totalsRowFunction="count" dataDxfId="489" totalsRowDxfId="137" dataCellStyle="Normal 2"/>
    <tableColumn id="2" xr3:uid="{00000000-0010-0000-0000-000002000000}" name="Last Price" totalsRowLabel=" . " totalsRowDxfId="136" dataCellStyle="Currency"/>
    <tableColumn id="73" xr3:uid="{55746430-3EAF-48A7-9CCF-D32B3C1B2A6E}" name="Goal" dataDxfId="488" totalsRowDxfId="135" dataCellStyle="Currency"/>
    <tableColumn id="82" xr3:uid="{00000000-0010-0000-0000-000052000000}" name="Market Crash Price" dataDxfId="487" totalsRowDxfId="134" dataCellStyle="Comma 2">
      <calculatedColumnFormula>SnapshotTable[[#This Row],[Last Price]]*(1 -CrashDiscount)</calculatedColumnFormula>
    </tableColumn>
    <tableColumn id="127" xr3:uid="{00000000-0010-0000-0000-00007F000000}" name="Industry" dataDxfId="486" totalsRowDxfId="133" dataCellStyle="Comma 2"/>
    <tableColumn id="22" xr3:uid="{00000000-0010-0000-0000-000016000000}" name="Sector" dataDxfId="485" totalsRowDxfId="132" dataCellStyle="Comma 2"/>
    <tableColumn id="108" xr3:uid="{00000000-0010-0000-0000-00006C000000}" name="Watch List" dataDxfId="484" totalsRowDxfId="483" dataCellStyle="Percent 2"/>
    <tableColumn id="56" xr3:uid="{00000000-0010-0000-0000-000038000000}" name="Earnings Date" dataDxfId="482" totalsRowDxfId="131" dataCellStyle="Currency 2"/>
    <tableColumn id="72" xr3:uid="{00000000-0010-0000-0000-000048000000}" name="Earnings Time" dataDxfId="481" totalsRowDxfId="130" dataCellStyle="Percent 2"/>
    <tableColumn id="24" xr3:uid="{00000000-0010-0000-0000-000018000000}" name="Earnings Status" dataDxfId="480" totalsRowDxfId="129" dataCellStyle="Percent 2"/>
    <tableColumn id="48" xr3:uid="{00000000-0010-0000-0000-000030000000}" name="Next Catalyst" dataDxfId="479" totalsRowDxfId="128" dataCellStyle="Percent 2"/>
    <tableColumn id="4" xr3:uid="{00000000-0010-0000-0000-000004000000}" name="AAP Rank" dataDxfId="478" totalsRowDxfId="127" dataCellStyle="Normal 2"/>
    <tableColumn id="35" xr3:uid="{00000000-0010-0000-0000-000023000000}" name="Is Core" dataDxfId="477" totalsRowDxfId="126" dataCellStyle="Normal 2"/>
    <tableColumn id="55" xr3:uid="{00000000-0010-0000-0000-000037000000}" name="EBF Rank" dataDxfId="476" totalsRowDxfId="125" dataCellStyle="Normal 2"/>
    <tableColumn id="5" xr3:uid="{00000000-0010-0000-0000-000005000000}" name="Equity Shares" totalsRowFunction="sum" dataDxfId="475" totalsRowDxfId="124" dataCellStyle="Comma 2"/>
    <tableColumn id="6" xr3:uid="{00000000-0010-0000-0000-000006000000}" name="Equity Basis Total" totalsRowFunction="sum" dataDxfId="474" totalsRowDxfId="123" dataCellStyle="Currency 2"/>
    <tableColumn id="36" xr3:uid="{00000000-0010-0000-0000-000024000000}" name="Equity Basis Per Share" dataDxfId="473"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72" totalsRowDxfId="121" dataCellStyle="Currency 2">
      <calculatedColumnFormula>SnapshotTable[[#This Row],[Last Price]] * SnapshotTable[[#This Row],[Equity Shares]]</calculatedColumnFormula>
    </tableColumn>
    <tableColumn id="8" xr3:uid="{00000000-0010-0000-0000-000008000000}" name="Equity G/L" totalsRowFunction="sum" dataDxfId="471" totalsRowDxfId="120" dataCellStyle="Currency 2">
      <calculatedColumnFormula>SnapshotTable[[#This Row],[Equity Value]] - SnapshotTable[[#This Row],[Equity Basis Total]]</calculatedColumnFormula>
    </tableColumn>
    <tableColumn id="9" xr3:uid="{00000000-0010-0000-0000-000009000000}" name="Equity ROI" dataDxfId="470" totalsRowDxfId="469"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68" totalsRowDxfId="119" dataCellStyle="Currency"/>
    <tableColumn id="192" xr3:uid="{BEC037CD-3406-4BAD-8DF7-A8EDFBC47F31}" name="Equity Stop Loss" dataDxfId="467" totalsRowDxfId="118" dataCellStyle="Currency"/>
    <tableColumn id="193" xr3:uid="{1EC9B947-7450-43D3-83BF-3867320491B2}" name="Equity Max Gain Per Share" dataDxfId="466"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65"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64"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63"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62"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1" totalsRowDxfId="460" dataCellStyle="Currency 2"/>
    <tableColumn id="12" xr3:uid="{00000000-0010-0000-0000-00000C000000}" name="Div Pay Date" dataDxfId="459" totalsRowDxfId="112" dataCellStyle="Normal 2"/>
    <tableColumn id="45" xr3:uid="{00000000-0010-0000-0000-00002D000000}" name="Quarterly Div $" totalsRowFunction="sum" dataDxfId="458"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57" totalsRowDxfId="110" dataCellStyle="Currency 2">
      <calculatedColumnFormula>SnapshotTable[[#This Row],[Quarterly Div $]] * 4</calculatedColumnFormula>
    </tableColumn>
    <tableColumn id="50" xr3:uid="{00000000-0010-0000-0000-000032000000}" name="Div Yield" dataDxfId="456" totalsRowDxfId="455"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54" totalsRowDxfId="109" dataCellStyle="Normal 2"/>
    <tableColumn id="143" xr3:uid="{00000000-0010-0000-0000-00008F000000}" name="EBF Target" dataDxfId="453" totalsRowDxfId="452" dataCellStyle="Currency 2"/>
    <tableColumn id="14" xr3:uid="{00000000-0010-0000-0000-00000E000000}" name="Long Term Target" dataDxfId="451" totalsRowDxfId="108" dataCellStyle="Currency 2"/>
    <tableColumn id="144" xr3:uid="{00000000-0010-0000-0000-000090000000}" name="AAP % From Current" dataDxfId="450"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49" totalsRowDxfId="448"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47"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46"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45" totalsRowDxfId="444"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43" totalsRowDxfId="442" dataCellStyle="Currency 2"/>
    <tableColumn id="39" xr3:uid="{00000000-0010-0000-0000-000027000000}" name="Upside Target Reason" dataDxfId="441" totalsRowDxfId="440" dataCellStyle="Percent 2"/>
    <tableColumn id="33" xr3:uid="{00000000-0010-0000-0000-000021000000}" name="Downside Target" dataDxfId="439" totalsRowDxfId="438" dataCellStyle="Currency 2"/>
    <tableColumn id="128" xr3:uid="{00000000-0010-0000-0000-000080000000}" name="Downside Target Reason" dataDxfId="437" totalsRowDxfId="436" dataCellStyle="Percent 2"/>
    <tableColumn id="133" xr3:uid="{E8527D5A-A270-4075-ADFA-5F1C218F01B8}" name="Position Description" dataDxfId="435" totalsRowDxfId="434" dataCellStyle="Currency"/>
    <tableColumn id="156" xr3:uid="{C533F3BF-3A48-40E6-83D4-622484367491}" name="No Fill" dataDxfId="433" totalsRowDxfId="432"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1" totalsRowDxfId="430" dataCellStyle="Currency"/>
    <tableColumn id="169" xr3:uid="{6AFEB731-39D6-4E5D-A898-A6364DBF83B9}" name="Implied Move" dataDxfId="429" totalsRowDxfId="428" dataCellStyle="Currency"/>
    <tableColumn id="170" xr3:uid="{C7B302C6-1B22-4512-88EE-E971A4342405}" name="IM Date" dataDxfId="427" totalsRowDxfId="426" dataCellStyle="Currency"/>
    <tableColumn id="168" xr3:uid="{CEC142BD-64E9-4F9D-8937-1D378CC65499}" name="IM Lower Bound" dataDxfId="425" totalsRowDxfId="424" dataCellStyle="Currency">
      <calculatedColumnFormula>IF(SnapshotTable[[#This Row],[Implied Move]]&gt;0, SnapshotTable[[#This Row],[Last Price]]-SnapshotTable[[#This Row],[Implied Move]],"")</calculatedColumnFormula>
    </tableColumn>
    <tableColumn id="167" xr3:uid="{691361CA-30D7-4862-9A04-8DF1121277CF}" name="IM Upper Bound" dataDxfId="423" totalsRowDxfId="422" dataCellStyle="Currency">
      <calculatedColumnFormula>IF(SnapshotTable[[#This Row],[Implied Move]]&gt;0, SnapshotTable[[#This Row],[Last Price]] + SnapshotTable[[#This Row],[Implied Move]],"")</calculatedColumnFormula>
    </tableColumn>
    <tableColumn id="164" xr3:uid="{9E976D56-83D5-415C-B4C1-534DD496327B}" name="ACB" dataDxfId="421" totalsRowDxfId="420" dataCellStyle="Currency"/>
    <tableColumn id="163" xr3:uid="{67ADFB62-C194-4FD7-9817-4FE8935085B0}" name="To Do" dataDxfId="419" totalsRowDxfId="418" dataCellStyle="Currency"/>
    <tableColumn id="132" xr3:uid="{00000000-0010-0000-0000-000084000000}" name="Trade Exp" dataDxfId="417" totalsRowDxfId="416"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15" totalsRowDxfId="414" dataCellStyle="Currency 2"/>
    <tableColumn id="87" xr3:uid="{00000000-0010-0000-0000-000057000000}" name="LP Strike Price" dataDxfId="413" totalsRowDxfId="412" dataCellStyle="Currency 2"/>
    <tableColumn id="85" xr3:uid="{00000000-0010-0000-0000-000055000000}" name="LP Qty" dataDxfId="411" totalsRowDxfId="410" dataCellStyle="Currency 2"/>
    <tableColumn id="84" xr3:uid="{00000000-0010-0000-0000-000054000000}" name="LP Book Date" dataDxfId="409" totalsRowDxfId="408" dataCellStyle="Currency 2"/>
    <tableColumn id="134" xr3:uid="{00000000-0010-0000-0000-000086000000}" name="LP Fill Date" dataDxfId="407" totalsRowDxfId="406" dataCellStyle="Currency 2"/>
    <tableColumn id="90" xr3:uid="{00000000-0010-0000-0000-00005A000000}" name="LP Book Price" dataDxfId="405" totalsRowDxfId="104" dataCellStyle="Currency 2"/>
    <tableColumn id="91" xr3:uid="{00000000-0010-0000-0000-00005B000000}" name="LP Premium" totalsRowFunction="sum" dataDxfId="404" totalsRowDxfId="403" dataCellStyle="Currency 2">
      <calculatedColumnFormula>IF(SnapshotTable[[#This Row],[LP Qty]] &gt; 0, SnapshotTable[[#This Row],[LP Qty]] * SnapshotTable[[#This Row],[LP Book Price]] * 100,0)</calculatedColumnFormula>
    </tableColumn>
    <tableColumn id="137" xr3:uid="{E0E10A59-3BBE-4E55-8143-8ED6E3F52881}" name="LP Max Value" dataDxfId="402" totalsRowDxfId="401"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0" totalsRowDxfId="399" dataCellStyle="Currency 2"/>
    <tableColumn id="46" xr3:uid="{F0929170-F0BC-496A-97A0-490193A2E0B1}" name="LP Term" dataDxfId="398" totalsRowDxfId="397"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396" totalsRowDxfId="395" dataCellStyle="Currency 2">
      <calculatedColumnFormula>IF(ISNUMBER( SnapshotTable[[#This Row],[LP Term]]), SnapshotTable[[#This Row],[LP Exp Date]] - MockToday,"")</calculatedColumnFormula>
    </tableColumn>
    <tableColumn id="158" xr3:uid="{7A502A71-E21B-4B28-92D2-39334D396C5C}" name="LP No Fill" dataDxfId="394" totalsRowDxfId="393"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392" totalsRowDxfId="391"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0" totalsRowDxfId="103" dataCellStyle="Currency 2"/>
    <tableColumn id="102" xr3:uid="{00000000-0010-0000-0000-000066000000}" name="SP Strike Price" dataDxfId="389" totalsRowDxfId="102" dataCellStyle="Currency 2"/>
    <tableColumn id="103" xr3:uid="{00000000-0010-0000-0000-000067000000}" name="SP Qty" dataDxfId="388" totalsRowDxfId="387" dataCellStyle="Currency 2"/>
    <tableColumn id="105" xr3:uid="{00000000-0010-0000-0000-000069000000}" name="SP Book Date" dataDxfId="386" totalsRowDxfId="385" dataCellStyle="Currency 2"/>
    <tableColumn id="104" xr3:uid="{00000000-0010-0000-0000-000068000000}" name="SP Fill Date" dataDxfId="384" totalsRowDxfId="101" dataCellStyle="Currency 2"/>
    <tableColumn id="106" xr3:uid="{00000000-0010-0000-0000-00006A000000}" name="SP Book Price" dataDxfId="383" totalsRowDxfId="100" dataCellStyle="Currency 2"/>
    <tableColumn id="23" xr3:uid="{FE16B83A-A56E-4FCA-ABB5-1857F5788358}" name="SP Is Booked" dataDxfId="382"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1"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80"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79" totalsRowDxfId="96" dataCellStyle="Comma"/>
    <tableColumn id="166" xr3:uid="{099512A5-D44E-405B-A584-598B74D0C9E6}" name="SP LPs" dataDxfId="378" totalsRowDxfId="95" dataCellStyle="Comma">
      <calculatedColumnFormula>SnapshotTable[[#This Row],[LP Qty]]</calculatedColumnFormula>
    </tableColumn>
    <tableColumn id="3" xr3:uid="{00000000-0010-0000-0000-000003000000}" name="SP Break Even" dataDxfId="377"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76"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75"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74"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73" totalsRowDxfId="90" dataCellStyle="Currency">
      <calculatedColumnFormula>SnapshotTable[[#This Row],[LP Strike Price]] * SnapshotTable[[#This Row],[LP Qty]] * 100</calculatedColumnFormula>
    </tableColumn>
    <tableColumn id="27" xr3:uid="{00000000-0010-0000-0000-00001B000000}" name="SP Potential Spend" totalsRowFunction="sum" dataDxfId="372"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1"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0"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69" totalsRowDxfId="368" dataCellStyle="Currency 2"/>
    <tableColumn id="182" xr3:uid="{C414FC97-91E0-4BB6-A616-13673514D9CC}" name="SP Cash Reserve" totalsRowFunction="sum" dataDxfId="367"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66"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65"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64" totalsRowDxfId="83" dataCellStyle="Currency 2"/>
    <tableColumn id="86" xr3:uid="{A25158D6-88C3-49B5-A9AB-3CDC3C9E186E}" name="SP Current Delta" dataDxfId="363" totalsRowDxfId="82" dataCellStyle="Comma"/>
    <tableColumn id="206" xr3:uid="{95C86BE0-9A96-46F3-B906-E4E5A445DE27}" name="SP Buyback Point" dataDxfId="362"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1" totalsRowDxfId="80" dataCellStyle="Currency 2"/>
    <tableColumn id="155" xr3:uid="{2351FD77-0D0C-471A-86AC-C63C4601D523}" name="SP Buyback Price to Use" dataDxfId="360"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59"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58"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57" totalsRowDxfId="76" dataCellStyle="Currency 2"/>
    <tableColumn id="52" xr3:uid="{5D70CF47-F992-4583-B0D3-0400CFEBF41F}" name="SP Bid TIF" dataDxfId="356" totalsRowDxfId="75" dataCellStyle="Currency 2"/>
    <tableColumn id="37" xr3:uid="{E68FB3BB-0707-41AE-B1C0-1CDA7A879D95}" name="SP DTE" dataDxfId="355" totalsRowDxfId="74" dataCellStyle="Currency 2">
      <calculatedColumnFormula>IF(ISNUMBER( SnapshotTable[[#This Row],[SP Term]]), SnapshotTable[[#This Row],[SP Exp Date]] - MockToday,"")</calculatedColumnFormula>
    </tableColumn>
    <tableColumn id="96" xr3:uid="{00000000-0010-0000-0000-000060000000}" name="SP Buyback Cost to Close" dataDxfId="354"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53"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52"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1"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0"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49" totalsRowDxfId="68" dataCellStyle="Currency 2"/>
    <tableColumn id="204" xr3:uid="{18158A39-98F0-4BE7-950E-F5D9C5BD3CD2}" name="SP Stop To Use" dataDxfId="348" totalsRowDxfId="67" dataCellStyle="Currency 2"/>
    <tableColumn id="205" xr3:uid="{F013BF25-FB4D-42A7-9B0F-7AC263CF587F}" name="SP Stop Loss" dataDxfId="347"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46"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45"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44" totalsRowDxfId="343" dataCellStyle="Percent">
      <calculatedColumnFormula>IF(ISNUMBER((SnapshotTable[[#This Row],[SP Total Value]])), SnapshotTable[[#This Row],[SP Gain Loss]] / SnapshotTable[[#This Row],[SP Premium]], "")</calculatedColumnFormula>
    </tableColumn>
    <tableColumn id="114" xr3:uid="{00000000-0010-0000-0000-000072000000}" name="LC Exp Date" dataDxfId="342" totalsRowDxfId="63" dataCellStyle="Currency 2"/>
    <tableColumn id="118" xr3:uid="{00000000-0010-0000-0000-000076000000}" name="LC Strike Price" dataDxfId="341" totalsRowDxfId="62" dataCellStyle="Currency 2"/>
    <tableColumn id="117" xr3:uid="{00000000-0010-0000-0000-000075000000}" name="LC Qty" totalsRowFunction="sum" dataDxfId="340" totalsRowDxfId="339" dataCellStyle="Currency 2"/>
    <tableColumn id="116" xr3:uid="{00000000-0010-0000-0000-000074000000}" name="LC Book Date" dataDxfId="338" totalsRowDxfId="61" dataCellStyle="Currency 2"/>
    <tableColumn id="135" xr3:uid="{00000000-0010-0000-0000-000087000000}" name="LC Fill Date" dataDxfId="337" totalsRowDxfId="60" dataCellStyle="Currency 2"/>
    <tableColumn id="119" xr3:uid="{00000000-0010-0000-0000-000077000000}" name="LC Book Price" dataDxfId="336" totalsRowDxfId="59" dataCellStyle="Currency 2"/>
    <tableColumn id="140" xr3:uid="{00000000-0010-0000-0000-00008C000000}" name="LC Premium" totalsRowFunction="sum" dataDxfId="335"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34"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33"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32"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1"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0" totalsRowDxfId="53" dataCellStyle="Currency 2"/>
    <tableColumn id="115" xr3:uid="{00000000-0010-0000-0000-000073000000}" name="LC Total Value" totalsRowFunction="sum" dataDxfId="329"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28"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27" totalsRowDxfId="326"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25" totalsRowDxfId="50" dataCellStyle="Currency 2">
      <calculatedColumnFormula>IF(ISNUMBER(SnapshotTable[[#This Row],[LC Book Price]]),SnapshotTable[[#This Row],[LC Book Price]] * 1.5,"")</calculatedColumnFormula>
    </tableColumn>
    <tableColumn id="188" xr3:uid="{A59BFF88-88E9-479A-9E95-55A4473DFF3E}" name="LC Target Gross" dataDxfId="324"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23"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22" totalsRowDxfId="321"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0" totalsRowDxfId="47" dataCellStyle="Currency 2"/>
    <tableColumn id="161" xr3:uid="{1DF50BC2-7C8B-4280-9946-69C4CDCC8BD1}" name="LC Stop Loss Calc Target" dataDxfId="319"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18" totalsRowDxfId="45" dataCellStyle="Currency 2"/>
    <tableColumn id="189" xr3:uid="{8C462B86-3CAC-44A4-915F-72463E7DC5A1}" name="LC Stop  To Use" dataDxfId="317"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16"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15"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14"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13" totalsRowDxfId="312"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1"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0" totalsRowDxfId="39" dataCellStyle="Currency 2"/>
    <tableColumn id="62" xr3:uid="{00000000-0010-0000-0000-00003E000000}" name="SC Strike Price" dataDxfId="309" totalsRowDxfId="38" dataCellStyle="Currency 2"/>
    <tableColumn id="63" xr3:uid="{00000000-0010-0000-0000-00003F000000}" name="SC Qty" totalsRowFunction="sum" dataDxfId="308" totalsRowDxfId="307" dataCellStyle="Currency 2"/>
    <tableColumn id="60" xr3:uid="{00000000-0010-0000-0000-00003C000000}" name="SC Book Date" dataDxfId="306" totalsRowDxfId="37" dataCellStyle="Currency 2"/>
    <tableColumn id="59" xr3:uid="{00000000-0010-0000-0000-00003B000000}" name="SC Fill Date" dataDxfId="305" totalsRowDxfId="36" dataCellStyle="Currency 2"/>
    <tableColumn id="65" xr3:uid="{00000000-0010-0000-0000-000041000000}" name="SC Book Price" dataDxfId="304" totalsRowDxfId="35" dataCellStyle="Currency 2"/>
    <tableColumn id="217" xr3:uid="{B5C750FB-2608-4C32-9499-79C9616301BF}" name="SC Is Booked" dataDxfId="303"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02" totalsRowDxfId="33" dataCellStyle="Currency 2">
      <calculatedColumnFormula>AND(SnapshotTable[[#This Row],[SC Is Booked]], NOT(ISBLANK(SnapshotTable[[#This Row],[SC Fill Date]])))</calculatedColumnFormula>
    </tableColumn>
    <tableColumn id="211" xr3:uid="{C2B2E7E4-4296-4571-942D-8247C59F5281}" name="SC Fill Delta" dataDxfId="301" totalsRowDxfId="32" dataCellStyle="Hyperlink"/>
    <tableColumn id="99" xr3:uid="{00000000-0010-0000-0000-000063000000}" name="SC Term" dataDxfId="300" totalsRowDxfId="299"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298" totalsRowDxfId="297" dataCellStyle="Currency 2">
      <calculatedColumnFormula>IF(ISNUMBER(SnapshotTable[[#This Row],[SC Term]]), SnapshotTable[[#This Row],[SC Exp Date]]- MockToday, "")</calculatedColumnFormula>
    </tableColumn>
    <tableColumn id="64" xr3:uid="{00000000-0010-0000-0000-000040000000}" name="SC Premium" totalsRowFunction="sum" dataDxfId="296"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295"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294"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293"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292" totalsRowDxfId="27" dataCellStyle="Currency 2"/>
    <tableColumn id="122" xr3:uid="{00000000-0010-0000-0000-00007A000000}" name="SC Current Ask" dataDxfId="291" totalsRowDxfId="26" dataCellStyle="Hyperlink"/>
    <tableColumn id="216" xr3:uid="{F1C82F2E-1095-44B8-99BA-3A611113190D}" name="SC Current Delta" dataDxfId="290" totalsRowDxfId="289" dataCellStyle="Hyperlink"/>
    <tableColumn id="21" xr3:uid="{C63E2608-F1F3-4B90-A886-06BAF6E495CC}" name="SC Buyback Point" dataDxfId="288"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87" totalsRowDxfId="24" dataCellStyle="Currency 2"/>
    <tableColumn id="94" xr3:uid="{5BF354AD-7CA5-43F1-9BA6-CDD1E3919A1C}" name="SC Buyback GTC Date" dataDxfId="286"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85" totalsRowDxfId="284"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83"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82"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1" totalsRowDxfId="20" dataCellStyle="Currency 2"/>
    <tableColumn id="113" xr3:uid="{00000000-0010-0000-0000-000071000000}" name="SC Current Cost To Close" dataDxfId="280"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79" totalsRowDxfId="278" dataCellStyle="Percent">
      <calculatedColumnFormula>IF(SnapshotTable[[#This Row],[SC Time Val]]&gt;0, SnapshotTable[[#This Row],[SC Time Val]] / SnapshotTable[[#This Row],[Last Price]],"")</calculatedColumnFormula>
    </tableColumn>
    <tableColumn id="97" xr3:uid="{00000000-0010-0000-0000-000061000000}" name="Gap From Strike" dataDxfId="277" totalsRowDxfId="276"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75"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74"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73"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72"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1" totalsRowDxfId="270" dataCellStyle="Percent 2">
      <calculatedColumnFormula>IF(SnapshotTable[[#This Row],[SC Is Booked]],SnapshotTable[[#This Row],[SC Time Val]] /SnapshotTable[[#This Row],[SC Basis]], "")</calculatedColumnFormula>
    </tableColumn>
    <tableColumn id="212" xr3:uid="{57278C5A-81F5-4B58-85C0-41B41666FFE8}" name="SC Annual ROO" dataDxfId="269" totalsRowDxfId="268"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67" totalsRowDxfId="266"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65" totalsRowDxfId="264"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63" totalsRowDxfId="262" dataCellStyle="Percent">
      <calculatedColumnFormula>IF(SnapshotTable[[#This Row],[SC Intrinsic Value]] &gt; 0,SnapshotTable[[#This Row],[SC Intrinsic Value]],"")</calculatedColumnFormula>
    </tableColumn>
    <tableColumn id="209" xr3:uid="{88C92A58-B2C7-495C-91B8-A59225312C6C}" name="SC Downside Pct" dataDxfId="261" totalsRowDxfId="260"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59"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58" totalsRowDxfId="257"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56" totalsRowDxfId="255"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54"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53" totalsRowDxfId="252"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1" totalsRowDxfId="12" dataCellStyle="Normal 2">
      <calculatedColumnFormula>SnapshotTable[[#This Row],[Equity Shares]] * SaleSharesToConsiderPercentage</calculatedColumnFormula>
    </tableColumn>
    <tableColumn id="20" xr3:uid="{00000000-0010-0000-0000-000014000000}" name="Sell Price Tgt" dataDxfId="250" totalsRowDxfId="249" dataCellStyle="Normal 2">
      <calculatedColumnFormula>SnapshotTable[[#This Row],[Long Term Target]] * SellingPriceToConsiderBasedOnTargetPercentage</calculatedColumnFormula>
    </tableColumn>
    <tableColumn id="30" xr3:uid="{00000000-0010-0000-0000-00001E000000}" name="Sell Price Gain" dataDxfId="248" totalsRowDxfId="247" dataCellStyle="Normal 2">
      <calculatedColumnFormula>SnapshotTable[[#This Row],[Last Price]] * (1+ SellingPriceToConsiderBasedOnTargetPercentage)</calculatedColumnFormula>
    </tableColumn>
    <tableColumn id="31" xr3:uid="{00000000-0010-0000-0000-00001F000000}" name="Booked Sale Shares" dataDxfId="246" totalsRowDxfId="245" dataCellStyle="Normal 2"/>
    <tableColumn id="32" xr3:uid="{00000000-0010-0000-0000-000020000000}" name="Booked Sale Price" dataDxfId="244" totalsRowDxfId="243" dataCellStyle="Normal 2"/>
    <tableColumn id="43" xr3:uid="{00000000-0010-0000-0000-00002B000000}" name="Sale Proceeds" dataDxfId="242" totalsRowDxfId="11" dataCellStyle="Currency 2">
      <calculatedColumnFormula>SnapshotTable[[#This Row],[Booked Sale Shares]] * SnapshotTable[[#This Row],[Booked Sale Price]]</calculatedColumnFormula>
    </tableColumn>
    <tableColumn id="44" xr3:uid="{00000000-0010-0000-0000-00002C000000}" name="Sale Basis" dataDxfId="241"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0"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39"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38" totalsRowDxfId="7" dataCellStyle="Percent 2"/>
    <tableColumn id="154" xr3:uid="{00000000-0010-0000-0000-00009A000000}" name="LP Symbol" dataDxfId="237"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36" totalsRowDxfId="235" dataCellStyle="Currency 2">
      <calculatedColumnFormula>IF(LEN(SnapshotTable[[#This Row],[LP Symbol]])&gt;0, 1, "")</calculatedColumnFormula>
    </tableColumn>
    <tableColumn id="146" xr3:uid="{00000000-0010-0000-0000-000092000000}" name="SP Symbol" dataDxfId="234"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33" totalsRowDxfId="232" dataCellStyle="Currency 2">
      <calculatedColumnFormula>IF(LEN(SnapshotTable[[#This Row],[SP Symbol]])&gt;0, 1, "")</calculatedColumnFormula>
    </tableColumn>
    <tableColumn id="153" xr3:uid="{00000000-0010-0000-0000-000099000000}" name="LC Symbol" dataDxfId="231"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0" totalsRowDxfId="229" dataCellStyle="Currency 2">
      <calculatedColumnFormula>IF(LEN(SnapshotTable[[#This Row],[LC Symbol]])&gt;0, 1, "")</calculatedColumnFormula>
    </tableColumn>
    <tableColumn id="151" xr3:uid="{00000000-0010-0000-0000-000097000000}" name="SC Symbol" dataDxfId="228"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27" totalsRowDxfId="226" dataCellStyle="Currency 2">
      <calculatedColumnFormula>IF(LEN(SnapshotTable[[#This Row],[SC Symbol]])&gt;0, 1, "")</calculatedColumnFormula>
    </tableColumn>
    <tableColumn id="149" xr3:uid="{00000000-0010-0000-0000-000095000000}" name="Has Position" dataDxfId="225"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24"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23"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22" totalsRowDxfId="221"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0">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19"/>
    <tableColumn id="5" xr3:uid="{00000000-0010-0000-0100-000005000000}" name="1st Criteria Op1" dataDxfId="218"/>
    <tableColumn id="6" xr3:uid="{00000000-0010-0000-0100-000006000000}" name="XlAutoFilter Op1" dataDxfId="217"/>
    <tableColumn id="7" xr3:uid="{00000000-0010-0000-0100-000007000000}" name="2nd Criteria1" dataDxfId="216"/>
    <tableColumn id="8" xr3:uid="{00000000-0010-0000-0100-000008000000}" name="2nd Criteria Op1" dataDxfId="215"/>
    <tableColumn id="9" xr3:uid="{00000000-0010-0000-0100-000009000000}" name="Column Name2" dataDxfId="214"/>
    <tableColumn id="10" xr3:uid="{00000000-0010-0000-0100-00000A000000}" name="1st Criteria2" dataDxfId="213"/>
    <tableColumn id="11" xr3:uid="{00000000-0010-0000-0100-00000B000000}" name="1st Criteria Op2" dataDxfId="212"/>
    <tableColumn id="12" xr3:uid="{00000000-0010-0000-0100-00000C000000}" name="XlAutoFilter Op2" dataDxfId="211"/>
    <tableColumn id="13" xr3:uid="{00000000-0010-0000-0100-00000D000000}" name="2nd Criteria2" dataDxfId="210"/>
    <tableColumn id="14" xr3:uid="{00000000-0010-0000-0100-00000E000000}" name="2nd Criteria Op2" dataDxfId="209"/>
    <tableColumn id="15" xr3:uid="{939ECCAE-1270-4FCE-A4A6-F87F9DAE1FFE}" name="GUID Lookup" dataDxfId="20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07">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06"/>
    <tableColumn id="15" xr3:uid="{00000000-0010-0000-0200-00000F000000}" name="GroupName1" dataDxfId="205"/>
    <tableColumn id="1" xr3:uid="{00000000-0010-0000-0200-000001000000}" name="GroupName2" dataDxfId="204"/>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03" dataCellStyle="Normal 2"/>
    <tableColumn id="7" xr3:uid="{00000000-0010-0000-0200-000007000000}" name="SortCol1" dataDxfId="202"/>
    <tableColumn id="14" xr3:uid="{00000000-0010-0000-0200-00000E000000}" name="SortDir1" dataDxfId="201"/>
    <tableColumn id="8" xr3:uid="{00000000-0010-0000-0200-000008000000}" name="SortCol2" dataDxfId="200"/>
    <tableColumn id="9" xr3:uid="{00000000-0010-0000-0200-000009000000}" name="SortDir2" dataDxfId="199"/>
    <tableColumn id="10" xr3:uid="{00000000-0010-0000-0200-00000A000000}" name="SortCol3" dataDxfId="198"/>
    <tableColumn id="11" xr3:uid="{00000000-0010-0000-0200-00000B000000}" name="SortDir3" dataDxfId="197"/>
    <tableColumn id="3" xr3:uid="{2BC2C0DE-25E1-437F-B2D5-E8F14B190409}" name="GUID Lookup" dataDxfId="19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195" dataDxfId="194">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193" totalsRowDxfId="192"/>
    <tableColumn id="2" xr3:uid="{00000000-0010-0000-0300-000002000000}" name="Order" totalsRowFunction="count" dataDxfId="191" totalsRowDxfId="190"/>
    <tableColumn id="4" xr3:uid="{00000000-0010-0000-0300-000004000000}" name="Address" dataDxfId="189" totalsRowDxfId="188"/>
    <tableColumn id="5" xr3:uid="{C7168B92-A7F5-40BE-A870-2D4C49A77AFA}" name="Parent" dataDxfId="187" totalsRowDxfId="186" dataCellStyle="Normal 2"/>
    <tableColumn id="3" xr3:uid="{00000000-0010-0000-0300-000003000000}" name="Level" dataDxfId="185" totalsRowDxfId="184"/>
    <tableColumn id="6" xr3:uid="{D88398C7-90B8-41FD-B5D1-9D231122A6A6}" name="GUID Lookup" dataDxfId="183" totalsRowDxfId="18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430"/>
  <sheetViews>
    <sheetView tabSelected="1" zoomScale="110" zoomScaleNormal="110" workbookViewId="0">
      <pane xSplit="3" ySplit="21" topLeftCell="D161" activePane="bottomRight" state="frozen"/>
      <selection pane="topRight" activeCell="D1" sqref="D1"/>
      <selection pane="bottomLeft" activeCell="A21" sqref="A21"/>
      <selection pane="bottomRight" activeCell="C395" sqref="C395"/>
    </sheetView>
  </sheetViews>
  <sheetFormatPr defaultColWidth="9.140625" defaultRowHeight="15" outlineLevelCol="4" x14ac:dyDescent="0.25"/>
  <cols>
    <col min="1" max="1" width="1.7109375" style="1" customWidth="1"/>
    <col min="2" max="2" width="11.85546875" style="1" customWidth="1"/>
    <col min="3" max="3" width="13.85546875" style="197" customWidth="1"/>
    <col min="4" max="4" width="5.7109375" style="206"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hidden="1" customWidth="1" outlineLevel="1"/>
    <col min="17" max="17" width="11.7109375" style="10" hidden="1" customWidth="1" outlineLevel="1"/>
    <col min="18" max="18" width="13" style="10" hidden="1" customWidth="1" outlineLevel="1"/>
    <col min="19" max="19" width="12.7109375" style="10" hidden="1" customWidth="1" outlineLevel="1"/>
    <col min="20" max="20" width="13.7109375" style="10" hidden="1" customWidth="1" outlineLevel="1" collapsed="1"/>
    <col min="21" max="21" width="8.7109375" style="11" hidden="1" customWidth="1" outlineLevel="1"/>
    <col min="22" max="25" width="10.7109375" style="234" hidden="1" customWidth="1" outlineLevel="1"/>
    <col min="26" max="26" width="8.7109375" style="271" hidden="1" customWidth="1" outlineLevel="1"/>
    <col min="27" max="27" width="10.7109375" style="236" hidden="1" customWidth="1" outlineLevel="1"/>
    <col min="28" max="28" width="10.7109375" style="236" customWidth="1" collapsed="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hidden="1" customWidth="1" outlineLevel="1"/>
    <col min="36" max="36" width="11.7109375" style="10" hidden="1" customWidth="1" outlineLevel="1"/>
    <col min="37" max="37" width="9.5703125" style="1" hidden="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hidden="1" customWidth="1" outlineLevel="1" collapsed="1"/>
    <col min="42" max="42" width="11.7109375" style="1" hidden="1" customWidth="1" outlineLevel="3"/>
    <col min="43" max="43" width="10.7109375" style="1" hidden="1" customWidth="1" outlineLevel="3"/>
    <col min="44" max="45" width="11.7109375" style="1" hidden="1" customWidth="1" outlineLevel="3"/>
    <col min="46" max="46" width="12.7109375" style="1" hidden="1" customWidth="1" outlineLevel="3"/>
    <col min="47" max="47" width="5.7109375" style="1" hidden="1" customWidth="1" outlineLevel="3"/>
    <col min="48"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4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37" hidden="1" customWidth="1" outlineLevel="1"/>
    <col min="120" max="120" width="7.7109375" style="237" hidden="1" customWidth="1" outlineLevel="1"/>
    <col min="121" max="121" width="5.7109375" style="23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37" hidden="1" customWidth="1" outlineLevel="1"/>
    <col min="135" max="135" width="8.7109375" style="257" hidden="1" customWidth="1" outlineLevel="1"/>
    <col min="136" max="137" width="9.7109375" style="301" hidden="1" customWidth="1" outlineLevel="1"/>
    <col min="138" max="138" width="8.7109375" style="301" hidden="1" customWidth="1" collapsed="1"/>
    <col min="139" max="139" width="8.7109375" style="237" customWidth="1"/>
    <col min="140" max="140" width="6.7109375" style="26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61"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4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63"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36" hidden="1" customWidth="1" outlineLevel="1"/>
    <col min="187" max="187" width="6.7109375" style="3" hidden="1" customWidth="1" outlineLevel="1"/>
    <col min="188" max="188" width="10.7109375" style="3" hidden="1" customWidth="1" outlineLevel="1"/>
    <col min="189" max="189" width="10.7109375" style="302" hidden="1" customWidth="1" outlineLevel="1"/>
    <col min="190" max="190" width="7.7109375" style="3" hidden="1" customWidth="1" outlineLevel="1"/>
    <col min="191" max="191" width="6.7109375" style="3" hidden="1" customWidth="1" outlineLevel="1"/>
    <col min="192" max="192" width="8.7109375" style="250" hidden="1" customWidth="1" outlineLevel="1"/>
    <col min="193" max="193" width="43.85546875" style="3" hidden="1" customWidth="1" outlineLevel="1"/>
    <col min="194" max="194" width="6.7109375" style="3" hidden="1" customWidth="1" collapsed="1"/>
    <col min="195" max="195" width="43.85546875" style="23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4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197" customWidth="1"/>
    <col min="208" max="208" width="3.7109375" style="1" customWidth="1"/>
    <col min="209" max="210" width="8.7109375" style="1" customWidth="1"/>
    <col min="211" max="211" width="12" style="1" customWidth="1"/>
    <col min="212" max="212" width="11.5703125" style="1" customWidth="1"/>
    <col min="213" max="213" width="11.28515625" style="197" bestFit="1" customWidth="1"/>
    <col min="214" max="214" width="10.28515625" style="197" bestFit="1" customWidth="1"/>
    <col min="215" max="215" width="11" style="197" customWidth="1"/>
    <col min="216" max="216" width="12.28515625" style="197" bestFit="1" customWidth="1"/>
    <col min="217" max="217" width="11.7109375" style="197" customWidth="1"/>
    <col min="218" max="218" width="7.7109375" style="197"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387"/>
      <c r="E1" s="71">
        <v>0.15</v>
      </c>
      <c r="CC1" s="1"/>
      <c r="CG1" s="6"/>
      <c r="CH1" s="1"/>
      <c r="CI1" s="241"/>
      <c r="CJ1" s="1"/>
      <c r="CL1" s="1"/>
      <c r="CM1" s="5"/>
      <c r="CN1" s="5"/>
      <c r="CO1" s="5"/>
      <c r="CP1" s="5"/>
      <c r="CQ1" s="5"/>
      <c r="CR1" s="5"/>
      <c r="CS1" s="5"/>
      <c r="CT1" s="1"/>
      <c r="CU1" s="1"/>
      <c r="CV1" s="1"/>
      <c r="CW1" s="1"/>
      <c r="CX1" s="1"/>
      <c r="DB1" s="5"/>
      <c r="DC1" s="5"/>
      <c r="DE1" s="1"/>
      <c r="DF1" s="1"/>
      <c r="DG1" s="237"/>
      <c r="DI1" s="1"/>
      <c r="DJ1" s="1"/>
      <c r="DK1" s="3"/>
      <c r="DL1" s="3"/>
      <c r="DM1" s="3"/>
      <c r="DN1" s="3"/>
      <c r="DO1" s="3"/>
      <c r="DP1" s="3"/>
      <c r="DQ1" s="3"/>
      <c r="DR1" s="3"/>
      <c r="DS1" s="3"/>
      <c r="DT1" s="1"/>
      <c r="DU1" s="1"/>
      <c r="DV1" s="237"/>
      <c r="DW1" s="251"/>
      <c r="DX1" s="295"/>
      <c r="DY1" s="295"/>
      <c r="DZ1" s="240"/>
      <c r="EA1" s="258"/>
      <c r="EB1" s="3"/>
      <c r="EC1" s="3"/>
      <c r="ED1" s="3"/>
      <c r="EE1" s="3"/>
      <c r="EF1" s="1"/>
      <c r="EG1" s="1"/>
      <c r="EH1" s="237"/>
      <c r="EI1" s="1"/>
      <c r="EJ1" s="3"/>
      <c r="EK1" s="3"/>
      <c r="EL1" s="3"/>
      <c r="EM1" s="3"/>
      <c r="EN1" s="3"/>
      <c r="EO1" s="3"/>
      <c r="EP1" s="3"/>
      <c r="ER1" s="356"/>
      <c r="ES1" s="3"/>
      <c r="EU1" s="1"/>
      <c r="EW1" s="3"/>
      <c r="EX1" s="216" t="s">
        <v>1088</v>
      </c>
      <c r="EZ1" s="3"/>
      <c r="FA1" s="3"/>
      <c r="FD1" s="3"/>
      <c r="FE1" s="3"/>
      <c r="FF1" s="3"/>
      <c r="FG1" s="4"/>
      <c r="FH1" s="85"/>
      <c r="FJ1" s="1"/>
      <c r="FK1" s="247"/>
      <c r="FL1" s="303"/>
      <c r="FN1" s="1"/>
      <c r="FO1" s="1"/>
      <c r="FP1" s="1"/>
      <c r="FR1" s="1"/>
      <c r="FS1" s="1"/>
      <c r="FT1" s="237"/>
      <c r="FU1" s="237"/>
      <c r="FV1" s="237"/>
      <c r="FW1" s="278"/>
      <c r="FX1" s="237"/>
      <c r="FZ1" s="2"/>
      <c r="GA1" s="241"/>
      <c r="GB1" s="1"/>
      <c r="GC1" s="1"/>
      <c r="GD1" s="84">
        <v>0.2</v>
      </c>
      <c r="GE1" s="84">
        <v>0.95</v>
      </c>
      <c r="GF1" s="84">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2"/>
      <c r="C2" s="387"/>
      <c r="D2" s="216" t="s">
        <v>367</v>
      </c>
      <c r="E2" s="82"/>
      <c r="F2" s="82"/>
      <c r="G2" s="82"/>
      <c r="H2" s="82"/>
      <c r="I2" s="83"/>
      <c r="J2" s="83"/>
      <c r="K2" s="82"/>
      <c r="L2" s="82"/>
      <c r="M2" s="82"/>
      <c r="N2" s="82"/>
      <c r="O2" s="82"/>
      <c r="P2" s="73"/>
      <c r="Q2" s="81"/>
      <c r="R2" s="72"/>
      <c r="S2" s="80"/>
      <c r="T2" s="72"/>
      <c r="U2" s="79"/>
      <c r="V2" s="266"/>
      <c r="W2" s="266"/>
      <c r="X2" s="266"/>
      <c r="Y2" s="266"/>
      <c r="Z2" s="272"/>
      <c r="AA2" s="277"/>
      <c r="AB2" s="277"/>
      <c r="AC2" s="72"/>
      <c r="AD2" s="78"/>
      <c r="AE2" s="72"/>
      <c r="AF2" s="72"/>
      <c r="AG2" s="72"/>
      <c r="AH2" s="78"/>
      <c r="AI2" s="72"/>
      <c r="AJ2" s="73"/>
      <c r="AK2" s="73"/>
      <c r="AL2" s="73"/>
      <c r="AM2" s="44"/>
      <c r="AN2" s="73"/>
      <c r="AO2" s="73"/>
      <c r="AP2" s="377" t="s">
        <v>1140</v>
      </c>
      <c r="AQ2" s="73">
        <v>5</v>
      </c>
      <c r="AR2" s="77"/>
      <c r="AS2" s="73"/>
      <c r="AT2" s="73"/>
      <c r="AU2" s="73"/>
      <c r="AV2" s="73"/>
      <c r="AW2" s="73"/>
      <c r="AX2" s="73"/>
      <c r="AY2" s="73"/>
      <c r="AZ2" s="73"/>
      <c r="BA2" s="216" t="s">
        <v>1003</v>
      </c>
      <c r="BB2" s="73"/>
      <c r="BC2" s="73"/>
      <c r="BD2" s="73"/>
      <c r="BE2" s="73"/>
      <c r="BF2" s="73"/>
      <c r="BG2" s="73"/>
      <c r="BH2" s="73"/>
      <c r="BI2" s="73"/>
      <c r="BJ2" s="73"/>
      <c r="BK2" s="73"/>
      <c r="BL2" s="73"/>
      <c r="BM2" s="73"/>
      <c r="BN2" s="73"/>
      <c r="BO2" s="73"/>
      <c r="BP2" s="73"/>
      <c r="BQ2" s="73"/>
      <c r="BR2" s="73"/>
      <c r="BS2" s="76"/>
      <c r="BT2" s="72"/>
      <c r="BU2" s="72"/>
      <c r="BV2" s="72"/>
      <c r="BW2" s="72"/>
      <c r="BX2" s="72"/>
      <c r="BY2" s="72"/>
      <c r="BZ2" s="72"/>
      <c r="CB2" s="72"/>
      <c r="CC2" s="72"/>
      <c r="CD2" s="72"/>
      <c r="CE2" s="72"/>
      <c r="CF2" s="72"/>
      <c r="CG2" s="72"/>
      <c r="CH2" s="1"/>
      <c r="CI2" s="241"/>
      <c r="CJ2" s="12"/>
      <c r="CK2" s="72"/>
      <c r="CL2" s="1"/>
      <c r="CM2" s="72"/>
      <c r="CN2" s="72"/>
      <c r="CO2" s="72"/>
      <c r="CP2" s="72"/>
      <c r="CQ2" s="72"/>
      <c r="CR2" s="72"/>
      <c r="CS2" s="72"/>
      <c r="CT2" s="75"/>
      <c r="CU2" s="75"/>
      <c r="CV2" s="75"/>
      <c r="CW2" s="75"/>
      <c r="CY2" s="71">
        <v>0.5</v>
      </c>
      <c r="CZ2" s="204" t="s">
        <v>829</v>
      </c>
      <c r="DA2" s="71"/>
      <c r="DB2" s="72"/>
      <c r="DC2" s="72"/>
      <c r="DD2" s="72"/>
      <c r="DE2" s="75"/>
      <c r="DF2" s="75"/>
      <c r="DG2" s="238"/>
      <c r="DH2" s="75"/>
      <c r="DI2" s="75"/>
      <c r="DJ2" s="75"/>
      <c r="DK2" s="75"/>
      <c r="DL2" s="75"/>
      <c r="DM2" s="75"/>
      <c r="DN2" s="75"/>
      <c r="DO2" s="1"/>
      <c r="DP2" s="1"/>
      <c r="DQ2" s="1"/>
      <c r="DR2" s="75"/>
      <c r="DS2" s="3"/>
      <c r="DT2" s="75"/>
      <c r="DU2" s="75"/>
      <c r="DV2" s="238"/>
      <c r="DW2" s="252"/>
      <c r="DX2" s="296"/>
      <c r="DY2" s="296"/>
      <c r="DZ2" s="238"/>
      <c r="EA2" s="259"/>
      <c r="EB2" s="75"/>
      <c r="EC2" s="75"/>
      <c r="ED2" s="75"/>
      <c r="EE2" s="75"/>
      <c r="EF2" s="75"/>
      <c r="EG2" s="75"/>
      <c r="EH2" s="238"/>
      <c r="EI2" s="75"/>
      <c r="EJ2" s="75"/>
      <c r="EK2" s="75"/>
      <c r="EL2" s="75"/>
      <c r="EM2" s="75"/>
      <c r="EN2" s="75"/>
      <c r="EO2" s="75"/>
      <c r="EP2" s="75"/>
      <c r="ER2" s="357"/>
      <c r="ES2" s="75"/>
      <c r="ET2" s="75"/>
      <c r="EU2" s="1"/>
      <c r="EW2" s="3"/>
      <c r="EX2" s="367">
        <v>1E-3</v>
      </c>
      <c r="EY2" s="216" t="s">
        <v>1099</v>
      </c>
      <c r="EZ2" s="367">
        <f>MinimumPremiumRequired * 365</f>
        <v>0.36499999999999999</v>
      </c>
      <c r="FA2" s="216" t="s">
        <v>1102</v>
      </c>
      <c r="FB2"/>
      <c r="FC2"/>
      <c r="FD2" s="75"/>
      <c r="FE2" s="75"/>
      <c r="FF2" s="75"/>
      <c r="FG2" s="75"/>
      <c r="FH2" s="74"/>
      <c r="FI2" s="75"/>
      <c r="FJ2" s="75"/>
      <c r="FK2" s="8">
        <v>5.0000000000000001E-4</v>
      </c>
      <c r="FL2" s="332" t="s">
        <v>848</v>
      </c>
      <c r="FM2" s="75"/>
      <c r="FN2" s="72"/>
      <c r="FO2" s="2"/>
      <c r="FP2" s="2"/>
      <c r="FQ2" s="1"/>
      <c r="FR2" s="1"/>
      <c r="FS2" s="1"/>
      <c r="FT2" s="237"/>
      <c r="FU2" s="237"/>
      <c r="FV2" s="237"/>
      <c r="FW2" s="278"/>
      <c r="FX2" s="237"/>
      <c r="FY2" s="1"/>
      <c r="FZ2" s="1"/>
      <c r="GA2" s="241"/>
      <c r="GB2" s="1"/>
      <c r="GC2" s="73"/>
      <c r="GD2" s="74" t="s">
        <v>366</v>
      </c>
      <c r="GE2" s="74" t="s">
        <v>366</v>
      </c>
      <c r="GF2" s="74" t="s">
        <v>365</v>
      </c>
      <c r="GG2" s="72"/>
      <c r="GH2" s="1"/>
      <c r="GI2" s="1"/>
      <c r="GJ2" s="1"/>
      <c r="GK2" s="1"/>
      <c r="GL2" s="1"/>
      <c r="GM2" s="1"/>
      <c r="GN2" s="1"/>
      <c r="GS2" s="1"/>
      <c r="GT2" s="1"/>
      <c r="GU2" s="1"/>
      <c r="HK2" s="1"/>
      <c r="HL2" s="1"/>
      <c r="HM2" s="1"/>
      <c r="HN2" s="1"/>
      <c r="HO2" s="1"/>
      <c r="HP2" s="1"/>
    </row>
    <row r="3" spans="2:224" ht="12.75" customHeight="1" x14ac:dyDescent="0.25">
      <c r="B3" s="72"/>
      <c r="C3" s="387"/>
      <c r="D3" s="216"/>
      <c r="E3" s="421">
        <f ca="1">TODAY()</f>
        <v>46233</v>
      </c>
      <c r="F3" s="82"/>
      <c r="G3" s="82"/>
      <c r="H3" s="82"/>
      <c r="I3" s="83"/>
      <c r="J3" s="83"/>
      <c r="K3" s="82"/>
      <c r="M3" s="82"/>
      <c r="N3" s="82"/>
      <c r="O3" s="82"/>
      <c r="P3" s="73"/>
      <c r="Q3" s="81"/>
      <c r="R3" s="72"/>
      <c r="S3" s="80"/>
      <c r="T3" s="72"/>
      <c r="U3" s="79"/>
      <c r="V3" s="266"/>
      <c r="W3" s="266"/>
      <c r="X3" s="266"/>
      <c r="Y3" s="266"/>
      <c r="Z3" s="272"/>
      <c r="AA3" s="277"/>
      <c r="AB3" s="277"/>
      <c r="AC3" s="72"/>
      <c r="AD3" s="78"/>
      <c r="AE3" s="72"/>
      <c r="AF3" s="72"/>
      <c r="AG3" s="72"/>
      <c r="AH3" s="78"/>
      <c r="AI3" s="72"/>
      <c r="AJ3" s="73"/>
      <c r="AK3" s="73"/>
      <c r="AL3" s="73"/>
      <c r="AM3" s="44"/>
      <c r="AN3" s="73"/>
      <c r="AO3" s="73"/>
      <c r="AP3" s="73"/>
      <c r="AQ3" s="77"/>
      <c r="AR3" s="77"/>
      <c r="AS3" s="73"/>
      <c r="AT3" s="73"/>
      <c r="AU3" s="73"/>
      <c r="AV3" s="73"/>
      <c r="AW3" s="73"/>
      <c r="AX3" s="73"/>
      <c r="AY3" s="73"/>
      <c r="AZ3" s="73"/>
      <c r="BA3" s="216"/>
      <c r="BB3" s="73"/>
      <c r="BC3" s="73"/>
      <c r="BD3" s="73"/>
      <c r="BE3" s="73"/>
      <c r="BF3" s="73"/>
      <c r="BG3" s="73"/>
      <c r="BH3" s="73"/>
      <c r="BI3" s="73"/>
      <c r="BJ3" s="73"/>
      <c r="BK3" s="73"/>
      <c r="BL3" s="73"/>
      <c r="BM3" s="73"/>
      <c r="BN3" s="73"/>
      <c r="BO3" s="73"/>
      <c r="BP3" s="73"/>
      <c r="BQ3" s="73"/>
      <c r="BR3" s="73"/>
      <c r="BS3" s="76"/>
      <c r="BT3" s="72"/>
      <c r="BU3" s="72"/>
      <c r="BV3" s="72"/>
      <c r="BW3" s="72"/>
      <c r="BX3" s="72"/>
      <c r="BY3" s="72"/>
      <c r="BZ3" s="72"/>
      <c r="CB3" s="72"/>
      <c r="CC3" s="72"/>
      <c r="CD3" s="72"/>
      <c r="CE3" s="72"/>
      <c r="CF3" s="72"/>
      <c r="CG3" s="72"/>
      <c r="CH3" s="1"/>
      <c r="CI3" s="241"/>
      <c r="CJ3" s="12"/>
      <c r="CK3" s="72"/>
      <c r="CL3" s="1"/>
      <c r="CM3" s="72"/>
      <c r="CN3" s="72"/>
      <c r="CO3" s="72"/>
      <c r="CP3" s="72"/>
      <c r="CQ3" s="72"/>
      <c r="CR3" s="72"/>
      <c r="CS3" s="72"/>
      <c r="CT3" s="75"/>
      <c r="CU3" s="75"/>
      <c r="CV3" s="75"/>
      <c r="CW3" s="75"/>
      <c r="CY3" s="71"/>
      <c r="CZ3" s="204"/>
      <c r="DA3" s="71"/>
      <c r="DB3" s="72"/>
      <c r="DC3" s="72"/>
      <c r="DD3" s="72"/>
      <c r="DE3" s="75"/>
      <c r="DF3" s="75"/>
      <c r="DG3" s="238"/>
      <c r="DH3" s="75"/>
      <c r="DI3" s="75"/>
      <c r="DJ3" s="75"/>
      <c r="DK3" s="75"/>
      <c r="DL3" s="75"/>
      <c r="DM3" s="75"/>
      <c r="DN3" s="75"/>
      <c r="DO3" s="1"/>
      <c r="DP3" s="1"/>
      <c r="DQ3" s="1"/>
      <c r="DR3" s="75"/>
      <c r="DS3" s="3"/>
      <c r="DT3" s="75"/>
      <c r="DU3" s="75"/>
      <c r="DV3" s="238"/>
      <c r="DW3" s="252"/>
      <c r="DX3" s="296"/>
      <c r="DY3" s="296"/>
      <c r="DZ3" s="238"/>
      <c r="EA3" s="259"/>
      <c r="EB3" s="75"/>
      <c r="EC3" s="75"/>
      <c r="ED3" s="75"/>
      <c r="EE3" s="75"/>
      <c r="EF3" s="75"/>
      <c r="EG3" s="75"/>
      <c r="EH3" s="238"/>
      <c r="EI3" s="75"/>
      <c r="EJ3" s="75"/>
      <c r="EK3" s="75"/>
      <c r="EL3" s="75"/>
      <c r="EM3" s="75"/>
      <c r="EN3" s="75"/>
      <c r="EO3" s="75"/>
      <c r="EP3" s="75"/>
      <c r="ER3" s="357"/>
      <c r="ES3" s="75"/>
      <c r="ET3" s="75"/>
      <c r="EU3" s="1"/>
      <c r="EW3" s="3"/>
      <c r="EX3" s="367"/>
      <c r="EY3" s="216"/>
      <c r="EZ3" s="367"/>
      <c r="FA3" s="216"/>
      <c r="FB3"/>
      <c r="FC3"/>
      <c r="FD3" s="75"/>
      <c r="FE3" s="75"/>
      <c r="FF3" s="75"/>
      <c r="FG3" s="75"/>
      <c r="FH3" s="74"/>
      <c r="FI3" s="75"/>
      <c r="FJ3" s="75"/>
      <c r="FK3" s="8"/>
      <c r="FL3" s="332"/>
      <c r="FM3" s="75"/>
      <c r="FN3" s="72"/>
      <c r="FO3" s="2"/>
      <c r="FP3" s="2"/>
      <c r="FQ3" s="1"/>
      <c r="FR3" s="1"/>
      <c r="FS3" s="1"/>
      <c r="FT3" s="237"/>
      <c r="FU3" s="237"/>
      <c r="FV3" s="237"/>
      <c r="FW3" s="278"/>
      <c r="FX3" s="237"/>
      <c r="FY3" s="1"/>
      <c r="FZ3" s="1"/>
      <c r="GA3" s="241"/>
      <c r="GB3" s="1"/>
      <c r="GC3" s="73"/>
      <c r="GD3" s="74"/>
      <c r="GE3" s="74"/>
      <c r="GF3" s="74"/>
      <c r="GG3" s="72"/>
      <c r="GH3" s="1"/>
      <c r="GI3" s="1"/>
      <c r="GJ3" s="1"/>
      <c r="GK3" s="1"/>
      <c r="GL3" s="1"/>
      <c r="GM3" s="1"/>
      <c r="GN3" s="1"/>
      <c r="GS3" s="1"/>
      <c r="GT3" s="1"/>
      <c r="GU3" s="1"/>
      <c r="HK3" s="1"/>
      <c r="HL3" s="1"/>
      <c r="HM3" s="1"/>
      <c r="HN3" s="1"/>
      <c r="HO3" s="1"/>
      <c r="HP3" s="1"/>
    </row>
    <row r="4" spans="2:224" ht="12.75" customHeight="1" x14ac:dyDescent="0.25">
      <c r="B4" s="72"/>
      <c r="C4" s="387"/>
      <c r="D4" s="216"/>
      <c r="E4" s="82"/>
      <c r="F4" s="82"/>
      <c r="H4" s="82"/>
      <c r="I4" s="83"/>
      <c r="J4" s="83"/>
      <c r="K4" s="82"/>
      <c r="L4" s="82"/>
      <c r="M4" s="82"/>
      <c r="N4" s="82"/>
      <c r="O4" s="82"/>
      <c r="P4" s="73"/>
      <c r="Q4" s="81"/>
      <c r="R4" s="72"/>
      <c r="S4" s="80"/>
      <c r="T4" s="72"/>
      <c r="U4" s="79"/>
      <c r="V4" s="266"/>
      <c r="W4" s="266"/>
      <c r="X4" s="266"/>
      <c r="Y4" s="266"/>
      <c r="Z4" s="272"/>
      <c r="AA4" s="277"/>
      <c r="AB4" s="277"/>
      <c r="AC4" s="72"/>
      <c r="AD4" s="78"/>
      <c r="AE4" s="72"/>
      <c r="AF4" s="72"/>
      <c r="AG4" s="72"/>
      <c r="AH4" s="78"/>
      <c r="AI4" s="72"/>
      <c r="AJ4" s="73"/>
      <c r="AK4" s="73"/>
      <c r="AL4" s="73"/>
      <c r="AM4" s="44"/>
      <c r="AN4" s="73"/>
      <c r="AO4" s="73"/>
      <c r="AP4" s="73"/>
      <c r="AQ4" s="77"/>
      <c r="AR4" s="77"/>
      <c r="AS4" s="73"/>
      <c r="AT4" s="73"/>
      <c r="AU4" s="73"/>
      <c r="AV4" s="73"/>
      <c r="AW4" s="73"/>
      <c r="AX4" s="73"/>
      <c r="AY4" s="73"/>
      <c r="AZ4" s="73"/>
      <c r="BA4" s="216"/>
      <c r="BB4" s="73"/>
      <c r="BC4" s="73"/>
      <c r="BD4" s="73"/>
      <c r="BE4" s="73"/>
      <c r="BF4" s="73"/>
      <c r="BG4" s="73"/>
      <c r="BH4" s="73"/>
      <c r="BI4" s="73"/>
      <c r="BJ4" s="73"/>
      <c r="BK4" s="73"/>
      <c r="BL4" s="73"/>
      <c r="BM4" s="73"/>
      <c r="BN4" s="73"/>
      <c r="BO4" s="73"/>
      <c r="BP4" s="73"/>
      <c r="BQ4" s="73"/>
      <c r="BR4" s="73"/>
      <c r="BS4" s="76"/>
      <c r="BT4" s="72"/>
      <c r="BU4" s="72"/>
      <c r="BV4" s="72"/>
      <c r="BW4" s="72"/>
      <c r="BX4" s="72"/>
      <c r="BY4" s="72"/>
      <c r="BZ4" s="72"/>
      <c r="CB4" s="72"/>
      <c r="CC4" s="72"/>
      <c r="CD4" s="72"/>
      <c r="CE4" s="72"/>
      <c r="CF4" s="72"/>
      <c r="CG4" s="72"/>
      <c r="CH4" s="1"/>
      <c r="CI4" s="241"/>
      <c r="CJ4" s="12"/>
      <c r="CK4" s="72"/>
      <c r="CL4" s="1"/>
      <c r="CM4" s="72"/>
      <c r="CN4" s="72"/>
      <c r="CO4" s="72"/>
      <c r="CP4" s="72"/>
      <c r="CQ4" s="72"/>
      <c r="CR4" s="72"/>
      <c r="CS4" s="72"/>
      <c r="CT4" s="75"/>
      <c r="CU4" s="75"/>
      <c r="CV4" s="75"/>
      <c r="CW4" s="75"/>
      <c r="CY4" s="71"/>
      <c r="CZ4" s="204"/>
      <c r="DA4" s="71"/>
      <c r="DB4" s="72"/>
      <c r="DC4" s="72"/>
      <c r="DD4" s="72"/>
      <c r="DE4" s="75"/>
      <c r="DF4" s="75"/>
      <c r="DG4" s="238"/>
      <c r="DH4" s="75"/>
      <c r="DI4" s="75"/>
      <c r="DJ4" s="75"/>
      <c r="DK4" s="75"/>
      <c r="DL4" s="75"/>
      <c r="DM4" s="75"/>
      <c r="DN4" s="75"/>
      <c r="DO4" s="1"/>
      <c r="DP4" s="1"/>
      <c r="DQ4" s="1"/>
      <c r="DR4" s="75"/>
      <c r="DS4" s="3"/>
      <c r="DT4" s="75"/>
      <c r="DU4" s="75"/>
      <c r="DV4" s="238"/>
      <c r="DW4" s="252"/>
      <c r="DX4" s="296"/>
      <c r="DY4" s="296"/>
      <c r="DZ4" s="238"/>
      <c r="EA4" s="259"/>
      <c r="EB4" s="75"/>
      <c r="EC4" s="75"/>
      <c r="ED4" s="75"/>
      <c r="EE4" s="75"/>
      <c r="EF4" s="75"/>
      <c r="EG4" s="75"/>
      <c r="EH4" s="238"/>
      <c r="EI4" s="75"/>
      <c r="EJ4" s="75"/>
      <c r="EK4" s="75"/>
      <c r="EL4" s="75"/>
      <c r="EM4" s="75"/>
      <c r="EN4" s="75"/>
      <c r="EO4" s="75"/>
      <c r="EP4" s="75"/>
      <c r="ER4" s="357"/>
      <c r="ES4" s="75"/>
      <c r="ET4" s="75"/>
      <c r="EU4" s="1"/>
      <c r="EW4" s="3"/>
      <c r="EX4" s="367"/>
      <c r="EY4" s="216"/>
      <c r="EZ4" s="367"/>
      <c r="FA4" s="216"/>
      <c r="FB4"/>
      <c r="FC4"/>
      <c r="FD4" s="75"/>
      <c r="FE4" s="75"/>
      <c r="FF4" s="75"/>
      <c r="FG4" s="75"/>
      <c r="FH4" s="74"/>
      <c r="FI4" s="75"/>
      <c r="FJ4" s="75"/>
      <c r="FK4" s="8"/>
      <c r="FL4" s="332"/>
      <c r="FM4" s="75"/>
      <c r="FN4" s="72"/>
      <c r="FO4" s="2"/>
      <c r="FP4" s="2"/>
      <c r="FQ4" s="1"/>
      <c r="FR4" s="1"/>
      <c r="FS4" s="1"/>
      <c r="FT4" s="237"/>
      <c r="FU4" s="237"/>
      <c r="FV4" s="237"/>
      <c r="FW4" s="278"/>
      <c r="FX4" s="237"/>
      <c r="FY4" s="1"/>
      <c r="FZ4" s="1"/>
      <c r="GA4" s="241"/>
      <c r="GB4" s="1"/>
      <c r="GC4" s="73"/>
      <c r="GD4" s="74"/>
      <c r="GE4" s="74"/>
      <c r="GF4" s="74"/>
      <c r="GG4" s="72"/>
      <c r="GH4" s="1"/>
      <c r="GI4" s="1"/>
      <c r="GJ4" s="1"/>
      <c r="GK4" s="1"/>
      <c r="GL4" s="1"/>
      <c r="GM4" s="1"/>
      <c r="GN4" s="1"/>
      <c r="GS4" s="1"/>
      <c r="GT4" s="1"/>
      <c r="GU4" s="1"/>
      <c r="HK4" s="1"/>
      <c r="HL4" s="1"/>
      <c r="HM4" s="1"/>
      <c r="HN4" s="1"/>
      <c r="HO4" s="1"/>
      <c r="HP4" s="1"/>
    </row>
    <row r="5" spans="2:224" ht="12.75" customHeight="1" x14ac:dyDescent="0.25">
      <c r="C5" s="387"/>
      <c r="D5" s="207"/>
      <c r="E5" s="421">
        <f ca="1">MockToday + MOD(5 - WEEKDAY(MockToday, 2) + 7, 7)</f>
        <v>46234</v>
      </c>
      <c r="F5" s="26"/>
      <c r="G5" s="82" t="s">
        <v>1307</v>
      </c>
      <c r="H5" s="3"/>
      <c r="I5" s="3"/>
      <c r="J5" s="3"/>
      <c r="K5" s="3"/>
      <c r="L5" s="3"/>
      <c r="M5" s="3"/>
      <c r="N5" s="3"/>
      <c r="O5" s="3"/>
      <c r="P5" s="11"/>
      <c r="Q5" s="9"/>
      <c r="R5" s="1"/>
      <c r="S5" s="8"/>
      <c r="T5" s="3"/>
      <c r="U5" s="28"/>
      <c r="V5" s="197"/>
      <c r="W5" s="197"/>
      <c r="X5" s="197"/>
      <c r="Y5" s="197"/>
      <c r="Z5" s="273"/>
      <c r="AA5" s="278"/>
      <c r="AB5" s="27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41"/>
      <c r="CJ5" s="1"/>
      <c r="CK5" s="3"/>
      <c r="CL5" s="7"/>
      <c r="CM5" s="1"/>
      <c r="CN5" s="1"/>
      <c r="CP5" s="1"/>
      <c r="CQ5" s="1"/>
      <c r="CR5" s="1"/>
      <c r="CS5" s="1"/>
      <c r="CT5" s="13"/>
      <c r="CU5" s="13"/>
      <c r="CV5" s="13"/>
      <c r="CW5" s="5"/>
      <c r="CY5" s="71">
        <v>0.03</v>
      </c>
      <c r="CZ5" s="204" t="s">
        <v>828</v>
      </c>
      <c r="DA5" s="71"/>
      <c r="DD5" s="1"/>
      <c r="DE5" s="5"/>
      <c r="DF5" s="5"/>
      <c r="DG5" s="237"/>
      <c r="DH5" s="5"/>
      <c r="DI5" s="5"/>
      <c r="DJ5" s="5"/>
      <c r="DK5" s="5"/>
      <c r="DL5" s="5"/>
      <c r="DO5" s="5"/>
      <c r="DP5" s="5"/>
      <c r="DQ5" s="5"/>
      <c r="DR5" s="3"/>
      <c r="DT5" s="13"/>
      <c r="DU5" s="13"/>
      <c r="DV5" s="237"/>
      <c r="DW5" s="253"/>
      <c r="DX5" s="297"/>
      <c r="DY5" s="297"/>
      <c r="DZ5" s="237"/>
      <c r="EA5" s="260"/>
      <c r="EB5" s="71">
        <v>0.25</v>
      </c>
      <c r="EC5" s="216" t="s">
        <v>816</v>
      </c>
      <c r="ED5" s="1"/>
      <c r="EE5" s="216"/>
      <c r="EF5" s="13"/>
      <c r="EG5" s="13"/>
      <c r="EH5" s="237"/>
      <c r="EI5" s="13"/>
      <c r="EJ5" s="5"/>
      <c r="EK5" s="5"/>
      <c r="EL5" s="14"/>
      <c r="EM5" s="25"/>
      <c r="EN5" s="5"/>
      <c r="EO5" s="1"/>
      <c r="EP5" s="1"/>
      <c r="ER5" s="358"/>
      <c r="ES5" s="5"/>
      <c r="ET5" s="5"/>
      <c r="EU5" s="70"/>
      <c r="EW5" s="3"/>
      <c r="EX5" s="367">
        <f>MinimumPremiumRequired * 7</f>
        <v>7.0000000000000001E-3</v>
      </c>
      <c r="EY5" s="216" t="s">
        <v>1100</v>
      </c>
      <c r="EZ5" s="367">
        <f>EZ2/12</f>
        <v>3.0416666666666665E-2</v>
      </c>
      <c r="FA5" s="216" t="s">
        <v>1101</v>
      </c>
      <c r="FB5"/>
      <c r="FC5"/>
      <c r="FD5" s="5"/>
      <c r="FE5" s="5"/>
      <c r="FF5" s="5"/>
      <c r="FG5" s="5"/>
      <c r="FH5" s="70"/>
      <c r="FI5" s="5"/>
      <c r="FJ5" s="28"/>
      <c r="FK5" s="71">
        <v>0.5</v>
      </c>
      <c r="FL5" s="306" t="s">
        <v>849</v>
      </c>
      <c r="FM5" s="2"/>
      <c r="FO5" s="2"/>
      <c r="FP5" s="2"/>
      <c r="FZ5" s="1"/>
      <c r="GA5" s="241"/>
      <c r="GB5" s="1"/>
      <c r="GC5" s="31"/>
      <c r="GD5" s="70" t="s">
        <v>364</v>
      </c>
      <c r="GE5" s="70" t="s">
        <v>363</v>
      </c>
      <c r="GF5" s="69" t="s">
        <v>348</v>
      </c>
      <c r="GG5" s="1"/>
      <c r="GH5" s="1"/>
      <c r="GI5" s="1"/>
      <c r="GJ5" s="1"/>
      <c r="GK5" s="1"/>
      <c r="GL5" s="1"/>
      <c r="GM5" s="1"/>
      <c r="GN5" s="1"/>
      <c r="GS5" s="1"/>
      <c r="GT5" s="1"/>
      <c r="GU5" s="1"/>
      <c r="HK5" s="1"/>
      <c r="HL5" s="1"/>
      <c r="HM5" s="1"/>
      <c r="HN5" s="1"/>
      <c r="HO5" s="1"/>
      <c r="HP5" s="1"/>
    </row>
    <row r="6" spans="2:224" ht="12.75" customHeight="1" x14ac:dyDescent="0.25">
      <c r="C6" s="387"/>
      <c r="D6" s="207"/>
      <c r="E6" s="421">
        <f ca="1">EOMONTH(MockToday,0)+1 + MOD(6 - WEEKDAY(EOMONTH(MockToday,0)+1),7) + 14</f>
        <v>46255</v>
      </c>
      <c r="F6" s="26"/>
      <c r="G6" s="325" t="s">
        <v>1308</v>
      </c>
      <c r="H6" s="3"/>
      <c r="I6" s="3"/>
      <c r="J6" s="3"/>
      <c r="K6" s="3"/>
      <c r="L6" s="3"/>
      <c r="M6" s="3"/>
      <c r="N6" s="3"/>
      <c r="O6" s="3"/>
      <c r="P6" s="11"/>
      <c r="Q6" s="9"/>
      <c r="R6" s="1"/>
      <c r="S6" s="8"/>
      <c r="T6" s="3"/>
      <c r="U6" s="28"/>
      <c r="V6" s="197"/>
      <c r="W6" s="197"/>
      <c r="X6" s="197"/>
      <c r="Y6" s="197"/>
      <c r="Z6" s="273"/>
      <c r="AA6" s="278"/>
      <c r="AB6" s="27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41"/>
      <c r="CJ6" s="1"/>
      <c r="CK6" s="3"/>
      <c r="CL6" s="7"/>
      <c r="CM6" s="1"/>
      <c r="CN6" s="1"/>
      <c r="CP6" s="1"/>
      <c r="CQ6" s="1"/>
      <c r="CR6" s="1"/>
      <c r="CS6" s="1"/>
      <c r="CT6" s="13"/>
      <c r="CU6" s="13"/>
      <c r="CV6" s="13"/>
      <c r="CW6" s="5"/>
      <c r="CY6" s="71"/>
      <c r="CZ6" s="204"/>
      <c r="DA6" s="71"/>
      <c r="DD6" s="1"/>
      <c r="DE6" s="5"/>
      <c r="DF6" s="5"/>
      <c r="DG6" s="237"/>
      <c r="DH6" s="5"/>
      <c r="DI6" s="5"/>
      <c r="DJ6" s="5"/>
      <c r="DK6" s="5"/>
      <c r="DL6" s="5"/>
      <c r="DO6" s="5"/>
      <c r="DP6" s="5"/>
      <c r="DQ6" s="5"/>
      <c r="DR6" s="3"/>
      <c r="DT6" s="13"/>
      <c r="DU6" s="13"/>
      <c r="DV6" s="237"/>
      <c r="DW6" s="253"/>
      <c r="DX6" s="297"/>
      <c r="DY6" s="297"/>
      <c r="DZ6" s="237"/>
      <c r="EA6" s="260"/>
      <c r="EB6" s="71"/>
      <c r="EC6" s="216"/>
      <c r="ED6" s="1"/>
      <c r="EE6" s="216"/>
      <c r="EF6" s="13"/>
      <c r="EG6" s="13"/>
      <c r="EH6" s="237"/>
      <c r="EI6" s="13"/>
      <c r="EJ6" s="5"/>
      <c r="EK6" s="5"/>
      <c r="EL6" s="14"/>
      <c r="EM6" s="25"/>
      <c r="EN6" s="5"/>
      <c r="EO6" s="1"/>
      <c r="EP6" s="1"/>
      <c r="ER6" s="358"/>
      <c r="ES6" s="5"/>
      <c r="ET6" s="5"/>
      <c r="EU6" s="70"/>
      <c r="EW6" s="3"/>
      <c r="EX6" s="367"/>
      <c r="EY6" s="216"/>
      <c r="EZ6" s="367"/>
      <c r="FA6" s="216"/>
      <c r="FB6"/>
      <c r="FC6"/>
      <c r="FD6" s="5"/>
      <c r="FE6" s="5"/>
      <c r="FF6" s="5"/>
      <c r="FG6" s="5"/>
      <c r="FH6" s="70"/>
      <c r="FI6" s="5"/>
      <c r="FJ6" s="28"/>
      <c r="FK6" s="71"/>
      <c r="FL6" s="306"/>
      <c r="FM6" s="2"/>
      <c r="FO6" s="2"/>
      <c r="FP6" s="2"/>
      <c r="FZ6" s="1"/>
      <c r="GA6" s="241"/>
      <c r="GB6" s="1"/>
      <c r="GC6" s="31"/>
      <c r="GD6" s="70"/>
      <c r="GE6" s="70"/>
      <c r="GF6" s="69"/>
      <c r="GG6" s="1"/>
      <c r="GH6" s="1"/>
      <c r="GI6" s="1"/>
      <c r="GJ6" s="1"/>
      <c r="GK6" s="1"/>
      <c r="GL6" s="1"/>
      <c r="GM6" s="1"/>
      <c r="GN6" s="1"/>
      <c r="GS6" s="1"/>
      <c r="GT6" s="1"/>
      <c r="GU6" s="1"/>
      <c r="HK6" s="1"/>
      <c r="HL6" s="1"/>
      <c r="HM6" s="1"/>
      <c r="HN6" s="1"/>
      <c r="HO6" s="1"/>
      <c r="HP6" s="1"/>
    </row>
    <row r="7" spans="2:224" s="54" customFormat="1" ht="23.25" x14ac:dyDescent="0.25">
      <c r="B7" s="56" t="s">
        <v>362</v>
      </c>
      <c r="C7" s="387"/>
      <c r="D7" s="205"/>
      <c r="F7" s="68"/>
      <c r="G7" s="55" t="s">
        <v>345</v>
      </c>
      <c r="H7" s="56"/>
      <c r="I7" s="55"/>
      <c r="J7" s="56"/>
      <c r="K7" s="55"/>
      <c r="L7" s="55" t="s">
        <v>361</v>
      </c>
      <c r="M7" s="56"/>
      <c r="N7" s="56"/>
      <c r="O7" s="55" t="s">
        <v>360</v>
      </c>
      <c r="P7" s="67"/>
      <c r="Q7" s="66"/>
      <c r="R7" s="56"/>
      <c r="S7" s="65"/>
      <c r="T7" s="56"/>
      <c r="V7" s="267"/>
      <c r="W7" s="267"/>
      <c r="X7" s="267"/>
      <c r="Y7" s="267"/>
      <c r="Z7" s="274"/>
      <c r="AA7" s="279"/>
      <c r="AB7" s="66" t="s">
        <v>359</v>
      </c>
      <c r="AC7" s="56"/>
      <c r="AD7" s="55"/>
      <c r="AE7" s="56"/>
      <c r="AH7" s="55" t="s">
        <v>358</v>
      </c>
      <c r="AI7" s="55"/>
      <c r="AJ7" s="55"/>
      <c r="AK7" s="55"/>
      <c r="AL7" s="55"/>
      <c r="AM7" s="64"/>
      <c r="AN7" s="64"/>
      <c r="AO7" s="55" t="s">
        <v>357</v>
      </c>
      <c r="AP7" s="55"/>
      <c r="AQ7" s="55"/>
      <c r="AR7" s="55"/>
      <c r="AS7" s="55"/>
      <c r="AT7" s="55"/>
      <c r="AU7" s="55"/>
      <c r="AV7" s="55"/>
      <c r="AW7" s="55"/>
      <c r="AX7" s="55"/>
      <c r="AY7" s="55"/>
      <c r="AZ7" s="55"/>
      <c r="BA7" s="55" t="s">
        <v>981</v>
      </c>
      <c r="BC7" s="55" t="s">
        <v>356</v>
      </c>
      <c r="BD7" s="55"/>
      <c r="BE7" s="55"/>
      <c r="BF7" s="56"/>
      <c r="BG7" s="56"/>
      <c r="BH7" s="55"/>
      <c r="BI7" s="55"/>
      <c r="BJ7" s="55"/>
      <c r="BP7" s="162" t="s">
        <v>353</v>
      </c>
      <c r="BQ7" s="55"/>
      <c r="BR7" s="55"/>
      <c r="BS7" s="63"/>
      <c r="BT7" s="56"/>
      <c r="BU7" s="55"/>
      <c r="BV7" s="55"/>
      <c r="BW7" s="55"/>
      <c r="BX7" s="55"/>
      <c r="BY7" s="55"/>
      <c r="BZ7" s="55"/>
      <c r="CA7" s="55"/>
      <c r="CB7" s="55"/>
      <c r="CC7" s="55"/>
      <c r="CD7" s="55"/>
      <c r="CE7" s="55"/>
      <c r="CF7" s="55"/>
      <c r="CG7" s="56"/>
      <c r="CH7" s="56"/>
      <c r="CI7" s="242"/>
      <c r="CJ7" s="56"/>
      <c r="CK7" s="55"/>
      <c r="CL7" s="56"/>
      <c r="CM7" s="56"/>
      <c r="CN7" s="56"/>
      <c r="CO7" s="56"/>
      <c r="CP7" s="56"/>
      <c r="CQ7" s="56"/>
      <c r="CW7" s="62"/>
      <c r="CX7" s="56"/>
      <c r="CY7" s="56"/>
      <c r="CZ7" s="56"/>
      <c r="DB7" s="56"/>
      <c r="DC7" s="56"/>
      <c r="DD7" s="62" t="s">
        <v>927</v>
      </c>
      <c r="DF7" s="62"/>
      <c r="DG7" s="62" t="s">
        <v>352</v>
      </c>
      <c r="DH7" s="58"/>
      <c r="DI7" s="58"/>
      <c r="DL7" s="58"/>
      <c r="DV7" s="55"/>
      <c r="DW7" s="254"/>
      <c r="DX7" s="298"/>
      <c r="DY7" s="298"/>
      <c r="DZ7" s="55"/>
      <c r="EA7" s="261"/>
      <c r="ED7" s="55"/>
      <c r="EF7" s="55"/>
      <c r="EG7" s="55"/>
      <c r="EH7" s="55" t="s">
        <v>351</v>
      </c>
      <c r="EI7" s="61"/>
      <c r="EJ7" s="58"/>
      <c r="EK7" s="58"/>
      <c r="EL7" s="60"/>
      <c r="EM7" s="59"/>
      <c r="EN7" s="58"/>
      <c r="EO7" s="58"/>
      <c r="EP7" s="58"/>
      <c r="EQ7" s="58"/>
      <c r="ER7" s="359"/>
      <c r="ES7" s="58"/>
      <c r="ET7" s="58"/>
      <c r="EV7" s="58"/>
      <c r="EW7" s="58"/>
      <c r="EX7" s="58"/>
      <c r="EY7" s="58"/>
      <c r="EZ7" s="58"/>
      <c r="FA7" s="364"/>
      <c r="FB7" s="58"/>
      <c r="FC7" s="58"/>
      <c r="FD7" s="58"/>
      <c r="FE7" s="58"/>
      <c r="FF7" s="58"/>
      <c r="FG7" s="58"/>
      <c r="FI7" s="55"/>
      <c r="FJ7" s="58"/>
      <c r="FK7" s="248"/>
      <c r="FL7" s="307"/>
      <c r="FO7" s="56"/>
      <c r="FQ7" s="55"/>
      <c r="FT7" s="308"/>
      <c r="FU7" s="308"/>
      <c r="FV7" s="308"/>
      <c r="FW7" s="335"/>
      <c r="FZ7" s="55" t="s">
        <v>980</v>
      </c>
      <c r="GA7" s="246" t="s">
        <v>350</v>
      </c>
      <c r="GD7" s="57"/>
      <c r="GE7" s="57"/>
      <c r="GF7" s="55"/>
      <c r="GG7" s="56"/>
      <c r="GI7" s="55"/>
      <c r="GL7" s="162" t="s">
        <v>1131</v>
      </c>
      <c r="GU7" s="55" t="s">
        <v>258</v>
      </c>
      <c r="GY7" s="379"/>
      <c r="HE7" s="379"/>
      <c r="HF7" s="379"/>
      <c r="HG7" s="379"/>
      <c r="HH7" s="379"/>
      <c r="HI7" s="379"/>
      <c r="HJ7" s="379"/>
    </row>
    <row r="8" spans="2:224" s="48" customFormat="1" ht="54.75" customHeight="1" x14ac:dyDescent="0.25">
      <c r="B8" s="101" t="s">
        <v>349</v>
      </c>
      <c r="C8" s="387" t="s">
        <v>348</v>
      </c>
      <c r="D8" s="53" t="s">
        <v>883</v>
      </c>
      <c r="E8" s="53" t="s">
        <v>347</v>
      </c>
      <c r="F8" s="101" t="s">
        <v>346</v>
      </c>
      <c r="G8" s="101" t="s">
        <v>345</v>
      </c>
      <c r="H8" s="101" t="s">
        <v>344</v>
      </c>
      <c r="I8" s="226" t="s">
        <v>343</v>
      </c>
      <c r="J8" s="226" t="s">
        <v>342</v>
      </c>
      <c r="K8" s="226" t="s">
        <v>341</v>
      </c>
      <c r="L8" s="101" t="s">
        <v>340</v>
      </c>
      <c r="M8" s="101" t="s">
        <v>339</v>
      </c>
      <c r="N8" s="101" t="s">
        <v>338</v>
      </c>
      <c r="O8" s="101" t="s">
        <v>337</v>
      </c>
      <c r="P8" s="101" t="s">
        <v>858</v>
      </c>
      <c r="Q8" s="101" t="s">
        <v>859</v>
      </c>
      <c r="R8" s="101" t="s">
        <v>860</v>
      </c>
      <c r="S8" s="101" t="s">
        <v>861</v>
      </c>
      <c r="T8" s="53" t="s">
        <v>862</v>
      </c>
      <c r="U8" s="53" t="s">
        <v>863</v>
      </c>
      <c r="V8" s="217" t="s">
        <v>864</v>
      </c>
      <c r="W8" s="217" t="s">
        <v>865</v>
      </c>
      <c r="X8" s="53" t="s">
        <v>866</v>
      </c>
      <c r="Y8" s="53" t="s">
        <v>867</v>
      </c>
      <c r="Z8" s="53" t="s">
        <v>868</v>
      </c>
      <c r="AA8" s="53" t="s">
        <v>869</v>
      </c>
      <c r="AB8" s="53" t="s">
        <v>870</v>
      </c>
      <c r="AC8" s="101" t="s">
        <v>557</v>
      </c>
      <c r="AD8" s="101" t="s">
        <v>336</v>
      </c>
      <c r="AE8" s="52" t="s">
        <v>335</v>
      </c>
      <c r="AF8" s="51" t="s">
        <v>334</v>
      </c>
      <c r="AG8" s="51" t="s">
        <v>333</v>
      </c>
      <c r="AH8" s="101" t="s">
        <v>332</v>
      </c>
      <c r="AI8" s="101" t="s">
        <v>996</v>
      </c>
      <c r="AJ8" s="101" t="s">
        <v>331</v>
      </c>
      <c r="AK8" s="232" t="s">
        <v>330</v>
      </c>
      <c r="AL8" s="232" t="s">
        <v>329</v>
      </c>
      <c r="AM8" s="232" t="s">
        <v>328</v>
      </c>
      <c r="AN8" s="232" t="s">
        <v>327</v>
      </c>
      <c r="AO8" s="232" t="s">
        <v>326</v>
      </c>
      <c r="AP8" s="232" t="s">
        <v>1170</v>
      </c>
      <c r="AQ8" s="232" t="s">
        <v>325</v>
      </c>
      <c r="AR8" s="232" t="s">
        <v>324</v>
      </c>
      <c r="AS8" s="232" t="s">
        <v>323</v>
      </c>
      <c r="AT8" s="232" t="s">
        <v>563</v>
      </c>
      <c r="AU8" s="232" t="s">
        <v>562</v>
      </c>
      <c r="AV8" s="232" t="s">
        <v>1215</v>
      </c>
      <c r="AW8" s="232" t="s">
        <v>595</v>
      </c>
      <c r="AX8" s="232" t="s">
        <v>596</v>
      </c>
      <c r="AY8" s="232" t="s">
        <v>597</v>
      </c>
      <c r="AZ8" s="232" t="s">
        <v>598</v>
      </c>
      <c r="BA8" s="101" t="s">
        <v>934</v>
      </c>
      <c r="BB8" s="232" t="s">
        <v>967</v>
      </c>
      <c r="BC8" s="232" t="s">
        <v>321</v>
      </c>
      <c r="BD8" s="101" t="s">
        <v>320</v>
      </c>
      <c r="BE8" s="101" t="s">
        <v>319</v>
      </c>
      <c r="BF8" s="101" t="s">
        <v>318</v>
      </c>
      <c r="BG8" s="101" t="s">
        <v>317</v>
      </c>
      <c r="BH8" s="101" t="s">
        <v>316</v>
      </c>
      <c r="BI8" s="101" t="s">
        <v>315</v>
      </c>
      <c r="BJ8" s="101" t="s">
        <v>314</v>
      </c>
      <c r="BK8" s="232" t="s">
        <v>511</v>
      </c>
      <c r="BL8" s="101" t="s">
        <v>313</v>
      </c>
      <c r="BM8" s="101" t="s">
        <v>1160</v>
      </c>
      <c r="BN8" s="101" t="s">
        <v>1161</v>
      </c>
      <c r="BO8" s="232" t="s">
        <v>565</v>
      </c>
      <c r="BP8" s="232" t="s">
        <v>312</v>
      </c>
      <c r="BQ8" s="101" t="s">
        <v>311</v>
      </c>
      <c r="BR8" s="101" t="s">
        <v>310</v>
      </c>
      <c r="BS8" s="101" t="s">
        <v>309</v>
      </c>
      <c r="BT8" s="101" t="s">
        <v>308</v>
      </c>
      <c r="BU8" s="101" t="s">
        <v>307</v>
      </c>
      <c r="BV8" s="101" t="s">
        <v>306</v>
      </c>
      <c r="BW8" s="232" t="s">
        <v>1287</v>
      </c>
      <c r="BX8" s="232" t="s">
        <v>1288</v>
      </c>
      <c r="BY8" s="232" t="s">
        <v>305</v>
      </c>
      <c r="BZ8" s="101" t="s">
        <v>1127</v>
      </c>
      <c r="CA8" s="232" t="s">
        <v>1123</v>
      </c>
      <c r="CB8" s="232" t="s">
        <v>992</v>
      </c>
      <c r="CC8" s="232" t="s">
        <v>1159</v>
      </c>
      <c r="CD8" s="232" t="s">
        <v>1211</v>
      </c>
      <c r="CE8" s="232" t="s">
        <v>1002</v>
      </c>
      <c r="CF8" s="232" t="s">
        <v>1084</v>
      </c>
      <c r="CG8" s="232" t="s">
        <v>304</v>
      </c>
      <c r="CH8" s="232" t="s">
        <v>303</v>
      </c>
      <c r="CI8" s="232" t="s">
        <v>302</v>
      </c>
      <c r="CJ8" s="243" t="s">
        <v>959</v>
      </c>
      <c r="CK8" s="232" t="s">
        <v>960</v>
      </c>
      <c r="CL8" s="232" t="s">
        <v>823</v>
      </c>
      <c r="CM8" s="232" t="s">
        <v>301</v>
      </c>
      <c r="CN8" s="101" t="s">
        <v>1122</v>
      </c>
      <c r="CO8" s="365" t="s">
        <v>1108</v>
      </c>
      <c r="CP8" s="232" t="s">
        <v>515</v>
      </c>
      <c r="CQ8" s="365" t="s">
        <v>518</v>
      </c>
      <c r="CR8" s="233" t="s">
        <v>519</v>
      </c>
      <c r="CS8" s="232" t="s">
        <v>516</v>
      </c>
      <c r="CT8" s="232" t="s">
        <v>890</v>
      </c>
      <c r="CU8" s="101" t="s">
        <v>834</v>
      </c>
      <c r="CV8" s="232" t="s">
        <v>1173</v>
      </c>
      <c r="CW8" s="101" t="s">
        <v>1145</v>
      </c>
      <c r="CX8" s="232" t="s">
        <v>1180</v>
      </c>
      <c r="CY8" s="232" t="s">
        <v>830</v>
      </c>
      <c r="CZ8" s="232" t="s">
        <v>928</v>
      </c>
      <c r="DA8" s="232" t="s">
        <v>831</v>
      </c>
      <c r="DB8" s="232" t="s">
        <v>832</v>
      </c>
      <c r="DC8" s="232" t="s">
        <v>924</v>
      </c>
      <c r="DD8" s="232" t="s">
        <v>925</v>
      </c>
      <c r="DE8" s="232" t="s">
        <v>926</v>
      </c>
      <c r="DF8" s="232" t="s">
        <v>833</v>
      </c>
      <c r="DG8" s="232" t="s">
        <v>843</v>
      </c>
      <c r="DH8" s="239" t="s">
        <v>844</v>
      </c>
      <c r="DI8" s="101" t="s">
        <v>300</v>
      </c>
      <c r="DJ8" s="101" t="s">
        <v>299</v>
      </c>
      <c r="DK8" s="101" t="s">
        <v>298</v>
      </c>
      <c r="DL8" s="101" t="s">
        <v>297</v>
      </c>
      <c r="DM8" s="101" t="s">
        <v>296</v>
      </c>
      <c r="DN8" s="101" t="s">
        <v>295</v>
      </c>
      <c r="DO8" s="232" t="s">
        <v>294</v>
      </c>
      <c r="DP8" s="232" t="s">
        <v>566</v>
      </c>
      <c r="DQ8" s="232" t="s">
        <v>1162</v>
      </c>
      <c r="DR8" s="232" t="s">
        <v>1163</v>
      </c>
      <c r="DS8" s="232" t="s">
        <v>817</v>
      </c>
      <c r="DT8" s="101" t="s">
        <v>293</v>
      </c>
      <c r="DU8" s="232" t="s">
        <v>879</v>
      </c>
      <c r="DV8" s="232" t="s">
        <v>888</v>
      </c>
      <c r="DW8" s="239" t="s">
        <v>889</v>
      </c>
      <c r="DX8" s="255" t="s">
        <v>851</v>
      </c>
      <c r="DY8" s="299" t="s">
        <v>852</v>
      </c>
      <c r="DZ8" s="299" t="s">
        <v>880</v>
      </c>
      <c r="EA8" s="239" t="s">
        <v>886</v>
      </c>
      <c r="EB8" s="255" t="s">
        <v>881</v>
      </c>
      <c r="EC8" s="232" t="s">
        <v>854</v>
      </c>
      <c r="ED8" s="232" t="s">
        <v>877</v>
      </c>
      <c r="EE8" s="232" t="s">
        <v>855</v>
      </c>
      <c r="EF8" s="232" t="s">
        <v>856</v>
      </c>
      <c r="EG8" s="232" t="s">
        <v>878</v>
      </c>
      <c r="EH8" s="232" t="s">
        <v>1196</v>
      </c>
      <c r="EI8" s="239" t="s">
        <v>887</v>
      </c>
      <c r="EJ8" s="232" t="s">
        <v>292</v>
      </c>
      <c r="EK8" s="101" t="s">
        <v>291</v>
      </c>
      <c r="EL8" s="101" t="s">
        <v>290</v>
      </c>
      <c r="EM8" s="101" t="s">
        <v>289</v>
      </c>
      <c r="EN8" s="101" t="s">
        <v>288</v>
      </c>
      <c r="EO8" s="101" t="s">
        <v>287</v>
      </c>
      <c r="EP8" s="101" t="s">
        <v>286</v>
      </c>
      <c r="EQ8" s="232" t="s">
        <v>1285</v>
      </c>
      <c r="ER8" s="232" t="s">
        <v>1286</v>
      </c>
      <c r="ES8" s="360" t="s">
        <v>1106</v>
      </c>
      <c r="ET8" s="232" t="s">
        <v>285</v>
      </c>
      <c r="EU8" s="232" t="s">
        <v>1158</v>
      </c>
      <c r="EV8" s="232" t="s">
        <v>284</v>
      </c>
      <c r="EW8" s="232" t="s">
        <v>282</v>
      </c>
      <c r="EX8" s="232" t="s">
        <v>1103</v>
      </c>
      <c r="EY8" s="232" t="s">
        <v>283</v>
      </c>
      <c r="EZ8" s="101" t="s">
        <v>1172</v>
      </c>
      <c r="FA8" s="101" t="s">
        <v>1105</v>
      </c>
      <c r="FB8" s="365" t="s">
        <v>1104</v>
      </c>
      <c r="FC8" s="232" t="s">
        <v>513</v>
      </c>
      <c r="FD8" s="101" t="s">
        <v>512</v>
      </c>
      <c r="FE8" s="232" t="s">
        <v>514</v>
      </c>
      <c r="FF8" s="232" t="s">
        <v>517</v>
      </c>
      <c r="FG8" s="232" t="s">
        <v>857</v>
      </c>
      <c r="FH8" s="232" t="s">
        <v>281</v>
      </c>
      <c r="FI8" s="101" t="s">
        <v>836</v>
      </c>
      <c r="FJ8" s="232" t="s">
        <v>1210</v>
      </c>
      <c r="FK8" s="249" t="s">
        <v>847</v>
      </c>
      <c r="FL8" s="304" t="s">
        <v>280</v>
      </c>
      <c r="FM8" s="232" t="s">
        <v>279</v>
      </c>
      <c r="FN8" s="232" t="s">
        <v>1227</v>
      </c>
      <c r="FO8" s="232" t="s">
        <v>1156</v>
      </c>
      <c r="FP8" s="232" t="s">
        <v>278</v>
      </c>
      <c r="FQ8" s="376" t="s">
        <v>277</v>
      </c>
      <c r="FR8" s="232" t="s">
        <v>991</v>
      </c>
      <c r="FS8" s="232" t="s">
        <v>1012</v>
      </c>
      <c r="FT8" s="239" t="s">
        <v>1085</v>
      </c>
      <c r="FU8" s="239" t="s">
        <v>1086</v>
      </c>
      <c r="FV8" s="239" t="s">
        <v>1087</v>
      </c>
      <c r="FW8" s="336" t="s">
        <v>1001</v>
      </c>
      <c r="FX8" s="239" t="s">
        <v>979</v>
      </c>
      <c r="FY8" s="232" t="s">
        <v>1107</v>
      </c>
      <c r="FZ8" s="232" t="s">
        <v>845</v>
      </c>
      <c r="GA8" s="243" t="s">
        <v>846</v>
      </c>
      <c r="GB8" s="101" t="s">
        <v>276</v>
      </c>
      <c r="GC8" s="101" t="s">
        <v>275</v>
      </c>
      <c r="GD8" s="101" t="s">
        <v>274</v>
      </c>
      <c r="GE8" s="101" t="s">
        <v>273</v>
      </c>
      <c r="GF8" s="101" t="s">
        <v>272</v>
      </c>
      <c r="GG8" s="49" t="s">
        <v>271</v>
      </c>
      <c r="GH8" s="49" t="s">
        <v>270</v>
      </c>
      <c r="GI8" s="50" t="s">
        <v>269</v>
      </c>
      <c r="GJ8" s="50" t="s">
        <v>268</v>
      </c>
      <c r="GK8" s="101" t="s">
        <v>471</v>
      </c>
      <c r="GL8" s="101" t="s">
        <v>267</v>
      </c>
      <c r="GM8" s="101" t="s">
        <v>266</v>
      </c>
      <c r="GN8" s="101" t="s">
        <v>265</v>
      </c>
      <c r="GO8" s="101" t="s">
        <v>264</v>
      </c>
      <c r="GP8" s="101" t="s">
        <v>263</v>
      </c>
      <c r="GQ8" s="101" t="s">
        <v>262</v>
      </c>
      <c r="GR8" s="101" t="s">
        <v>261</v>
      </c>
      <c r="GS8" s="101" t="s">
        <v>260</v>
      </c>
      <c r="GT8" s="101" t="s">
        <v>259</v>
      </c>
      <c r="GU8" s="101" t="s">
        <v>258</v>
      </c>
      <c r="GV8" s="226" t="s">
        <v>257</v>
      </c>
      <c r="GW8" s="101" t="s">
        <v>835</v>
      </c>
      <c r="GY8" s="380"/>
      <c r="HE8" s="380"/>
      <c r="HF8" s="380"/>
      <c r="HG8" s="380"/>
      <c r="HH8" s="380"/>
      <c r="HI8" s="380"/>
      <c r="HJ8" s="380"/>
    </row>
    <row r="9" spans="2:224" ht="12.75" hidden="1" customHeight="1" x14ac:dyDescent="0.25">
      <c r="B9" s="12" t="s">
        <v>933</v>
      </c>
      <c r="C9" s="422">
        <v>46.17</v>
      </c>
      <c r="D9" s="208" t="s">
        <v>954</v>
      </c>
      <c r="E9" s="39">
        <f>SnapshotTable[[#This Row],[Last Price]]*(1 -CrashDiscount)</f>
        <v>39.244500000000002</v>
      </c>
      <c r="F9" s="26" t="s">
        <v>247</v>
      </c>
      <c r="G9" s="26" t="s">
        <v>41</v>
      </c>
      <c r="H9" s="149"/>
      <c r="I9" s="194">
        <v>44762.673611111109</v>
      </c>
      <c r="J9" s="195">
        <v>44762.673611111109</v>
      </c>
      <c r="K9" s="196"/>
      <c r="L9" s="326"/>
      <c r="M9" s="140"/>
      <c r="N9" s="140"/>
      <c r="O9" s="140"/>
      <c r="P9" s="22"/>
      <c r="Q9" s="25"/>
      <c r="R9" s="4" t="str">
        <f>IF(SnapshotTable[[#This Row],[Equity Basis Total]] &gt; 0, SnapshotTable[[#This Row],[Equity Basis Total]] / SnapshotTable[[#This Row],[Equity Shares]], "")</f>
        <v/>
      </c>
      <c r="S9" s="269">
        <f>SnapshotTable[[#This Row],[Last Price]] * SnapshotTable[[#This Row],[Equity Shares]]</f>
        <v>0</v>
      </c>
      <c r="T9" s="269">
        <f>SnapshotTable[[#This Row],[Equity Value]] - SnapshotTable[[#This Row],[Equity Basis Total]]</f>
        <v>0</v>
      </c>
      <c r="U9" s="270" t="str">
        <f>IF(SnapshotTable[[#This Row],[Equity Basis Total]] &gt; 0, SnapshotTable[[#This Row],[Equity G/L]] / SnapshotTable[[#This Row],[Equity Basis Total]], "")</f>
        <v/>
      </c>
      <c r="V9" s="268"/>
      <c r="W9" s="26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7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0"/>
      <c r="AD9" s="151"/>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1"/>
      <c r="AI9" s="5"/>
      <c r="AJ9" s="138">
        <v>40</v>
      </c>
      <c r="AK9" s="152" t="str">
        <f>IF(ISNUMBER( SnapshotTable[[#This Row],[EBF Target]]),(SnapshotTable[[#This Row],[EBF Target]] - SnapshotTable[[#This Row],[Last Price]]) / SnapshotTable[[#This Row],[Last Price]], "")</f>
        <v/>
      </c>
      <c r="AL9" s="152"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2">
        <f>IF(AND(ISNUMBER( SnapshotTable[[#This Row],[Long Term Target]]), ISNUMBER(SnapshotTable[[#This Row],[Last Price]])),(SnapshotTable[[#This Row],[Long Term Target]] - SnapshotTable[[#This Row],[Last Price]]) / SnapshotTable[[#This Row],[Last Price]], "")</f>
        <v>-0.13363656053714537</v>
      </c>
      <c r="AP9" s="5">
        <v>28</v>
      </c>
      <c r="AQ9" s="38" t="s">
        <v>27</v>
      </c>
      <c r="AR9" s="5">
        <v>28</v>
      </c>
      <c r="AS9" s="38" t="s">
        <v>38</v>
      </c>
      <c r="AT9" s="146" t="s">
        <v>542</v>
      </c>
      <c r="AU9" s="187" t="str">
        <f>IF(OR(SnapshotTable[[#This Row],[LP No Fill]]="Y",SnapshotTable[[#This Row],[SP Is Filled]],SnapshotTable[[#This Row],[LC Not Filled]]="Y",SnapshotTable[[#This Row],[SC Is Filled]]),"Y","")</f>
        <v/>
      </c>
      <c r="AV9" s="219"/>
      <c r="AW9" s="225">
        <v>2.2749999999999999</v>
      </c>
      <c r="AX9" s="220">
        <v>44302</v>
      </c>
      <c r="AY9" s="219">
        <f>IF(SnapshotTable[[#This Row],[Implied Move]]&gt;0, SnapshotTable[[#This Row],[Last Price]]-SnapshotTable[[#This Row],[Implied Move]],"")</f>
        <v>43.895000000000003</v>
      </c>
      <c r="AZ9" s="219">
        <f>IF(SnapshotTable[[#This Row],[Implied Move]]&gt;0, SnapshotTable[[#This Row],[Last Price]] + SnapshotTable[[#This Row],[Implied Move]],"")</f>
        <v>48.445</v>
      </c>
      <c r="BA9" s="331"/>
      <c r="BB9" s="347"/>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51"/>
      <c r="BE9" s="138"/>
      <c r="BF9" s="166"/>
      <c r="BG9" s="167"/>
      <c r="BH9" s="167"/>
      <c r="BI9" s="221"/>
      <c r="BJ9" s="153">
        <f>IF(SnapshotTable[[#This Row],[LP Qty]] &gt; 0, SnapshotTable[[#This Row],[LP Qty]] * SnapshotTable[[#This Row],[LP Book Price]] * 100,0)</f>
        <v>0</v>
      </c>
      <c r="BK9" s="136">
        <f>IF(SnapshotTable[[#This Row],[LP Premium]] &gt; 0, SnapshotTable[[#This Row],[LP Qty]] * SnapshotTable[[#This Row],[LP Strike Price]] * 100,0)</f>
        <v>0</v>
      </c>
      <c r="BL9" s="154"/>
      <c r="BM9" s="385" t="str">
        <f>IF(SnapshotTable[[#This Row],[LP Premium]] &gt; 0,SnapshotTable[[#This Row],[LP Exp Date]]-MAX(SnapshotTable[[#This Row],[LP Book Date]], SnapshotTable[[#This Row],[LP Fill Date]]),"")</f>
        <v/>
      </c>
      <c r="BN9" s="385" t="str">
        <f>IF(ISNUMBER( SnapshotTable[[#This Row],[LP Term]]), SnapshotTable[[#This Row],[LP Exp Date]] - MockToday,"")</f>
        <v/>
      </c>
      <c r="BO9" s="163"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7"/>
      <c r="BU9" s="13"/>
      <c r="BV9" s="5"/>
      <c r="BW9" s="419" t="b">
        <f>AND(ISNUMBER(SnapshotTable[[#This Row],[SP Exp Date]]), ISNUMBER(SnapshotTable[[#This Row],[SP Strike Price]]), ISNUMBER(SnapshotTable[[#This Row],[SP Qty]]), ISNUMBER(SnapshotTable[[#This Row],[SP Book Date]]), ISNUMBER(SnapshotTable[[#This Row],[SP Book Price]]))</f>
        <v>0</v>
      </c>
      <c r="BX9" s="419" t="b">
        <f>AND(SnapshotTable[[#This Row],[SP Is Booked]], NOT(ISBLANK(SnapshotTable[[#This Row],[SP Fill Date]])))</f>
        <v>0</v>
      </c>
      <c r="BY9" s="33">
        <f>IF(SnapshotTable[[#This Row],[SP Is Booked]], SnapshotTable[[#This Row],[SP Qty]] * SnapshotTable[[#This Row],[SP Book Price]] * 100, 0)</f>
        <v>0</v>
      </c>
      <c r="BZ9" s="369"/>
      <c r="CA9" s="368">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3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44"/>
      <c r="CK9" s="31">
        <f>IF(ISNUMBER(SnapshotTable[[#This Row],[SP Potential Spend]]),IF(ISNUMBER(SnapshotTable[[#This Row],[SP POW]]), SnapshotTable[[#This Row],[SP POW]] * SnapshotTable[[#This Row],[SP Potential Spend]], SnapshotTable[[#This Row],[SP Potential Spend]]), "")</f>
        <v>0</v>
      </c>
      <c r="CL9" s="164">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4"/>
      <c r="CO9" s="369"/>
      <c r="CP9" s="320" t="str">
        <f>IF(SnapshotTable[[#This Row],[SP Is Filled]], btc_max_buyback_amount(SnapshotTable[[#This Row],[SP Fill Date]],SnapshotTable[[#This Row],[SP Exp Date]], SnapshotTable[[#This Row],[SP Book Price]]),"")</f>
        <v/>
      </c>
      <c r="CQ9" s="78"/>
      <c r="CR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5" t="str">
        <f>IF(SnapshotTable[[#This Row],[SP Is Filled]], btc_next_cutoff_date(SnapshotTable[[#This Row],[SP Fill Date]],SnapshotTable[[#This Row],[SP Exp Date]]),"")</f>
        <v/>
      </c>
      <c r="CT9" s="23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6"/>
      <c r="CV9" s="235"/>
      <c r="CW9" s="378"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294" t="str">
        <f>IF(ISNUMBER((SnapshotTable[[#This Row],[SP Total Value]])), SnapshotTable[[#This Row],[SP Gain Loss]] / SnapshotTable[[#This Row],[SP Premium]], "")</f>
        <v/>
      </c>
      <c r="DI9" s="406"/>
      <c r="DJ9" s="138"/>
      <c r="DK9" s="148"/>
      <c r="DL9" s="147"/>
      <c r="DM9" s="147"/>
      <c r="DO9" s="31">
        <f>IF(SnapshotTable[[#This Row],[LC Symbol Count]]=1, SnapshotTable[[#This Row],[LC Qty]] * SnapshotTable[[#This Row],[LC Book Price]] * 100, 0)</f>
        <v>0</v>
      </c>
      <c r="DP9" s="289" t="str">
        <f>IF(AND(SnapshotTable[[#This Row],[LC Exp Date]]&gt;0, SnapshotTable[[#This Row],[LC Strike Price]]&gt;0,SnapshotTable[[#This Row],[LC Qty]]&gt;0,SnapshotTable[[#This Row],[LC Book Date]]&gt;0,SnapshotTable[[#This Row],[LC Book Price]]&gt;0,SnapshotTable[[#This Row],[LC Fill Date]]=0),"Y","")</f>
        <v/>
      </c>
      <c r="DQ9" s="386" t="str">
        <f>IF(SnapshotTable[[#This Row],[LC Premium]] &gt; 0,SnapshotTable[[#This Row],[LC Exp Date]]-MAX(SnapshotTable[[#This Row],[LC Book Date]], SnapshotTable[[#This Row],[LC Fill Date]]),"")</f>
        <v/>
      </c>
      <c r="DR9" s="386" t="str">
        <f>IF(ISNUMBER(SnapshotTable[[#This Row],[LC Term]]), SnapshotTable[[#This Row],[LC Exp Date]] - MockToday, "")</f>
        <v/>
      </c>
      <c r="DS9" s="23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40" t="str">
        <f>IF(ISNUMBER(SnapshotTable[[#This Row],[LC Actual Gain Loss]]), SnapshotTable[[#This Row],[LC Actual Gain Loss]] / SnapshotTable[[#This Row],[LC Premium]],"")</f>
        <v/>
      </c>
      <c r="DX9" s="284" t="str">
        <f>IF(ISNUMBER(SnapshotTable[[#This Row],[LC Book Price]]),SnapshotTable[[#This Row],[LC Book Price]] * 1.5,"")</f>
        <v/>
      </c>
      <c r="DY9" s="265" t="str">
        <f>IF(SnapshotTable[[#This Row],[LC Premium]]&gt;0, SnapshotTable[[#This Row],[LC Next Target]] * SnapshotTable[[#This Row],[LC Qty]] * 100,"")</f>
        <v/>
      </c>
      <c r="DZ9" s="265" t="str">
        <f>IF(ISNUMBER(SnapshotTable[[#This Row],[LC Target Gross]]), SnapshotTable[[#This Row],[LC Target Gross]] - SnapshotTable[[#This Row],[LC Premium]], "")</f>
        <v/>
      </c>
      <c r="EA9" s="305" t="str">
        <f>IF(ISNUMBER(SnapshotTable[[#This Row],[LC Target Gain Loss]]), SnapshotTable[[#This Row],[LC Target Gain Loss]]/SnapshotTable[[#This Row],[LC Premium]], "")</f>
        <v/>
      </c>
      <c r="EB9" s="262"/>
      <c r="EC9" s="290" t="str">
        <f>IF(SnapshotTable[[#This Row],[LC Premium]]&gt;0, SnapshotTable[[#This Row],[LC Book Price]] * (1 - LC_StopLoss_Pct),"")</f>
        <v/>
      </c>
      <c r="ED9" s="284"/>
      <c r="EE9" s="290" t="str">
        <f>IF(ISNUMBER(SnapshotTable[[#This Row],[LC Contract Value]]),IF(ISNUMBER(SnapshotTable[[#This Row],[LC Stop Loss Override]]), SnapshotTable[[#This Row],[LC Stop Loss Override]],SnapshotTable[[#This Row],[LC Stop Loss Calc Target]]),"")</f>
        <v/>
      </c>
      <c r="EF9" s="321"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4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7"/>
      <c r="EL9" s="138"/>
      <c r="EM9" s="148"/>
      <c r="EN9" s="147"/>
      <c r="EO9" s="147"/>
      <c r="EP9" s="138"/>
      <c r="EQ9" s="419" t="b">
        <f>AND(ISNUMBER(SnapshotTable[[#This Row],[SC Exp Date]]), ISNUMBER(SnapshotTable[[#This Row],[SC Strike Price]]), ISNUMBER(SnapshotTable[[#This Row],[SC Qty]]), ISNUMBER(SnapshotTable[[#This Row],[SC Book Date]]), ISNUMBER(SnapshotTable[[#This Row],[SC Book Price]]))</f>
        <v>0</v>
      </c>
      <c r="ER9" s="419" t="b">
        <f>AND(SnapshotTable[[#This Row],[SC Is Booked]], NOT(ISBLANK(SnapshotTable[[#This Row],[SC Fill Date]])))</f>
        <v>0</v>
      </c>
      <c r="ES9" s="370"/>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3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283"/>
      <c r="FA9" s="218"/>
      <c r="FB9" s="370"/>
      <c r="FC9" s="4">
        <f>IF(SnapshotTable[[#This Row],[SC Is Filled]], btc_max_buyback_amount(SnapshotTable[[#This Row],[SC Fill Date]],SnapshotTable[[#This Row],[SC Exp Date]], SnapshotTable[[#This Row],[SC Book Price]]),0)</f>
        <v>0</v>
      </c>
      <c r="FD9" s="5"/>
      <c r="FE9" s="144"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382">
        <f>IF(SnapshotTable[[#This Row],[SC Is Filled]], IF(ISNUMBER(SnapshotTable[[#This Row],[SC Current Ask]]), SnapshotTable[[#This Row],[SC Current Ask]], SnapshotTable[[#This Row],[SC Book Price]]) - SnapshotTable[[#This Row],[SC Intrinsic Value]], 0)</f>
        <v>0</v>
      </c>
      <c r="FI9" s="143"/>
      <c r="FJ9" s="32" t="str">
        <f>IF(SnapshotTable[[#This Row],[SC Is Filled]],100 * SnapshotTable[[#This Row],[SC Qty]] * IF(ISNUMBER(SnapshotTable[[#This Row],[SC Buyback Override]]), SnapshotTable[[#This Row],[SC Buyback Override]], SnapshotTable[[#This Row],[SC Current Ask]]), "")</f>
        <v/>
      </c>
      <c r="FK9" s="250" t="str">
        <f>IF(SnapshotTable[[#This Row],[SC Time Val]]&gt;0, SnapshotTable[[#This Row],[SC Time Val]] / SnapshotTable[[#This Row],[Last Price]],"")</f>
        <v/>
      </c>
      <c r="FL9" s="302" t="str">
        <f>IF(SnapshotTable[[#This Row],[SC Is Booked]], ((SnapshotTable[[#This Row],[Last Price]] -SnapshotTable[[#This Row],[SC Strike Price]]) / SnapshotTable[[#This Row],[Last Price]]) * -1, "")</f>
        <v/>
      </c>
      <c r="FM9" s="157" t="str">
        <f>IF(SnapshotTable[[#This Row],[SC Is Booked]],  (SnapshotTable[[#This Row],[SC Qty]] * 100 * SnapshotTable[[#This Row],[SC Strike Price]]) - SnapshotTable[[#This Row],[SC Current Ask]], "")</f>
        <v/>
      </c>
      <c r="FN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7"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33"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36" t="str">
        <f>IF(AND(ISNUMBER(SnapshotTable[[#This Row],[SC Simple ROO]]),SnapshotTable[[#This Row],[SC Simple ROO]] &gt; 0), SnapshotTable[[#This Row],[SC Premium]] + (SnapshotTable[[#This Row],[SC Qty]] * SnapshotTable[[#This Row],[SC Upside Potential]]), "")</f>
        <v/>
      </c>
      <c r="FX9" s="302" t="str" cm="1">
        <f t="array" ref="FX9">IF(ISNUMBER(SnapshotTable[[#This Row],[SC Max Dollars]]), annualize(SnapshotTable[[#This Row],[SC Term]],(SnapshotTable[[#This Row],[SC Max Dollars]]/SnapshotTable[[#This Row],[SC Basis]])),"")</f>
        <v/>
      </c>
      <c r="FY9" s="236" t="str">
        <f>IF(AND(SnapshotTable[[#This Row],[SC Qty]]&gt;0,SnapshotTable[[#This Row],[SC Current Ask]]&gt;0), SnapshotTable[[#This Row],[SC Qty]] * SnapshotTable[[#This Row],[SC Current Ask]] * -100, "")</f>
        <v/>
      </c>
      <c r="FZ9" s="235" t="str">
        <f>IF(ISNUMBER((SnapshotTable[[#This Row],[SC Current Value]])), SnapshotTable[[#This Row],[SC Premium]] + SnapshotTable[[#This Row],[SC Current Value]], "")</f>
        <v/>
      </c>
      <c r="GA9" s="29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90.031500000000008</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8" t="str">
        <f>IF(SnapshotTable[[#This Row],[Sale G/L]]&gt;0, SnapshotTable[[#This Row],[Sale G/L]] / SnapshotTable[[#This Row],[Sale Basis]], IF(ISNUMBER(SnapshotTable[[#This Row],[SC Exercise P&amp;L (TAX)]]), SnapshotTable[[#This Row],[SC Exercise P&amp;L (TAX)]] / SnapshotTable[[#This Row],[SC Basis]], ""))</f>
        <v/>
      </c>
      <c r="GK9" s="27" t="s">
        <v>1015</v>
      </c>
      <c r="GL9" s="159"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59" t="str">
        <f>IF(AND(SnapshotTable[[#This Row],[LC Exp Date]]&gt;0,SnapshotTable[[#This Row],[LC Strike Price]]&gt;0), [1]!ToOptionSymbol(SnapshotTable[[#This Row],[Symbol]], SnapshotTable[[#This Row],[LC Strike Price]],SnapshotTable[[#This Row],[LC Exp Date]],0), "")</f>
        <v/>
      </c>
      <c r="GQ9" s="160" t="str">
        <f>IF(LEN(SnapshotTable[[#This Row],[LC Symbol]])&gt;0, 1, "")</f>
        <v/>
      </c>
      <c r="GR9" s="159" t="str">
        <f>IF(AND(SnapshotTable[[#This Row],[SC Exp Date]]&gt;0,SnapshotTable[[#This Row],[SC Strike Price]]&gt;0), [1]!ToOptionSymbol(SnapshotTable[[#This Row],[Symbol]], SnapshotTable[[#This Row],[SC Strike Price]],SnapshotTable[[#This Row],[SC Exp Date]],0), "")</f>
        <v/>
      </c>
      <c r="GS9" s="160" t="str">
        <f>IF(LEN(SnapshotTable[[#This Row],[SC Symbol]])&gt;0, 1, "")</f>
        <v/>
      </c>
      <c r="GT9" s="161"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31">
        <f>MAX(SnapshotTable[[#This Row],[Equity Basis Total]],SnapshotTable[[#This Row],[Equity Value]]) + (SnapshotTable[[#This Row],[SP Potential Spend]]- SnapshotTable[[#This Row],[SP Premium]] + SnapshotTable[[#This Row],[LP Premium]])+ (SnapshotTable[[#This Row],[LC Premium]] - SnapshotTable[[#This Row],[SC Premium]])</f>
        <v>0</v>
      </c>
      <c r="GW9" s="139" t="str">
        <f>IF(AND(SnapshotTable[[#This Row],[Exposure]] &lt;&gt; 0),SnapshotTable[[#This Row],[Exposure]] / SnapshotTable[[#Totals],[Exposure]], "")</f>
        <v/>
      </c>
      <c r="HK9" s="1"/>
      <c r="HL9" s="1"/>
      <c r="HM9" s="1"/>
      <c r="HN9" s="1"/>
      <c r="HO9" s="1"/>
      <c r="HP9" s="1"/>
    </row>
    <row r="10" spans="2:224" ht="12.75" hidden="1" customHeight="1" x14ac:dyDescent="0.25">
      <c r="B10" s="12" t="s">
        <v>555</v>
      </c>
      <c r="C10" s="422">
        <v>55.49</v>
      </c>
      <c r="D10" s="208"/>
      <c r="E10" s="39">
        <f>SnapshotTable[[#This Row],[Last Price]]*(1 -CrashDiscount)</f>
        <v>47.166499999999999</v>
      </c>
      <c r="F10" s="26" t="s">
        <v>907</v>
      </c>
      <c r="G10" s="26" t="s">
        <v>610</v>
      </c>
      <c r="H10" s="149"/>
      <c r="I10" s="194">
        <v>44795.6875</v>
      </c>
      <c r="J10" s="195">
        <v>44795.6875</v>
      </c>
      <c r="K10" s="196"/>
      <c r="L10" s="326"/>
      <c r="M10" s="140"/>
      <c r="N10" s="140"/>
      <c r="O10" s="140"/>
      <c r="P10" s="22"/>
      <c r="Q10" s="25"/>
      <c r="R10" s="4" t="str">
        <f>IF(SnapshotTable[[#This Row],[Equity Basis Total]] &gt; 0, SnapshotTable[[#This Row],[Equity Basis Total]] / SnapshotTable[[#This Row],[Equity Shares]], "")</f>
        <v/>
      </c>
      <c r="S10" s="269">
        <f>SnapshotTable[[#This Row],[Last Price]] * SnapshotTable[[#This Row],[Equity Shares]]</f>
        <v>0</v>
      </c>
      <c r="T10" s="269">
        <f>SnapshotTable[[#This Row],[Equity Value]] - SnapshotTable[[#This Row],[Equity Basis Total]]</f>
        <v>0</v>
      </c>
      <c r="U10" s="270" t="str">
        <f>IF(SnapshotTable[[#This Row],[Equity Basis Total]] &gt; 0, SnapshotTable[[#This Row],[Equity G/L]] / SnapshotTable[[#This Row],[Equity Basis Total]], "")</f>
        <v/>
      </c>
      <c r="V10" s="268"/>
      <c r="W10" s="26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7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0"/>
      <c r="AD10" s="151"/>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1"/>
      <c r="AI10" s="5"/>
      <c r="AJ10" s="138">
        <v>78.75</v>
      </c>
      <c r="AK10" s="152" t="str">
        <f>IF(ISNUMBER( SnapshotTable[[#This Row],[EBF Target]]),(SnapshotTable[[#This Row],[EBF Target]] - SnapshotTable[[#This Row],[Last Price]]) / SnapshotTable[[#This Row],[Last Price]], "")</f>
        <v/>
      </c>
      <c r="AL10" s="152"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2">
        <f>IF(AND(ISNUMBER( SnapshotTable[[#This Row],[Long Term Target]]), ISNUMBER(SnapshotTable[[#This Row],[Last Price]])),(SnapshotTable[[#This Row],[Long Term Target]] - SnapshotTable[[#This Row],[Last Price]]) / SnapshotTable[[#This Row],[Last Price]], "")</f>
        <v>0.41917462605874928</v>
      </c>
      <c r="AP10" s="5">
        <v>170</v>
      </c>
      <c r="AQ10" s="38" t="s">
        <v>110</v>
      </c>
      <c r="AR10" s="5">
        <v>160</v>
      </c>
      <c r="AS10" s="38" t="s">
        <v>38</v>
      </c>
      <c r="AT10" s="146" t="s">
        <v>549</v>
      </c>
      <c r="AU10" s="187" t="str">
        <f>IF(OR(SnapshotTable[[#This Row],[LP No Fill]]="Y",SnapshotTable[[#This Row],[SP Is Filled]],SnapshotTable[[#This Row],[LC Not Filled]]="Y",SnapshotTable[[#This Row],[SC Is Filled]]),"Y","")</f>
        <v/>
      </c>
      <c r="AV10" s="219"/>
      <c r="AW10" s="225"/>
      <c r="AX10" s="220"/>
      <c r="AY10" s="219" t="str">
        <f>IF(SnapshotTable[[#This Row],[Implied Move]]&gt;0, SnapshotTable[[#This Row],[Last Price]]-SnapshotTable[[#This Row],[Implied Move]],"")</f>
        <v/>
      </c>
      <c r="AZ10" s="219" t="str">
        <f>IF(SnapshotTable[[#This Row],[Implied Move]]&gt;0, SnapshotTable[[#This Row],[Last Price]] + SnapshotTable[[#This Row],[Implied Move]],"")</f>
        <v/>
      </c>
      <c r="BA10" s="331"/>
      <c r="BB10" s="347"/>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51"/>
      <c r="BE10" s="5"/>
      <c r="BF10" s="14"/>
      <c r="BG10" s="13"/>
      <c r="BH10" s="13"/>
      <c r="BI10" s="5"/>
      <c r="BJ10" s="136">
        <f>IF(SnapshotTable[[#This Row],[LP Qty]] &gt; 0, SnapshotTable[[#This Row],[LP Qty]] * SnapshotTable[[#This Row],[LP Book Price]] * 100,0)</f>
        <v>0</v>
      </c>
      <c r="BK10" s="136">
        <f>IF(SnapshotTable[[#This Row],[LP Premium]] &gt; 0, SnapshotTable[[#This Row],[LP Qty]] * SnapshotTable[[#This Row],[LP Strike Price]] * 100,0)</f>
        <v>0</v>
      </c>
      <c r="BL10" s="154"/>
      <c r="BM10" s="385" t="str">
        <f>IF(SnapshotTable[[#This Row],[LP Premium]] &gt; 0,SnapshotTable[[#This Row],[LP Exp Date]]-MAX(SnapshotTable[[#This Row],[LP Book Date]], SnapshotTable[[#This Row],[LP Fill Date]]),"")</f>
        <v/>
      </c>
      <c r="BN10" s="385" t="str">
        <f>IF(ISNUMBER( SnapshotTable[[#This Row],[LP Term]]), SnapshotTable[[#This Row],[LP Exp Date]] - MockToday,"")</f>
        <v/>
      </c>
      <c r="BO10" s="163"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7"/>
      <c r="BU10" s="13"/>
      <c r="BV10" s="5"/>
      <c r="BW10" s="419" t="b">
        <f>AND(ISNUMBER(SnapshotTable[[#This Row],[SP Exp Date]]), ISNUMBER(SnapshotTable[[#This Row],[SP Strike Price]]), ISNUMBER(SnapshotTable[[#This Row],[SP Qty]]), ISNUMBER(SnapshotTable[[#This Row],[SP Book Date]]), ISNUMBER(SnapshotTable[[#This Row],[SP Book Price]]))</f>
        <v>0</v>
      </c>
      <c r="BX10" s="419" t="b">
        <f>AND(SnapshotTable[[#This Row],[SP Is Booked]], NOT(ISBLANK(SnapshotTable[[#This Row],[SP Fill Date]])))</f>
        <v>0</v>
      </c>
      <c r="BY10" s="33">
        <f>IF(SnapshotTable[[#This Row],[SP Is Booked]], SnapshotTable[[#This Row],[SP Qty]] * SnapshotTable[[#This Row],[SP Book Price]] * 100, 0)</f>
        <v>0</v>
      </c>
      <c r="BZ10" s="369"/>
      <c r="CA10" s="368">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3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44"/>
      <c r="CK10" s="31">
        <f>IF(ISNUMBER(SnapshotTable[[#This Row],[SP Potential Spend]]),IF(ISNUMBER(SnapshotTable[[#This Row],[SP POW]]), SnapshotTable[[#This Row],[SP POW]] * SnapshotTable[[#This Row],[SP Potential Spend]], SnapshotTable[[#This Row],[SP Potential Spend]]), "")</f>
        <v>0</v>
      </c>
      <c r="CL10" s="164">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8"/>
      <c r="CO10" s="369"/>
      <c r="CP10" s="4" t="str">
        <f>IF(SnapshotTable[[#This Row],[SP Is Filled]], btc_max_buyback_amount(SnapshotTable[[#This Row],[SP Fill Date]],SnapshotTable[[#This Row],[SP Exp Date]], SnapshotTable[[#This Row],[SP Book Price]]),"")</f>
        <v/>
      </c>
      <c r="CQ10" s="78"/>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5" t="str">
        <f>IF(SnapshotTable[[#This Row],[SP Is Filled]], btc_next_cutoff_date(SnapshotTable[[#This Row],[SP Fill Date]],SnapshotTable[[#This Row],[SP Exp Date]]),"")</f>
        <v/>
      </c>
      <c r="CT10" s="23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3"/>
      <c r="CV10" s="235"/>
      <c r="CW10" s="378"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294" t="str">
        <f>IF(ISNUMBER((SnapshotTable[[#This Row],[SP Total Value]])), SnapshotTable[[#This Row],[SP Gain Loss]] / SnapshotTable[[#This Row],[SP Premium]], "")</f>
        <v/>
      </c>
      <c r="DI10" s="406"/>
      <c r="DJ10" s="138"/>
      <c r="DK10" s="148"/>
      <c r="DL10" s="13"/>
      <c r="DM10" s="13"/>
      <c r="DO10" s="31">
        <f>IF(SnapshotTable[[#This Row],[LC Symbol Count]]=1, SnapshotTable[[#This Row],[LC Qty]] * SnapshotTable[[#This Row],[LC Book Price]] * 100, 0)</f>
        <v>0</v>
      </c>
      <c r="DP10" s="163" t="str">
        <f>IF(AND(SnapshotTable[[#This Row],[LC Exp Date]]&gt;0, SnapshotTable[[#This Row],[LC Strike Price]]&gt;0,SnapshotTable[[#This Row],[LC Qty]]&gt;0,SnapshotTable[[#This Row],[LC Book Date]]&gt;0,SnapshotTable[[#This Row],[LC Book Price]]&gt;0,SnapshotTable[[#This Row],[LC Fill Date]]=0),"Y","")</f>
        <v/>
      </c>
      <c r="DQ10" s="386" t="str">
        <f>IF(SnapshotTable[[#This Row],[LC Premium]] &gt; 0,SnapshotTable[[#This Row],[LC Exp Date]]-MAX(SnapshotTable[[#This Row],[LC Book Date]], SnapshotTable[[#This Row],[LC Fill Date]]),"")</f>
        <v/>
      </c>
      <c r="DR10" s="386" t="str">
        <f>IF(ISNUMBER(SnapshotTable[[#This Row],[LC Term]]), SnapshotTable[[#This Row],[LC Exp Date]] - MockToday, "")</f>
        <v/>
      </c>
      <c r="DS10" s="23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40" t="str">
        <f>IF(ISNUMBER(SnapshotTable[[#This Row],[LC Actual Gain Loss]]), SnapshotTable[[#This Row],[LC Actual Gain Loss]] / SnapshotTable[[#This Row],[LC Premium]],"")</f>
        <v/>
      </c>
      <c r="DX10" s="284" t="str">
        <f>IF(ISNUMBER(SnapshotTable[[#This Row],[LC Book Price]]),SnapshotTable[[#This Row],[LC Book Price]] * 1.5,"")</f>
        <v/>
      </c>
      <c r="DY10" s="265" t="str">
        <f>IF(SnapshotTable[[#This Row],[LC Premium]]&gt;0, SnapshotTable[[#This Row],[LC Next Target]] * SnapshotTable[[#This Row],[LC Qty]] * 100,"")</f>
        <v/>
      </c>
      <c r="DZ10" s="265" t="str">
        <f>IF(ISNUMBER(SnapshotTable[[#This Row],[LC Target Gross]]), SnapshotTable[[#This Row],[LC Target Gross]] - SnapshotTable[[#This Row],[LC Premium]], "")</f>
        <v/>
      </c>
      <c r="EA10" s="305" t="str">
        <f>IF(ISNUMBER(SnapshotTable[[#This Row],[LC Target Gain Loss]]), SnapshotTable[[#This Row],[LC Target Gain Loss]]/SnapshotTable[[#This Row],[LC Premium]], "")</f>
        <v/>
      </c>
      <c r="EB10" s="262"/>
      <c r="EC10" s="283" t="str">
        <f>IF(SnapshotTable[[#This Row],[LC Premium]]&gt;0, SnapshotTable[[#This Row],[LC Book Price]] * (1 - LC_StopLoss_Pct),"")</f>
        <v/>
      </c>
      <c r="ED10" s="284"/>
      <c r="EE10" s="28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4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7"/>
      <c r="EL10" s="138"/>
      <c r="EM10" s="148"/>
      <c r="EN10" s="147"/>
      <c r="EO10" s="147"/>
      <c r="EP10" s="138"/>
      <c r="EQ10" s="419" t="b">
        <f>AND(ISNUMBER(SnapshotTable[[#This Row],[SC Exp Date]]), ISNUMBER(SnapshotTable[[#This Row],[SC Strike Price]]), ISNUMBER(SnapshotTable[[#This Row],[SC Qty]]), ISNUMBER(SnapshotTable[[#This Row],[SC Book Date]]), ISNUMBER(SnapshotTable[[#This Row],[SC Book Price]]))</f>
        <v>0</v>
      </c>
      <c r="ER10" s="419" t="b">
        <f>AND(SnapshotTable[[#This Row],[SC Is Booked]], NOT(ISBLANK(SnapshotTable[[#This Row],[SC Fill Date]])))</f>
        <v>0</v>
      </c>
      <c r="ES10" s="370"/>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3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283"/>
      <c r="FA10" s="218"/>
      <c r="FB10" s="370"/>
      <c r="FC10" s="4">
        <f>IF(SnapshotTable[[#This Row],[SC Is Filled]], btc_max_buyback_amount(SnapshotTable[[#This Row],[SC Fill Date]],SnapshotTable[[#This Row],[SC Exp Date]], SnapshotTable[[#This Row],[SC Book Price]]),0)</f>
        <v>0</v>
      </c>
      <c r="FD10" s="5"/>
      <c r="FE10" s="144"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382">
        <f>IF(SnapshotTable[[#This Row],[SC Is Filled]], IF(ISNUMBER(SnapshotTable[[#This Row],[SC Current Ask]]), SnapshotTable[[#This Row],[SC Current Ask]], SnapshotTable[[#This Row],[SC Book Price]]) - SnapshotTable[[#This Row],[SC Intrinsic Value]], 0)</f>
        <v>0</v>
      </c>
      <c r="FI10" s="143">
        <v>45786</v>
      </c>
      <c r="FJ10" s="32" t="str">
        <f>IF(SnapshotTable[[#This Row],[SC Is Filled]],100 * SnapshotTable[[#This Row],[SC Qty]] * IF(ISNUMBER(SnapshotTable[[#This Row],[SC Buyback Override]]), SnapshotTable[[#This Row],[SC Buyback Override]], SnapshotTable[[#This Row],[SC Current Ask]]), "")</f>
        <v/>
      </c>
      <c r="FK10" s="250" t="str">
        <f>IF(SnapshotTable[[#This Row],[SC Time Val]]&gt;0, SnapshotTable[[#This Row],[SC Time Val]] / SnapshotTable[[#This Row],[Last Price]],"")</f>
        <v/>
      </c>
      <c r="FL10" s="302" t="str">
        <f>IF(SnapshotTable[[#This Row],[SC Is Booked]], ((SnapshotTable[[#This Row],[Last Price]] -SnapshotTable[[#This Row],[SC Strike Price]]) / SnapshotTable[[#This Row],[Last Price]]) * -1, "")</f>
        <v/>
      </c>
      <c r="FM10" s="157"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33"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36" t="str">
        <f>IF(AND(ISNUMBER(SnapshotTable[[#This Row],[SC Simple ROO]]),SnapshotTable[[#This Row],[SC Simple ROO]] &gt; 0), SnapshotTable[[#This Row],[SC Premium]] + (SnapshotTable[[#This Row],[SC Qty]] * SnapshotTable[[#This Row],[SC Upside Potential]]), "")</f>
        <v/>
      </c>
      <c r="FX10" s="302" t="str" cm="1">
        <f t="array" ref="FX10">IF(ISNUMBER(SnapshotTable[[#This Row],[SC Max Dollars]]), annualize(SnapshotTable[[#This Row],[SC Term]],(SnapshotTable[[#This Row],[SC Max Dollars]]/SnapshotTable[[#This Row],[SC Basis]])),"")</f>
        <v/>
      </c>
      <c r="FY10" s="23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29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108.2055</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615</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31">
        <f>MAX(SnapshotTable[[#This Row],[Equity Basis Total]],SnapshotTable[[#This Row],[Equity Value]]) + (SnapshotTable[[#This Row],[SP Potential Spend]]- SnapshotTable[[#This Row],[SP Premium]] + SnapshotTable[[#This Row],[LP Premium]])+ (SnapshotTable[[#This Row],[LC Premium]] - SnapshotTable[[#This Row],[SC Premium]])</f>
        <v>0</v>
      </c>
      <c r="GW10" s="139" t="str">
        <f>IF(AND(SnapshotTable[[#This Row],[Exposure]] &lt;&gt; 0),SnapshotTable[[#This Row],[Exposure]] / SnapshotTable[[#Totals],[Exposure]], "")</f>
        <v/>
      </c>
      <c r="HK10" s="1"/>
      <c r="HL10" s="1"/>
      <c r="HM10" s="1"/>
      <c r="HN10" s="1"/>
      <c r="HO10" s="1"/>
      <c r="HP10" s="1"/>
    </row>
    <row r="11" spans="2:224" ht="12.75" hidden="1" customHeight="1" x14ac:dyDescent="0.25">
      <c r="B11" s="12" t="s">
        <v>103</v>
      </c>
      <c r="C11" s="422">
        <v>325.89</v>
      </c>
      <c r="D11" s="208" t="s">
        <v>578</v>
      </c>
      <c r="E11" s="39">
        <f>SnapshotTable[[#This Row],[Last Price]]*(1 -CrashDiscount)</f>
        <v>277.00649999999996</v>
      </c>
      <c r="F11" s="26" t="s">
        <v>916</v>
      </c>
      <c r="G11" s="26" t="s">
        <v>9</v>
      </c>
      <c r="H11" s="149"/>
      <c r="I11" s="194">
        <v>44770.6875</v>
      </c>
      <c r="J11" s="195">
        <v>44770.6875</v>
      </c>
      <c r="K11" s="196"/>
      <c r="L11" s="326"/>
      <c r="M11" s="140">
        <v>2</v>
      </c>
      <c r="N11" s="140" t="b">
        <v>1</v>
      </c>
      <c r="O11" s="140"/>
      <c r="P11" s="22"/>
      <c r="Q11" s="25"/>
      <c r="R11" s="4" t="str">
        <f>IF(SnapshotTable[[#This Row],[Equity Basis Total]] &gt; 0, SnapshotTable[[#This Row],[Equity Basis Total]] / SnapshotTable[[#This Row],[Equity Shares]], "")</f>
        <v/>
      </c>
      <c r="S11" s="269">
        <f>SnapshotTable[[#This Row],[Last Price]] * SnapshotTable[[#This Row],[Equity Shares]]</f>
        <v>0</v>
      </c>
      <c r="T11" s="269">
        <f>SnapshotTable[[#This Row],[Equity Value]] - SnapshotTable[[#This Row],[Equity Basis Total]]</f>
        <v>0</v>
      </c>
      <c r="U11" s="270" t="str">
        <f>IF(SnapshotTable[[#This Row],[Equity Basis Total]] &gt; 0, SnapshotTable[[#This Row],[Equity G/L]] / SnapshotTable[[#This Row],[Equity Basis Total]], "")</f>
        <v/>
      </c>
      <c r="V11" s="268"/>
      <c r="W11" s="26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7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0">
        <v>2.2799999999999998</v>
      </c>
      <c r="AD11" s="151">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6.9962257203350824E-3</v>
      </c>
      <c r="AH11" s="151"/>
      <c r="AI11" s="5"/>
      <c r="AJ11" s="138">
        <v>193.49</v>
      </c>
      <c r="AK11" s="152" t="str">
        <f>IF(ISNUMBER( SnapshotTable[[#This Row],[EBF Target]]),(SnapshotTable[[#This Row],[EBF Target]] - SnapshotTable[[#This Row],[Last Price]]) / SnapshotTable[[#This Row],[Last Price]], "")</f>
        <v/>
      </c>
      <c r="AL11" s="152"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2">
        <f>IF(AND(ISNUMBER( SnapshotTable[[#This Row],[Long Term Target]]), ISNUMBER(SnapshotTable[[#This Row],[Last Price]])),(SnapshotTable[[#This Row],[Long Term Target]] - SnapshotTable[[#This Row],[Last Price]]) / SnapshotTable[[#This Row],[Last Price]], "")</f>
        <v>-0.40627205498787927</v>
      </c>
      <c r="AP11" s="5"/>
      <c r="AQ11" s="38"/>
      <c r="AR11" s="5"/>
      <c r="AS11" s="38"/>
      <c r="AT11" s="146" t="s">
        <v>542</v>
      </c>
      <c r="AU11" s="187" t="str">
        <f>IF(OR(SnapshotTable[[#This Row],[LP No Fill]]="Y",SnapshotTable[[#This Row],[SP Is Filled]],SnapshotTable[[#This Row],[LC Not Filled]]="Y",SnapshotTable[[#This Row],[SC Is Filled]]),"Y","")</f>
        <v/>
      </c>
      <c r="AV11" s="219">
        <v>159.5</v>
      </c>
      <c r="AW11" s="225"/>
      <c r="AX11" s="220"/>
      <c r="AY11" s="219" t="str">
        <f>IF(SnapshotTable[[#This Row],[Implied Move]]&gt;0, SnapshotTable[[#This Row],[Last Price]]-SnapshotTable[[#This Row],[Implied Move]],"")</f>
        <v/>
      </c>
      <c r="AZ11" s="219" t="str">
        <f>IF(SnapshotTable[[#This Row],[Implied Move]]&gt;0, SnapshotTable[[#This Row],[Last Price]] + SnapshotTable[[#This Row],[Implied Move]],"")</f>
        <v/>
      </c>
      <c r="BA11" s="331">
        <v>244.28</v>
      </c>
      <c r="BB11" s="347"/>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51"/>
      <c r="BE11" s="5"/>
      <c r="BF11" s="14"/>
      <c r="BG11" s="13"/>
      <c r="BH11" s="13"/>
      <c r="BI11" s="5"/>
      <c r="BJ11" s="136">
        <f>IF(SnapshotTable[[#This Row],[LP Qty]] &gt; 0, SnapshotTable[[#This Row],[LP Qty]] * SnapshotTable[[#This Row],[LP Book Price]] * 100,0)</f>
        <v>0</v>
      </c>
      <c r="BK11" s="136">
        <f>IF(SnapshotTable[[#This Row],[LP Premium]] &gt; 0, SnapshotTable[[#This Row],[LP Qty]] * SnapshotTable[[#This Row],[LP Strike Price]] * 100,0)</f>
        <v>0</v>
      </c>
      <c r="BL11" s="154"/>
      <c r="BM11" s="385" t="str">
        <f>IF(SnapshotTable[[#This Row],[LP Premium]] &gt; 0,SnapshotTable[[#This Row],[LP Exp Date]]-MAX(SnapshotTable[[#This Row],[LP Book Date]], SnapshotTable[[#This Row],[LP Fill Date]]),"")</f>
        <v/>
      </c>
      <c r="BN11" s="385" t="str">
        <f>IF(ISNUMBER( SnapshotTable[[#This Row],[LP Term]]), SnapshotTable[[#This Row],[LP Exp Date]] - MockToday,"")</f>
        <v/>
      </c>
      <c r="BO11" s="163"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7"/>
      <c r="BU11" s="13"/>
      <c r="BV11" s="5"/>
      <c r="BW11" s="419" t="b">
        <f>AND(ISNUMBER(SnapshotTable[[#This Row],[SP Exp Date]]), ISNUMBER(SnapshotTable[[#This Row],[SP Strike Price]]), ISNUMBER(SnapshotTable[[#This Row],[SP Qty]]), ISNUMBER(SnapshotTable[[#This Row],[SP Book Date]]), ISNUMBER(SnapshotTable[[#This Row],[SP Book Price]]))</f>
        <v>0</v>
      </c>
      <c r="BX11" s="419" t="b">
        <f>AND(SnapshotTable[[#This Row],[SP Is Booked]], NOT(ISBLANK(SnapshotTable[[#This Row],[SP Fill Date]])))</f>
        <v>0</v>
      </c>
      <c r="BY11" s="33">
        <f>IF(SnapshotTable[[#This Row],[SP Is Booked]], SnapshotTable[[#This Row],[SP Qty]] * SnapshotTable[[#This Row],[SP Book Price]] * 100, 0)</f>
        <v>0</v>
      </c>
      <c r="BZ11" s="369"/>
      <c r="CA11" s="368">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3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44">
        <v>0.8</v>
      </c>
      <c r="CK11" s="31">
        <f>IF(ISNUMBER(SnapshotTable[[#This Row],[SP Potential Spend]]),IF(ISNUMBER(SnapshotTable[[#This Row],[SP POW]]), SnapshotTable[[#This Row],[SP POW]] * SnapshotTable[[#This Row],[SP Potential Spend]], SnapshotTable[[#This Row],[SP Potential Spend]]), "")</f>
        <v>0</v>
      </c>
      <c r="CL11" s="164">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18"/>
      <c r="CO11" s="369"/>
      <c r="CP11" s="4" t="str">
        <f>IF(SnapshotTable[[#This Row],[SP Is Filled]], btc_max_buyback_amount(SnapshotTable[[#This Row],[SP Fill Date]],SnapshotTable[[#This Row],[SP Exp Date]], SnapshotTable[[#This Row],[SP Book Price]]),"")</f>
        <v/>
      </c>
      <c r="CQ11" s="78"/>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5" t="str">
        <f>IF(SnapshotTable[[#This Row],[SP Is Filled]], btc_next_cutoff_date(SnapshotTable[[#This Row],[SP Fill Date]],SnapshotTable[[#This Row],[SP Exp Date]]),"")</f>
        <v/>
      </c>
      <c r="CT11" s="23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3"/>
      <c r="CV11" s="235"/>
      <c r="CW11" s="378"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294" t="str">
        <f>IF(ISNUMBER((SnapshotTable[[#This Row],[SP Total Value]])), SnapshotTable[[#This Row],[SP Gain Loss]] / SnapshotTable[[#This Row],[SP Premium]], "")</f>
        <v/>
      </c>
      <c r="DI11" s="406"/>
      <c r="DJ11" s="138"/>
      <c r="DK11" s="148"/>
      <c r="DL11" s="13"/>
      <c r="DM11" s="13"/>
      <c r="DO11" s="31">
        <f>IF(SnapshotTable[[#This Row],[LC Symbol Count]]=1, SnapshotTable[[#This Row],[LC Qty]] * SnapshotTable[[#This Row],[LC Book Price]] * 100, 0)</f>
        <v>0</v>
      </c>
      <c r="DP11" s="163" t="str">
        <f>IF(AND(SnapshotTable[[#This Row],[LC Exp Date]]&gt;0, SnapshotTable[[#This Row],[LC Strike Price]]&gt;0,SnapshotTable[[#This Row],[LC Qty]]&gt;0,SnapshotTable[[#This Row],[LC Book Date]]&gt;0,SnapshotTable[[#This Row],[LC Book Price]]&gt;0,SnapshotTable[[#This Row],[LC Fill Date]]=0),"Y","")</f>
        <v/>
      </c>
      <c r="DQ11" s="386" t="str">
        <f>IF(SnapshotTable[[#This Row],[LC Premium]] &gt; 0,SnapshotTable[[#This Row],[LC Exp Date]]-MAX(SnapshotTable[[#This Row],[LC Book Date]], SnapshotTable[[#This Row],[LC Fill Date]]),"")</f>
        <v/>
      </c>
      <c r="DR11" s="386" t="str">
        <f>IF(ISNUMBER(SnapshotTable[[#This Row],[LC Term]]), SnapshotTable[[#This Row],[LC Exp Date]] - MockToday, "")</f>
        <v/>
      </c>
      <c r="DS11" s="23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40" t="str">
        <f>IF(ISNUMBER(SnapshotTable[[#This Row],[LC Actual Gain Loss]]), SnapshotTable[[#This Row],[LC Actual Gain Loss]] / SnapshotTable[[#This Row],[LC Premium]],"")</f>
        <v/>
      </c>
      <c r="DX11" s="284" t="str">
        <f>IF(ISNUMBER(SnapshotTable[[#This Row],[LC Book Price]]),SnapshotTable[[#This Row],[LC Book Price]] * 1.5,"")</f>
        <v/>
      </c>
      <c r="DY11" s="265" t="str">
        <f>IF(SnapshotTable[[#This Row],[LC Premium]]&gt;0, SnapshotTable[[#This Row],[LC Next Target]] * SnapshotTable[[#This Row],[LC Qty]] * 100,"")</f>
        <v/>
      </c>
      <c r="DZ11" s="265" t="str">
        <f>IF(ISNUMBER(SnapshotTable[[#This Row],[LC Target Gross]]), SnapshotTable[[#This Row],[LC Target Gross]] - SnapshotTable[[#This Row],[LC Premium]], "")</f>
        <v/>
      </c>
      <c r="EA11" s="305" t="str">
        <f>IF(ISNUMBER(SnapshotTable[[#This Row],[LC Target Gain Loss]]), SnapshotTable[[#This Row],[LC Target Gain Loss]]/SnapshotTable[[#This Row],[LC Premium]], "")</f>
        <v/>
      </c>
      <c r="EB11" s="262"/>
      <c r="EC11" s="283" t="str">
        <f>IF(SnapshotTable[[#This Row],[LC Premium]]&gt;0, SnapshotTable[[#This Row],[LC Book Price]] * (1 - LC_StopLoss_Pct),"")</f>
        <v/>
      </c>
      <c r="ED11" s="284"/>
      <c r="EE11" s="28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4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7"/>
      <c r="EL11" s="138"/>
      <c r="EM11" s="148"/>
      <c r="EN11" s="147"/>
      <c r="EO11" s="147"/>
      <c r="EP11" s="138"/>
      <c r="EQ11" s="419" t="b">
        <f>AND(ISNUMBER(SnapshotTable[[#This Row],[SC Exp Date]]), ISNUMBER(SnapshotTable[[#This Row],[SC Strike Price]]), ISNUMBER(SnapshotTable[[#This Row],[SC Qty]]), ISNUMBER(SnapshotTable[[#This Row],[SC Book Date]]), ISNUMBER(SnapshotTable[[#This Row],[SC Book Price]]))</f>
        <v>0</v>
      </c>
      <c r="ER11" s="419" t="b">
        <f>AND(SnapshotTable[[#This Row],[SC Is Booked]], NOT(ISBLANK(SnapshotTable[[#This Row],[SC Fill Date]])))</f>
        <v>0</v>
      </c>
      <c r="ES11" s="370"/>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3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283"/>
      <c r="FA11" s="218"/>
      <c r="FB11" s="370"/>
      <c r="FC11" s="4">
        <f>IF(SnapshotTable[[#This Row],[SC Is Filled]], btc_max_buyback_amount(SnapshotTable[[#This Row],[SC Fill Date]],SnapshotTable[[#This Row],[SC Exp Date]], SnapshotTable[[#This Row],[SC Book Price]]),0)</f>
        <v>0</v>
      </c>
      <c r="FD11" s="5"/>
      <c r="FE11" s="144"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382">
        <f>IF(SnapshotTable[[#This Row],[SC Is Filled]], IF(ISNUMBER(SnapshotTable[[#This Row],[SC Current Ask]]), SnapshotTable[[#This Row],[SC Current Ask]], SnapshotTable[[#This Row],[SC Book Price]]) - SnapshotTable[[#This Row],[SC Intrinsic Value]], 0)</f>
        <v>0</v>
      </c>
      <c r="FI11" s="143"/>
      <c r="FJ11" s="32" t="str">
        <f>IF(SnapshotTable[[#This Row],[SC Is Filled]],100 * SnapshotTable[[#This Row],[SC Qty]] * IF(ISNUMBER(SnapshotTable[[#This Row],[SC Buyback Override]]), SnapshotTable[[#This Row],[SC Buyback Override]], SnapshotTable[[#This Row],[SC Current Ask]]), "")</f>
        <v/>
      </c>
      <c r="FK11" s="250" t="str">
        <f>IF(SnapshotTable[[#This Row],[SC Time Val]]&gt;0, SnapshotTable[[#This Row],[SC Time Val]] / SnapshotTable[[#This Row],[Last Price]],"")</f>
        <v/>
      </c>
      <c r="FL11" s="302" t="str">
        <f>IF(SnapshotTable[[#This Row],[SC Is Booked]], ((SnapshotTable[[#This Row],[Last Price]] -SnapshotTable[[#This Row],[SC Strike Price]]) / SnapshotTable[[#This Row],[Last Price]]) * -1, "")</f>
        <v/>
      </c>
      <c r="FM11" s="157"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33"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36" t="str">
        <f>IF(AND(ISNUMBER(SnapshotTable[[#This Row],[SC Simple ROO]]),SnapshotTable[[#This Row],[SC Simple ROO]] &gt; 0), SnapshotTable[[#This Row],[SC Premium]] + (SnapshotTable[[#This Row],[SC Qty]] * SnapshotTable[[#This Row],[SC Upside Potential]]), "")</f>
        <v/>
      </c>
      <c r="FX11" s="302" t="str" cm="1">
        <f t="array" ref="FX11">IF(ISNUMBER(SnapshotTable[[#This Row],[SC Max Dollars]]), annualize(SnapshotTable[[#This Row],[SC Term]],(SnapshotTable[[#This Row],[SC Max Dollars]]/SnapshotTable[[#This Row],[SC Basis]])),"")</f>
        <v/>
      </c>
      <c r="FY11" s="23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29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635.4855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616</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31">
        <f>MAX(SnapshotTable[[#This Row],[Equity Basis Total]],SnapshotTable[[#This Row],[Equity Value]]) + (SnapshotTable[[#This Row],[SP Potential Spend]]- SnapshotTable[[#This Row],[SP Premium]] + SnapshotTable[[#This Row],[LP Premium]])+ (SnapshotTable[[#This Row],[LC Premium]] - SnapshotTable[[#This Row],[SC Premium]])</f>
        <v>0</v>
      </c>
      <c r="GW11" s="139" t="str">
        <f>IF(AND(SnapshotTable[[#This Row],[Exposure]] &lt;&gt; 0),SnapshotTable[[#This Row],[Exposure]] / SnapshotTable[[#Totals],[Exposure]], "")</f>
        <v/>
      </c>
      <c r="HK11" s="1"/>
      <c r="HL11" s="1"/>
      <c r="HM11" s="1"/>
      <c r="HN11" s="1"/>
      <c r="HO11" s="1"/>
      <c r="HP11" s="1"/>
    </row>
    <row r="12" spans="2:224" ht="12.75" hidden="1" customHeight="1" x14ac:dyDescent="0.25">
      <c r="B12" s="12" t="s">
        <v>240</v>
      </c>
      <c r="C12" s="422">
        <v>223.36</v>
      </c>
      <c r="D12" s="208"/>
      <c r="E12" s="39">
        <f>SnapshotTable[[#This Row],[Last Price]]*(1 -CrashDiscount)</f>
        <v>189.85599999999999</v>
      </c>
      <c r="F12" s="26" t="s">
        <v>943</v>
      </c>
      <c r="G12" s="26" t="s">
        <v>610</v>
      </c>
      <c r="H12" s="149"/>
      <c r="I12" s="194">
        <v>44770.284722222219</v>
      </c>
      <c r="J12" s="195">
        <v>44770.284722222219</v>
      </c>
      <c r="K12" s="196"/>
      <c r="L12" s="326"/>
      <c r="M12" s="140"/>
      <c r="N12" s="140"/>
      <c r="O12" s="140"/>
      <c r="P12" s="22"/>
      <c r="Q12" s="25"/>
      <c r="R12" s="4" t="str">
        <f>IF(SnapshotTable[[#This Row],[Equity Basis Total]] &gt; 0, SnapshotTable[[#This Row],[Equity Basis Total]] / SnapshotTable[[#This Row],[Equity Shares]], "")</f>
        <v/>
      </c>
      <c r="S12" s="269">
        <f>SnapshotTable[[#This Row],[Last Price]] * SnapshotTable[[#This Row],[Equity Shares]]</f>
        <v>0</v>
      </c>
      <c r="T12" s="269">
        <f>SnapshotTable[[#This Row],[Equity Value]] - SnapshotTable[[#This Row],[Equity Basis Total]]</f>
        <v>0</v>
      </c>
      <c r="U12" s="270" t="str">
        <f>IF(SnapshotTable[[#This Row],[Equity Basis Total]] &gt; 0, SnapshotTable[[#This Row],[Equity G/L]] / SnapshotTable[[#This Row],[Equity Basis Total]], "")</f>
        <v/>
      </c>
      <c r="V12" s="268"/>
      <c r="W12" s="26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7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0">
        <v>2.08</v>
      </c>
      <c r="AD12" s="151">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9.3123209169054446E-3</v>
      </c>
      <c r="AH12" s="151">
        <v>42492</v>
      </c>
      <c r="AI12" s="5"/>
      <c r="AJ12" s="138">
        <v>260</v>
      </c>
      <c r="AK12" s="152" t="str">
        <f>IF(ISNUMBER( SnapshotTable[[#This Row],[EBF Target]]),(SnapshotTable[[#This Row],[EBF Target]] - SnapshotTable[[#This Row],[Last Price]]) / SnapshotTable[[#This Row],[Last Price]], "")</f>
        <v/>
      </c>
      <c r="AL12" s="152"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2">
        <f>IF(AND(ISNUMBER( SnapshotTable[[#This Row],[Long Term Target]]), ISNUMBER(SnapshotTable[[#This Row],[Last Price]])),(SnapshotTable[[#This Row],[Long Term Target]] - SnapshotTable[[#This Row],[Last Price]]) / SnapshotTable[[#This Row],[Last Price]], "")</f>
        <v>0.16404011461318044</v>
      </c>
      <c r="AP12" s="5"/>
      <c r="AQ12" s="38"/>
      <c r="AR12" s="5"/>
      <c r="AS12" s="38"/>
      <c r="AT12" s="146"/>
      <c r="AU12" s="187" t="str">
        <f>IF(OR(SnapshotTable[[#This Row],[LP No Fill]]="Y",SnapshotTable[[#This Row],[SP Is Filled]],SnapshotTable[[#This Row],[LC Not Filled]]="Y",SnapshotTable[[#This Row],[SC Is Filled]]),"Y","")</f>
        <v/>
      </c>
      <c r="AV12" s="219"/>
      <c r="AW12" s="225"/>
      <c r="AX12" s="220"/>
      <c r="AY12" s="219" t="str">
        <f>IF(SnapshotTable[[#This Row],[Implied Move]]&gt;0, SnapshotTable[[#This Row],[Last Price]]-SnapshotTable[[#This Row],[Implied Move]],"")</f>
        <v/>
      </c>
      <c r="AZ12" s="219" t="str">
        <f>IF(SnapshotTable[[#This Row],[Implied Move]]&gt;0, SnapshotTable[[#This Row],[Last Price]] + SnapshotTable[[#This Row],[Implied Move]],"")</f>
        <v/>
      </c>
      <c r="BA12" s="331"/>
      <c r="BB12" s="347"/>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51"/>
      <c r="BE12" s="5"/>
      <c r="BF12" s="14"/>
      <c r="BG12" s="13"/>
      <c r="BH12" s="13"/>
      <c r="BI12" s="5"/>
      <c r="BJ12" s="136">
        <f>IF(SnapshotTable[[#This Row],[LP Qty]] &gt; 0, SnapshotTable[[#This Row],[LP Qty]] * SnapshotTable[[#This Row],[LP Book Price]] * 100,0)</f>
        <v>0</v>
      </c>
      <c r="BK12" s="136">
        <f>IF(SnapshotTable[[#This Row],[LP Premium]] &gt; 0, SnapshotTable[[#This Row],[LP Qty]] * SnapshotTable[[#This Row],[LP Strike Price]] * 100,0)</f>
        <v>0</v>
      </c>
      <c r="BL12" s="154"/>
      <c r="BM12" s="385" t="str">
        <f>IF(SnapshotTable[[#This Row],[LP Premium]] &gt; 0,SnapshotTable[[#This Row],[LP Exp Date]]-MAX(SnapshotTable[[#This Row],[LP Book Date]], SnapshotTable[[#This Row],[LP Fill Date]]),"")</f>
        <v/>
      </c>
      <c r="BN12" s="385" t="str">
        <f>IF(ISNUMBER( SnapshotTable[[#This Row],[LP Term]]), SnapshotTable[[#This Row],[LP Exp Date]] - MockToday,"")</f>
        <v/>
      </c>
      <c r="BO12" s="163"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7"/>
      <c r="BU12" s="13"/>
      <c r="BV12" s="5"/>
      <c r="BW12" s="419" t="b">
        <f>AND(ISNUMBER(SnapshotTable[[#This Row],[SP Exp Date]]), ISNUMBER(SnapshotTable[[#This Row],[SP Strike Price]]), ISNUMBER(SnapshotTable[[#This Row],[SP Qty]]), ISNUMBER(SnapshotTable[[#This Row],[SP Book Date]]), ISNUMBER(SnapshotTable[[#This Row],[SP Book Price]]))</f>
        <v>0</v>
      </c>
      <c r="BX12" s="419" t="b">
        <f>AND(SnapshotTable[[#This Row],[SP Is Booked]], NOT(ISBLANK(SnapshotTable[[#This Row],[SP Fill Date]])))</f>
        <v>0</v>
      </c>
      <c r="BY12" s="33">
        <f>IF(SnapshotTable[[#This Row],[SP Is Booked]], SnapshotTable[[#This Row],[SP Qty]] * SnapshotTable[[#This Row],[SP Book Price]] * 100, 0)</f>
        <v>0</v>
      </c>
      <c r="BZ12" s="369"/>
      <c r="CA12" s="368">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3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44"/>
      <c r="CK12" s="31">
        <f>IF(ISNUMBER(SnapshotTable[[#This Row],[SP Potential Spend]]),IF(ISNUMBER(SnapshotTable[[#This Row],[SP POW]]), SnapshotTable[[#This Row],[SP POW]] * SnapshotTable[[#This Row],[SP Potential Spend]], SnapshotTable[[#This Row],[SP Potential Spend]]), "")</f>
        <v>0</v>
      </c>
      <c r="CL12" s="164">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8"/>
      <c r="CO12" s="369"/>
      <c r="CP12" s="4" t="str">
        <f>IF(SnapshotTable[[#This Row],[SP Is Filled]], btc_max_buyback_amount(SnapshotTable[[#This Row],[SP Fill Date]],SnapshotTable[[#This Row],[SP Exp Date]], SnapshotTable[[#This Row],[SP Book Price]]),"")</f>
        <v/>
      </c>
      <c r="CQ12" s="78"/>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5" t="str">
        <f>IF(SnapshotTable[[#This Row],[SP Is Filled]], btc_next_cutoff_date(SnapshotTable[[#This Row],[SP Fill Date]],SnapshotTable[[#This Row],[SP Exp Date]]),"")</f>
        <v/>
      </c>
      <c r="CT12" s="23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3"/>
      <c r="CV12" s="235"/>
      <c r="CW12" s="378"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294" t="str">
        <f>IF(ISNUMBER((SnapshotTable[[#This Row],[SP Total Value]])), SnapshotTable[[#This Row],[SP Gain Loss]] / SnapshotTable[[#This Row],[SP Premium]], "")</f>
        <v/>
      </c>
      <c r="DI12" s="406"/>
      <c r="DJ12" s="138"/>
      <c r="DK12" s="148"/>
      <c r="DL12" s="13"/>
      <c r="DM12" s="13"/>
      <c r="DO12" s="31">
        <f>IF(SnapshotTable[[#This Row],[LC Symbol Count]]=1, SnapshotTable[[#This Row],[LC Qty]] * SnapshotTable[[#This Row],[LC Book Price]] * 100, 0)</f>
        <v>0</v>
      </c>
      <c r="DP12" s="163" t="str">
        <f>IF(AND(SnapshotTable[[#This Row],[LC Exp Date]]&gt;0, SnapshotTable[[#This Row],[LC Strike Price]]&gt;0,SnapshotTable[[#This Row],[LC Qty]]&gt;0,SnapshotTable[[#This Row],[LC Book Date]]&gt;0,SnapshotTable[[#This Row],[LC Book Price]]&gt;0,SnapshotTable[[#This Row],[LC Fill Date]]=0),"Y","")</f>
        <v/>
      </c>
      <c r="DQ12" s="386" t="str">
        <f>IF(SnapshotTable[[#This Row],[LC Premium]] &gt; 0,SnapshotTable[[#This Row],[LC Exp Date]]-MAX(SnapshotTable[[#This Row],[LC Book Date]], SnapshotTable[[#This Row],[LC Fill Date]]),"")</f>
        <v/>
      </c>
      <c r="DR12" s="386" t="str">
        <f>IF(ISNUMBER(SnapshotTable[[#This Row],[LC Term]]), SnapshotTable[[#This Row],[LC Exp Date]] - MockToday, "")</f>
        <v/>
      </c>
      <c r="DS12" s="23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40" t="str">
        <f>IF(ISNUMBER(SnapshotTable[[#This Row],[LC Actual Gain Loss]]), SnapshotTable[[#This Row],[LC Actual Gain Loss]] / SnapshotTable[[#This Row],[LC Premium]],"")</f>
        <v/>
      </c>
      <c r="DX12" s="284" t="str">
        <f>IF(ISNUMBER(SnapshotTable[[#This Row],[LC Book Price]]),SnapshotTable[[#This Row],[LC Book Price]] * 1.5,"")</f>
        <v/>
      </c>
      <c r="DY12" s="265" t="str">
        <f>IF(SnapshotTable[[#This Row],[LC Premium]]&gt;0, SnapshotTable[[#This Row],[LC Next Target]] * SnapshotTable[[#This Row],[LC Qty]] * 100,"")</f>
        <v/>
      </c>
      <c r="DZ12" s="265" t="str">
        <f>IF(ISNUMBER(SnapshotTable[[#This Row],[LC Target Gross]]), SnapshotTable[[#This Row],[LC Target Gross]] - SnapshotTable[[#This Row],[LC Premium]], "")</f>
        <v/>
      </c>
      <c r="EA12" s="305" t="str">
        <f>IF(ISNUMBER(SnapshotTable[[#This Row],[LC Target Gain Loss]]), SnapshotTable[[#This Row],[LC Target Gain Loss]]/SnapshotTable[[#This Row],[LC Premium]], "")</f>
        <v/>
      </c>
      <c r="EB12" s="262"/>
      <c r="EC12" s="283" t="str">
        <f>IF(SnapshotTable[[#This Row],[LC Premium]]&gt;0, SnapshotTable[[#This Row],[LC Book Price]] * (1 - LC_StopLoss_Pct),"")</f>
        <v/>
      </c>
      <c r="ED12" s="284"/>
      <c r="EE12" s="28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4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7"/>
      <c r="EL12" s="138"/>
      <c r="EM12" s="148"/>
      <c r="EN12" s="147"/>
      <c r="EO12" s="147"/>
      <c r="EP12" s="138"/>
      <c r="EQ12" s="419" t="b">
        <f>AND(ISNUMBER(SnapshotTable[[#This Row],[SC Exp Date]]), ISNUMBER(SnapshotTable[[#This Row],[SC Strike Price]]), ISNUMBER(SnapshotTable[[#This Row],[SC Qty]]), ISNUMBER(SnapshotTable[[#This Row],[SC Book Date]]), ISNUMBER(SnapshotTable[[#This Row],[SC Book Price]]))</f>
        <v>0</v>
      </c>
      <c r="ER12" s="419" t="b">
        <f>AND(SnapshotTable[[#This Row],[SC Is Booked]], NOT(ISBLANK(SnapshotTable[[#This Row],[SC Fill Date]])))</f>
        <v>0</v>
      </c>
      <c r="ES12" s="370"/>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3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283"/>
      <c r="FA12" s="218"/>
      <c r="FB12" s="370"/>
      <c r="FC12" s="4">
        <f>IF(SnapshotTable[[#This Row],[SC Is Filled]], btc_max_buyback_amount(SnapshotTable[[#This Row],[SC Fill Date]],SnapshotTable[[#This Row],[SC Exp Date]], SnapshotTable[[#This Row],[SC Book Price]]),0)</f>
        <v>0</v>
      </c>
      <c r="FD12" s="5"/>
      <c r="FE12" s="144"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382">
        <f>IF(SnapshotTable[[#This Row],[SC Is Filled]], IF(ISNUMBER(SnapshotTable[[#This Row],[SC Current Ask]]), SnapshotTable[[#This Row],[SC Current Ask]], SnapshotTable[[#This Row],[SC Book Price]]) - SnapshotTable[[#This Row],[SC Intrinsic Value]], 0)</f>
        <v>0</v>
      </c>
      <c r="FI12" s="143">
        <v>45786</v>
      </c>
      <c r="FJ12" s="32" t="str">
        <f>IF(SnapshotTable[[#This Row],[SC Is Filled]],100 * SnapshotTable[[#This Row],[SC Qty]] * IF(ISNUMBER(SnapshotTable[[#This Row],[SC Buyback Override]]), SnapshotTable[[#This Row],[SC Buyback Override]], SnapshotTable[[#This Row],[SC Current Ask]]), "")</f>
        <v/>
      </c>
      <c r="FK12" s="250" t="str">
        <f>IF(SnapshotTable[[#This Row],[SC Time Val]]&gt;0, SnapshotTable[[#This Row],[SC Time Val]] / SnapshotTable[[#This Row],[Last Price]],"")</f>
        <v/>
      </c>
      <c r="FL12" s="302" t="str">
        <f>IF(SnapshotTable[[#This Row],[SC Is Booked]], ((SnapshotTable[[#This Row],[Last Price]] -SnapshotTable[[#This Row],[SC Strike Price]]) / SnapshotTable[[#This Row],[Last Price]]) * -1, "")</f>
        <v/>
      </c>
      <c r="FM12" s="157"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33"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36" t="str">
        <f>IF(AND(ISNUMBER(SnapshotTable[[#This Row],[SC Simple ROO]]),SnapshotTable[[#This Row],[SC Simple ROO]] &gt; 0), SnapshotTable[[#This Row],[SC Premium]] + (SnapshotTable[[#This Row],[SC Qty]] * SnapshotTable[[#This Row],[SC Upside Potential]]), "")</f>
        <v/>
      </c>
      <c r="FX12" s="302" t="str" cm="1">
        <f t="array" ref="FX12">IF(ISNUMBER(SnapshotTable[[#This Row],[SC Max Dollars]]), annualize(SnapshotTable[[#This Row],[SC Term]],(SnapshotTable[[#This Row],[SC Max Dollars]]/SnapshotTable[[#This Row],[SC Basis]])),"")</f>
        <v/>
      </c>
      <c r="FY12" s="23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29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435.55200000000002</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618</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31">
        <f>MAX(SnapshotTable[[#This Row],[Equity Basis Total]],SnapshotTable[[#This Row],[Equity Value]]) + (SnapshotTable[[#This Row],[SP Potential Spend]]- SnapshotTable[[#This Row],[SP Premium]] + SnapshotTable[[#This Row],[LP Premium]])+ (SnapshotTable[[#This Row],[LC Premium]] - SnapshotTable[[#This Row],[SC Premium]])</f>
        <v>0</v>
      </c>
      <c r="GW12" s="139" t="str">
        <f>IF(AND(SnapshotTable[[#This Row],[Exposure]] &lt;&gt; 0),SnapshotTable[[#This Row],[Exposure]] / SnapshotTable[[#Totals],[Exposure]], "")</f>
        <v/>
      </c>
      <c r="HK12" s="1"/>
      <c r="HL12" s="1"/>
      <c r="HM12" s="1"/>
      <c r="HN12" s="1"/>
      <c r="HO12" s="1"/>
      <c r="HP12" s="1"/>
    </row>
    <row r="13" spans="2:224" ht="12.75" hidden="1" customHeight="1" x14ac:dyDescent="0.25">
      <c r="B13" s="12" t="s">
        <v>1041</v>
      </c>
      <c r="C13" s="422">
        <v>140.05000000000001</v>
      </c>
      <c r="D13" s="208"/>
      <c r="E13" s="39">
        <f>SnapshotTable[[#This Row],[Last Price]]*(1 -CrashDiscount)</f>
        <v>119.0425</v>
      </c>
      <c r="F13" s="26" t="s">
        <v>611</v>
      </c>
      <c r="G13" s="26" t="s">
        <v>610</v>
      </c>
      <c r="H13" s="149"/>
      <c r="I13" s="194">
        <v>44775.670138888891</v>
      </c>
      <c r="J13" s="195">
        <v>44775.670138888891</v>
      </c>
      <c r="K13" s="196"/>
      <c r="L13" s="326"/>
      <c r="M13" s="140"/>
      <c r="N13" s="140"/>
      <c r="O13" s="140"/>
      <c r="P13" s="22"/>
      <c r="Q13" s="25"/>
      <c r="R13" s="4" t="str">
        <f>IF(SnapshotTable[[#This Row],[Equity Basis Total]] &gt; 0, SnapshotTable[[#This Row],[Equity Basis Total]] / SnapshotTable[[#This Row],[Equity Shares]], "")</f>
        <v/>
      </c>
      <c r="S13" s="269">
        <f>SnapshotTable[[#This Row],[Last Price]] * SnapshotTable[[#This Row],[Equity Shares]]</f>
        <v>0</v>
      </c>
      <c r="T13" s="269">
        <f>SnapshotTable[[#This Row],[Equity Value]] - SnapshotTable[[#This Row],[Equity Basis Total]]</f>
        <v>0</v>
      </c>
      <c r="U13" s="270" t="str">
        <f>IF(SnapshotTable[[#This Row],[Equity Basis Total]] &gt; 0, SnapshotTable[[#This Row],[Equity G/L]] / SnapshotTable[[#This Row],[Equity Basis Total]], "")</f>
        <v/>
      </c>
      <c r="V13" s="268"/>
      <c r="W13" s="26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7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0"/>
      <c r="AD13" s="151"/>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1"/>
      <c r="AI13" s="5"/>
      <c r="AJ13" s="138">
        <v>141.85</v>
      </c>
      <c r="AK13" s="152" t="str">
        <f>IF(ISNUMBER( SnapshotTable[[#This Row],[EBF Target]]),(SnapshotTable[[#This Row],[EBF Target]] - SnapshotTable[[#This Row],[Last Price]]) / SnapshotTable[[#This Row],[Last Price]], "")</f>
        <v/>
      </c>
      <c r="AL13" s="152"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2">
        <f>IF(AND(ISNUMBER( SnapshotTable[[#This Row],[Long Term Target]]), ISNUMBER(SnapshotTable[[#This Row],[Last Price]])),(SnapshotTable[[#This Row],[Long Term Target]] - SnapshotTable[[#This Row],[Last Price]]) / SnapshotTable[[#This Row],[Last Price]], "")</f>
        <v>1.2852552659764246E-2</v>
      </c>
      <c r="AP13" s="5"/>
      <c r="AQ13" s="38"/>
      <c r="AR13" s="5"/>
      <c r="AS13" s="38"/>
      <c r="AT13" s="146"/>
      <c r="AU13" s="187" t="str">
        <f>IF(OR(SnapshotTable[[#This Row],[LP No Fill]]="Y",SnapshotTable[[#This Row],[SP Is Filled]],SnapshotTable[[#This Row],[LC Not Filled]]="Y",SnapshotTable[[#This Row],[SC Is Filled]]),"Y","")</f>
        <v/>
      </c>
      <c r="AV13" s="219"/>
      <c r="AW13" s="225"/>
      <c r="AX13" s="220"/>
      <c r="AY13" s="219" t="str">
        <f>IF(SnapshotTable[[#This Row],[Implied Move]]&gt;0, SnapshotTable[[#This Row],[Last Price]]-SnapshotTable[[#This Row],[Implied Move]],"")</f>
        <v/>
      </c>
      <c r="AZ13" s="219" t="str">
        <f>IF(SnapshotTable[[#This Row],[Implied Move]]&gt;0, SnapshotTable[[#This Row],[Last Price]] + SnapshotTable[[#This Row],[Implied Move]],"")</f>
        <v/>
      </c>
      <c r="BA13" s="331"/>
      <c r="BB13" s="347"/>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51"/>
      <c r="BE13" s="5"/>
      <c r="BF13" s="14"/>
      <c r="BG13" s="13"/>
      <c r="BH13" s="13"/>
      <c r="BI13" s="5"/>
      <c r="BJ13" s="136">
        <f>IF(SnapshotTable[[#This Row],[LP Qty]] &gt; 0, SnapshotTable[[#This Row],[LP Qty]] * SnapshotTable[[#This Row],[LP Book Price]] * 100,0)</f>
        <v>0</v>
      </c>
      <c r="BK13" s="136">
        <f>IF(SnapshotTable[[#This Row],[LP Premium]] &gt; 0, SnapshotTable[[#This Row],[LP Qty]] * SnapshotTable[[#This Row],[LP Strike Price]] * 100,0)</f>
        <v>0</v>
      </c>
      <c r="BL13" s="154"/>
      <c r="BM13" s="385" t="str">
        <f>IF(SnapshotTable[[#This Row],[LP Premium]] &gt; 0,SnapshotTable[[#This Row],[LP Exp Date]]-MAX(SnapshotTable[[#This Row],[LP Book Date]], SnapshotTable[[#This Row],[LP Fill Date]]),"")</f>
        <v/>
      </c>
      <c r="BN13" s="385" t="str">
        <f>IF(ISNUMBER( SnapshotTable[[#This Row],[LP Term]]), SnapshotTable[[#This Row],[LP Exp Date]] - MockToday,"")</f>
        <v/>
      </c>
      <c r="BO13" s="163"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7"/>
      <c r="BU13" s="13"/>
      <c r="BV13" s="5"/>
      <c r="BW13" s="419" t="b">
        <f>AND(ISNUMBER(SnapshotTable[[#This Row],[SP Exp Date]]), ISNUMBER(SnapshotTable[[#This Row],[SP Strike Price]]), ISNUMBER(SnapshotTable[[#This Row],[SP Qty]]), ISNUMBER(SnapshotTable[[#This Row],[SP Book Date]]), ISNUMBER(SnapshotTable[[#This Row],[SP Book Price]]))</f>
        <v>0</v>
      </c>
      <c r="BX13" s="419" t="b">
        <f>AND(SnapshotTable[[#This Row],[SP Is Booked]], NOT(ISBLANK(SnapshotTable[[#This Row],[SP Fill Date]])))</f>
        <v>0</v>
      </c>
      <c r="BY13" s="33">
        <f>IF(SnapshotTable[[#This Row],[SP Is Booked]], SnapshotTable[[#This Row],[SP Qty]] * SnapshotTable[[#This Row],[SP Book Price]] * 100, 0)</f>
        <v>0</v>
      </c>
      <c r="BZ13" s="369"/>
      <c r="CA13" s="368">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3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44"/>
      <c r="CK13" s="31">
        <f>IF(ISNUMBER(SnapshotTable[[#This Row],[SP Potential Spend]]),IF(ISNUMBER(SnapshotTable[[#This Row],[SP POW]]), SnapshotTable[[#This Row],[SP POW]] * SnapshotTable[[#This Row],[SP Potential Spend]], SnapshotTable[[#This Row],[SP Potential Spend]]), "")</f>
        <v>0</v>
      </c>
      <c r="CL13" s="164">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8"/>
      <c r="CO13" s="369"/>
      <c r="CP13" s="4" t="str">
        <f>IF(SnapshotTable[[#This Row],[SP Is Filled]], btc_max_buyback_amount(SnapshotTable[[#This Row],[SP Fill Date]],SnapshotTable[[#This Row],[SP Exp Date]], SnapshotTable[[#This Row],[SP Book Price]]),"")</f>
        <v/>
      </c>
      <c r="CQ13" s="78"/>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5" t="str">
        <f>IF(SnapshotTable[[#This Row],[SP Is Filled]], btc_next_cutoff_date(SnapshotTable[[#This Row],[SP Fill Date]],SnapshotTable[[#This Row],[SP Exp Date]]),"")</f>
        <v/>
      </c>
      <c r="CT13" s="23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3"/>
      <c r="CV13" s="235"/>
      <c r="CW13" s="378"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294" t="str">
        <f>IF(ISNUMBER((SnapshotTable[[#This Row],[SP Total Value]])), SnapshotTable[[#This Row],[SP Gain Loss]] / SnapshotTable[[#This Row],[SP Premium]], "")</f>
        <v/>
      </c>
      <c r="DI13" s="406"/>
      <c r="DJ13" s="138"/>
      <c r="DK13" s="148"/>
      <c r="DL13" s="13"/>
      <c r="DM13" s="13"/>
      <c r="DO13" s="31">
        <f>IF(SnapshotTable[[#This Row],[LC Symbol Count]]=1, SnapshotTable[[#This Row],[LC Qty]] * SnapshotTable[[#This Row],[LC Book Price]] * 100, 0)</f>
        <v>0</v>
      </c>
      <c r="DP13" s="163" t="str">
        <f>IF(AND(SnapshotTable[[#This Row],[LC Exp Date]]&gt;0, SnapshotTable[[#This Row],[LC Strike Price]]&gt;0,SnapshotTable[[#This Row],[LC Qty]]&gt;0,SnapshotTable[[#This Row],[LC Book Date]]&gt;0,SnapshotTable[[#This Row],[LC Book Price]]&gt;0,SnapshotTable[[#This Row],[LC Fill Date]]=0),"Y","")</f>
        <v/>
      </c>
      <c r="DQ13" s="386" t="str">
        <f>IF(SnapshotTable[[#This Row],[LC Premium]] &gt; 0,SnapshotTable[[#This Row],[LC Exp Date]]-MAX(SnapshotTable[[#This Row],[LC Book Date]], SnapshotTable[[#This Row],[LC Fill Date]]),"")</f>
        <v/>
      </c>
      <c r="DR13" s="386" t="str">
        <f>IF(ISNUMBER(SnapshotTable[[#This Row],[LC Term]]), SnapshotTable[[#This Row],[LC Exp Date]] - MockToday, "")</f>
        <v/>
      </c>
      <c r="DS13" s="23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40" t="str">
        <f>IF(ISNUMBER(SnapshotTable[[#This Row],[LC Actual Gain Loss]]), SnapshotTable[[#This Row],[LC Actual Gain Loss]] / SnapshotTable[[#This Row],[LC Premium]],"")</f>
        <v/>
      </c>
      <c r="DX13" s="284" t="str">
        <f>IF(ISNUMBER(SnapshotTable[[#This Row],[LC Book Price]]),SnapshotTable[[#This Row],[LC Book Price]] * 1.5,"")</f>
        <v/>
      </c>
      <c r="DY13" s="265" t="str">
        <f>IF(SnapshotTable[[#This Row],[LC Premium]]&gt;0, SnapshotTable[[#This Row],[LC Next Target]] * SnapshotTable[[#This Row],[LC Qty]] * 100,"")</f>
        <v/>
      </c>
      <c r="DZ13" s="265" t="str">
        <f>IF(ISNUMBER(SnapshotTable[[#This Row],[LC Target Gross]]), SnapshotTable[[#This Row],[LC Target Gross]] - SnapshotTable[[#This Row],[LC Premium]], "")</f>
        <v/>
      </c>
      <c r="EA13" s="305" t="str">
        <f>IF(ISNUMBER(SnapshotTable[[#This Row],[LC Target Gain Loss]]), SnapshotTable[[#This Row],[LC Target Gain Loss]]/SnapshotTable[[#This Row],[LC Premium]], "")</f>
        <v/>
      </c>
      <c r="EB13" s="262"/>
      <c r="EC13" s="283" t="str">
        <f>IF(SnapshotTable[[#This Row],[LC Premium]]&gt;0, SnapshotTable[[#This Row],[LC Book Price]] * (1 - LC_StopLoss_Pct),"")</f>
        <v/>
      </c>
      <c r="ED13" s="284"/>
      <c r="EE13" s="28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4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7"/>
      <c r="EL13" s="138"/>
      <c r="EM13" s="148"/>
      <c r="EN13" s="147"/>
      <c r="EO13" s="147"/>
      <c r="EP13" s="138"/>
      <c r="EQ13" s="419" t="b">
        <f>AND(ISNUMBER(SnapshotTable[[#This Row],[SC Exp Date]]), ISNUMBER(SnapshotTable[[#This Row],[SC Strike Price]]), ISNUMBER(SnapshotTable[[#This Row],[SC Qty]]), ISNUMBER(SnapshotTable[[#This Row],[SC Book Date]]), ISNUMBER(SnapshotTable[[#This Row],[SC Book Price]]))</f>
        <v>0</v>
      </c>
      <c r="ER13" s="419" t="b">
        <f>AND(SnapshotTable[[#This Row],[SC Is Booked]], NOT(ISBLANK(SnapshotTable[[#This Row],[SC Fill Date]])))</f>
        <v>0</v>
      </c>
      <c r="ES13" s="370"/>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3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283"/>
      <c r="FA13" s="218"/>
      <c r="FB13" s="370"/>
      <c r="FC13" s="4">
        <f>IF(SnapshotTable[[#This Row],[SC Is Filled]], btc_max_buyback_amount(SnapshotTable[[#This Row],[SC Fill Date]],SnapshotTable[[#This Row],[SC Exp Date]], SnapshotTable[[#This Row],[SC Book Price]]),0)</f>
        <v>0</v>
      </c>
      <c r="FD13" s="5"/>
      <c r="FE13" s="144"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382">
        <f>IF(SnapshotTable[[#This Row],[SC Is Filled]], IF(ISNUMBER(SnapshotTable[[#This Row],[SC Current Ask]]), SnapshotTable[[#This Row],[SC Current Ask]], SnapshotTable[[#This Row],[SC Book Price]]) - SnapshotTable[[#This Row],[SC Intrinsic Value]], 0)</f>
        <v>0</v>
      </c>
      <c r="FI13" s="143">
        <v>45786</v>
      </c>
      <c r="FJ13" s="32" t="str">
        <f>IF(SnapshotTable[[#This Row],[SC Is Filled]],100 * SnapshotTable[[#This Row],[SC Qty]] * IF(ISNUMBER(SnapshotTable[[#This Row],[SC Buyback Override]]), SnapshotTable[[#This Row],[SC Buyback Override]], SnapshotTable[[#This Row],[SC Current Ask]]), "")</f>
        <v/>
      </c>
      <c r="FK13" s="250" t="str">
        <f>IF(SnapshotTable[[#This Row],[SC Time Val]]&gt;0, SnapshotTable[[#This Row],[SC Time Val]] / SnapshotTable[[#This Row],[Last Price]],"")</f>
        <v/>
      </c>
      <c r="FL13" s="302" t="str">
        <f>IF(SnapshotTable[[#This Row],[SC Is Booked]], ((SnapshotTable[[#This Row],[Last Price]] -SnapshotTable[[#This Row],[SC Strike Price]]) / SnapshotTable[[#This Row],[Last Price]]) * -1, "")</f>
        <v/>
      </c>
      <c r="FM13" s="157"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33"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36" t="str">
        <f>IF(AND(ISNUMBER(SnapshotTable[[#This Row],[SC Simple ROO]]),SnapshotTable[[#This Row],[SC Simple ROO]] &gt; 0), SnapshotTable[[#This Row],[SC Premium]] + (SnapshotTable[[#This Row],[SC Qty]] * SnapshotTable[[#This Row],[SC Upside Potential]]), "")</f>
        <v/>
      </c>
      <c r="FX13" s="302" t="str" cm="1">
        <f t="array" ref="FX13">IF(ISNUMBER(SnapshotTable[[#This Row],[SC Max Dollars]]), annualize(SnapshotTable[[#This Row],[SC Term]],(SnapshotTable[[#This Row],[SC Max Dollars]]/SnapshotTable[[#This Row],[SC Basis]])),"")</f>
        <v/>
      </c>
      <c r="FY13" s="23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29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273.09750000000003</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622</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31">
        <f>MAX(SnapshotTable[[#This Row],[Equity Basis Total]],SnapshotTable[[#This Row],[Equity Value]]) + (SnapshotTable[[#This Row],[SP Potential Spend]]- SnapshotTable[[#This Row],[SP Premium]] + SnapshotTable[[#This Row],[LP Premium]])+ (SnapshotTable[[#This Row],[LC Premium]] - SnapshotTable[[#This Row],[SC Premium]])</f>
        <v>0</v>
      </c>
      <c r="GW13" s="139" t="str">
        <f>IF(AND(SnapshotTable[[#This Row],[Exposure]] &lt;&gt; 0),SnapshotTable[[#This Row],[Exposure]] / SnapshotTable[[#Totals],[Exposure]], "")</f>
        <v/>
      </c>
      <c r="HK13" s="1"/>
      <c r="HL13" s="1"/>
      <c r="HM13" s="1"/>
      <c r="HN13" s="1"/>
      <c r="HO13" s="1"/>
      <c r="HP13" s="1"/>
    </row>
    <row r="14" spans="2:224" ht="12.75" hidden="1" customHeight="1" x14ac:dyDescent="0.25">
      <c r="B14" s="12" t="s">
        <v>57</v>
      </c>
      <c r="C14" s="422">
        <v>552.33000000000004</v>
      </c>
      <c r="D14" s="208" t="s">
        <v>258</v>
      </c>
      <c r="E14" s="39">
        <f>SnapshotTable[[#This Row],[Last Price]]*(1 -CrashDiscount)</f>
        <v>469.48050000000001</v>
      </c>
      <c r="F14" s="26" t="s">
        <v>614</v>
      </c>
      <c r="G14" s="26" t="s">
        <v>9</v>
      </c>
      <c r="H14" s="149"/>
      <c r="I14" s="194">
        <v>45232.673611111109</v>
      </c>
      <c r="J14" s="195">
        <v>44775.673611111109</v>
      </c>
      <c r="K14" s="196"/>
      <c r="L14" s="326"/>
      <c r="M14" s="140">
        <v>1</v>
      </c>
      <c r="N14" s="140"/>
      <c r="O14" s="140">
        <v>1</v>
      </c>
      <c r="P14" s="22"/>
      <c r="Q14" s="25"/>
      <c r="R14" s="4" t="str">
        <f>IF(SnapshotTable[[#This Row],[Equity Basis Total]] &gt; 0, SnapshotTable[[#This Row],[Equity Basis Total]] / SnapshotTable[[#This Row],[Equity Shares]], "")</f>
        <v/>
      </c>
      <c r="S14" s="269">
        <f>SnapshotTable[[#This Row],[Last Price]] * SnapshotTable[[#This Row],[Equity Shares]]</f>
        <v>0</v>
      </c>
      <c r="T14" s="269">
        <f>SnapshotTable[[#This Row],[Equity Value]] - SnapshotTable[[#This Row],[Equity Basis Total]]</f>
        <v>0</v>
      </c>
      <c r="U14" s="270" t="str">
        <f>IF(SnapshotTable[[#This Row],[Equity Basis Total]] &gt; 0, SnapshotTable[[#This Row],[Equity G/L]] / SnapshotTable[[#This Row],[Equity Basis Total]], "")</f>
        <v/>
      </c>
      <c r="V14" s="268">
        <v>153</v>
      </c>
      <c r="W14" s="26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7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0"/>
      <c r="AD14" s="151"/>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1"/>
      <c r="AI14" s="5"/>
      <c r="AJ14" s="138">
        <v>138</v>
      </c>
      <c r="AK14" s="152" t="str">
        <f>IF(ISNUMBER( SnapshotTable[[#This Row],[EBF Target]]),(SnapshotTable[[#This Row],[EBF Target]] - SnapshotTable[[#This Row],[Last Price]]) / SnapshotTable[[#This Row],[Last Price]], "")</f>
        <v/>
      </c>
      <c r="AL14" s="152"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2">
        <f>IF(AND(ISNUMBER( SnapshotTable[[#This Row],[Long Term Target]]), ISNUMBER(SnapshotTable[[#This Row],[Last Price]])),(SnapshotTable[[#This Row],[Long Term Target]] - SnapshotTable[[#This Row],[Last Price]]) / SnapshotTable[[#This Row],[Last Price]], "")</f>
        <v>-0.7501493672261148</v>
      </c>
      <c r="AP14" s="5">
        <v>145</v>
      </c>
      <c r="AQ14" s="38" t="s">
        <v>38</v>
      </c>
      <c r="AR14" s="5">
        <v>145</v>
      </c>
      <c r="AS14" s="38" t="s">
        <v>26</v>
      </c>
      <c r="AT14" s="146" t="s">
        <v>538</v>
      </c>
      <c r="AU14" s="187" t="str">
        <f>IF(OR(SnapshotTable[[#This Row],[LP No Fill]]="Y",SnapshotTable[[#This Row],[SP Is Filled]],SnapshotTable[[#This Row],[LC Not Filled]]="Y",SnapshotTable[[#This Row],[SC Is Filled]]),"Y","")</f>
        <v/>
      </c>
      <c r="AV14" s="375"/>
      <c r="AW14" s="225"/>
      <c r="AX14" s="220"/>
      <c r="AY14" s="219" t="str">
        <f>IF(SnapshotTable[[#This Row],[Implied Move]]&gt;0, SnapshotTable[[#This Row],[Last Price]]-SnapshotTable[[#This Row],[Implied Move]],"")</f>
        <v/>
      </c>
      <c r="AZ14" s="219" t="str">
        <f>IF(SnapshotTable[[#This Row],[Implied Move]]&gt;0, SnapshotTable[[#This Row],[Last Price]] + SnapshotTable[[#This Row],[Implied Move]],"")</f>
        <v/>
      </c>
      <c r="BA14" s="331">
        <v>209.42</v>
      </c>
      <c r="BB14" s="347"/>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51"/>
      <c r="BE14" s="138"/>
      <c r="BF14" s="166"/>
      <c r="BG14" s="167"/>
      <c r="BH14" s="167"/>
      <c r="BI14" s="221"/>
      <c r="BJ14" s="153">
        <f>IF(SnapshotTable[[#This Row],[LP Qty]] &gt; 0, SnapshotTable[[#This Row],[LP Qty]] * SnapshotTable[[#This Row],[LP Book Price]] * 100,0)</f>
        <v>0</v>
      </c>
      <c r="BK14" s="136">
        <f>IF(SnapshotTable[[#This Row],[LP Premium]] &gt; 0, SnapshotTable[[#This Row],[LP Qty]] * SnapshotTable[[#This Row],[LP Strike Price]] * 100,0)</f>
        <v>0</v>
      </c>
      <c r="BL14" s="154"/>
      <c r="BM14" s="385" t="str">
        <f>IF(SnapshotTable[[#This Row],[LP Premium]] &gt; 0,SnapshotTable[[#This Row],[LP Exp Date]]-MAX(SnapshotTable[[#This Row],[LP Book Date]], SnapshotTable[[#This Row],[LP Fill Date]]),"")</f>
        <v/>
      </c>
      <c r="BN14" s="385" t="str">
        <f>IF(ISNUMBER( SnapshotTable[[#This Row],[LP Term]]), SnapshotTable[[#This Row],[LP Exp Date]] - MockToday,"")</f>
        <v/>
      </c>
      <c r="BO14" s="163"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7"/>
      <c r="BU14" s="13"/>
      <c r="BV14" s="5"/>
      <c r="BW14" s="419" t="b">
        <f>AND(ISNUMBER(SnapshotTable[[#This Row],[SP Exp Date]]), ISNUMBER(SnapshotTable[[#This Row],[SP Strike Price]]), ISNUMBER(SnapshotTable[[#This Row],[SP Qty]]), ISNUMBER(SnapshotTable[[#This Row],[SP Book Date]]), ISNUMBER(SnapshotTable[[#This Row],[SP Book Price]]))</f>
        <v>0</v>
      </c>
      <c r="BX14" s="419" t="b">
        <f>AND(SnapshotTable[[#This Row],[SP Is Booked]], NOT(ISBLANK(SnapshotTable[[#This Row],[SP Fill Date]])))</f>
        <v>0</v>
      </c>
      <c r="BY14" s="33">
        <f>IF(SnapshotTable[[#This Row],[SP Is Booked]], SnapshotTable[[#This Row],[SP Qty]] * SnapshotTable[[#This Row],[SP Book Price]] * 100, 0)</f>
        <v>0</v>
      </c>
      <c r="BZ14" s="369"/>
      <c r="CA14" s="368">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3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44"/>
      <c r="CK14" s="31">
        <f>IF(ISNUMBER(SnapshotTable[[#This Row],[SP Potential Spend]]),IF(ISNUMBER(SnapshotTable[[#This Row],[SP POW]]), SnapshotTable[[#This Row],[SP POW]] * SnapshotTable[[#This Row],[SP Potential Spend]], SnapshotTable[[#This Row],[SP Potential Spend]]), "")</f>
        <v>0</v>
      </c>
      <c r="CL14" s="164">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4"/>
      <c r="CO14" s="369"/>
      <c r="CP14" s="4" t="str">
        <f>IF(SnapshotTable[[#This Row],[SP Is Filled]], btc_max_buyback_amount(SnapshotTable[[#This Row],[SP Fill Date]],SnapshotTable[[#This Row],[SP Exp Date]], SnapshotTable[[#This Row],[SP Book Price]]),"")</f>
        <v/>
      </c>
      <c r="CQ14" s="78"/>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5" t="str">
        <f>IF(SnapshotTable[[#This Row],[SP Is Filled]], btc_next_cutoff_date(SnapshotTable[[#This Row],[SP Fill Date]],SnapshotTable[[#This Row],[SP Exp Date]]),"")</f>
        <v/>
      </c>
      <c r="CT14" s="23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6"/>
      <c r="CV14" s="235" t="s">
        <v>827</v>
      </c>
      <c r="CW14" s="378"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294" t="str">
        <f>IF(ISNUMBER((SnapshotTable[[#This Row],[SP Total Value]])), SnapshotTable[[#This Row],[SP Gain Loss]] / SnapshotTable[[#This Row],[SP Premium]], "")</f>
        <v/>
      </c>
      <c r="DI14" s="406"/>
      <c r="DJ14" s="138"/>
      <c r="DK14" s="148"/>
      <c r="DL14" s="147"/>
      <c r="DM14" s="147"/>
      <c r="DO14" s="31">
        <f>IF(SnapshotTable[[#This Row],[LC Symbol Count]]=1, SnapshotTable[[#This Row],[LC Qty]] * SnapshotTable[[#This Row],[LC Book Price]] * 100, 0)</f>
        <v>0</v>
      </c>
      <c r="DP14" s="289" t="str">
        <f>IF(AND(SnapshotTable[[#This Row],[LC Exp Date]]&gt;0, SnapshotTable[[#This Row],[LC Strike Price]]&gt;0,SnapshotTable[[#This Row],[LC Qty]]&gt;0,SnapshotTable[[#This Row],[LC Book Date]]&gt;0,SnapshotTable[[#This Row],[LC Book Price]]&gt;0,SnapshotTable[[#This Row],[LC Fill Date]]=0),"Y","")</f>
        <v/>
      </c>
      <c r="DQ14" s="386" t="str">
        <f>IF(SnapshotTable[[#This Row],[LC Premium]] &gt; 0,SnapshotTable[[#This Row],[LC Exp Date]]-MAX(SnapshotTable[[#This Row],[LC Book Date]], SnapshotTable[[#This Row],[LC Fill Date]]),"")</f>
        <v/>
      </c>
      <c r="DR14" s="386" t="str">
        <f>IF(ISNUMBER(SnapshotTable[[#This Row],[LC Term]]), SnapshotTable[[#This Row],[LC Exp Date]] - MockToday, "")</f>
        <v/>
      </c>
      <c r="DS14" s="23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40" t="str">
        <f>IF(ISNUMBER(SnapshotTable[[#This Row],[LC Actual Gain Loss]]), SnapshotTable[[#This Row],[LC Actual Gain Loss]] / SnapshotTable[[#This Row],[LC Premium]],"")</f>
        <v/>
      </c>
      <c r="DX14" s="284" t="str">
        <f>IF(ISNUMBER(SnapshotTable[[#This Row],[LC Book Price]]),SnapshotTable[[#This Row],[LC Book Price]] * 1.5,"")</f>
        <v/>
      </c>
      <c r="DY14" s="265" t="str">
        <f>IF(SnapshotTable[[#This Row],[LC Premium]]&gt;0, SnapshotTable[[#This Row],[LC Next Target]] * SnapshotTable[[#This Row],[LC Qty]] * 100,"")</f>
        <v/>
      </c>
      <c r="DZ14" s="265" t="str">
        <f>IF(ISNUMBER(SnapshotTable[[#This Row],[LC Target Gross]]), SnapshotTable[[#This Row],[LC Target Gross]] - SnapshotTable[[#This Row],[LC Premium]], "")</f>
        <v/>
      </c>
      <c r="EA14" s="305" t="str">
        <f>IF(ISNUMBER(SnapshotTable[[#This Row],[LC Target Gain Loss]]), SnapshotTable[[#This Row],[LC Target Gain Loss]]/SnapshotTable[[#This Row],[LC Premium]], "")</f>
        <v/>
      </c>
      <c r="EB14" s="262"/>
      <c r="EC14" s="283" t="str">
        <f>IF(SnapshotTable[[#This Row],[LC Premium]]&gt;0, SnapshotTable[[#This Row],[LC Book Price]] * (1 - LC_StopLoss_Pct),"")</f>
        <v/>
      </c>
      <c r="ED14" s="284"/>
      <c r="EE14" s="28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4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7"/>
      <c r="EL14" s="138"/>
      <c r="EM14" s="148"/>
      <c r="EN14" s="147"/>
      <c r="EO14" s="147"/>
      <c r="EP14" s="138"/>
      <c r="EQ14" s="419" t="b">
        <f>AND(ISNUMBER(SnapshotTable[[#This Row],[SC Exp Date]]), ISNUMBER(SnapshotTable[[#This Row],[SC Strike Price]]), ISNUMBER(SnapshotTable[[#This Row],[SC Qty]]), ISNUMBER(SnapshotTable[[#This Row],[SC Book Date]]), ISNUMBER(SnapshotTable[[#This Row],[SC Book Price]]))</f>
        <v>0</v>
      </c>
      <c r="ER14" s="419" t="b">
        <f>AND(SnapshotTable[[#This Row],[SC Is Booked]], NOT(ISBLANK(SnapshotTable[[#This Row],[SC Fill Date]])))</f>
        <v>0</v>
      </c>
      <c r="ES14" s="370"/>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3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283"/>
      <c r="FA14" s="218"/>
      <c r="FB14" s="370"/>
      <c r="FC14" s="4">
        <f>IF(SnapshotTable[[#This Row],[SC Is Filled]], btc_max_buyback_amount(SnapshotTable[[#This Row],[SC Fill Date]],SnapshotTable[[#This Row],[SC Exp Date]], SnapshotTable[[#This Row],[SC Book Price]]),0)</f>
        <v>0</v>
      </c>
      <c r="FD14" s="5"/>
      <c r="FE14" s="144"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382">
        <f>IF(SnapshotTable[[#This Row],[SC Is Filled]], IF(ISNUMBER(SnapshotTable[[#This Row],[SC Current Ask]]), SnapshotTable[[#This Row],[SC Current Ask]], SnapshotTable[[#This Row],[SC Book Price]]) - SnapshotTable[[#This Row],[SC Intrinsic Value]], 0)</f>
        <v>0</v>
      </c>
      <c r="FI14" s="143"/>
      <c r="FJ14" s="32" t="str">
        <f>IF(SnapshotTable[[#This Row],[SC Is Filled]],100 * SnapshotTable[[#This Row],[SC Qty]] * IF(ISNUMBER(SnapshotTable[[#This Row],[SC Buyback Override]]), SnapshotTable[[#This Row],[SC Buyback Override]], SnapshotTable[[#This Row],[SC Current Ask]]), "")</f>
        <v/>
      </c>
      <c r="FK14" s="250" t="str">
        <f>IF(SnapshotTable[[#This Row],[SC Time Val]]&gt;0, SnapshotTable[[#This Row],[SC Time Val]] / SnapshotTable[[#This Row],[Last Price]],"")</f>
        <v/>
      </c>
      <c r="FL14" s="302" t="str">
        <f>IF(SnapshotTable[[#This Row],[SC Is Booked]], ((SnapshotTable[[#This Row],[Last Price]] -SnapshotTable[[#This Row],[SC Strike Price]]) / SnapshotTable[[#This Row],[Last Price]]) * -1, "")</f>
        <v/>
      </c>
      <c r="FM14" s="157" t="str">
        <f>IF(SnapshotTable[[#This Row],[SC Is Booked]],  (SnapshotTable[[#This Row],[SC Qty]] * 100 * SnapshotTable[[#This Row],[SC Strike Price]]) - SnapshotTable[[#This Row],[SC Current Ask]], "")</f>
        <v/>
      </c>
      <c r="FN1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7"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33"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36" t="str">
        <f>IF(AND(ISNUMBER(SnapshotTable[[#This Row],[SC Simple ROO]]),SnapshotTable[[#This Row],[SC Simple ROO]] &gt; 0), SnapshotTable[[#This Row],[SC Premium]] + (SnapshotTable[[#This Row],[SC Qty]] * SnapshotTable[[#This Row],[SC Upside Potential]]), "")</f>
        <v/>
      </c>
      <c r="FX14" s="302" t="str" cm="1">
        <f t="array" ref="FX14">IF(ISNUMBER(SnapshotTable[[#This Row],[SC Max Dollars]]), annualize(SnapshotTable[[#This Row],[SC Term]],(SnapshotTable[[#This Row],[SC Max Dollars]]/SnapshotTable[[#This Row],[SC Basis]])),"")</f>
        <v/>
      </c>
      <c r="FY14" s="236" t="str">
        <f>IF(AND(SnapshotTable[[#This Row],[SC Qty]]&gt;0,SnapshotTable[[#This Row],[SC Current Ask]]&gt;0), SnapshotTable[[#This Row],[SC Qty]] * SnapshotTable[[#This Row],[SC Current Ask]] * -100, "")</f>
        <v/>
      </c>
      <c r="FZ14" s="235" t="str">
        <f>IF(ISNUMBER((SnapshotTable[[#This Row],[SC Current Value]])), SnapshotTable[[#This Row],[SC Premium]] + SnapshotTable[[#This Row],[SC Current Value]], "")</f>
        <v/>
      </c>
      <c r="GA14" s="29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1077.0435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8" t="str">
        <f>IF(SnapshotTable[[#This Row],[Sale G/L]]&gt;0, SnapshotTable[[#This Row],[Sale G/L]] / SnapshotTable[[#This Row],[Sale Basis]], IF(ISNUMBER(SnapshotTable[[#This Row],[SC Exercise P&amp;L (TAX)]]), SnapshotTable[[#This Row],[SC Exercise P&amp;L (TAX)]] / SnapshotTable[[#This Row],[SC Basis]], ""))</f>
        <v/>
      </c>
      <c r="GK14" s="27"/>
      <c r="GL14" s="159"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59" t="str">
        <f>IF(AND(SnapshotTable[[#This Row],[LC Exp Date]]&gt;0,SnapshotTable[[#This Row],[LC Strike Price]]&gt;0), [1]!ToOptionSymbol(SnapshotTable[[#This Row],[Symbol]], SnapshotTable[[#This Row],[LC Strike Price]],SnapshotTable[[#This Row],[LC Exp Date]],0), "")</f>
        <v/>
      </c>
      <c r="GQ14" s="160" t="str">
        <f>IF(LEN(SnapshotTable[[#This Row],[LC Symbol]])&gt;0, 1, "")</f>
        <v/>
      </c>
      <c r="GR14" s="159" t="str">
        <f>IF(AND(SnapshotTable[[#This Row],[SC Exp Date]]&gt;0,SnapshotTable[[#This Row],[SC Strike Price]]&gt;0), [1]!ToOptionSymbol(SnapshotTable[[#This Row],[Symbol]], SnapshotTable[[#This Row],[SC Strike Price]],SnapshotTable[[#This Row],[SC Exp Date]],0), "")</f>
        <v/>
      </c>
      <c r="GS14" s="160" t="str">
        <f>IF(LEN(SnapshotTable[[#This Row],[SC Symbol]])&gt;0, 1, "")</f>
        <v/>
      </c>
      <c r="GT14" s="161"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31">
        <f>MAX(SnapshotTable[[#This Row],[Equity Basis Total]],SnapshotTable[[#This Row],[Equity Value]]) + (SnapshotTable[[#This Row],[SP Potential Spend]]- SnapshotTable[[#This Row],[SP Premium]] + SnapshotTable[[#This Row],[LP Premium]])+ (SnapshotTable[[#This Row],[LC Premium]] - SnapshotTable[[#This Row],[SC Premium]])</f>
        <v>0</v>
      </c>
      <c r="GW14" s="139" t="str">
        <f>IF(AND(SnapshotTable[[#This Row],[Exposure]] &lt;&gt; 0),SnapshotTable[[#This Row],[Exposure]] / SnapshotTable[[#Totals],[Exposure]], "")</f>
        <v/>
      </c>
      <c r="HK14" s="1"/>
      <c r="HL14" s="1"/>
      <c r="HM14" s="1"/>
      <c r="HN14" s="1"/>
      <c r="HO14" s="1"/>
      <c r="HP14" s="1"/>
    </row>
    <row r="15" spans="2:224" ht="12.75" hidden="1" customHeight="1" x14ac:dyDescent="0.25">
      <c r="B15" s="12" t="s">
        <v>934</v>
      </c>
      <c r="C15" s="422">
        <v>2.66</v>
      </c>
      <c r="D15" s="208" t="s">
        <v>954</v>
      </c>
      <c r="E15" s="39">
        <f>SnapshotTable[[#This Row],[Last Price]]*(1 -CrashDiscount)</f>
        <v>2.2610000000000001</v>
      </c>
      <c r="F15" s="26" t="s">
        <v>935</v>
      </c>
      <c r="G15" s="26" t="s">
        <v>49</v>
      </c>
      <c r="H15" s="149"/>
      <c r="I15" s="194">
        <v>44784.677083333336</v>
      </c>
      <c r="J15" s="195">
        <v>44784.677083333336</v>
      </c>
      <c r="K15" s="196"/>
      <c r="L15" s="326"/>
      <c r="M15" s="140"/>
      <c r="N15" s="140"/>
      <c r="O15" s="140"/>
      <c r="P15" s="22"/>
      <c r="Q15" s="25"/>
      <c r="R15" s="4" t="str">
        <f>IF(SnapshotTable[[#This Row],[Equity Basis Total]] &gt; 0, SnapshotTable[[#This Row],[Equity Basis Total]] / SnapshotTable[[#This Row],[Equity Shares]], "")</f>
        <v/>
      </c>
      <c r="S15" s="269">
        <f>SnapshotTable[[#This Row],[Last Price]] * SnapshotTable[[#This Row],[Equity Shares]]</f>
        <v>0</v>
      </c>
      <c r="T15" s="269">
        <f>SnapshotTable[[#This Row],[Equity Value]] - SnapshotTable[[#This Row],[Equity Basis Total]]</f>
        <v>0</v>
      </c>
      <c r="U15" s="270" t="str">
        <f>IF(SnapshotTable[[#This Row],[Equity Basis Total]] &gt; 0, SnapshotTable[[#This Row],[Equity G/L]] / SnapshotTable[[#This Row],[Equity Basis Total]], "")</f>
        <v/>
      </c>
      <c r="V15" s="268"/>
      <c r="W15" s="26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7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0"/>
      <c r="AD15" s="151"/>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1"/>
      <c r="AI15" s="5"/>
      <c r="AJ15" s="138" t="s">
        <v>164</v>
      </c>
      <c r="AK15" s="152" t="str">
        <f>IF(ISNUMBER( SnapshotTable[[#This Row],[EBF Target]]),(SnapshotTable[[#This Row],[EBF Target]] - SnapshotTable[[#This Row],[Last Price]]) / SnapshotTable[[#This Row],[Last Price]], "")</f>
        <v/>
      </c>
      <c r="AL15" s="152"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27</v>
      </c>
      <c r="AR15" s="5">
        <v>15</v>
      </c>
      <c r="AS15" s="38" t="s">
        <v>38</v>
      </c>
      <c r="AT15" s="146" t="s">
        <v>542</v>
      </c>
      <c r="AU15" s="187" t="str">
        <f>IF(OR(SnapshotTable[[#This Row],[LP No Fill]]="Y",SnapshotTable[[#This Row],[SP Is Filled]],SnapshotTable[[#This Row],[LC Not Filled]]="Y",SnapshotTable[[#This Row],[SC Is Filled]]),"Y","")</f>
        <v/>
      </c>
      <c r="AV15" s="219"/>
      <c r="AW15" s="225"/>
      <c r="AX15" s="220"/>
      <c r="AY15" s="219" t="str">
        <f>IF(SnapshotTable[[#This Row],[Implied Move]]&gt;0, SnapshotTable[[#This Row],[Last Price]]-SnapshotTable[[#This Row],[Implied Move]],"")</f>
        <v/>
      </c>
      <c r="AZ15" s="219" t="str">
        <f>IF(SnapshotTable[[#This Row],[Implied Move]]&gt;0, SnapshotTable[[#This Row],[Last Price]] + SnapshotTable[[#This Row],[Implied Move]],"")</f>
        <v/>
      </c>
      <c r="BA15" s="331"/>
      <c r="BB15" s="347"/>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51"/>
      <c r="BE15" s="5"/>
      <c r="BF15" s="14"/>
      <c r="BG15" s="13"/>
      <c r="BH15" s="13"/>
      <c r="BI15" s="5"/>
      <c r="BJ15" s="136">
        <f>IF(SnapshotTable[[#This Row],[LP Qty]] &gt; 0, SnapshotTable[[#This Row],[LP Qty]] * SnapshotTable[[#This Row],[LP Book Price]] * 100,0)</f>
        <v>0</v>
      </c>
      <c r="BK15" s="136">
        <f>IF(SnapshotTable[[#This Row],[LP Premium]] &gt; 0, SnapshotTable[[#This Row],[LP Qty]] * SnapshotTable[[#This Row],[LP Strike Price]] * 100,0)</f>
        <v>0</v>
      </c>
      <c r="BL15" s="154"/>
      <c r="BM15" s="385" t="str">
        <f>IF(SnapshotTable[[#This Row],[LP Premium]] &gt; 0,SnapshotTable[[#This Row],[LP Exp Date]]-MAX(SnapshotTable[[#This Row],[LP Book Date]], SnapshotTable[[#This Row],[LP Fill Date]]),"")</f>
        <v/>
      </c>
      <c r="BN15" s="385" t="str">
        <f>IF(ISNUMBER( SnapshotTable[[#This Row],[LP Term]]), SnapshotTable[[#This Row],[LP Exp Date]] - MockToday,"")</f>
        <v/>
      </c>
      <c r="BO15" s="163"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7"/>
      <c r="BU15" s="13"/>
      <c r="BV15" s="5"/>
      <c r="BW15" s="419" t="b">
        <f>AND(ISNUMBER(SnapshotTable[[#This Row],[SP Exp Date]]), ISNUMBER(SnapshotTable[[#This Row],[SP Strike Price]]), ISNUMBER(SnapshotTable[[#This Row],[SP Qty]]), ISNUMBER(SnapshotTable[[#This Row],[SP Book Date]]), ISNUMBER(SnapshotTable[[#This Row],[SP Book Price]]))</f>
        <v>0</v>
      </c>
      <c r="BX15" s="419" t="b">
        <f>AND(SnapshotTable[[#This Row],[SP Is Booked]], NOT(ISBLANK(SnapshotTable[[#This Row],[SP Fill Date]])))</f>
        <v>0</v>
      </c>
      <c r="BY15" s="33">
        <f>IF(SnapshotTable[[#This Row],[SP Is Booked]], SnapshotTable[[#This Row],[SP Qty]] * SnapshotTable[[#This Row],[SP Book Price]] * 100, 0)</f>
        <v>0</v>
      </c>
      <c r="BZ15" s="369"/>
      <c r="CA15" s="368">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3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44"/>
      <c r="CK15" s="31">
        <f>IF(ISNUMBER(SnapshotTable[[#This Row],[SP Potential Spend]]),IF(ISNUMBER(SnapshotTable[[#This Row],[SP POW]]), SnapshotTable[[#This Row],[SP POW]] * SnapshotTable[[#This Row],[SP Potential Spend]], SnapshotTable[[#This Row],[SP Potential Spend]]), "")</f>
        <v>0</v>
      </c>
      <c r="CL15" s="164">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8"/>
      <c r="CO15" s="369"/>
      <c r="CP15" s="4" t="str">
        <f>IF(SnapshotTable[[#This Row],[SP Is Filled]], btc_max_buyback_amount(SnapshotTable[[#This Row],[SP Fill Date]],SnapshotTable[[#This Row],[SP Exp Date]], SnapshotTable[[#This Row],[SP Book Price]]),"")</f>
        <v/>
      </c>
      <c r="CQ15" s="78"/>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5" t="str">
        <f>IF(SnapshotTable[[#This Row],[SP Is Filled]], btc_next_cutoff_date(SnapshotTable[[#This Row],[SP Fill Date]],SnapshotTable[[#This Row],[SP Exp Date]]),"")</f>
        <v/>
      </c>
      <c r="CT15" s="23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3"/>
      <c r="CV15" s="235"/>
      <c r="CW15" s="378"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294" t="str">
        <f>IF(ISNUMBER((SnapshotTable[[#This Row],[SP Total Value]])), SnapshotTable[[#This Row],[SP Gain Loss]] / SnapshotTable[[#This Row],[SP Premium]], "")</f>
        <v/>
      </c>
      <c r="DI15" s="406"/>
      <c r="DJ15" s="138"/>
      <c r="DK15" s="148"/>
      <c r="DL15" s="13"/>
      <c r="DM15" s="13"/>
      <c r="DO15" s="31">
        <f>IF(SnapshotTable[[#This Row],[LC Symbol Count]]=1, SnapshotTable[[#This Row],[LC Qty]] * SnapshotTable[[#This Row],[LC Book Price]] * 100, 0)</f>
        <v>0</v>
      </c>
      <c r="DP15" s="163" t="str">
        <f>IF(AND(SnapshotTable[[#This Row],[LC Exp Date]]&gt;0, SnapshotTable[[#This Row],[LC Strike Price]]&gt;0,SnapshotTable[[#This Row],[LC Qty]]&gt;0,SnapshotTable[[#This Row],[LC Book Date]]&gt;0,SnapshotTable[[#This Row],[LC Book Price]]&gt;0,SnapshotTable[[#This Row],[LC Fill Date]]=0),"Y","")</f>
        <v/>
      </c>
      <c r="DQ15" s="386" t="str">
        <f>IF(SnapshotTable[[#This Row],[LC Premium]] &gt; 0,SnapshotTable[[#This Row],[LC Exp Date]]-MAX(SnapshotTable[[#This Row],[LC Book Date]], SnapshotTable[[#This Row],[LC Fill Date]]),"")</f>
        <v/>
      </c>
      <c r="DR15" s="386" t="str">
        <f>IF(ISNUMBER(SnapshotTable[[#This Row],[LC Term]]), SnapshotTable[[#This Row],[LC Exp Date]] - MockToday, "")</f>
        <v/>
      </c>
      <c r="DS15" s="23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40" t="str">
        <f>IF(ISNUMBER(SnapshotTable[[#This Row],[LC Actual Gain Loss]]), SnapshotTable[[#This Row],[LC Actual Gain Loss]] / SnapshotTable[[#This Row],[LC Premium]],"")</f>
        <v/>
      </c>
      <c r="DX15" s="284" t="str">
        <f>IF(ISNUMBER(SnapshotTable[[#This Row],[LC Book Price]]),SnapshotTable[[#This Row],[LC Book Price]] * 1.5,"")</f>
        <v/>
      </c>
      <c r="DY15" s="265" t="str">
        <f>IF(SnapshotTable[[#This Row],[LC Premium]]&gt;0, SnapshotTable[[#This Row],[LC Next Target]] * SnapshotTable[[#This Row],[LC Qty]] * 100,"")</f>
        <v/>
      </c>
      <c r="DZ15" s="265" t="str">
        <f>IF(ISNUMBER(SnapshotTable[[#This Row],[LC Target Gross]]), SnapshotTable[[#This Row],[LC Target Gross]] - SnapshotTable[[#This Row],[LC Premium]], "")</f>
        <v/>
      </c>
      <c r="EA15" s="305" t="str">
        <f>IF(ISNUMBER(SnapshotTable[[#This Row],[LC Target Gain Loss]]), SnapshotTable[[#This Row],[LC Target Gain Loss]]/SnapshotTable[[#This Row],[LC Premium]], "")</f>
        <v/>
      </c>
      <c r="EB15" s="262"/>
      <c r="EC15" s="283" t="str">
        <f>IF(SnapshotTable[[#This Row],[LC Premium]]&gt;0, SnapshotTable[[#This Row],[LC Book Price]] * (1 - LC_StopLoss_Pct),"")</f>
        <v/>
      </c>
      <c r="ED15" s="284"/>
      <c r="EE15" s="28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4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7"/>
      <c r="EL15" s="138"/>
      <c r="EM15" s="148"/>
      <c r="EN15" s="147"/>
      <c r="EO15" s="147"/>
      <c r="EP15" s="138"/>
      <c r="EQ15" s="419" t="b">
        <f>AND(ISNUMBER(SnapshotTable[[#This Row],[SC Exp Date]]), ISNUMBER(SnapshotTable[[#This Row],[SC Strike Price]]), ISNUMBER(SnapshotTable[[#This Row],[SC Qty]]), ISNUMBER(SnapshotTable[[#This Row],[SC Book Date]]), ISNUMBER(SnapshotTable[[#This Row],[SC Book Price]]))</f>
        <v>0</v>
      </c>
      <c r="ER15" s="419" t="b">
        <f>AND(SnapshotTable[[#This Row],[SC Is Booked]], NOT(ISBLANK(SnapshotTable[[#This Row],[SC Fill Date]])))</f>
        <v>0</v>
      </c>
      <c r="ES15" s="370"/>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3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283"/>
      <c r="FA15" s="218"/>
      <c r="FB15" s="370"/>
      <c r="FC15" s="4">
        <f>IF(SnapshotTable[[#This Row],[SC Is Filled]], btc_max_buyback_amount(SnapshotTable[[#This Row],[SC Fill Date]],SnapshotTable[[#This Row],[SC Exp Date]], SnapshotTable[[#This Row],[SC Book Price]]),0)</f>
        <v>0</v>
      </c>
      <c r="FD15" s="5"/>
      <c r="FE15" s="144"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382">
        <f>IF(SnapshotTable[[#This Row],[SC Is Filled]], IF(ISNUMBER(SnapshotTable[[#This Row],[SC Current Ask]]), SnapshotTable[[#This Row],[SC Current Ask]], SnapshotTable[[#This Row],[SC Book Price]]) - SnapshotTable[[#This Row],[SC Intrinsic Value]], 0)</f>
        <v>0</v>
      </c>
      <c r="FI15" s="143">
        <v>45786</v>
      </c>
      <c r="FJ15" s="32" t="str">
        <f>IF(SnapshotTable[[#This Row],[SC Is Filled]],100 * SnapshotTable[[#This Row],[SC Qty]] * IF(ISNUMBER(SnapshotTable[[#This Row],[SC Buyback Override]]), SnapshotTable[[#This Row],[SC Buyback Override]], SnapshotTable[[#This Row],[SC Current Ask]]), "")</f>
        <v/>
      </c>
      <c r="FK15" s="250" t="str">
        <f>IF(SnapshotTable[[#This Row],[SC Time Val]]&gt;0, SnapshotTable[[#This Row],[SC Time Val]] / SnapshotTable[[#This Row],[Last Price]],"")</f>
        <v/>
      </c>
      <c r="FL15" s="302" t="str">
        <f>IF(SnapshotTable[[#This Row],[SC Is Booked]], ((SnapshotTable[[#This Row],[Last Price]] -SnapshotTable[[#This Row],[SC Strike Price]]) / SnapshotTable[[#This Row],[Last Price]]) * -1, "")</f>
        <v/>
      </c>
      <c r="FM15" s="157"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33"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36" t="str">
        <f>IF(AND(ISNUMBER(SnapshotTable[[#This Row],[SC Simple ROO]]),SnapshotTable[[#This Row],[SC Simple ROO]] &gt; 0), SnapshotTable[[#This Row],[SC Premium]] + (SnapshotTable[[#This Row],[SC Qty]] * SnapshotTable[[#This Row],[SC Upside Potential]]), "")</f>
        <v/>
      </c>
      <c r="FX15" s="302" t="str" cm="1">
        <f t="array" ref="FX15">IF(ISNUMBER(SnapshotTable[[#This Row],[SC Max Dollars]]), annualize(SnapshotTable[[#This Row],[SC Term]],(SnapshotTable[[#This Row],[SC Max Dollars]]/SnapshotTable[[#This Row],[SC Basis]])),"")</f>
        <v/>
      </c>
      <c r="FY15" s="23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29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5.1870000000000003</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31">
        <f>MAX(SnapshotTable[[#This Row],[Equity Basis Total]],SnapshotTable[[#This Row],[Equity Value]]) + (SnapshotTable[[#This Row],[SP Potential Spend]]- SnapshotTable[[#This Row],[SP Premium]] + SnapshotTable[[#This Row],[LP Premium]])+ (SnapshotTable[[#This Row],[LC Premium]] - SnapshotTable[[#This Row],[SC Premium]])</f>
        <v>0</v>
      </c>
      <c r="GW15" s="139" t="str">
        <f>IF(AND(SnapshotTable[[#This Row],[Exposure]] &lt;&gt; 0),SnapshotTable[[#This Row],[Exposure]] / SnapshotTable[[#Totals],[Exposure]], "")</f>
        <v/>
      </c>
      <c r="HK15" s="1"/>
      <c r="HL15" s="1"/>
      <c r="HM15" s="1"/>
      <c r="HN15" s="1"/>
      <c r="HO15" s="1"/>
      <c r="HP15" s="1"/>
    </row>
    <row r="16" spans="2:224" ht="12.75" hidden="1" customHeight="1" x14ac:dyDescent="0.25">
      <c r="B16" s="12" t="s">
        <v>1126</v>
      </c>
      <c r="C16" s="422">
        <v>141.94999999999999</v>
      </c>
      <c r="D16" s="208"/>
      <c r="E16" s="39">
        <f>SnapshotTable[[#This Row],[Last Price]]*(1 -CrashDiscount)</f>
        <v>120.65749999999998</v>
      </c>
      <c r="F16" s="26" t="s">
        <v>243</v>
      </c>
      <c r="G16" s="26" t="s">
        <v>9</v>
      </c>
      <c r="H16" s="149"/>
      <c r="I16" s="194"/>
      <c r="J16" s="195"/>
      <c r="K16" s="196"/>
      <c r="L16" s="326"/>
      <c r="M16" s="140"/>
      <c r="N16" s="140"/>
      <c r="O16" s="140"/>
      <c r="P16" s="22"/>
      <c r="Q16" s="25"/>
      <c r="R16" s="4" t="str">
        <f>IF(SnapshotTable[[#This Row],[Equity Basis Total]] &gt; 0, SnapshotTable[[#This Row],[Equity Basis Total]] / SnapshotTable[[#This Row],[Equity Shares]], "")</f>
        <v/>
      </c>
      <c r="S16" s="269">
        <f>SnapshotTable[[#This Row],[Last Price]] * SnapshotTable[[#This Row],[Equity Shares]]</f>
        <v>0</v>
      </c>
      <c r="T16" s="269">
        <f>SnapshotTable[[#This Row],[Equity Value]] - SnapshotTable[[#This Row],[Equity Basis Total]]</f>
        <v>0</v>
      </c>
      <c r="U16" s="270" t="str">
        <f>IF(SnapshotTable[[#This Row],[Equity Basis Total]] &gt; 0, SnapshotTable[[#This Row],[Equity G/L]] / SnapshotTable[[#This Row],[Equity Basis Total]], "")</f>
        <v/>
      </c>
      <c r="V16" s="268"/>
      <c r="W16" s="26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7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0"/>
      <c r="AD16" s="151"/>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1"/>
      <c r="AI16" s="5"/>
      <c r="AJ16" s="138">
        <v>213.75</v>
      </c>
      <c r="AK16" s="152" t="str">
        <f>IF(ISNUMBER( SnapshotTable[[#This Row],[EBF Target]]),(SnapshotTable[[#This Row],[EBF Target]] - SnapshotTable[[#This Row],[Last Price]]) / SnapshotTable[[#This Row],[Last Price]], "")</f>
        <v/>
      </c>
      <c r="AL16" s="152"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2">
        <f>IF(AND(ISNUMBER( SnapshotTable[[#This Row],[Long Term Target]]), ISNUMBER(SnapshotTable[[#This Row],[Last Price]])),(SnapshotTable[[#This Row],[Long Term Target]] - SnapshotTable[[#This Row],[Last Price]]) / SnapshotTable[[#This Row],[Last Price]], "")</f>
        <v>0.50581190560056366</v>
      </c>
      <c r="AP16" s="5"/>
      <c r="AQ16" s="38"/>
      <c r="AR16" s="5"/>
      <c r="AS16" s="38"/>
      <c r="AT16" s="146"/>
      <c r="AU16" s="187" t="str">
        <f>IF(OR(SnapshotTable[[#This Row],[LP No Fill]]="Y",SnapshotTable[[#This Row],[SP Is Filled]],SnapshotTable[[#This Row],[LC Not Filled]]="Y",SnapshotTable[[#This Row],[SC Is Filled]]),"Y","")</f>
        <v/>
      </c>
      <c r="AV16" s="219"/>
      <c r="AW16" s="225"/>
      <c r="AX16" s="220"/>
      <c r="AY16" s="219" t="str">
        <f>IF(SnapshotTable[[#This Row],[Implied Move]]&gt;0, SnapshotTable[[#This Row],[Last Price]]-SnapshotTable[[#This Row],[Implied Move]],"")</f>
        <v/>
      </c>
      <c r="AZ16" s="219" t="str">
        <f>IF(SnapshotTable[[#This Row],[Implied Move]]&gt;0, SnapshotTable[[#This Row],[Last Price]] + SnapshotTable[[#This Row],[Implied Move]],"")</f>
        <v/>
      </c>
      <c r="BA16" s="331"/>
      <c r="BB16" s="347"/>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51"/>
      <c r="BE16" s="138"/>
      <c r="BF16" s="166"/>
      <c r="BG16" s="167"/>
      <c r="BH16" s="167"/>
      <c r="BI16" s="221"/>
      <c r="BJ16" s="153">
        <f>IF(SnapshotTable[[#This Row],[LP Qty]] &gt; 0, SnapshotTable[[#This Row],[LP Qty]] * SnapshotTable[[#This Row],[LP Book Price]] * 100,0)</f>
        <v>0</v>
      </c>
      <c r="BK16" s="136">
        <f>IF(SnapshotTable[[#This Row],[LP Premium]] &gt; 0, SnapshotTable[[#This Row],[LP Qty]] * SnapshotTable[[#This Row],[LP Strike Price]] * 100,0)</f>
        <v>0</v>
      </c>
      <c r="BL16" s="154"/>
      <c r="BM16" s="385" t="str">
        <f>IF(SnapshotTable[[#This Row],[LP Premium]] &gt; 0,SnapshotTable[[#This Row],[LP Exp Date]]-MAX(SnapshotTable[[#This Row],[LP Book Date]], SnapshotTable[[#This Row],[LP Fill Date]]),"")</f>
        <v/>
      </c>
      <c r="BN16" s="385" t="str">
        <f>IF(ISNUMBER( SnapshotTable[[#This Row],[LP Term]]), SnapshotTable[[#This Row],[LP Exp Date]] - MockToday,"")</f>
        <v/>
      </c>
      <c r="BO16" s="163"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7"/>
      <c r="BU16" s="13"/>
      <c r="BV16" s="5"/>
      <c r="BW16" s="419" t="b">
        <f>AND(ISNUMBER(SnapshotTable[[#This Row],[SP Exp Date]]), ISNUMBER(SnapshotTable[[#This Row],[SP Strike Price]]), ISNUMBER(SnapshotTable[[#This Row],[SP Qty]]), ISNUMBER(SnapshotTable[[#This Row],[SP Book Date]]), ISNUMBER(SnapshotTable[[#This Row],[SP Book Price]]))</f>
        <v>0</v>
      </c>
      <c r="BX16" s="419" t="b">
        <f>AND(SnapshotTable[[#This Row],[SP Is Booked]], NOT(ISBLANK(SnapshotTable[[#This Row],[SP Fill Date]])))</f>
        <v>0</v>
      </c>
      <c r="BY16" s="33">
        <f>IF(SnapshotTable[[#This Row],[SP Is Booked]], SnapshotTable[[#This Row],[SP Qty]] * SnapshotTable[[#This Row],[SP Book Price]] * 100, 0)</f>
        <v>0</v>
      </c>
      <c r="BZ16" s="369"/>
      <c r="CA16" s="368">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3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44"/>
      <c r="CK16" s="31">
        <f>IF(ISNUMBER(SnapshotTable[[#This Row],[SP Potential Spend]]),IF(ISNUMBER(SnapshotTable[[#This Row],[SP POW]]), SnapshotTable[[#This Row],[SP POW]] * SnapshotTable[[#This Row],[SP Potential Spend]], SnapshotTable[[#This Row],[SP Potential Spend]]), "")</f>
        <v>0</v>
      </c>
      <c r="CL16" s="164">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27"/>
      <c r="CO16" s="369"/>
      <c r="CP16" s="4" t="str">
        <f>IF(SnapshotTable[[#This Row],[SP Is Filled]], btc_max_buyback_amount(SnapshotTable[[#This Row],[SP Fill Date]],SnapshotTable[[#This Row],[SP Exp Date]], SnapshotTable[[#This Row],[SP Book Price]]),"")</f>
        <v/>
      </c>
      <c r="CQ16" s="78"/>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5" t="str">
        <f>IF(SnapshotTable[[#This Row],[SP Is Filled]], btc_next_cutoff_date(SnapshotTable[[#This Row],[SP Fill Date]],SnapshotTable[[#This Row],[SP Exp Date]]),"")</f>
        <v/>
      </c>
      <c r="CT16" s="23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6"/>
      <c r="CV16" s="235"/>
      <c r="CW16" s="378"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294" t="str">
        <f>IF(ISNUMBER((SnapshotTable[[#This Row],[SP Total Value]])), SnapshotTable[[#This Row],[SP Gain Loss]] / SnapshotTable[[#This Row],[SP Premium]], "")</f>
        <v/>
      </c>
      <c r="DI16" s="406"/>
      <c r="DJ16" s="138"/>
      <c r="DK16" s="148"/>
      <c r="DL16" s="147"/>
      <c r="DM16" s="147"/>
      <c r="DO16" s="31">
        <f>IF(SnapshotTable[[#This Row],[LC Symbol Count]]=1, SnapshotTable[[#This Row],[LC Qty]] * SnapshotTable[[#This Row],[LC Book Price]] * 100, 0)</f>
        <v>0</v>
      </c>
      <c r="DP16" s="163" t="str">
        <f>IF(AND(SnapshotTable[[#This Row],[LC Exp Date]]&gt;0, SnapshotTable[[#This Row],[LC Strike Price]]&gt;0,SnapshotTable[[#This Row],[LC Qty]]&gt;0,SnapshotTable[[#This Row],[LC Book Date]]&gt;0,SnapshotTable[[#This Row],[LC Book Price]]&gt;0,SnapshotTable[[#This Row],[LC Fill Date]]=0),"Y","")</f>
        <v/>
      </c>
      <c r="DQ16" s="386" t="str">
        <f>IF(SnapshotTable[[#This Row],[LC Premium]] &gt; 0,SnapshotTable[[#This Row],[LC Exp Date]]-MAX(SnapshotTable[[#This Row],[LC Book Date]], SnapshotTable[[#This Row],[LC Fill Date]]),"")</f>
        <v/>
      </c>
      <c r="DR16" s="386" t="str">
        <f>IF(ISNUMBER(SnapshotTable[[#This Row],[LC Term]]), SnapshotTable[[#This Row],[LC Exp Date]] - MockToday, "")</f>
        <v/>
      </c>
      <c r="DS16" s="23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40" t="str">
        <f>IF(ISNUMBER(SnapshotTable[[#This Row],[LC Actual Gain Loss]]), SnapshotTable[[#This Row],[LC Actual Gain Loss]] / SnapshotTable[[#This Row],[LC Premium]],"")</f>
        <v/>
      </c>
      <c r="DX16" s="284" t="str">
        <f>IF(ISNUMBER(SnapshotTable[[#This Row],[LC Book Price]]),SnapshotTable[[#This Row],[LC Book Price]] * 1.5,"")</f>
        <v/>
      </c>
      <c r="DY16" s="265" t="str">
        <f>IF(SnapshotTable[[#This Row],[LC Premium]]&gt;0, SnapshotTable[[#This Row],[LC Next Target]] * SnapshotTable[[#This Row],[LC Qty]] * 100,"")</f>
        <v/>
      </c>
      <c r="DZ16" s="265" t="str">
        <f>IF(ISNUMBER(SnapshotTable[[#This Row],[LC Target Gross]]), SnapshotTable[[#This Row],[LC Target Gross]] - SnapshotTable[[#This Row],[LC Premium]], "")</f>
        <v/>
      </c>
      <c r="EA16" s="305" t="str">
        <f>IF(ISNUMBER(SnapshotTable[[#This Row],[LC Target Gain Loss]]), SnapshotTable[[#This Row],[LC Target Gain Loss]]/SnapshotTable[[#This Row],[LC Premium]], "")</f>
        <v/>
      </c>
      <c r="EB16" s="262"/>
      <c r="EC16" s="283" t="str">
        <f>IF(SnapshotTable[[#This Row],[LC Premium]]&gt;0, SnapshotTable[[#This Row],[LC Book Price]] * (1 - LC_StopLoss_Pct),"")</f>
        <v/>
      </c>
      <c r="ED16" s="284"/>
      <c r="EE16" s="28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4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7"/>
      <c r="EL16" s="138"/>
      <c r="EM16" s="148"/>
      <c r="EN16" s="147"/>
      <c r="EO16" s="147"/>
      <c r="EP16" s="138"/>
      <c r="EQ16" s="419" t="b">
        <f>AND(ISNUMBER(SnapshotTable[[#This Row],[SC Exp Date]]), ISNUMBER(SnapshotTable[[#This Row],[SC Strike Price]]), ISNUMBER(SnapshotTable[[#This Row],[SC Qty]]), ISNUMBER(SnapshotTable[[#This Row],[SC Book Date]]), ISNUMBER(SnapshotTable[[#This Row],[SC Book Price]]))</f>
        <v>0</v>
      </c>
      <c r="ER16" s="419" t="b">
        <f>AND(SnapshotTable[[#This Row],[SC Is Booked]], NOT(ISBLANK(SnapshotTable[[#This Row],[SC Fill Date]])))</f>
        <v>0</v>
      </c>
      <c r="ES16" s="370"/>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3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283"/>
      <c r="FA16" s="218"/>
      <c r="FB16" s="370"/>
      <c r="FC16" s="4">
        <f>IF(SnapshotTable[[#This Row],[SC Is Filled]], btc_max_buyback_amount(SnapshotTable[[#This Row],[SC Fill Date]],SnapshotTable[[#This Row],[SC Exp Date]], SnapshotTable[[#This Row],[SC Book Price]]),0)</f>
        <v>0</v>
      </c>
      <c r="FD16" s="5"/>
      <c r="FE16" s="144"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382">
        <f>IF(SnapshotTable[[#This Row],[SC Is Filled]], IF(ISNUMBER(SnapshotTable[[#This Row],[SC Current Ask]]), SnapshotTable[[#This Row],[SC Current Ask]], SnapshotTable[[#This Row],[SC Book Price]]) - SnapshotTable[[#This Row],[SC Intrinsic Value]], 0)</f>
        <v>0</v>
      </c>
      <c r="FI16" s="143">
        <v>45786</v>
      </c>
      <c r="FJ16" s="32" t="str">
        <f>IF(SnapshotTable[[#This Row],[SC Is Filled]],100 * SnapshotTable[[#This Row],[SC Qty]] * IF(ISNUMBER(SnapshotTable[[#This Row],[SC Buyback Override]]), SnapshotTable[[#This Row],[SC Buyback Override]], SnapshotTable[[#This Row],[SC Current Ask]]), "")</f>
        <v/>
      </c>
      <c r="FK16" s="250" t="str">
        <f>IF(SnapshotTable[[#This Row],[SC Time Val]]&gt;0, SnapshotTable[[#This Row],[SC Time Val]] / SnapshotTable[[#This Row],[Last Price]],"")</f>
        <v/>
      </c>
      <c r="FL16" s="302" t="str">
        <f>IF(SnapshotTable[[#This Row],[SC Is Booked]], ((SnapshotTable[[#This Row],[Last Price]] -SnapshotTable[[#This Row],[SC Strike Price]]) / SnapshotTable[[#This Row],[Last Price]]) * -1, "")</f>
        <v/>
      </c>
      <c r="FM16" s="157" t="str">
        <f>IF(SnapshotTable[[#This Row],[SC Is Booked]],  (SnapshotTable[[#This Row],[SC Qty]] * 100 * SnapshotTable[[#This Row],[SC Strike Price]]) - SnapshotTable[[#This Row],[SC Current Ask]], "")</f>
        <v/>
      </c>
      <c r="FN1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7"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33"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36" t="str">
        <f>IF(AND(ISNUMBER(SnapshotTable[[#This Row],[SC Simple ROO]]),SnapshotTable[[#This Row],[SC Simple ROO]] &gt; 0), SnapshotTable[[#This Row],[SC Premium]] + (SnapshotTable[[#This Row],[SC Qty]] * SnapshotTable[[#This Row],[SC Upside Potential]]), "")</f>
        <v/>
      </c>
      <c r="FX16" s="302" t="str" cm="1">
        <f t="array" ref="FX16">IF(ISNUMBER(SnapshotTable[[#This Row],[SC Max Dollars]]), annualize(SnapshotTable[[#This Row],[SC Term]],(SnapshotTable[[#This Row],[SC Max Dollars]]/SnapshotTable[[#This Row],[SC Basis]])),"")</f>
        <v/>
      </c>
      <c r="FY16" s="23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29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276.80249999999995</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8" t="str">
        <f>IF(SnapshotTable[[#This Row],[Sale G/L]]&gt;0, SnapshotTable[[#This Row],[Sale G/L]] / SnapshotTable[[#This Row],[Sale Basis]], IF(ISNUMBER(SnapshotTable[[#This Row],[SC Exercise P&amp;L (TAX)]]), SnapshotTable[[#This Row],[SC Exercise P&amp;L (TAX)]] / SnapshotTable[[#This Row],[SC Basis]], ""))</f>
        <v/>
      </c>
      <c r="GK16" s="158"/>
      <c r="GL16" s="159"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59" t="str">
        <f>IF(AND(SnapshotTable[[#This Row],[LC Exp Date]]&gt;0,SnapshotTable[[#This Row],[LC Strike Price]]&gt;0), [1]!ToOptionSymbol(SnapshotTable[[#This Row],[Symbol]], SnapshotTable[[#This Row],[LC Strike Price]],SnapshotTable[[#This Row],[LC Exp Date]],0), "")</f>
        <v/>
      </c>
      <c r="GQ16" s="160" t="str">
        <f>IF(LEN(SnapshotTable[[#This Row],[LC Symbol]])&gt;0, 1, "")</f>
        <v/>
      </c>
      <c r="GR16" s="159" t="str">
        <f>IF(AND(SnapshotTable[[#This Row],[SC Exp Date]]&gt;0,SnapshotTable[[#This Row],[SC Strike Price]]&gt;0), [1]!ToOptionSymbol(SnapshotTable[[#This Row],[Symbol]], SnapshotTable[[#This Row],[SC Strike Price]],SnapshotTable[[#This Row],[SC Exp Date]],0), "")</f>
        <v/>
      </c>
      <c r="GS16" s="160" t="str">
        <f>IF(LEN(SnapshotTable[[#This Row],[SC Symbol]])&gt;0, 1, "")</f>
        <v/>
      </c>
      <c r="GT16" s="161"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31">
        <f>MAX(SnapshotTable[[#This Row],[Equity Basis Total]],SnapshotTable[[#This Row],[Equity Value]]) + (SnapshotTable[[#This Row],[SP Potential Spend]]- SnapshotTable[[#This Row],[SP Premium]] + SnapshotTable[[#This Row],[LP Premium]])+ (SnapshotTable[[#This Row],[LC Premium]] - SnapshotTable[[#This Row],[SC Premium]])</f>
        <v>0</v>
      </c>
      <c r="GW16" s="139" t="str">
        <f>IF(AND(SnapshotTable[[#This Row],[Exposure]] &lt;&gt; 0),SnapshotTable[[#This Row],[Exposure]] / SnapshotTable[[#Totals],[Exposure]], "")</f>
        <v/>
      </c>
      <c r="HK16" s="1"/>
      <c r="HL16" s="1"/>
      <c r="HM16" s="1"/>
      <c r="HN16" s="1"/>
      <c r="HO16" s="1"/>
      <c r="HP16" s="1"/>
    </row>
    <row r="17" spans="2:224" ht="12.75" hidden="1" customHeight="1" x14ac:dyDescent="0.25">
      <c r="B17" s="12" t="s">
        <v>470</v>
      </c>
      <c r="C17" s="422">
        <v>140.09</v>
      </c>
      <c r="D17" s="208"/>
      <c r="E17" s="39">
        <f>SnapshotTable[[#This Row],[Last Price]]*(1 -CrashDiscount)</f>
        <v>119.0765</v>
      </c>
      <c r="F17" s="26" t="s">
        <v>129</v>
      </c>
      <c r="G17" s="26" t="s">
        <v>9</v>
      </c>
      <c r="H17" s="149"/>
      <c r="I17" s="194">
        <v>44735.28125</v>
      </c>
      <c r="J17" s="195">
        <v>44735.28125</v>
      </c>
      <c r="K17" s="196" t="s">
        <v>3</v>
      </c>
      <c r="L17" s="326"/>
      <c r="M17" s="140"/>
      <c r="N17" s="140"/>
      <c r="O17" s="140"/>
      <c r="P17" s="22"/>
      <c r="Q17" s="25"/>
      <c r="R17" s="4" t="str">
        <f>IF(SnapshotTable[[#This Row],[Equity Basis Total]] &gt; 0, SnapshotTable[[#This Row],[Equity Basis Total]] / SnapshotTable[[#This Row],[Equity Shares]], "")</f>
        <v/>
      </c>
      <c r="S17" s="269">
        <f>SnapshotTable[[#This Row],[Last Price]] * SnapshotTable[[#This Row],[Equity Shares]]</f>
        <v>0</v>
      </c>
      <c r="T17" s="269">
        <f>SnapshotTable[[#This Row],[Equity Value]] - SnapshotTable[[#This Row],[Equity Basis Total]]</f>
        <v>0</v>
      </c>
      <c r="U17" s="270" t="str">
        <f>IF(SnapshotTable[[#This Row],[Equity Basis Total]] &gt; 0, SnapshotTable[[#This Row],[Equity G/L]] / SnapshotTable[[#This Row],[Equity Basis Total]], "")</f>
        <v/>
      </c>
      <c r="V17" s="268"/>
      <c r="W17" s="26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7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0"/>
      <c r="AD17" s="151"/>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1"/>
      <c r="AI17" s="5"/>
      <c r="AJ17" s="138">
        <v>337.95</v>
      </c>
      <c r="AK17" s="152" t="str">
        <f>IF(ISNUMBER( SnapshotTable[[#This Row],[EBF Target]]),(SnapshotTable[[#This Row],[EBF Target]] - SnapshotTable[[#This Row],[Last Price]]) / SnapshotTable[[#This Row],[Last Price]], "")</f>
        <v/>
      </c>
      <c r="AL17" s="152"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1.4123777571561138</v>
      </c>
      <c r="AP17" s="5">
        <v>170</v>
      </c>
      <c r="AQ17" s="38" t="s">
        <v>46</v>
      </c>
      <c r="AR17" s="5">
        <v>170</v>
      </c>
      <c r="AS17" s="38" t="s">
        <v>109</v>
      </c>
      <c r="AT17" s="146"/>
      <c r="AU17" s="187" t="str">
        <f>IF(OR(SnapshotTable[[#This Row],[LP No Fill]]="Y",SnapshotTable[[#This Row],[SP Is Filled]],SnapshotTable[[#This Row],[LC Not Filled]]="Y",SnapshotTable[[#This Row],[SC Is Filled]]),"Y","")</f>
        <v/>
      </c>
      <c r="AV17" s="219"/>
      <c r="AW17" s="225"/>
      <c r="AX17" s="220"/>
      <c r="AY17" s="219" t="str">
        <f>IF(SnapshotTable[[#This Row],[Implied Move]]&gt;0, SnapshotTable[[#This Row],[Last Price]]-SnapshotTable[[#This Row],[Implied Move]],"")</f>
        <v/>
      </c>
      <c r="AZ17" s="219" t="str">
        <f>IF(SnapshotTable[[#This Row],[Implied Move]]&gt;0, SnapshotTable[[#This Row],[Last Price]] + SnapshotTable[[#This Row],[Implied Move]],"")</f>
        <v/>
      </c>
      <c r="BA17" s="331"/>
      <c r="BB17" s="347"/>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51"/>
      <c r="BE17" s="5"/>
      <c r="BF17" s="14"/>
      <c r="BG17" s="13"/>
      <c r="BH17" s="13"/>
      <c r="BI17" s="5"/>
      <c r="BJ17" s="136">
        <f>IF(SnapshotTable[[#This Row],[LP Qty]] &gt; 0, SnapshotTable[[#This Row],[LP Qty]] * SnapshotTable[[#This Row],[LP Book Price]] * 100,0)</f>
        <v>0</v>
      </c>
      <c r="BK17" s="136">
        <f>IF(SnapshotTable[[#This Row],[LP Premium]] &gt; 0, SnapshotTable[[#This Row],[LP Qty]] * SnapshotTable[[#This Row],[LP Strike Price]] * 100,0)</f>
        <v>0</v>
      </c>
      <c r="BL17" s="154"/>
      <c r="BM17" s="385" t="str">
        <f>IF(SnapshotTable[[#This Row],[LP Premium]] &gt; 0,SnapshotTable[[#This Row],[LP Exp Date]]-MAX(SnapshotTable[[#This Row],[LP Book Date]], SnapshotTable[[#This Row],[LP Fill Date]]),"")</f>
        <v/>
      </c>
      <c r="BN17" s="385" t="str">
        <f>IF(ISNUMBER( SnapshotTable[[#This Row],[LP Term]]), SnapshotTable[[#This Row],[LP Exp Date]] - MockToday,"")</f>
        <v/>
      </c>
      <c r="BO17" s="163"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7"/>
      <c r="BU17" s="13"/>
      <c r="BV17" s="5"/>
      <c r="BW17" s="419" t="b">
        <f>AND(ISNUMBER(SnapshotTable[[#This Row],[SP Exp Date]]), ISNUMBER(SnapshotTable[[#This Row],[SP Strike Price]]), ISNUMBER(SnapshotTable[[#This Row],[SP Qty]]), ISNUMBER(SnapshotTable[[#This Row],[SP Book Date]]), ISNUMBER(SnapshotTable[[#This Row],[SP Book Price]]))</f>
        <v>0</v>
      </c>
      <c r="BX17" s="419" t="b">
        <f>AND(SnapshotTable[[#This Row],[SP Is Booked]], NOT(ISBLANK(SnapshotTable[[#This Row],[SP Fill Date]])))</f>
        <v>0</v>
      </c>
      <c r="BY17" s="33">
        <f>IF(SnapshotTable[[#This Row],[SP Is Booked]], SnapshotTable[[#This Row],[SP Qty]] * SnapshotTable[[#This Row],[SP Book Price]] * 100, 0)</f>
        <v>0</v>
      </c>
      <c r="BZ17" s="369"/>
      <c r="CA17" s="368">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3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44"/>
      <c r="CK17" s="31">
        <f>IF(ISNUMBER(SnapshotTable[[#This Row],[SP Potential Spend]]),IF(ISNUMBER(SnapshotTable[[#This Row],[SP POW]]), SnapshotTable[[#This Row],[SP POW]] * SnapshotTable[[#This Row],[SP Potential Spend]], SnapshotTable[[#This Row],[SP Potential Spend]]), "")</f>
        <v>0</v>
      </c>
      <c r="CL17" s="164">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8"/>
      <c r="CO17" s="369"/>
      <c r="CP17" s="4" t="str">
        <f>IF(SnapshotTable[[#This Row],[SP Is Filled]], btc_max_buyback_amount(SnapshotTable[[#This Row],[SP Fill Date]],SnapshotTable[[#This Row],[SP Exp Date]], SnapshotTable[[#This Row],[SP Book Price]]),"")</f>
        <v/>
      </c>
      <c r="CQ17" s="78"/>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5" t="str">
        <f>IF(SnapshotTable[[#This Row],[SP Is Filled]], btc_next_cutoff_date(SnapshotTable[[#This Row],[SP Fill Date]],SnapshotTable[[#This Row],[SP Exp Date]]),"")</f>
        <v/>
      </c>
      <c r="CT17" s="23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3"/>
      <c r="CV17" s="235"/>
      <c r="CW17" s="378"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294" t="str">
        <f>IF(ISNUMBER((SnapshotTable[[#This Row],[SP Total Value]])), SnapshotTable[[#This Row],[SP Gain Loss]] / SnapshotTable[[#This Row],[SP Premium]], "")</f>
        <v/>
      </c>
      <c r="DI17" s="406"/>
      <c r="DJ17" s="138"/>
      <c r="DK17" s="148"/>
      <c r="DL17" s="13"/>
      <c r="DM17" s="13"/>
      <c r="DO17" s="31">
        <f>IF(SnapshotTable[[#This Row],[LC Symbol Count]]=1, SnapshotTable[[#This Row],[LC Qty]] * SnapshotTable[[#This Row],[LC Book Price]] * 100, 0)</f>
        <v>0</v>
      </c>
      <c r="DP17" s="163" t="str">
        <f>IF(AND(SnapshotTable[[#This Row],[LC Exp Date]]&gt;0, SnapshotTable[[#This Row],[LC Strike Price]]&gt;0,SnapshotTable[[#This Row],[LC Qty]]&gt;0,SnapshotTable[[#This Row],[LC Book Date]]&gt;0,SnapshotTable[[#This Row],[LC Book Price]]&gt;0,SnapshotTable[[#This Row],[LC Fill Date]]=0),"Y","")</f>
        <v/>
      </c>
      <c r="DQ17" s="386" t="str">
        <f>IF(SnapshotTable[[#This Row],[LC Premium]] &gt; 0,SnapshotTable[[#This Row],[LC Exp Date]]-MAX(SnapshotTable[[#This Row],[LC Book Date]], SnapshotTable[[#This Row],[LC Fill Date]]),"")</f>
        <v/>
      </c>
      <c r="DR17" s="386" t="str">
        <f>IF(ISNUMBER(SnapshotTable[[#This Row],[LC Term]]), SnapshotTable[[#This Row],[LC Exp Date]] - MockToday, "")</f>
        <v/>
      </c>
      <c r="DS17" s="23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40" t="str">
        <f>IF(ISNUMBER(SnapshotTable[[#This Row],[LC Actual Gain Loss]]), SnapshotTable[[#This Row],[LC Actual Gain Loss]] / SnapshotTable[[#This Row],[LC Premium]],"")</f>
        <v/>
      </c>
      <c r="DX17" s="284" t="str">
        <f>IF(ISNUMBER(SnapshotTable[[#This Row],[LC Book Price]]),SnapshotTable[[#This Row],[LC Book Price]] * 1.5,"")</f>
        <v/>
      </c>
      <c r="DY17" s="265" t="str">
        <f>IF(SnapshotTable[[#This Row],[LC Premium]]&gt;0, SnapshotTable[[#This Row],[LC Next Target]] * SnapshotTable[[#This Row],[LC Qty]] * 100,"")</f>
        <v/>
      </c>
      <c r="DZ17" s="265" t="str">
        <f>IF(ISNUMBER(SnapshotTable[[#This Row],[LC Target Gross]]), SnapshotTable[[#This Row],[LC Target Gross]] - SnapshotTable[[#This Row],[LC Premium]], "")</f>
        <v/>
      </c>
      <c r="EA17" s="305" t="str">
        <f>IF(ISNUMBER(SnapshotTable[[#This Row],[LC Target Gain Loss]]), SnapshotTable[[#This Row],[LC Target Gain Loss]]/SnapshotTable[[#This Row],[LC Premium]], "")</f>
        <v/>
      </c>
      <c r="EB17" s="262"/>
      <c r="EC17" s="283" t="str">
        <f>IF(SnapshotTable[[#This Row],[LC Premium]]&gt;0, SnapshotTable[[#This Row],[LC Book Price]] * (1 - LC_StopLoss_Pct),"")</f>
        <v/>
      </c>
      <c r="ED17" s="284"/>
      <c r="EE17" s="28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4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7"/>
      <c r="EL17" s="138"/>
      <c r="EM17" s="148"/>
      <c r="EN17" s="147"/>
      <c r="EO17" s="147"/>
      <c r="EP17" s="138"/>
      <c r="EQ17" s="419" t="b">
        <f>AND(ISNUMBER(SnapshotTable[[#This Row],[SC Exp Date]]), ISNUMBER(SnapshotTable[[#This Row],[SC Strike Price]]), ISNUMBER(SnapshotTable[[#This Row],[SC Qty]]), ISNUMBER(SnapshotTable[[#This Row],[SC Book Date]]), ISNUMBER(SnapshotTable[[#This Row],[SC Book Price]]))</f>
        <v>0</v>
      </c>
      <c r="ER17" s="419" t="b">
        <f>AND(SnapshotTable[[#This Row],[SC Is Booked]], NOT(ISBLANK(SnapshotTable[[#This Row],[SC Fill Date]])))</f>
        <v>0</v>
      </c>
      <c r="ES17" s="370"/>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3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283"/>
      <c r="FA17" s="218"/>
      <c r="FB17" s="370"/>
      <c r="FC17" s="4">
        <f>IF(SnapshotTable[[#This Row],[SC Is Filled]], btc_max_buyback_amount(SnapshotTable[[#This Row],[SC Fill Date]],SnapshotTable[[#This Row],[SC Exp Date]], SnapshotTable[[#This Row],[SC Book Price]]),0)</f>
        <v>0</v>
      </c>
      <c r="FD17" s="5"/>
      <c r="FE17" s="144"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382">
        <f>IF(SnapshotTable[[#This Row],[SC Is Filled]], IF(ISNUMBER(SnapshotTable[[#This Row],[SC Current Ask]]), SnapshotTable[[#This Row],[SC Current Ask]], SnapshotTable[[#This Row],[SC Book Price]]) - SnapshotTable[[#This Row],[SC Intrinsic Value]], 0)</f>
        <v>0</v>
      </c>
      <c r="FI17" s="143">
        <v>45786</v>
      </c>
      <c r="FJ17" s="32" t="str">
        <f>IF(SnapshotTable[[#This Row],[SC Is Filled]],100 * SnapshotTable[[#This Row],[SC Qty]] * IF(ISNUMBER(SnapshotTable[[#This Row],[SC Buyback Override]]), SnapshotTable[[#This Row],[SC Buyback Override]], SnapshotTable[[#This Row],[SC Current Ask]]), "")</f>
        <v/>
      </c>
      <c r="FK17" s="250" t="str">
        <f>IF(SnapshotTable[[#This Row],[SC Time Val]]&gt;0, SnapshotTable[[#This Row],[SC Time Val]] / SnapshotTable[[#This Row],[Last Price]],"")</f>
        <v/>
      </c>
      <c r="FL17" s="302" t="str">
        <f>IF(SnapshotTable[[#This Row],[SC Is Booked]], ((SnapshotTable[[#This Row],[Last Price]] -SnapshotTable[[#This Row],[SC Strike Price]]) / SnapshotTable[[#This Row],[Last Price]]) * -1, "")</f>
        <v/>
      </c>
      <c r="FM17" s="157"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33"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36" t="str">
        <f>IF(AND(ISNUMBER(SnapshotTable[[#This Row],[SC Simple ROO]]),SnapshotTable[[#This Row],[SC Simple ROO]] &gt; 0), SnapshotTable[[#This Row],[SC Premium]] + (SnapshotTable[[#This Row],[SC Qty]] * SnapshotTable[[#This Row],[SC Upside Potential]]), "")</f>
        <v/>
      </c>
      <c r="FX17" s="302" t="str" cm="1">
        <f t="array" ref="FX17">IF(ISNUMBER(SnapshotTable[[#This Row],[SC Max Dollars]]), annualize(SnapshotTable[[#This Row],[SC Term]],(SnapshotTable[[#This Row],[SC Max Dollars]]/SnapshotTable[[#This Row],[SC Basis]])),"")</f>
        <v/>
      </c>
      <c r="FY17" s="23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29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273.1755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620</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31">
        <f>MAX(SnapshotTable[[#This Row],[Equity Basis Total]],SnapshotTable[[#This Row],[Equity Value]]) + (SnapshotTable[[#This Row],[SP Potential Spend]]- SnapshotTable[[#This Row],[SP Premium]] + SnapshotTable[[#This Row],[LP Premium]])+ (SnapshotTable[[#This Row],[LC Premium]] - SnapshotTable[[#This Row],[SC Premium]])</f>
        <v>0</v>
      </c>
      <c r="GW17" s="139" t="str">
        <f>IF(AND(SnapshotTable[[#This Row],[Exposure]] &lt;&gt; 0),SnapshotTable[[#This Row],[Exposure]] / SnapshotTable[[#Totals],[Exposure]], "")</f>
        <v/>
      </c>
      <c r="HK17" s="1"/>
      <c r="HL17" s="1"/>
      <c r="HM17" s="1"/>
      <c r="HN17" s="1"/>
      <c r="HO17" s="1"/>
      <c r="HP17" s="1"/>
    </row>
    <row r="18" spans="2:224" ht="12.75" hidden="1" customHeight="1" x14ac:dyDescent="0.25">
      <c r="B18" s="12" t="s">
        <v>245</v>
      </c>
      <c r="C18" s="422">
        <v>218.36</v>
      </c>
      <c r="D18" s="208"/>
      <c r="E18" s="39">
        <f>SnapshotTable[[#This Row],[Last Price]]*(1 -CrashDiscount)</f>
        <v>185.60599999999999</v>
      </c>
      <c r="F18" s="26" t="s">
        <v>840</v>
      </c>
      <c r="G18" s="26" t="s">
        <v>9</v>
      </c>
      <c r="H18" s="149"/>
      <c r="I18" s="194">
        <v>44728.670138888891</v>
      </c>
      <c r="J18" s="195">
        <v>44728.670138888891</v>
      </c>
      <c r="K18" s="196" t="s">
        <v>3</v>
      </c>
      <c r="L18" s="326"/>
      <c r="M18" s="140"/>
      <c r="N18" s="140"/>
      <c r="O18" s="140"/>
      <c r="P18" s="22"/>
      <c r="Q18" s="25"/>
      <c r="R18" s="4" t="str">
        <f>IF(SnapshotTable[[#This Row],[Equity Basis Total]] &gt; 0, SnapshotTable[[#This Row],[Equity Basis Total]] / SnapshotTable[[#This Row],[Equity Shares]], "")</f>
        <v/>
      </c>
      <c r="S18" s="269">
        <f>SnapshotTable[[#This Row],[Last Price]] * SnapshotTable[[#This Row],[Equity Shares]]</f>
        <v>0</v>
      </c>
      <c r="T18" s="269">
        <f>SnapshotTable[[#This Row],[Equity Value]] - SnapshotTable[[#This Row],[Equity Basis Total]]</f>
        <v>0</v>
      </c>
      <c r="U18" s="270" t="str">
        <f>IF(SnapshotTable[[#This Row],[Equity Basis Total]] &gt; 0, SnapshotTable[[#This Row],[Equity G/L]] / SnapshotTable[[#This Row],[Equity Basis Total]], "")</f>
        <v/>
      </c>
      <c r="V18" s="268"/>
      <c r="W18" s="26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7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0"/>
      <c r="AD18" s="151"/>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1"/>
      <c r="AI18" s="5"/>
      <c r="AJ18" s="138">
        <v>553.86</v>
      </c>
      <c r="AK18" s="152" t="str">
        <f>IF(ISNUMBER( SnapshotTable[[#This Row],[EBF Target]]),(SnapshotTable[[#This Row],[EBF Target]] - SnapshotTable[[#This Row],[Last Price]]) / SnapshotTable[[#This Row],[Last Price]], "")</f>
        <v/>
      </c>
      <c r="AL18" s="152"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2">
        <f>IF(AND(ISNUMBER( SnapshotTable[[#This Row],[Long Term Target]]), ISNUMBER(SnapshotTable[[#This Row],[Last Price]])),(SnapshotTable[[#This Row],[Long Term Target]] - SnapshotTable[[#This Row],[Last Price]]) / SnapshotTable[[#This Row],[Last Price]], "")</f>
        <v>1.5364535629236122</v>
      </c>
      <c r="AP18" s="5"/>
      <c r="AQ18" s="38"/>
      <c r="AR18" s="5"/>
      <c r="AS18" s="38"/>
      <c r="AT18" s="146"/>
      <c r="AU18" s="187" t="str">
        <f>IF(OR(SnapshotTable[[#This Row],[LP No Fill]]="Y",SnapshotTable[[#This Row],[SP Is Filled]],SnapshotTable[[#This Row],[LC Not Filled]]="Y",SnapshotTable[[#This Row],[SC Is Filled]]),"Y","")</f>
        <v/>
      </c>
      <c r="AV18" s="219"/>
      <c r="AW18" s="225"/>
      <c r="AX18" s="220"/>
      <c r="AY18" s="219" t="str">
        <f>IF(SnapshotTable[[#This Row],[Implied Move]]&gt;0, SnapshotTable[[#This Row],[Last Price]]-SnapshotTable[[#This Row],[Implied Move]],"")</f>
        <v/>
      </c>
      <c r="AZ18" s="219" t="str">
        <f>IF(SnapshotTable[[#This Row],[Implied Move]]&gt;0, SnapshotTable[[#This Row],[Last Price]] + SnapshotTable[[#This Row],[Implied Move]],"")</f>
        <v/>
      </c>
      <c r="BA18" s="331"/>
      <c r="BB18" s="347"/>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51"/>
      <c r="BE18" s="5"/>
      <c r="BF18" s="14"/>
      <c r="BG18" s="13"/>
      <c r="BH18" s="13"/>
      <c r="BI18" s="5"/>
      <c r="BJ18" s="136">
        <f>IF(SnapshotTable[[#This Row],[LP Qty]] &gt; 0, SnapshotTable[[#This Row],[LP Qty]] * SnapshotTable[[#This Row],[LP Book Price]] * 100,0)</f>
        <v>0</v>
      </c>
      <c r="BK18" s="136">
        <f>IF(SnapshotTable[[#This Row],[LP Premium]] &gt; 0, SnapshotTable[[#This Row],[LP Qty]] * SnapshotTable[[#This Row],[LP Strike Price]] * 100,0)</f>
        <v>0</v>
      </c>
      <c r="BL18" s="154"/>
      <c r="BM18" s="385" t="str">
        <f>IF(SnapshotTable[[#This Row],[LP Premium]] &gt; 0,SnapshotTable[[#This Row],[LP Exp Date]]-MAX(SnapshotTable[[#This Row],[LP Book Date]], SnapshotTable[[#This Row],[LP Fill Date]]),"")</f>
        <v/>
      </c>
      <c r="BN18" s="385" t="str">
        <f>IF(ISNUMBER( SnapshotTable[[#This Row],[LP Term]]), SnapshotTable[[#This Row],[LP Exp Date]] - MockToday,"")</f>
        <v/>
      </c>
      <c r="BO18" s="163"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7"/>
      <c r="BU18" s="13"/>
      <c r="BV18" s="5"/>
      <c r="BW18" s="419" t="b">
        <f>AND(ISNUMBER(SnapshotTable[[#This Row],[SP Exp Date]]), ISNUMBER(SnapshotTable[[#This Row],[SP Strike Price]]), ISNUMBER(SnapshotTable[[#This Row],[SP Qty]]), ISNUMBER(SnapshotTable[[#This Row],[SP Book Date]]), ISNUMBER(SnapshotTable[[#This Row],[SP Book Price]]))</f>
        <v>0</v>
      </c>
      <c r="BX18" s="419" t="b">
        <f>AND(SnapshotTable[[#This Row],[SP Is Booked]], NOT(ISBLANK(SnapshotTable[[#This Row],[SP Fill Date]])))</f>
        <v>0</v>
      </c>
      <c r="BY18" s="33">
        <f>IF(SnapshotTable[[#This Row],[SP Is Booked]], SnapshotTable[[#This Row],[SP Qty]] * SnapshotTable[[#This Row],[SP Book Price]] * 100, 0)</f>
        <v>0</v>
      </c>
      <c r="BZ18" s="369"/>
      <c r="CA18" s="368">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3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44"/>
      <c r="CK18" s="31">
        <f>IF(ISNUMBER(SnapshotTable[[#This Row],[SP Potential Spend]]),IF(ISNUMBER(SnapshotTable[[#This Row],[SP POW]]), SnapshotTable[[#This Row],[SP POW]] * SnapshotTable[[#This Row],[SP Potential Spend]], SnapshotTable[[#This Row],[SP Potential Spend]]), "")</f>
        <v>0</v>
      </c>
      <c r="CL18" s="164">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8"/>
      <c r="CO18" s="369"/>
      <c r="CP18" s="4" t="str">
        <f>IF(SnapshotTable[[#This Row],[SP Is Filled]], btc_max_buyback_amount(SnapshotTable[[#This Row],[SP Fill Date]],SnapshotTable[[#This Row],[SP Exp Date]], SnapshotTable[[#This Row],[SP Book Price]]),"")</f>
        <v/>
      </c>
      <c r="CQ18" s="78"/>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5" t="str">
        <f>IF(SnapshotTable[[#This Row],[SP Is Filled]], btc_next_cutoff_date(SnapshotTable[[#This Row],[SP Fill Date]],SnapshotTable[[#This Row],[SP Exp Date]]),"")</f>
        <v/>
      </c>
      <c r="CT18" s="23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3"/>
      <c r="CV18" s="235"/>
      <c r="CW18" s="378"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294" t="str">
        <f>IF(ISNUMBER((SnapshotTable[[#This Row],[SP Total Value]])), SnapshotTable[[#This Row],[SP Gain Loss]] / SnapshotTable[[#This Row],[SP Premium]], "")</f>
        <v/>
      </c>
      <c r="DI18" s="406"/>
      <c r="DJ18" s="138"/>
      <c r="DK18" s="148"/>
      <c r="DL18" s="13"/>
      <c r="DM18" s="13"/>
      <c r="DO18" s="31">
        <f>IF(SnapshotTable[[#This Row],[LC Symbol Count]]=1, SnapshotTable[[#This Row],[LC Qty]] * SnapshotTable[[#This Row],[LC Book Price]] * 100, 0)</f>
        <v>0</v>
      </c>
      <c r="DP18" s="163" t="str">
        <f>IF(AND(SnapshotTable[[#This Row],[LC Exp Date]]&gt;0, SnapshotTable[[#This Row],[LC Strike Price]]&gt;0,SnapshotTable[[#This Row],[LC Qty]]&gt;0,SnapshotTable[[#This Row],[LC Book Date]]&gt;0,SnapshotTable[[#This Row],[LC Book Price]]&gt;0,SnapshotTable[[#This Row],[LC Fill Date]]=0),"Y","")</f>
        <v/>
      </c>
      <c r="DQ18" s="386" t="str">
        <f>IF(SnapshotTable[[#This Row],[LC Premium]] &gt; 0,SnapshotTable[[#This Row],[LC Exp Date]]-MAX(SnapshotTable[[#This Row],[LC Book Date]], SnapshotTable[[#This Row],[LC Fill Date]]),"")</f>
        <v/>
      </c>
      <c r="DR18" s="386" t="str">
        <f>IF(ISNUMBER(SnapshotTable[[#This Row],[LC Term]]), SnapshotTable[[#This Row],[LC Exp Date]] - MockToday, "")</f>
        <v/>
      </c>
      <c r="DS18" s="23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40" t="str">
        <f>IF(ISNUMBER(SnapshotTable[[#This Row],[LC Actual Gain Loss]]), SnapshotTable[[#This Row],[LC Actual Gain Loss]] / SnapshotTable[[#This Row],[LC Premium]],"")</f>
        <v/>
      </c>
      <c r="DX18" s="284" t="str">
        <f>IF(ISNUMBER(SnapshotTable[[#This Row],[LC Book Price]]),SnapshotTable[[#This Row],[LC Book Price]] * 1.5,"")</f>
        <v/>
      </c>
      <c r="DY18" s="265" t="str">
        <f>IF(SnapshotTable[[#This Row],[LC Premium]]&gt;0, SnapshotTable[[#This Row],[LC Next Target]] * SnapshotTable[[#This Row],[LC Qty]] * 100,"")</f>
        <v/>
      </c>
      <c r="DZ18" s="265" t="str">
        <f>IF(ISNUMBER(SnapshotTable[[#This Row],[LC Target Gross]]), SnapshotTable[[#This Row],[LC Target Gross]] - SnapshotTable[[#This Row],[LC Premium]], "")</f>
        <v/>
      </c>
      <c r="EA18" s="305" t="str">
        <f>IF(ISNUMBER(SnapshotTable[[#This Row],[LC Target Gain Loss]]), SnapshotTable[[#This Row],[LC Target Gain Loss]]/SnapshotTable[[#This Row],[LC Premium]], "")</f>
        <v/>
      </c>
      <c r="EB18" s="262"/>
      <c r="EC18" s="283" t="str">
        <f>IF(SnapshotTable[[#This Row],[LC Premium]]&gt;0, SnapshotTable[[#This Row],[LC Book Price]] * (1 - LC_StopLoss_Pct),"")</f>
        <v/>
      </c>
      <c r="ED18" s="284"/>
      <c r="EE18" s="28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4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7"/>
      <c r="EL18" s="138"/>
      <c r="EM18" s="148"/>
      <c r="EN18" s="147"/>
      <c r="EO18" s="147"/>
      <c r="EP18" s="138"/>
      <c r="EQ18" s="419" t="b">
        <f>AND(ISNUMBER(SnapshotTable[[#This Row],[SC Exp Date]]), ISNUMBER(SnapshotTable[[#This Row],[SC Strike Price]]), ISNUMBER(SnapshotTable[[#This Row],[SC Qty]]), ISNUMBER(SnapshotTable[[#This Row],[SC Book Date]]), ISNUMBER(SnapshotTable[[#This Row],[SC Book Price]]))</f>
        <v>0</v>
      </c>
      <c r="ER18" s="419" t="b">
        <f>AND(SnapshotTable[[#This Row],[SC Is Booked]], NOT(ISBLANK(SnapshotTable[[#This Row],[SC Fill Date]])))</f>
        <v>0</v>
      </c>
      <c r="ES18" s="370"/>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3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283"/>
      <c r="FA18" s="218"/>
      <c r="FB18" s="370"/>
      <c r="FC18" s="4">
        <f>IF(SnapshotTable[[#This Row],[SC Is Filled]], btc_max_buyback_amount(SnapshotTable[[#This Row],[SC Fill Date]],SnapshotTable[[#This Row],[SC Exp Date]], SnapshotTable[[#This Row],[SC Book Price]]),0)</f>
        <v>0</v>
      </c>
      <c r="FD18" s="5"/>
      <c r="FE18" s="144"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382">
        <f>IF(SnapshotTable[[#This Row],[SC Is Filled]], IF(ISNUMBER(SnapshotTable[[#This Row],[SC Current Ask]]), SnapshotTable[[#This Row],[SC Current Ask]], SnapshotTable[[#This Row],[SC Book Price]]) - SnapshotTable[[#This Row],[SC Intrinsic Value]], 0)</f>
        <v>0</v>
      </c>
      <c r="FI18" s="143">
        <v>45786</v>
      </c>
      <c r="FJ18" s="32" t="str">
        <f>IF(SnapshotTable[[#This Row],[SC Is Filled]],100 * SnapshotTable[[#This Row],[SC Qty]] * IF(ISNUMBER(SnapshotTable[[#This Row],[SC Buyback Override]]), SnapshotTable[[#This Row],[SC Buyback Override]], SnapshotTable[[#This Row],[SC Current Ask]]), "")</f>
        <v/>
      </c>
      <c r="FK18" s="250" t="str">
        <f>IF(SnapshotTable[[#This Row],[SC Time Val]]&gt;0, SnapshotTable[[#This Row],[SC Time Val]] / SnapshotTable[[#This Row],[Last Price]],"")</f>
        <v/>
      </c>
      <c r="FL18" s="302" t="str">
        <f>IF(SnapshotTable[[#This Row],[SC Is Booked]], ((SnapshotTable[[#This Row],[Last Price]] -SnapshotTable[[#This Row],[SC Strike Price]]) / SnapshotTable[[#This Row],[Last Price]]) * -1, "")</f>
        <v/>
      </c>
      <c r="FM18" s="157"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33"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36" t="str">
        <f>IF(AND(ISNUMBER(SnapshotTable[[#This Row],[SC Simple ROO]]),SnapshotTable[[#This Row],[SC Simple ROO]] &gt; 0), SnapshotTable[[#This Row],[SC Premium]] + (SnapshotTable[[#This Row],[SC Qty]] * SnapshotTable[[#This Row],[SC Upside Potential]]), "")</f>
        <v/>
      </c>
      <c r="FX18" s="302" t="str" cm="1">
        <f t="array" ref="FX18">IF(ISNUMBER(SnapshotTable[[#This Row],[SC Max Dollars]]), annualize(SnapshotTable[[#This Row],[SC Term]],(SnapshotTable[[#This Row],[SC Max Dollars]]/SnapshotTable[[#This Row],[SC Basis]])),"")</f>
        <v/>
      </c>
      <c r="FY18" s="23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29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425.80200000000002</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621</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31">
        <f>MAX(SnapshotTable[[#This Row],[Equity Basis Total]],SnapshotTable[[#This Row],[Equity Value]]) + (SnapshotTable[[#This Row],[SP Potential Spend]]- SnapshotTable[[#This Row],[SP Premium]] + SnapshotTable[[#This Row],[LP Premium]])+ (SnapshotTable[[#This Row],[LC Premium]] - SnapshotTable[[#This Row],[SC Premium]])</f>
        <v>0</v>
      </c>
      <c r="GW18" s="139" t="str">
        <f>IF(AND(SnapshotTable[[#This Row],[Exposure]] &lt;&gt; 0),SnapshotTable[[#This Row],[Exposure]] / SnapshotTable[[#Totals],[Exposure]], "")</f>
        <v/>
      </c>
      <c r="HK18" s="1"/>
      <c r="HL18" s="1"/>
      <c r="HM18" s="1"/>
      <c r="HN18" s="1"/>
      <c r="HO18" s="1"/>
      <c r="HP18" s="1"/>
    </row>
    <row r="19" spans="2:224" ht="12.75" hidden="1" customHeight="1" x14ac:dyDescent="0.25">
      <c r="B19" s="12" t="s">
        <v>161</v>
      </c>
      <c r="C19" s="422">
        <v>87.32</v>
      </c>
      <c r="D19" s="208"/>
      <c r="E19" s="39">
        <f>SnapshotTable[[#This Row],[Last Price]]*(1 -CrashDiscount)</f>
        <v>74.221999999999994</v>
      </c>
      <c r="F19" s="26" t="s">
        <v>160</v>
      </c>
      <c r="G19" s="26" t="s">
        <v>821</v>
      </c>
      <c r="H19" s="149"/>
      <c r="I19" s="194">
        <v>44768.291666666664</v>
      </c>
      <c r="J19" s="195">
        <v>44768.291666666664</v>
      </c>
      <c r="K19" s="196"/>
      <c r="L19" s="326"/>
      <c r="M19" s="140"/>
      <c r="N19" s="140"/>
      <c r="O19" s="140"/>
      <c r="P19" s="22"/>
      <c r="Q19" s="25"/>
      <c r="R19" s="4" t="str">
        <f>IF(SnapshotTable[[#This Row],[Equity Basis Total]] &gt; 0, SnapshotTable[[#This Row],[Equity Basis Total]] / SnapshotTable[[#This Row],[Equity Shares]], "")</f>
        <v/>
      </c>
      <c r="S19" s="269">
        <f>SnapshotTable[[#This Row],[Last Price]] * SnapshotTable[[#This Row],[Equity Shares]]</f>
        <v>0</v>
      </c>
      <c r="T19" s="269">
        <f>SnapshotTable[[#This Row],[Equity Value]] - SnapshotTable[[#This Row],[Equity Basis Total]]</f>
        <v>0</v>
      </c>
      <c r="U19" s="270" t="str">
        <f>IF(SnapshotTable[[#This Row],[Equity Basis Total]] &gt; 0, SnapshotTable[[#This Row],[Equity G/L]] / SnapshotTable[[#This Row],[Equity Basis Total]], "")</f>
        <v/>
      </c>
      <c r="V19" s="268"/>
      <c r="W19" s="26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7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0">
        <v>1.2</v>
      </c>
      <c r="AD19" s="151">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1.3742556115437472E-2</v>
      </c>
      <c r="AH19" s="151">
        <v>42776</v>
      </c>
      <c r="AI19" s="5"/>
      <c r="AJ19" s="138">
        <v>98.89</v>
      </c>
      <c r="AK19" s="152" t="str">
        <f>IF(ISNUMBER( SnapshotTable[[#This Row],[EBF Target]]),(SnapshotTable[[#This Row],[EBF Target]] - SnapshotTable[[#This Row],[Last Price]]) / SnapshotTable[[#This Row],[Last Price]], "")</f>
        <v/>
      </c>
      <c r="AL19" s="152"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2">
        <f>IF(AND(ISNUMBER( SnapshotTable[[#This Row],[Long Term Target]]), ISNUMBER(SnapshotTable[[#This Row],[Last Price]])),(SnapshotTable[[#This Row],[Long Term Target]] - SnapshotTable[[#This Row],[Last Price]]) / SnapshotTable[[#This Row],[Last Price]], "")</f>
        <v>0.13250114521300971</v>
      </c>
      <c r="AP19" s="5">
        <v>49.88</v>
      </c>
      <c r="AQ19" s="38" t="s">
        <v>89</v>
      </c>
      <c r="AR19" s="5">
        <v>44</v>
      </c>
      <c r="AS19" s="38" t="s">
        <v>45</v>
      </c>
      <c r="AT19" s="146"/>
      <c r="AU19" s="187" t="str">
        <f>IF(OR(SnapshotTable[[#This Row],[LP No Fill]]="Y",SnapshotTable[[#This Row],[SP Is Filled]],SnapshotTable[[#This Row],[LC Not Filled]]="Y",SnapshotTable[[#This Row],[SC Is Filled]]),"Y","")</f>
        <v/>
      </c>
      <c r="AV19" s="219"/>
      <c r="AW19" s="225"/>
      <c r="AX19" s="220"/>
      <c r="AY19" s="219" t="str">
        <f>IF(SnapshotTable[[#This Row],[Implied Move]]&gt;0, SnapshotTable[[#This Row],[Last Price]]-SnapshotTable[[#This Row],[Implied Move]],"")</f>
        <v/>
      </c>
      <c r="AZ19" s="219" t="str">
        <f>IF(SnapshotTable[[#This Row],[Implied Move]]&gt;0, SnapshotTable[[#This Row],[Last Price]] + SnapshotTable[[#This Row],[Implied Move]],"")</f>
        <v/>
      </c>
      <c r="BA19" s="331"/>
      <c r="BB19" s="347"/>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51"/>
      <c r="BE19" s="5"/>
      <c r="BF19" s="14"/>
      <c r="BG19" s="13"/>
      <c r="BH19" s="13"/>
      <c r="BI19" s="5"/>
      <c r="BJ19" s="136"/>
      <c r="BK19" s="136">
        <f>IF(SnapshotTable[[#This Row],[LP Premium]] &gt; 0, SnapshotTable[[#This Row],[LP Qty]] * SnapshotTable[[#This Row],[LP Strike Price]] * 100,0)</f>
        <v>0</v>
      </c>
      <c r="BL19" s="154"/>
      <c r="BM19" s="385" t="str">
        <f>IF(SnapshotTable[[#This Row],[LP Premium]] &gt; 0,SnapshotTable[[#This Row],[LP Exp Date]]-MAX(SnapshotTable[[#This Row],[LP Book Date]], SnapshotTable[[#This Row],[LP Fill Date]]),"")</f>
        <v/>
      </c>
      <c r="BN19" s="385" t="str">
        <f>IF(ISNUMBER( SnapshotTable[[#This Row],[LP Term]]), SnapshotTable[[#This Row],[LP Exp Date]] - MockToday,"")</f>
        <v/>
      </c>
      <c r="BO19" s="163"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7"/>
      <c r="BU19" s="13"/>
      <c r="BV19" s="5"/>
      <c r="BW19" s="419" t="b">
        <f>AND(ISNUMBER(SnapshotTable[[#This Row],[SP Exp Date]]), ISNUMBER(SnapshotTable[[#This Row],[SP Strike Price]]), ISNUMBER(SnapshotTable[[#This Row],[SP Qty]]), ISNUMBER(SnapshotTable[[#This Row],[SP Book Date]]), ISNUMBER(SnapshotTable[[#This Row],[SP Book Price]]))</f>
        <v>0</v>
      </c>
      <c r="BX19" s="419" t="b">
        <f>AND(SnapshotTable[[#This Row],[SP Is Booked]], NOT(ISBLANK(SnapshotTable[[#This Row],[SP Fill Date]])))</f>
        <v>0</v>
      </c>
      <c r="BY19" s="33">
        <f>IF(SnapshotTable[[#This Row],[SP Is Booked]], SnapshotTable[[#This Row],[SP Qty]] * SnapshotTable[[#This Row],[SP Book Price]] * 100, 0)</f>
        <v>0</v>
      </c>
      <c r="BZ19" s="369"/>
      <c r="CA19" s="368">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3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44"/>
      <c r="CK19" s="31">
        <f>IF(ISNUMBER(SnapshotTable[[#This Row],[SP Potential Spend]]),IF(ISNUMBER(SnapshotTable[[#This Row],[SP POW]]), SnapshotTable[[#This Row],[SP POW]] * SnapshotTable[[#This Row],[SP Potential Spend]], SnapshotTable[[#This Row],[SP Potential Spend]]), "")</f>
        <v>0</v>
      </c>
      <c r="CL19" s="164">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8"/>
      <c r="CO19" s="369"/>
      <c r="CP19" s="4" t="str">
        <f>IF(SnapshotTable[[#This Row],[SP Is Filled]], btc_max_buyback_amount(SnapshotTable[[#This Row],[SP Fill Date]],SnapshotTable[[#This Row],[SP Exp Date]], SnapshotTable[[#This Row],[SP Book Price]]),"")</f>
        <v/>
      </c>
      <c r="CQ19" s="78"/>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5" t="str">
        <f>IF(SnapshotTable[[#This Row],[SP Is Filled]], btc_next_cutoff_date(SnapshotTable[[#This Row],[SP Fill Date]],SnapshotTable[[#This Row],[SP Exp Date]]),"")</f>
        <v/>
      </c>
      <c r="CT19" s="23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3"/>
      <c r="CV19" s="235"/>
      <c r="CW19" s="378"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294" t="str">
        <f>IF(ISNUMBER((SnapshotTable[[#This Row],[SP Total Value]])), SnapshotTable[[#This Row],[SP Gain Loss]] / SnapshotTable[[#This Row],[SP Premium]], "")</f>
        <v/>
      </c>
      <c r="DI19" s="406"/>
      <c r="DJ19" s="138"/>
      <c r="DK19" s="148"/>
      <c r="DL19" s="13"/>
      <c r="DM19" s="13"/>
      <c r="DO19" s="31">
        <f>IF(SnapshotTable[[#This Row],[LC Symbol Count]]=1, SnapshotTable[[#This Row],[LC Qty]] * SnapshotTable[[#This Row],[LC Book Price]] * 100, 0)</f>
        <v>0</v>
      </c>
      <c r="DP19" s="163" t="str">
        <f>IF(AND(SnapshotTable[[#This Row],[LC Exp Date]]&gt;0, SnapshotTable[[#This Row],[LC Strike Price]]&gt;0,SnapshotTable[[#This Row],[LC Qty]]&gt;0,SnapshotTable[[#This Row],[LC Book Date]]&gt;0,SnapshotTable[[#This Row],[LC Book Price]]&gt;0,SnapshotTable[[#This Row],[LC Fill Date]]=0),"Y","")</f>
        <v/>
      </c>
      <c r="DQ19" s="386" t="str">
        <f>IF(SnapshotTable[[#This Row],[LC Premium]] &gt; 0,SnapshotTable[[#This Row],[LC Exp Date]]-MAX(SnapshotTable[[#This Row],[LC Book Date]], SnapshotTable[[#This Row],[LC Fill Date]]),"")</f>
        <v/>
      </c>
      <c r="DR19" s="386" t="str">
        <f>IF(ISNUMBER(SnapshotTable[[#This Row],[LC Term]]), SnapshotTable[[#This Row],[LC Exp Date]] - MockToday, "")</f>
        <v/>
      </c>
      <c r="DS19" s="23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40" t="str">
        <f>IF(ISNUMBER(SnapshotTable[[#This Row],[LC Actual Gain Loss]]), SnapshotTable[[#This Row],[LC Actual Gain Loss]] / SnapshotTable[[#This Row],[LC Premium]],"")</f>
        <v/>
      </c>
      <c r="DX19" s="284" t="str">
        <f>IF(ISNUMBER(SnapshotTable[[#This Row],[LC Book Price]]),SnapshotTable[[#This Row],[LC Book Price]] * 1.5,"")</f>
        <v/>
      </c>
      <c r="DY19" s="265" t="str">
        <f>IF(SnapshotTable[[#This Row],[LC Premium]]&gt;0, SnapshotTable[[#This Row],[LC Next Target]] * SnapshotTable[[#This Row],[LC Qty]] * 100,"")</f>
        <v/>
      </c>
      <c r="DZ19" s="265" t="str">
        <f>IF(ISNUMBER(SnapshotTable[[#This Row],[LC Target Gross]]), SnapshotTable[[#This Row],[LC Target Gross]] - SnapshotTable[[#This Row],[LC Premium]], "")</f>
        <v/>
      </c>
      <c r="EA19" s="305" t="str">
        <f>IF(ISNUMBER(SnapshotTable[[#This Row],[LC Target Gain Loss]]), SnapshotTable[[#This Row],[LC Target Gain Loss]]/SnapshotTable[[#This Row],[LC Premium]], "")</f>
        <v/>
      </c>
      <c r="EB19" s="262"/>
      <c r="EC19" s="283" t="str">
        <f>IF(SnapshotTable[[#This Row],[LC Premium]]&gt;0, SnapshotTable[[#This Row],[LC Book Price]] * (1 - LC_StopLoss_Pct),"")</f>
        <v/>
      </c>
      <c r="ED19" s="284"/>
      <c r="EE19" s="28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4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7"/>
      <c r="EL19" s="138"/>
      <c r="EM19" s="148"/>
      <c r="EN19" s="147"/>
      <c r="EO19" s="147"/>
      <c r="EP19" s="138"/>
      <c r="EQ19" s="419" t="b">
        <f>AND(ISNUMBER(SnapshotTable[[#This Row],[SC Exp Date]]), ISNUMBER(SnapshotTable[[#This Row],[SC Strike Price]]), ISNUMBER(SnapshotTable[[#This Row],[SC Qty]]), ISNUMBER(SnapshotTable[[#This Row],[SC Book Date]]), ISNUMBER(SnapshotTable[[#This Row],[SC Book Price]]))</f>
        <v>0</v>
      </c>
      <c r="ER19" s="419" t="b">
        <f>AND(SnapshotTable[[#This Row],[SC Is Booked]], NOT(ISBLANK(SnapshotTable[[#This Row],[SC Fill Date]])))</f>
        <v>0</v>
      </c>
      <c r="ES19" s="370"/>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3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283"/>
      <c r="FA19" s="218"/>
      <c r="FB19" s="370"/>
      <c r="FC19" s="4">
        <f>IF(SnapshotTable[[#This Row],[SC Is Filled]], btc_max_buyback_amount(SnapshotTable[[#This Row],[SC Fill Date]],SnapshotTable[[#This Row],[SC Exp Date]], SnapshotTable[[#This Row],[SC Book Price]]),0)</f>
        <v>0</v>
      </c>
      <c r="FD19" s="5"/>
      <c r="FE19" s="144"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382">
        <f>IF(SnapshotTable[[#This Row],[SC Is Filled]], IF(ISNUMBER(SnapshotTable[[#This Row],[SC Current Ask]]), SnapshotTable[[#This Row],[SC Current Ask]], SnapshotTable[[#This Row],[SC Book Price]]) - SnapshotTable[[#This Row],[SC Intrinsic Value]], 0)</f>
        <v>0</v>
      </c>
      <c r="FI19" s="143">
        <v>45786</v>
      </c>
      <c r="FJ19" s="32" t="str">
        <f>IF(SnapshotTable[[#This Row],[SC Is Filled]],100 * SnapshotTable[[#This Row],[SC Qty]] * IF(ISNUMBER(SnapshotTable[[#This Row],[SC Buyback Override]]), SnapshotTable[[#This Row],[SC Buyback Override]], SnapshotTable[[#This Row],[SC Current Ask]]), "")</f>
        <v/>
      </c>
      <c r="FK19" s="250" t="str">
        <f>IF(SnapshotTable[[#This Row],[SC Time Val]]&gt;0, SnapshotTable[[#This Row],[SC Time Val]] / SnapshotTable[[#This Row],[Last Price]],"")</f>
        <v/>
      </c>
      <c r="FL19" s="302" t="str">
        <f>IF(SnapshotTable[[#This Row],[SC Is Booked]], ((SnapshotTable[[#This Row],[Last Price]] -SnapshotTable[[#This Row],[SC Strike Price]]) / SnapshotTable[[#This Row],[Last Price]]) * -1, "")</f>
        <v/>
      </c>
      <c r="FM19" s="157"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33"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36" t="str">
        <f>IF(AND(ISNUMBER(SnapshotTable[[#This Row],[SC Simple ROO]]),SnapshotTable[[#This Row],[SC Simple ROO]] &gt; 0), SnapshotTable[[#This Row],[SC Premium]] + (SnapshotTable[[#This Row],[SC Qty]] * SnapshotTable[[#This Row],[SC Upside Potential]]), "")</f>
        <v/>
      </c>
      <c r="FX19" s="302" t="str" cm="1">
        <f t="array" ref="FX19">IF(ISNUMBER(SnapshotTable[[#This Row],[SC Max Dollars]]), annualize(SnapshotTable[[#This Row],[SC Term]],(SnapshotTable[[#This Row],[SC Max Dollars]]/SnapshotTable[[#This Row],[SC Basis]])),"")</f>
        <v/>
      </c>
      <c r="FY19" s="23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29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170.27399999999997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623</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31">
        <f>MAX(SnapshotTable[[#This Row],[Equity Basis Total]],SnapshotTable[[#This Row],[Equity Value]]) + (SnapshotTable[[#This Row],[SP Potential Spend]]- SnapshotTable[[#This Row],[SP Premium]] + SnapshotTable[[#This Row],[LP Premium]])+ (SnapshotTable[[#This Row],[LC Premium]] - SnapshotTable[[#This Row],[SC Premium]])</f>
        <v>0</v>
      </c>
      <c r="GW19" s="139" t="str">
        <f>IF(AND(SnapshotTable[[#This Row],[Exposure]] &lt;&gt; 0),SnapshotTable[[#This Row],[Exposure]] / SnapshotTable[[#Totals],[Exposure]], "")</f>
        <v/>
      </c>
      <c r="HK19" s="1"/>
      <c r="HL19" s="1"/>
      <c r="HM19" s="1"/>
      <c r="HN19" s="1"/>
      <c r="HO19" s="1"/>
      <c r="HP19" s="1"/>
    </row>
    <row r="20" spans="2:224" ht="12.75" hidden="1" customHeight="1" x14ac:dyDescent="0.25">
      <c r="B20" s="12" t="s">
        <v>503</v>
      </c>
      <c r="C20" s="422">
        <v>203.5</v>
      </c>
      <c r="D20" s="208"/>
      <c r="E20" s="39">
        <f>SnapshotTable[[#This Row],[Last Price]]*(1 -CrashDiscount)</f>
        <v>172.97499999999999</v>
      </c>
      <c r="F20" s="26" t="s">
        <v>613</v>
      </c>
      <c r="G20" s="26" t="s">
        <v>9</v>
      </c>
      <c r="H20" s="149"/>
      <c r="I20" s="194">
        <v>44798.666666666664</v>
      </c>
      <c r="J20" s="195">
        <v>44798.666666666664</v>
      </c>
      <c r="K20" s="196"/>
      <c r="L20" s="326"/>
      <c r="M20" s="140"/>
      <c r="N20" s="140"/>
      <c r="O20" s="140"/>
      <c r="P20" s="22"/>
      <c r="Q20" s="25"/>
      <c r="R20" s="4" t="str">
        <f>IF(SnapshotTable[[#This Row],[Equity Basis Total]] &gt; 0, SnapshotTable[[#This Row],[Equity Basis Total]] / SnapshotTable[[#This Row],[Equity Shares]], "")</f>
        <v/>
      </c>
      <c r="S20" s="269">
        <f>SnapshotTable[[#This Row],[Last Price]] * SnapshotTable[[#This Row],[Equity Shares]]</f>
        <v>0</v>
      </c>
      <c r="T20" s="269">
        <f>SnapshotTable[[#This Row],[Equity Value]] - SnapshotTable[[#This Row],[Equity Basis Total]]</f>
        <v>0</v>
      </c>
      <c r="U20" s="270" t="str">
        <f>IF(SnapshotTable[[#This Row],[Equity Basis Total]] &gt; 0, SnapshotTable[[#This Row],[Equity G/L]] / SnapshotTable[[#This Row],[Equity Basis Total]], "")</f>
        <v/>
      </c>
      <c r="V20" s="268"/>
      <c r="W20" s="26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7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0"/>
      <c r="AD20" s="151"/>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1"/>
      <c r="AI20" s="5"/>
      <c r="AJ20" s="138">
        <v>231.7</v>
      </c>
      <c r="AK20" s="152" t="str">
        <f>IF(ISNUMBER( SnapshotTable[[#This Row],[EBF Target]]),(SnapshotTable[[#This Row],[EBF Target]] - SnapshotTable[[#This Row],[Last Price]]) / SnapshotTable[[#This Row],[Last Price]], "")</f>
        <v/>
      </c>
      <c r="AL20" s="152"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2">
        <f>IF(AND(ISNUMBER( SnapshotTable[[#This Row],[Long Term Target]]), ISNUMBER(SnapshotTable[[#This Row],[Last Price]])),(SnapshotTable[[#This Row],[Long Term Target]] - SnapshotTable[[#This Row],[Last Price]]) / SnapshotTable[[#This Row],[Last Price]], "")</f>
        <v>0.13857493857493852</v>
      </c>
      <c r="AP20" s="5"/>
      <c r="AQ20" s="38"/>
      <c r="AR20" s="5"/>
      <c r="AS20" s="38"/>
      <c r="AT20" s="146"/>
      <c r="AU20" s="187" t="str">
        <f>IF(OR(SnapshotTable[[#This Row],[LP No Fill]]="Y",SnapshotTable[[#This Row],[SP Is Filled]],SnapshotTable[[#This Row],[LC Not Filled]]="Y",SnapshotTable[[#This Row],[SC Is Filled]]),"Y","")</f>
        <v/>
      </c>
      <c r="AV20" s="219"/>
      <c r="AW20" s="225"/>
      <c r="AX20" s="220"/>
      <c r="AY20" s="219" t="str">
        <f>IF(SnapshotTable[[#This Row],[Implied Move]]&gt;0, SnapshotTable[[#This Row],[Last Price]]-SnapshotTable[[#This Row],[Implied Move]],"")</f>
        <v/>
      </c>
      <c r="AZ20" s="219" t="str">
        <f>IF(SnapshotTable[[#This Row],[Implied Move]]&gt;0, SnapshotTable[[#This Row],[Last Price]] + SnapshotTable[[#This Row],[Implied Move]],"")</f>
        <v/>
      </c>
      <c r="BA20" s="331"/>
      <c r="BB20" s="347"/>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51"/>
      <c r="BE20" s="5"/>
      <c r="BF20" s="14"/>
      <c r="BG20" s="13"/>
      <c r="BH20" s="13"/>
      <c r="BI20" s="5"/>
      <c r="BJ20" s="136">
        <f>IF(SnapshotTable[[#This Row],[LP Qty]] &gt; 0, SnapshotTable[[#This Row],[LP Qty]] * SnapshotTable[[#This Row],[LP Book Price]] * 100,0)</f>
        <v>0</v>
      </c>
      <c r="BK20" s="136">
        <f>IF(SnapshotTable[[#This Row],[LP Premium]] &gt; 0, SnapshotTable[[#This Row],[LP Qty]] * SnapshotTable[[#This Row],[LP Strike Price]] * 100,0)</f>
        <v>0</v>
      </c>
      <c r="BL20" s="154"/>
      <c r="BM20" s="385" t="str">
        <f>IF(SnapshotTable[[#This Row],[LP Premium]] &gt; 0,SnapshotTable[[#This Row],[LP Exp Date]]-MAX(SnapshotTable[[#This Row],[LP Book Date]], SnapshotTable[[#This Row],[LP Fill Date]]),"")</f>
        <v/>
      </c>
      <c r="BN20" s="385" t="str">
        <f>IF(ISNUMBER( SnapshotTable[[#This Row],[LP Term]]), SnapshotTable[[#This Row],[LP Exp Date]] - MockToday,"")</f>
        <v/>
      </c>
      <c r="BO20" s="163"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7"/>
      <c r="BU20" s="13"/>
      <c r="BV20" s="5"/>
      <c r="BW20" s="419" t="b">
        <f>AND(ISNUMBER(SnapshotTable[[#This Row],[SP Exp Date]]), ISNUMBER(SnapshotTable[[#This Row],[SP Strike Price]]), ISNUMBER(SnapshotTable[[#This Row],[SP Qty]]), ISNUMBER(SnapshotTable[[#This Row],[SP Book Date]]), ISNUMBER(SnapshotTable[[#This Row],[SP Book Price]]))</f>
        <v>0</v>
      </c>
      <c r="BX20" s="419" t="b">
        <f>AND(SnapshotTable[[#This Row],[SP Is Booked]], NOT(ISBLANK(SnapshotTable[[#This Row],[SP Fill Date]])))</f>
        <v>0</v>
      </c>
      <c r="BY20" s="33">
        <f>IF(SnapshotTable[[#This Row],[SP Is Booked]], SnapshotTable[[#This Row],[SP Qty]] * SnapshotTable[[#This Row],[SP Book Price]] * 100, 0)</f>
        <v>0</v>
      </c>
      <c r="BZ20" s="369"/>
      <c r="CA20" s="368">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3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44"/>
      <c r="CK20" s="31">
        <f>IF(ISNUMBER(SnapshotTable[[#This Row],[SP Potential Spend]]),IF(ISNUMBER(SnapshotTable[[#This Row],[SP POW]]), SnapshotTable[[#This Row],[SP POW]] * SnapshotTable[[#This Row],[SP Potential Spend]], SnapshotTable[[#This Row],[SP Potential Spend]]), "")</f>
        <v>0</v>
      </c>
      <c r="CL20" s="164">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8"/>
      <c r="CO20" s="369"/>
      <c r="CP20" s="4" t="str">
        <f>IF(SnapshotTable[[#This Row],[SP Is Filled]], btc_max_buyback_amount(SnapshotTable[[#This Row],[SP Fill Date]],SnapshotTable[[#This Row],[SP Exp Date]], SnapshotTable[[#This Row],[SP Book Price]]),"")</f>
        <v/>
      </c>
      <c r="CQ20" s="78"/>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5" t="str">
        <f>IF(SnapshotTable[[#This Row],[SP Is Filled]], btc_next_cutoff_date(SnapshotTable[[#This Row],[SP Fill Date]],SnapshotTable[[#This Row],[SP Exp Date]]),"")</f>
        <v/>
      </c>
      <c r="CT20" s="23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3"/>
      <c r="CV20" s="235"/>
      <c r="CW20" s="378"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294" t="str">
        <f>IF(ISNUMBER((SnapshotTable[[#This Row],[SP Total Value]])), SnapshotTable[[#This Row],[SP Gain Loss]] / SnapshotTable[[#This Row],[SP Premium]], "")</f>
        <v/>
      </c>
      <c r="DI20" s="406"/>
      <c r="DJ20" s="138"/>
      <c r="DK20" s="148"/>
      <c r="DL20" s="13"/>
      <c r="DM20" s="13"/>
      <c r="DO20" s="31">
        <f>IF(SnapshotTable[[#This Row],[LC Symbol Count]]=1, SnapshotTable[[#This Row],[LC Qty]] * SnapshotTable[[#This Row],[LC Book Price]] * 100, 0)</f>
        <v>0</v>
      </c>
      <c r="DP20" s="163" t="str">
        <f>IF(AND(SnapshotTable[[#This Row],[LC Exp Date]]&gt;0, SnapshotTable[[#This Row],[LC Strike Price]]&gt;0,SnapshotTable[[#This Row],[LC Qty]]&gt;0,SnapshotTable[[#This Row],[LC Book Date]]&gt;0,SnapshotTable[[#This Row],[LC Book Price]]&gt;0,SnapshotTable[[#This Row],[LC Fill Date]]=0),"Y","")</f>
        <v/>
      </c>
      <c r="DQ20" s="386" t="str">
        <f>IF(SnapshotTable[[#This Row],[LC Premium]] &gt; 0,SnapshotTable[[#This Row],[LC Exp Date]]-MAX(SnapshotTable[[#This Row],[LC Book Date]], SnapshotTable[[#This Row],[LC Fill Date]]),"")</f>
        <v/>
      </c>
      <c r="DR20" s="386" t="str">
        <f>IF(ISNUMBER(SnapshotTable[[#This Row],[LC Term]]), SnapshotTable[[#This Row],[LC Exp Date]] - MockToday, "")</f>
        <v/>
      </c>
      <c r="DS20" s="23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40" t="str">
        <f>IF(ISNUMBER(SnapshotTable[[#This Row],[LC Actual Gain Loss]]), SnapshotTable[[#This Row],[LC Actual Gain Loss]] / SnapshotTable[[#This Row],[LC Premium]],"")</f>
        <v/>
      </c>
      <c r="DX20" s="284" t="str">
        <f>IF(ISNUMBER(SnapshotTable[[#This Row],[LC Book Price]]),SnapshotTable[[#This Row],[LC Book Price]] * 1.5,"")</f>
        <v/>
      </c>
      <c r="DY20" s="265" t="str">
        <f>IF(SnapshotTable[[#This Row],[LC Premium]]&gt;0, SnapshotTable[[#This Row],[LC Next Target]] * SnapshotTable[[#This Row],[LC Qty]] * 100,"")</f>
        <v/>
      </c>
      <c r="DZ20" s="265" t="str">
        <f>IF(ISNUMBER(SnapshotTable[[#This Row],[LC Target Gross]]), SnapshotTable[[#This Row],[LC Target Gross]] - SnapshotTable[[#This Row],[LC Premium]], "")</f>
        <v/>
      </c>
      <c r="EA20" s="305" t="str">
        <f>IF(ISNUMBER(SnapshotTable[[#This Row],[LC Target Gain Loss]]), SnapshotTable[[#This Row],[LC Target Gain Loss]]/SnapshotTable[[#This Row],[LC Premium]], "")</f>
        <v/>
      </c>
      <c r="EB20" s="262"/>
      <c r="EC20" s="283" t="str">
        <f>IF(SnapshotTable[[#This Row],[LC Premium]]&gt;0, SnapshotTable[[#This Row],[LC Book Price]] * (1 - LC_StopLoss_Pct),"")</f>
        <v/>
      </c>
      <c r="ED20" s="284"/>
      <c r="EE20" s="28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4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7"/>
      <c r="EL20" s="138"/>
      <c r="EM20" s="148"/>
      <c r="EN20" s="147"/>
      <c r="EO20" s="147"/>
      <c r="EP20" s="138"/>
      <c r="EQ20" s="419" t="b">
        <f>AND(ISNUMBER(SnapshotTable[[#This Row],[SC Exp Date]]), ISNUMBER(SnapshotTable[[#This Row],[SC Strike Price]]), ISNUMBER(SnapshotTable[[#This Row],[SC Qty]]), ISNUMBER(SnapshotTable[[#This Row],[SC Book Date]]), ISNUMBER(SnapshotTable[[#This Row],[SC Book Price]]))</f>
        <v>0</v>
      </c>
      <c r="ER20" s="419" t="b">
        <f>AND(SnapshotTable[[#This Row],[SC Is Booked]], NOT(ISBLANK(SnapshotTable[[#This Row],[SC Fill Date]])))</f>
        <v>0</v>
      </c>
      <c r="ES20" s="370"/>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3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283"/>
      <c r="FA20" s="218"/>
      <c r="FB20" s="370"/>
      <c r="FC20" s="4">
        <f>IF(SnapshotTable[[#This Row],[SC Is Filled]], btc_max_buyback_amount(SnapshotTable[[#This Row],[SC Fill Date]],SnapshotTable[[#This Row],[SC Exp Date]], SnapshotTable[[#This Row],[SC Book Price]]),0)</f>
        <v>0</v>
      </c>
      <c r="FD20" s="5"/>
      <c r="FE20" s="144"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382">
        <f>IF(SnapshotTable[[#This Row],[SC Is Filled]], IF(ISNUMBER(SnapshotTable[[#This Row],[SC Current Ask]]), SnapshotTable[[#This Row],[SC Current Ask]], SnapshotTable[[#This Row],[SC Book Price]]) - SnapshotTable[[#This Row],[SC Intrinsic Value]], 0)</f>
        <v>0</v>
      </c>
      <c r="FI20" s="143">
        <v>45786</v>
      </c>
      <c r="FJ20" s="32" t="str">
        <f>IF(SnapshotTable[[#This Row],[SC Is Filled]],100 * SnapshotTable[[#This Row],[SC Qty]] * IF(ISNUMBER(SnapshotTable[[#This Row],[SC Buyback Override]]), SnapshotTable[[#This Row],[SC Buyback Override]], SnapshotTable[[#This Row],[SC Current Ask]]), "")</f>
        <v/>
      </c>
      <c r="FK20" s="250" t="str">
        <f>IF(SnapshotTable[[#This Row],[SC Time Val]]&gt;0, SnapshotTable[[#This Row],[SC Time Val]] / SnapshotTable[[#This Row],[Last Price]],"")</f>
        <v/>
      </c>
      <c r="FL20" s="302" t="str">
        <f>IF(SnapshotTable[[#This Row],[SC Is Booked]], ((SnapshotTable[[#This Row],[Last Price]] -SnapshotTable[[#This Row],[SC Strike Price]]) / SnapshotTable[[#This Row],[Last Price]]) * -1, "")</f>
        <v/>
      </c>
      <c r="FM20" s="157"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33"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36" t="str">
        <f>IF(AND(ISNUMBER(SnapshotTable[[#This Row],[SC Simple ROO]]),SnapshotTable[[#This Row],[SC Simple ROO]] &gt; 0), SnapshotTable[[#This Row],[SC Premium]] + (SnapshotTable[[#This Row],[SC Qty]] * SnapshotTable[[#This Row],[SC Upside Potential]]), "")</f>
        <v/>
      </c>
      <c r="FX20" s="302" t="str" cm="1">
        <f t="array" ref="FX20">IF(ISNUMBER(SnapshotTable[[#This Row],[SC Max Dollars]]), annualize(SnapshotTable[[#This Row],[SC Term]],(SnapshotTable[[#This Row],[SC Max Dollars]]/SnapshotTable[[#This Row],[SC Basis]])),"")</f>
        <v/>
      </c>
      <c r="FY20" s="23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29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396.82499999999999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624</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31">
        <f>MAX(SnapshotTable[[#This Row],[Equity Basis Total]],SnapshotTable[[#This Row],[Equity Value]]) + (SnapshotTable[[#This Row],[SP Potential Spend]]- SnapshotTable[[#This Row],[SP Premium]] + SnapshotTable[[#This Row],[LP Premium]])+ (SnapshotTable[[#This Row],[LC Premium]] - SnapshotTable[[#This Row],[SC Premium]])</f>
        <v>0</v>
      </c>
      <c r="GW20" s="139" t="str">
        <f>IF(AND(SnapshotTable[[#This Row],[Exposure]] &lt;&gt; 0),SnapshotTable[[#This Row],[Exposure]] / SnapshotTable[[#Totals],[Exposure]], "")</f>
        <v/>
      </c>
      <c r="HK20" s="1"/>
      <c r="HL20" s="1"/>
      <c r="HM20" s="1"/>
      <c r="HN20" s="1"/>
      <c r="HO20" s="1"/>
      <c r="HP20" s="1"/>
    </row>
    <row r="21" spans="2:224" ht="12.75" hidden="1" customHeight="1" x14ac:dyDescent="0.25">
      <c r="B21" s="12" t="s">
        <v>582</v>
      </c>
      <c r="C21" s="422">
        <v>147.05000000000001</v>
      </c>
      <c r="D21" s="208" t="s">
        <v>578</v>
      </c>
      <c r="E21" s="39">
        <f>SnapshotTable[[#This Row],[Last Price]]*(1 -CrashDiscount)</f>
        <v>124.99250000000001</v>
      </c>
      <c r="F21" s="26" t="s">
        <v>550</v>
      </c>
      <c r="G21" s="26" t="s">
        <v>41</v>
      </c>
      <c r="H21" s="149"/>
      <c r="I21" s="194">
        <v>45701</v>
      </c>
      <c r="J21" s="195">
        <v>0.66666666666666663</v>
      </c>
      <c r="K21" s="196"/>
      <c r="L21" s="326"/>
      <c r="M21" s="140"/>
      <c r="N21" s="140"/>
      <c r="O21" s="140"/>
      <c r="P21" s="22"/>
      <c r="Q21" s="25"/>
      <c r="R21" s="4" t="str">
        <f>IF(SnapshotTable[[#This Row],[Equity Basis Total]] &gt; 0, SnapshotTable[[#This Row],[Equity Basis Total]] / SnapshotTable[[#This Row],[Equity Shares]], "")</f>
        <v/>
      </c>
      <c r="S21" s="269">
        <f>SnapshotTable[[#This Row],[Last Price]] * SnapshotTable[[#This Row],[Equity Shares]]</f>
        <v>0</v>
      </c>
      <c r="T21" s="269">
        <f>SnapshotTable[[#This Row],[Equity Value]] - SnapshotTable[[#This Row],[Equity Basis Total]]</f>
        <v>0</v>
      </c>
      <c r="U21" s="270" t="str">
        <f>IF(SnapshotTable[[#This Row],[Equity Basis Total]] &gt; 0, SnapshotTable[[#This Row],[Equity G/L]] / SnapshotTable[[#This Row],[Equity Basis Total]], "")</f>
        <v/>
      </c>
      <c r="V21" s="268"/>
      <c r="W21" s="26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7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0"/>
      <c r="AD21" s="151"/>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1"/>
      <c r="AI21" s="5"/>
      <c r="AJ21" s="138">
        <v>66.78</v>
      </c>
      <c r="AK21" s="152" t="str">
        <f>IF(ISNUMBER( SnapshotTable[[#This Row],[EBF Target]]),(SnapshotTable[[#This Row],[EBF Target]] - SnapshotTable[[#This Row],[Last Price]]) / SnapshotTable[[#This Row],[Last Price]], "")</f>
        <v/>
      </c>
      <c r="AL21" s="152"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2">
        <f>IF(AND(ISNUMBER( SnapshotTable[[#This Row],[Long Term Target]]), ISNUMBER(SnapshotTable[[#This Row],[Last Price]])),(SnapshotTable[[#This Row],[Long Term Target]] - SnapshotTable[[#This Row],[Last Price]]) / SnapshotTable[[#This Row],[Last Price]], "")</f>
        <v>-0.54586875212512753</v>
      </c>
      <c r="AP21" s="5">
        <v>118</v>
      </c>
      <c r="AQ21" s="38" t="s">
        <v>38</v>
      </c>
      <c r="AR21" s="5">
        <v>118</v>
      </c>
      <c r="AS21" s="38" t="s">
        <v>26</v>
      </c>
      <c r="AT21" s="146" t="s">
        <v>538</v>
      </c>
      <c r="AU21" s="187" t="str">
        <f>IF(OR(SnapshotTable[[#This Row],[LP No Fill]]="Y",SnapshotTable[[#This Row],[SP Is Filled]],SnapshotTable[[#This Row],[LC Not Filled]]="Y",SnapshotTable[[#This Row],[SC Is Filled]]),"Y","")</f>
        <v/>
      </c>
      <c r="AV21" s="219"/>
      <c r="AW21" s="225"/>
      <c r="AX21" s="220"/>
      <c r="AY21" s="219" t="str">
        <f>IF(SnapshotTable[[#This Row],[Implied Move]]&gt;0, SnapshotTable[[#This Row],[Last Price]]-SnapshotTable[[#This Row],[Implied Move]],"")</f>
        <v/>
      </c>
      <c r="AZ21" s="219" t="str">
        <f>IF(SnapshotTable[[#This Row],[Implied Move]]&gt;0, SnapshotTable[[#This Row],[Last Price]] + SnapshotTable[[#This Row],[Implied Move]],"")</f>
        <v/>
      </c>
      <c r="BA21" s="331">
        <v>114.55</v>
      </c>
      <c r="BB21" s="347"/>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51"/>
      <c r="BE21" s="138"/>
      <c r="BF21" s="166"/>
      <c r="BG21" s="167"/>
      <c r="BH21" s="167"/>
      <c r="BI21" s="5"/>
      <c r="BJ21" s="153">
        <f>IF(SnapshotTable[[#This Row],[LP Qty]] &gt; 0, SnapshotTable[[#This Row],[LP Qty]] * SnapshotTable[[#This Row],[LP Book Price]] * 100,0)</f>
        <v>0</v>
      </c>
      <c r="BK21" s="136">
        <f>IF(SnapshotTable[[#This Row],[LP Premium]] &gt; 0, SnapshotTable[[#This Row],[LP Qty]] * SnapshotTable[[#This Row],[LP Strike Price]] * 100,0)</f>
        <v>0</v>
      </c>
      <c r="BL21" s="154"/>
      <c r="BM21" s="385" t="str">
        <f>IF(SnapshotTable[[#This Row],[LP Premium]] &gt; 0,SnapshotTable[[#This Row],[LP Exp Date]]-MAX(SnapshotTable[[#This Row],[LP Book Date]], SnapshotTable[[#This Row],[LP Fill Date]]),"")</f>
        <v/>
      </c>
      <c r="BN21" s="385" t="str">
        <f>IF(ISNUMBER( SnapshotTable[[#This Row],[LP Term]]), SnapshotTable[[#This Row],[LP Exp Date]] - MockToday,"")</f>
        <v/>
      </c>
      <c r="BO21" s="163"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7"/>
      <c r="BU21" s="13"/>
      <c r="BV21" s="5"/>
      <c r="BW21" s="419" t="b">
        <f>AND(ISNUMBER(SnapshotTable[[#This Row],[SP Exp Date]]), ISNUMBER(SnapshotTable[[#This Row],[SP Strike Price]]), ISNUMBER(SnapshotTable[[#This Row],[SP Qty]]), ISNUMBER(SnapshotTable[[#This Row],[SP Book Date]]), ISNUMBER(SnapshotTable[[#This Row],[SP Book Price]]))</f>
        <v>0</v>
      </c>
      <c r="BX21" s="419" t="b">
        <f>AND(SnapshotTable[[#This Row],[SP Is Booked]], NOT(ISBLANK(SnapshotTable[[#This Row],[SP Fill Date]])))</f>
        <v>0</v>
      </c>
      <c r="BY21" s="33">
        <f>IF(SnapshotTable[[#This Row],[SP Is Booked]], SnapshotTable[[#This Row],[SP Qty]] * SnapshotTable[[#This Row],[SP Book Price]] * 100, 0)</f>
        <v>0</v>
      </c>
      <c r="BZ21" s="369"/>
      <c r="CA21" s="368">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3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44"/>
      <c r="CK21" s="31">
        <f>IF(ISNUMBER(SnapshotTable[[#This Row],[SP Potential Spend]]),IF(ISNUMBER(SnapshotTable[[#This Row],[SP POW]]), SnapshotTable[[#This Row],[SP POW]] * SnapshotTable[[#This Row],[SP Potential Spend]], SnapshotTable[[#This Row],[SP Potential Spend]]), "")</f>
        <v>0</v>
      </c>
      <c r="CL21" s="164">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4"/>
      <c r="CO21" s="369"/>
      <c r="CP21" s="4" t="str">
        <f>IF(SnapshotTable[[#This Row],[SP Is Filled]], btc_max_buyback_amount(SnapshotTable[[#This Row],[SP Fill Date]],SnapshotTable[[#This Row],[SP Exp Date]], SnapshotTable[[#This Row],[SP Book Price]]),"")</f>
        <v/>
      </c>
      <c r="CQ21" s="78"/>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5" t="str">
        <f>IF(SnapshotTable[[#This Row],[SP Is Filled]], btc_next_cutoff_date(SnapshotTable[[#This Row],[SP Fill Date]],SnapshotTable[[#This Row],[SP Exp Date]]),"")</f>
        <v/>
      </c>
      <c r="CT21" s="23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6"/>
      <c r="CV21" s="235"/>
      <c r="CW21" s="378"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294" t="str">
        <f>IF(ISNUMBER((SnapshotTable[[#This Row],[SP Total Value]])), SnapshotTable[[#This Row],[SP Gain Loss]] / SnapshotTable[[#This Row],[SP Premium]], "")</f>
        <v/>
      </c>
      <c r="DI21" s="406"/>
      <c r="DJ21" s="138"/>
      <c r="DK21" s="148"/>
      <c r="DL21" s="147"/>
      <c r="DM21" s="147"/>
      <c r="DO21" s="31">
        <f>IF(SnapshotTable[[#This Row],[LC Symbol Count]]=1, SnapshotTable[[#This Row],[LC Qty]] * SnapshotTable[[#This Row],[LC Book Price]] * 100, 0)</f>
        <v>0</v>
      </c>
      <c r="DP21" s="163" t="str">
        <f>IF(AND(SnapshotTable[[#This Row],[LC Exp Date]]&gt;0, SnapshotTable[[#This Row],[LC Strike Price]]&gt;0,SnapshotTable[[#This Row],[LC Qty]]&gt;0,SnapshotTable[[#This Row],[LC Book Date]]&gt;0,SnapshotTable[[#This Row],[LC Book Price]]&gt;0,SnapshotTable[[#This Row],[LC Fill Date]]=0),"Y","")</f>
        <v/>
      </c>
      <c r="DQ21" s="386" t="str">
        <f>IF(SnapshotTable[[#This Row],[LC Premium]] &gt; 0,SnapshotTable[[#This Row],[LC Exp Date]]-MAX(SnapshotTable[[#This Row],[LC Book Date]], SnapshotTable[[#This Row],[LC Fill Date]]),"")</f>
        <v/>
      </c>
      <c r="DR21" s="386" t="str">
        <f>IF(ISNUMBER(SnapshotTable[[#This Row],[LC Term]]), SnapshotTable[[#This Row],[LC Exp Date]] - MockToday, "")</f>
        <v/>
      </c>
      <c r="DS21" s="23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40" t="str">
        <f>IF(ISNUMBER(SnapshotTable[[#This Row],[LC Actual Gain Loss]]), SnapshotTable[[#This Row],[LC Actual Gain Loss]] / SnapshotTable[[#This Row],[LC Premium]],"")</f>
        <v/>
      </c>
      <c r="DX21" s="284" t="str">
        <f>IF(ISNUMBER(SnapshotTable[[#This Row],[LC Book Price]]),SnapshotTable[[#This Row],[LC Book Price]] * 1.5,"")</f>
        <v/>
      </c>
      <c r="DY21" s="265" t="str">
        <f>IF(SnapshotTable[[#This Row],[LC Premium]]&gt;0, SnapshotTable[[#This Row],[LC Next Target]] * SnapshotTable[[#This Row],[LC Qty]] * 100,"")</f>
        <v/>
      </c>
      <c r="DZ21" s="265" t="str">
        <f>IF(ISNUMBER(SnapshotTable[[#This Row],[LC Target Gross]]), SnapshotTable[[#This Row],[LC Target Gross]] - SnapshotTable[[#This Row],[LC Premium]], "")</f>
        <v/>
      </c>
      <c r="EA21" s="305" t="str">
        <f>IF(ISNUMBER(SnapshotTable[[#This Row],[LC Target Gain Loss]]), SnapshotTable[[#This Row],[LC Target Gain Loss]]/SnapshotTable[[#This Row],[LC Premium]], "")</f>
        <v/>
      </c>
      <c r="EB21" s="262"/>
      <c r="EC21" s="283" t="str">
        <f>IF(SnapshotTable[[#This Row],[LC Premium]]&gt;0, SnapshotTable[[#This Row],[LC Book Price]] * (1 - LC_StopLoss_Pct),"")</f>
        <v/>
      </c>
      <c r="ED21" s="284"/>
      <c r="EE21" s="28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4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7"/>
      <c r="EL21" s="138"/>
      <c r="EM21" s="148"/>
      <c r="EN21" s="147"/>
      <c r="EO21" s="147"/>
      <c r="EP21" s="138"/>
      <c r="EQ21" s="419" t="b">
        <f>AND(ISNUMBER(SnapshotTable[[#This Row],[SC Exp Date]]), ISNUMBER(SnapshotTable[[#This Row],[SC Strike Price]]), ISNUMBER(SnapshotTable[[#This Row],[SC Qty]]), ISNUMBER(SnapshotTable[[#This Row],[SC Book Date]]), ISNUMBER(SnapshotTable[[#This Row],[SC Book Price]]))</f>
        <v>0</v>
      </c>
      <c r="ER21" s="419" t="b">
        <f>AND(SnapshotTable[[#This Row],[SC Is Booked]], NOT(ISBLANK(SnapshotTable[[#This Row],[SC Fill Date]])))</f>
        <v>0</v>
      </c>
      <c r="ES21" s="370"/>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3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283"/>
      <c r="FA21" s="218"/>
      <c r="FB21" s="370"/>
      <c r="FC21" s="4">
        <f>IF(SnapshotTable[[#This Row],[SC Is Filled]], btc_max_buyback_amount(SnapshotTable[[#This Row],[SC Fill Date]],SnapshotTable[[#This Row],[SC Exp Date]], SnapshotTable[[#This Row],[SC Book Price]]),0)</f>
        <v>0</v>
      </c>
      <c r="FD21" s="5"/>
      <c r="FE21" s="144"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382">
        <f>IF(SnapshotTable[[#This Row],[SC Is Filled]], IF(ISNUMBER(SnapshotTable[[#This Row],[SC Current Ask]]), SnapshotTable[[#This Row],[SC Current Ask]], SnapshotTable[[#This Row],[SC Book Price]]) - SnapshotTable[[#This Row],[SC Intrinsic Value]], 0)</f>
        <v>0</v>
      </c>
      <c r="FI21" s="143">
        <v>45828</v>
      </c>
      <c r="FJ21" s="32" t="str">
        <f>IF(SnapshotTable[[#This Row],[SC Is Filled]],100 * SnapshotTable[[#This Row],[SC Qty]] * IF(ISNUMBER(SnapshotTable[[#This Row],[SC Buyback Override]]), SnapshotTable[[#This Row],[SC Buyback Override]], SnapshotTable[[#This Row],[SC Current Ask]]), "")</f>
        <v/>
      </c>
      <c r="FK21" s="250" t="str">
        <f>IF(SnapshotTable[[#This Row],[SC Time Val]]&gt;0, SnapshotTable[[#This Row],[SC Time Val]] / SnapshotTable[[#This Row],[Last Price]],"")</f>
        <v/>
      </c>
      <c r="FL21" s="302" t="str">
        <f>IF(SnapshotTable[[#This Row],[SC Is Booked]], ((SnapshotTable[[#This Row],[Last Price]] -SnapshotTable[[#This Row],[SC Strike Price]]) / SnapshotTable[[#This Row],[Last Price]]) * -1, "")</f>
        <v/>
      </c>
      <c r="FM21" s="157" t="str">
        <f>IF(SnapshotTable[[#This Row],[SC Is Booked]],  (SnapshotTable[[#This Row],[SC Qty]] * 100 * SnapshotTable[[#This Row],[SC Strike Price]]) - SnapshotTable[[#This Row],[SC Current Ask]], "")</f>
        <v/>
      </c>
      <c r="FN2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7"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33"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36" t="str">
        <f>IF(AND(ISNUMBER(SnapshotTable[[#This Row],[SC Simple ROO]]),SnapshotTable[[#This Row],[SC Simple ROO]] &gt; 0), SnapshotTable[[#This Row],[SC Premium]] + (SnapshotTable[[#This Row],[SC Qty]] * SnapshotTable[[#This Row],[SC Upside Potential]]), "")</f>
        <v/>
      </c>
      <c r="FX21" s="302" t="str" cm="1">
        <f t="array" ref="FX21">IF(ISNUMBER(SnapshotTable[[#This Row],[SC Max Dollars]]), annualize(SnapshotTable[[#This Row],[SC Term]],(SnapshotTable[[#This Row],[SC Max Dollars]]/SnapshotTable[[#This Row],[SC Basis]])),"")</f>
        <v/>
      </c>
      <c r="FY21" s="23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29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286.7475</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8" t="str">
        <f>IF(SnapshotTable[[#This Row],[Sale G/L]]&gt;0, SnapshotTable[[#This Row],[Sale G/L]] / SnapshotTable[[#This Row],[Sale Basis]], IF(ISNUMBER(SnapshotTable[[#This Row],[SC Exercise P&amp;L (TAX)]]), SnapshotTable[[#This Row],[SC Exercise P&amp;L (TAX)]] / SnapshotTable[[#This Row],[SC Basis]], ""))</f>
        <v/>
      </c>
      <c r="GK21" s="158" t="s">
        <v>625</v>
      </c>
      <c r="GL21" s="159"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59" t="str">
        <f>IF(AND(SnapshotTable[[#This Row],[LC Exp Date]]&gt;0,SnapshotTable[[#This Row],[LC Strike Price]]&gt;0), [1]!ToOptionSymbol(SnapshotTable[[#This Row],[Symbol]], SnapshotTable[[#This Row],[LC Strike Price]],SnapshotTable[[#This Row],[LC Exp Date]],0), "")</f>
        <v/>
      </c>
      <c r="GQ21" s="160" t="str">
        <f>IF(LEN(SnapshotTable[[#This Row],[LC Symbol]])&gt;0, 1, "")</f>
        <v/>
      </c>
      <c r="GR21" s="159" t="str">
        <f>IF(AND(SnapshotTable[[#This Row],[SC Exp Date]]&gt;0,SnapshotTable[[#This Row],[SC Strike Price]]&gt;0), [1]!ToOptionSymbol(SnapshotTable[[#This Row],[Symbol]], SnapshotTable[[#This Row],[SC Strike Price]],SnapshotTable[[#This Row],[SC Exp Date]],0), "")</f>
        <v/>
      </c>
      <c r="GS21" s="160" t="str">
        <f>IF(LEN(SnapshotTable[[#This Row],[SC Symbol]])&gt;0, 1, "")</f>
        <v/>
      </c>
      <c r="GT21" s="161"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31">
        <f>MAX(SnapshotTable[[#This Row],[Equity Basis Total]],SnapshotTable[[#This Row],[Equity Value]]) + (SnapshotTable[[#This Row],[SP Potential Spend]]- SnapshotTable[[#This Row],[SP Premium]] + SnapshotTable[[#This Row],[LP Premium]])+ (SnapshotTable[[#This Row],[LC Premium]] - SnapshotTable[[#This Row],[SC Premium]])</f>
        <v>0</v>
      </c>
      <c r="GW21" s="139" t="str">
        <f>IF(AND(SnapshotTable[[#This Row],[Exposure]] &lt;&gt; 0),SnapshotTable[[#This Row],[Exposure]] / SnapshotTable[[#Totals],[Exposure]], "")</f>
        <v/>
      </c>
      <c r="HK21" s="1"/>
      <c r="HL21" s="1"/>
      <c r="HM21" s="1"/>
      <c r="HN21" s="1"/>
      <c r="HO21" s="1"/>
      <c r="HP21" s="1"/>
    </row>
    <row r="22" spans="2:224" ht="12.75" hidden="1" customHeight="1" x14ac:dyDescent="0.25">
      <c r="B22" s="12" t="s">
        <v>182</v>
      </c>
      <c r="C22" s="422">
        <v>133.07</v>
      </c>
      <c r="D22" s="208"/>
      <c r="E22" s="39">
        <f>SnapshotTable[[#This Row],[Last Price]]*(1 -CrashDiscount)</f>
        <v>113.1095</v>
      </c>
      <c r="F22" s="26" t="s">
        <v>944</v>
      </c>
      <c r="G22" s="26" t="s">
        <v>178</v>
      </c>
      <c r="H22" s="149"/>
      <c r="I22" s="194">
        <v>44770.288194444445</v>
      </c>
      <c r="J22" s="195">
        <v>44770.288194444445</v>
      </c>
      <c r="K22" s="196"/>
      <c r="L22" s="326"/>
      <c r="M22" s="140"/>
      <c r="N22" s="140"/>
      <c r="O22" s="140"/>
      <c r="P22" s="22"/>
      <c r="Q22" s="25"/>
      <c r="R22" s="4" t="str">
        <f>IF(SnapshotTable[[#This Row],[Equity Basis Total]] &gt; 0, SnapshotTable[[#This Row],[Equity Basis Total]] / SnapshotTable[[#This Row],[Equity Shares]], "")</f>
        <v/>
      </c>
      <c r="S22" s="269">
        <f>SnapshotTable[[#This Row],[Last Price]] * SnapshotTable[[#This Row],[Equity Shares]]</f>
        <v>0</v>
      </c>
      <c r="T22" s="269">
        <f>SnapshotTable[[#This Row],[Equity Value]] - SnapshotTable[[#This Row],[Equity Basis Total]]</f>
        <v>0</v>
      </c>
      <c r="U22" s="270" t="str">
        <f>IF(SnapshotTable[[#This Row],[Equity Basis Total]] &gt; 0, SnapshotTable[[#This Row],[Equity G/L]] / SnapshotTable[[#This Row],[Equity Basis Total]], "")</f>
        <v/>
      </c>
      <c r="V22" s="268"/>
      <c r="W22" s="26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7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0">
        <v>2.2400000000000002</v>
      </c>
      <c r="AD22" s="151">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1.6833245660178856E-2</v>
      </c>
      <c r="AH22" s="151">
        <v>42586</v>
      </c>
      <c r="AI22" s="5"/>
      <c r="AJ22" s="138">
        <v>97.82</v>
      </c>
      <c r="AK22" s="152" t="str">
        <f>IF(ISNUMBER( SnapshotTable[[#This Row],[EBF Target]]),(SnapshotTable[[#This Row],[EBF Target]] - SnapshotTable[[#This Row],[Last Price]]) / SnapshotTable[[#This Row],[Last Price]], "")</f>
        <v/>
      </c>
      <c r="AL22" s="152"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2">
        <f>IF(AND(ISNUMBER( SnapshotTable[[#This Row],[Long Term Target]]), ISNUMBER(SnapshotTable[[#This Row],[Last Price]])),(SnapshotTable[[#This Row],[Long Term Target]] - SnapshotTable[[#This Row],[Last Price]]) / SnapshotTable[[#This Row],[Last Price]], "")</f>
        <v>-0.26489817389343956</v>
      </c>
      <c r="AP22" s="5"/>
      <c r="AQ22" s="38"/>
      <c r="AR22" s="5"/>
      <c r="AS22" s="38"/>
      <c r="AT22" s="146"/>
      <c r="AU22" s="187" t="str">
        <f>IF(OR(SnapshotTable[[#This Row],[LP No Fill]]="Y",SnapshotTable[[#This Row],[SP Is Filled]],SnapshotTable[[#This Row],[LC Not Filled]]="Y",SnapshotTable[[#This Row],[SC Is Filled]]),"Y","")</f>
        <v/>
      </c>
      <c r="AV22" s="219"/>
      <c r="AW22" s="225"/>
      <c r="AX22" s="220"/>
      <c r="AY22" s="219" t="str">
        <f>IF(SnapshotTable[[#This Row],[Implied Move]]&gt;0, SnapshotTable[[#This Row],[Last Price]]-SnapshotTable[[#This Row],[Implied Move]],"")</f>
        <v/>
      </c>
      <c r="AZ22" s="219" t="str">
        <f>IF(SnapshotTable[[#This Row],[Implied Move]]&gt;0, SnapshotTable[[#This Row],[Last Price]] + SnapshotTable[[#This Row],[Implied Move]],"")</f>
        <v/>
      </c>
      <c r="BA22" s="331"/>
      <c r="BB22" s="347"/>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51"/>
      <c r="BE22" s="5"/>
      <c r="BF22" s="14"/>
      <c r="BG22" s="13"/>
      <c r="BH22" s="13"/>
      <c r="BI22" s="5"/>
      <c r="BJ22" s="136">
        <f>IF(SnapshotTable[[#This Row],[LP Qty]] &gt; 0, SnapshotTable[[#This Row],[LP Qty]] * SnapshotTable[[#This Row],[LP Book Price]] * 100,0)</f>
        <v>0</v>
      </c>
      <c r="BK22" s="136">
        <f>IF(SnapshotTable[[#This Row],[LP Premium]] &gt; 0, SnapshotTable[[#This Row],[LP Qty]] * SnapshotTable[[#This Row],[LP Strike Price]] * 100,0)</f>
        <v>0</v>
      </c>
      <c r="BL22" s="154"/>
      <c r="BM22" s="385" t="str">
        <f>IF(SnapshotTable[[#This Row],[LP Premium]] &gt; 0,SnapshotTable[[#This Row],[LP Exp Date]]-MAX(SnapshotTable[[#This Row],[LP Book Date]], SnapshotTable[[#This Row],[LP Fill Date]]),"")</f>
        <v/>
      </c>
      <c r="BN22" s="385" t="str">
        <f>IF(ISNUMBER( SnapshotTable[[#This Row],[LP Term]]), SnapshotTable[[#This Row],[LP Exp Date]] - MockToday,"")</f>
        <v/>
      </c>
      <c r="BO22" s="163"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7"/>
      <c r="BU22" s="13"/>
      <c r="BV22" s="5"/>
      <c r="BW22" s="419" t="b">
        <f>AND(ISNUMBER(SnapshotTable[[#This Row],[SP Exp Date]]), ISNUMBER(SnapshotTable[[#This Row],[SP Strike Price]]), ISNUMBER(SnapshotTable[[#This Row],[SP Qty]]), ISNUMBER(SnapshotTable[[#This Row],[SP Book Date]]), ISNUMBER(SnapshotTable[[#This Row],[SP Book Price]]))</f>
        <v>0</v>
      </c>
      <c r="BX22" s="419" t="b">
        <f>AND(SnapshotTable[[#This Row],[SP Is Booked]], NOT(ISBLANK(SnapshotTable[[#This Row],[SP Fill Date]])))</f>
        <v>0</v>
      </c>
      <c r="BY22" s="33">
        <f>IF(SnapshotTable[[#This Row],[SP Is Booked]], SnapshotTable[[#This Row],[SP Qty]] * SnapshotTable[[#This Row],[SP Book Price]] * 100, 0)</f>
        <v>0</v>
      </c>
      <c r="BZ22" s="369"/>
      <c r="CA22" s="368">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3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44"/>
      <c r="CK22" s="31">
        <f>IF(ISNUMBER(SnapshotTable[[#This Row],[SP Potential Spend]]),IF(ISNUMBER(SnapshotTable[[#This Row],[SP POW]]), SnapshotTable[[#This Row],[SP POW]] * SnapshotTable[[#This Row],[SP Potential Spend]], SnapshotTable[[#This Row],[SP Potential Spend]]), "")</f>
        <v>0</v>
      </c>
      <c r="CL22" s="164">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8"/>
      <c r="CO22" s="369"/>
      <c r="CP22" s="4" t="str">
        <f>IF(SnapshotTable[[#This Row],[SP Is Filled]], btc_max_buyback_amount(SnapshotTable[[#This Row],[SP Fill Date]],SnapshotTable[[#This Row],[SP Exp Date]], SnapshotTable[[#This Row],[SP Book Price]]),"")</f>
        <v/>
      </c>
      <c r="CQ22" s="78"/>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5" t="str">
        <f>IF(SnapshotTable[[#This Row],[SP Is Filled]], btc_next_cutoff_date(SnapshotTable[[#This Row],[SP Fill Date]],SnapshotTable[[#This Row],[SP Exp Date]]),"")</f>
        <v/>
      </c>
      <c r="CT22" s="23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3"/>
      <c r="CV22" s="235"/>
      <c r="CW22" s="378"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294" t="str">
        <f>IF(ISNUMBER((SnapshotTable[[#This Row],[SP Total Value]])), SnapshotTable[[#This Row],[SP Gain Loss]] / SnapshotTable[[#This Row],[SP Premium]], "")</f>
        <v/>
      </c>
      <c r="DI22" s="406"/>
      <c r="DJ22" s="138"/>
      <c r="DK22" s="148"/>
      <c r="DL22" s="13"/>
      <c r="DM22" s="13"/>
      <c r="DO22" s="31">
        <f>IF(SnapshotTable[[#This Row],[LC Symbol Count]]=1, SnapshotTable[[#This Row],[LC Qty]] * SnapshotTable[[#This Row],[LC Book Price]] * 100, 0)</f>
        <v>0</v>
      </c>
      <c r="DP22" s="163" t="str">
        <f>IF(AND(SnapshotTable[[#This Row],[LC Exp Date]]&gt;0, SnapshotTable[[#This Row],[LC Strike Price]]&gt;0,SnapshotTable[[#This Row],[LC Qty]]&gt;0,SnapshotTable[[#This Row],[LC Book Date]]&gt;0,SnapshotTable[[#This Row],[LC Book Price]]&gt;0,SnapshotTable[[#This Row],[LC Fill Date]]=0),"Y","")</f>
        <v/>
      </c>
      <c r="DQ22" s="386" t="str">
        <f>IF(SnapshotTable[[#This Row],[LC Premium]] &gt; 0,SnapshotTable[[#This Row],[LC Exp Date]]-MAX(SnapshotTable[[#This Row],[LC Book Date]], SnapshotTable[[#This Row],[LC Fill Date]]),"")</f>
        <v/>
      </c>
      <c r="DR22" s="386" t="str">
        <f>IF(ISNUMBER(SnapshotTable[[#This Row],[LC Term]]), SnapshotTable[[#This Row],[LC Exp Date]] - MockToday, "")</f>
        <v/>
      </c>
      <c r="DS22" s="23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40" t="str">
        <f>IF(ISNUMBER(SnapshotTable[[#This Row],[LC Actual Gain Loss]]), SnapshotTable[[#This Row],[LC Actual Gain Loss]] / SnapshotTable[[#This Row],[LC Premium]],"")</f>
        <v/>
      </c>
      <c r="DX22" s="284" t="str">
        <f>IF(ISNUMBER(SnapshotTable[[#This Row],[LC Book Price]]),SnapshotTable[[#This Row],[LC Book Price]] * 1.5,"")</f>
        <v/>
      </c>
      <c r="DY22" s="265" t="str">
        <f>IF(SnapshotTable[[#This Row],[LC Premium]]&gt;0, SnapshotTable[[#This Row],[LC Next Target]] * SnapshotTable[[#This Row],[LC Qty]] * 100,"")</f>
        <v/>
      </c>
      <c r="DZ22" s="265" t="str">
        <f>IF(ISNUMBER(SnapshotTable[[#This Row],[LC Target Gross]]), SnapshotTable[[#This Row],[LC Target Gross]] - SnapshotTable[[#This Row],[LC Premium]], "")</f>
        <v/>
      </c>
      <c r="EA22" s="305" t="str">
        <f>IF(ISNUMBER(SnapshotTable[[#This Row],[LC Target Gain Loss]]), SnapshotTable[[#This Row],[LC Target Gain Loss]]/SnapshotTable[[#This Row],[LC Premium]], "")</f>
        <v/>
      </c>
      <c r="EB22" s="262"/>
      <c r="EC22" s="283" t="str">
        <f>IF(SnapshotTable[[#This Row],[LC Premium]]&gt;0, SnapshotTable[[#This Row],[LC Book Price]] * (1 - LC_StopLoss_Pct),"")</f>
        <v/>
      </c>
      <c r="ED22" s="284"/>
      <c r="EE22" s="28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4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7"/>
      <c r="EL22" s="138"/>
      <c r="EM22" s="148"/>
      <c r="EN22" s="147"/>
      <c r="EO22" s="147"/>
      <c r="EP22" s="138"/>
      <c r="EQ22" s="419" t="b">
        <f>AND(ISNUMBER(SnapshotTable[[#This Row],[SC Exp Date]]), ISNUMBER(SnapshotTable[[#This Row],[SC Strike Price]]), ISNUMBER(SnapshotTable[[#This Row],[SC Qty]]), ISNUMBER(SnapshotTable[[#This Row],[SC Book Date]]), ISNUMBER(SnapshotTable[[#This Row],[SC Book Price]]))</f>
        <v>0</v>
      </c>
      <c r="ER22" s="419" t="b">
        <f>AND(SnapshotTable[[#This Row],[SC Is Booked]], NOT(ISBLANK(SnapshotTable[[#This Row],[SC Fill Date]])))</f>
        <v>0</v>
      </c>
      <c r="ES22" s="370"/>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3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283"/>
      <c r="FA22" s="218"/>
      <c r="FB22" s="370"/>
      <c r="FC22" s="4">
        <f>IF(SnapshotTable[[#This Row],[SC Is Filled]], btc_max_buyback_amount(SnapshotTable[[#This Row],[SC Fill Date]],SnapshotTable[[#This Row],[SC Exp Date]], SnapshotTable[[#This Row],[SC Book Price]]),0)</f>
        <v>0</v>
      </c>
      <c r="FD22" s="5"/>
      <c r="FE22" s="144"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382">
        <f>IF(SnapshotTable[[#This Row],[SC Is Filled]], IF(ISNUMBER(SnapshotTable[[#This Row],[SC Current Ask]]), SnapshotTable[[#This Row],[SC Current Ask]], SnapshotTable[[#This Row],[SC Book Price]]) - SnapshotTable[[#This Row],[SC Intrinsic Value]], 0)</f>
        <v>0</v>
      </c>
      <c r="FI22" s="143">
        <v>45786</v>
      </c>
      <c r="FJ22" s="32" t="str">
        <f>IF(SnapshotTable[[#This Row],[SC Is Filled]],100 * SnapshotTable[[#This Row],[SC Qty]] * IF(ISNUMBER(SnapshotTable[[#This Row],[SC Buyback Override]]), SnapshotTable[[#This Row],[SC Buyback Override]], SnapshotTable[[#This Row],[SC Current Ask]]), "")</f>
        <v/>
      </c>
      <c r="FK22" s="250" t="str">
        <f>IF(SnapshotTable[[#This Row],[SC Time Val]]&gt;0, SnapshotTable[[#This Row],[SC Time Val]] / SnapshotTable[[#This Row],[Last Price]],"")</f>
        <v/>
      </c>
      <c r="FL22" s="302" t="str">
        <f>IF(SnapshotTable[[#This Row],[SC Is Booked]], ((SnapshotTable[[#This Row],[Last Price]] -SnapshotTable[[#This Row],[SC Strike Price]]) / SnapshotTable[[#This Row],[Last Price]]) * -1, "")</f>
        <v/>
      </c>
      <c r="FM22" s="157"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33"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36" t="str">
        <f>IF(AND(ISNUMBER(SnapshotTable[[#This Row],[SC Simple ROO]]),SnapshotTable[[#This Row],[SC Simple ROO]] &gt; 0), SnapshotTable[[#This Row],[SC Premium]] + (SnapshotTable[[#This Row],[SC Qty]] * SnapshotTable[[#This Row],[SC Upside Potential]]), "")</f>
        <v/>
      </c>
      <c r="FX22" s="302" t="str" cm="1">
        <f t="array" ref="FX22">IF(ISNUMBER(SnapshotTable[[#This Row],[SC Max Dollars]]), annualize(SnapshotTable[[#This Row],[SC Term]],(SnapshotTable[[#This Row],[SC Max Dollars]]/SnapshotTable[[#This Row],[SC Basis]])),"")</f>
        <v/>
      </c>
      <c r="FY22" s="23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29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259.48649999999998</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626</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31">
        <f>MAX(SnapshotTable[[#This Row],[Equity Basis Total]],SnapshotTable[[#This Row],[Equity Value]]) + (SnapshotTable[[#This Row],[SP Potential Spend]]- SnapshotTable[[#This Row],[SP Premium]] + SnapshotTable[[#This Row],[LP Premium]])+ (SnapshotTable[[#This Row],[LC Premium]] - SnapshotTable[[#This Row],[SC Premium]])</f>
        <v>0</v>
      </c>
      <c r="GW22" s="139" t="str">
        <f>IF(AND(SnapshotTable[[#This Row],[Exposure]] &lt;&gt; 0),SnapshotTable[[#This Row],[Exposure]] / SnapshotTable[[#Totals],[Exposure]], "")</f>
        <v/>
      </c>
      <c r="HK22" s="1"/>
      <c r="HL22" s="1"/>
      <c r="HM22" s="1"/>
      <c r="HN22" s="1"/>
      <c r="HO22" s="1"/>
      <c r="HP22" s="1"/>
    </row>
    <row r="23" spans="2:224" ht="12.75" hidden="1" customHeight="1" x14ac:dyDescent="0.25">
      <c r="B23" s="12" t="s">
        <v>1186</v>
      </c>
      <c r="C23" s="422">
        <v>16.04</v>
      </c>
      <c r="D23" s="208" t="s">
        <v>578</v>
      </c>
      <c r="E23" s="39">
        <f>SnapshotTable[[#This Row],[Last Price]]*(1 -CrashDiscount)</f>
        <v>13.633999999999999</v>
      </c>
      <c r="F23" s="325" t="s">
        <v>1034</v>
      </c>
      <c r="G23" s="325" t="s">
        <v>1184</v>
      </c>
      <c r="H23" s="149"/>
      <c r="I23" s="194"/>
      <c r="J23" s="195"/>
      <c r="K23" s="196"/>
      <c r="L23" s="326"/>
      <c r="M23" s="140"/>
      <c r="N23" s="140"/>
      <c r="O23" s="140"/>
      <c r="P23" s="22"/>
      <c r="Q23" s="25"/>
      <c r="R23" s="4" t="str">
        <f>IF(SnapshotTable[[#This Row],[Equity Basis Total]] &gt; 0, SnapshotTable[[#This Row],[Equity Basis Total]] / SnapshotTable[[#This Row],[Equity Shares]], "")</f>
        <v/>
      </c>
      <c r="S23" s="269">
        <f>SnapshotTable[[#This Row],[Last Price]] * SnapshotTable[[#This Row],[Equity Shares]]</f>
        <v>0</v>
      </c>
      <c r="T23" s="269">
        <f>SnapshotTable[[#This Row],[Equity Value]] - SnapshotTable[[#This Row],[Equity Basis Total]]</f>
        <v>0</v>
      </c>
      <c r="U23" s="270" t="str">
        <f>IF(SnapshotTable[[#This Row],[Equity Basis Total]] &gt; 0, SnapshotTable[[#This Row],[Equity G/L]] / SnapshotTable[[#This Row],[Equity Basis Total]], "")</f>
        <v/>
      </c>
      <c r="V23" s="268"/>
      <c r="W23" s="26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7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0"/>
      <c r="AD23" s="151"/>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1"/>
      <c r="AI23" s="5"/>
      <c r="AJ23" s="138">
        <v>21</v>
      </c>
      <c r="AK23" s="152" t="str">
        <f>IF(ISNUMBER( SnapshotTable[[#This Row],[EBF Target]]),(SnapshotTable[[#This Row],[EBF Target]] - SnapshotTable[[#This Row],[Last Price]]) / SnapshotTable[[#This Row],[Last Price]], "")</f>
        <v/>
      </c>
      <c r="AL23" s="152"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2">
        <f>IF(AND(ISNUMBER( SnapshotTable[[#This Row],[Long Term Target]]), ISNUMBER(SnapshotTable[[#This Row],[Last Price]])),(SnapshotTable[[#This Row],[Long Term Target]] - SnapshotTable[[#This Row],[Last Price]]) / SnapshotTable[[#This Row],[Last Price]], "")</f>
        <v>0.30922693266832924</v>
      </c>
      <c r="AP23" s="5">
        <v>17</v>
      </c>
      <c r="AQ23" s="38" t="s">
        <v>89</v>
      </c>
      <c r="AR23" s="5">
        <v>13.3</v>
      </c>
      <c r="AS23" s="38" t="s">
        <v>32</v>
      </c>
      <c r="AT23" s="146" t="s">
        <v>1132</v>
      </c>
      <c r="AU23" s="187" t="str">
        <f>IF(OR(SnapshotTable[[#This Row],[LP No Fill]]="Y",SnapshotTable[[#This Row],[SP Is Filled]],SnapshotTable[[#This Row],[LC Not Filled]]="Y",SnapshotTable[[#This Row],[SC Is Filled]]),"Y","")</f>
        <v/>
      </c>
      <c r="AV23" s="219"/>
      <c r="AW23" s="225"/>
      <c r="AX23" s="220"/>
      <c r="AY23" s="219" t="str">
        <f>IF(SnapshotTable[[#This Row],[Implied Move]]&gt;0, SnapshotTable[[#This Row],[Last Price]]-SnapshotTable[[#This Row],[Implied Move]],"")</f>
        <v/>
      </c>
      <c r="AZ23" s="219" t="str">
        <f>IF(SnapshotTable[[#This Row],[Implied Move]]&gt;0, SnapshotTable[[#This Row],[Last Price]] + SnapshotTable[[#This Row],[Implied Move]],"")</f>
        <v/>
      </c>
      <c r="BA23" s="331">
        <v>12.69</v>
      </c>
      <c r="BB23" s="347"/>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51"/>
      <c r="BE23" s="5"/>
      <c r="BF23" s="14"/>
      <c r="BG23" s="13"/>
      <c r="BH23" s="13"/>
      <c r="BI23" s="5"/>
      <c r="BJ23" s="136">
        <f>IF(SnapshotTable[[#This Row],[LP Qty]] &gt; 0, SnapshotTable[[#This Row],[LP Qty]] * SnapshotTable[[#This Row],[LP Book Price]] * 100,0)</f>
        <v>0</v>
      </c>
      <c r="BK23" s="136">
        <f>IF(SnapshotTable[[#This Row],[LP Premium]] &gt; 0, SnapshotTable[[#This Row],[LP Qty]] * SnapshotTable[[#This Row],[LP Strike Price]] * 100,0)</f>
        <v>0</v>
      </c>
      <c r="BL23" s="154"/>
      <c r="BM23" s="385" t="str">
        <f>IF(SnapshotTable[[#This Row],[LP Premium]] &gt; 0,SnapshotTable[[#This Row],[LP Exp Date]]-MAX(SnapshotTable[[#This Row],[LP Book Date]], SnapshotTable[[#This Row],[LP Fill Date]]),"")</f>
        <v/>
      </c>
      <c r="BN23" s="385" t="str">
        <f>IF(ISNUMBER( SnapshotTable[[#This Row],[LP Term]]), SnapshotTable[[#This Row],[LP Exp Date]] - MockToday,"")</f>
        <v/>
      </c>
      <c r="BO23" s="163"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7"/>
      <c r="BU23" s="13"/>
      <c r="BV23" s="5"/>
      <c r="BW23" s="419" t="b">
        <f>AND(ISNUMBER(SnapshotTable[[#This Row],[SP Exp Date]]), ISNUMBER(SnapshotTable[[#This Row],[SP Strike Price]]), ISNUMBER(SnapshotTable[[#This Row],[SP Qty]]), ISNUMBER(SnapshotTable[[#This Row],[SP Book Date]]), ISNUMBER(SnapshotTable[[#This Row],[SP Book Price]]))</f>
        <v>0</v>
      </c>
      <c r="BX23" s="419" t="b">
        <f>AND(SnapshotTable[[#This Row],[SP Is Booked]], NOT(ISBLANK(SnapshotTable[[#This Row],[SP Fill Date]])))</f>
        <v>0</v>
      </c>
      <c r="BY23" s="33">
        <f>IF(SnapshotTable[[#This Row],[SP Is Booked]], SnapshotTable[[#This Row],[SP Qty]] * SnapshotTable[[#This Row],[SP Book Price]] * 100, 0)</f>
        <v>0</v>
      </c>
      <c r="BZ23" s="369"/>
      <c r="CA23" s="368">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3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44"/>
      <c r="CK23" s="31">
        <f>IF(ISNUMBER(SnapshotTable[[#This Row],[SP Potential Spend]]),IF(ISNUMBER(SnapshotTable[[#This Row],[SP POW]]), SnapshotTable[[#This Row],[SP POW]] * SnapshotTable[[#This Row],[SP Potential Spend]], SnapshotTable[[#This Row],[SP Potential Spend]]), "")</f>
        <v>0</v>
      </c>
      <c r="CL23" s="164">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8"/>
      <c r="CO23" s="369"/>
      <c r="CP23" s="4" t="str">
        <f>IF(SnapshotTable[[#This Row],[SP Is Filled]], btc_max_buyback_amount(SnapshotTable[[#This Row],[SP Fill Date]],SnapshotTable[[#This Row],[SP Exp Date]], SnapshotTable[[#This Row],[SP Book Price]]),"")</f>
        <v/>
      </c>
      <c r="CQ23" s="78"/>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5" t="str">
        <f>IF(SnapshotTable[[#This Row],[SP Is Filled]], btc_next_cutoff_date(SnapshotTable[[#This Row],[SP Fill Date]],SnapshotTable[[#This Row],[SP Exp Date]]),"")</f>
        <v/>
      </c>
      <c r="CT23" s="23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3"/>
      <c r="CV23" s="235"/>
      <c r="CW23" s="378"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294" t="str">
        <f>IF(ISNUMBER((SnapshotTable[[#This Row],[SP Total Value]])), SnapshotTable[[#This Row],[SP Gain Loss]] / SnapshotTable[[#This Row],[SP Premium]], "")</f>
        <v/>
      </c>
      <c r="DI23" s="406"/>
      <c r="DJ23" s="138"/>
      <c r="DK23" s="148"/>
      <c r="DL23" s="147"/>
      <c r="DM23" s="147"/>
      <c r="DO23" s="31">
        <f>IF(SnapshotTable[[#This Row],[LC Symbol Count]]=1, SnapshotTable[[#This Row],[LC Qty]] * SnapshotTable[[#This Row],[LC Book Price]] * 100, 0)</f>
        <v>0</v>
      </c>
      <c r="DP23" s="163" t="str">
        <f>IF(AND(SnapshotTable[[#This Row],[LC Exp Date]]&gt;0, SnapshotTable[[#This Row],[LC Strike Price]]&gt;0,SnapshotTable[[#This Row],[LC Qty]]&gt;0,SnapshotTable[[#This Row],[LC Book Date]]&gt;0,SnapshotTable[[#This Row],[LC Book Price]]&gt;0,SnapshotTable[[#This Row],[LC Fill Date]]=0),"Y","")</f>
        <v/>
      </c>
      <c r="DQ23" s="386" t="str">
        <f>IF(SnapshotTable[[#This Row],[LC Premium]] &gt; 0,SnapshotTable[[#This Row],[LC Exp Date]]-MAX(SnapshotTable[[#This Row],[LC Book Date]], SnapshotTable[[#This Row],[LC Fill Date]]),"")</f>
        <v/>
      </c>
      <c r="DR23" s="386" t="str">
        <f>IF(ISNUMBER(SnapshotTable[[#This Row],[LC Term]]), SnapshotTable[[#This Row],[LC Exp Date]] - MockToday, "")</f>
        <v/>
      </c>
      <c r="DS23" s="23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40" t="str">
        <f>IF(ISNUMBER(SnapshotTable[[#This Row],[LC Actual Gain Loss]]), SnapshotTable[[#This Row],[LC Actual Gain Loss]] / SnapshotTable[[#This Row],[LC Premium]],"")</f>
        <v/>
      </c>
      <c r="DX23" s="284" t="str">
        <f>IF(ISNUMBER(SnapshotTable[[#This Row],[LC Book Price]]),SnapshotTable[[#This Row],[LC Book Price]] * 1.5,"")</f>
        <v/>
      </c>
      <c r="DY23" s="265" t="str">
        <f>IF(SnapshotTable[[#This Row],[LC Premium]]&gt;0, SnapshotTable[[#This Row],[LC Next Target]] * SnapshotTable[[#This Row],[LC Qty]] * 100,"")</f>
        <v/>
      </c>
      <c r="DZ23" s="265" t="str">
        <f>IF(ISNUMBER(SnapshotTable[[#This Row],[LC Target Gross]]), SnapshotTable[[#This Row],[LC Target Gross]] - SnapshotTable[[#This Row],[LC Premium]], "")</f>
        <v/>
      </c>
      <c r="EA23" s="305" t="str">
        <f>IF(ISNUMBER(SnapshotTable[[#This Row],[LC Target Gain Loss]]), SnapshotTable[[#This Row],[LC Target Gain Loss]]/SnapshotTable[[#This Row],[LC Premium]], "")</f>
        <v/>
      </c>
      <c r="EB23" s="262"/>
      <c r="EC23" s="283" t="str">
        <f>IF(SnapshotTable[[#This Row],[LC Premium]]&gt;0, SnapshotTable[[#This Row],[LC Book Price]] * (1 - LC_StopLoss_Pct),"")</f>
        <v/>
      </c>
      <c r="ED23" s="284"/>
      <c r="EE23" s="28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4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7"/>
      <c r="EL23" s="138"/>
      <c r="EM23" s="148"/>
      <c r="EN23" s="147"/>
      <c r="EO23" s="147"/>
      <c r="EP23" s="138"/>
      <c r="EQ23" s="419" t="b">
        <f>AND(ISNUMBER(SnapshotTable[[#This Row],[SC Exp Date]]), ISNUMBER(SnapshotTable[[#This Row],[SC Strike Price]]), ISNUMBER(SnapshotTable[[#This Row],[SC Qty]]), ISNUMBER(SnapshotTable[[#This Row],[SC Book Date]]), ISNUMBER(SnapshotTable[[#This Row],[SC Book Price]]))</f>
        <v>0</v>
      </c>
      <c r="ER23" s="419" t="b">
        <f>AND(SnapshotTable[[#This Row],[SC Is Booked]], NOT(ISBLANK(SnapshotTable[[#This Row],[SC Fill Date]])))</f>
        <v>0</v>
      </c>
      <c r="ES23" s="370"/>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3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283"/>
      <c r="FA23" s="218"/>
      <c r="FB23" s="370"/>
      <c r="FC23" s="4">
        <f>IF(SnapshotTable[[#This Row],[SC Is Filled]], btc_max_buyback_amount(SnapshotTable[[#This Row],[SC Fill Date]],SnapshotTable[[#This Row],[SC Exp Date]], SnapshotTable[[#This Row],[SC Book Price]]),0)</f>
        <v>0</v>
      </c>
      <c r="FD23" s="5"/>
      <c r="FE23" s="144"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382">
        <f>IF(SnapshotTable[[#This Row],[SC Is Filled]], IF(ISNUMBER(SnapshotTable[[#This Row],[SC Current Ask]]), SnapshotTable[[#This Row],[SC Current Ask]], SnapshotTable[[#This Row],[SC Book Price]]) - SnapshotTable[[#This Row],[SC Intrinsic Value]], 0)</f>
        <v>0</v>
      </c>
      <c r="FI23" s="143"/>
      <c r="FJ23" s="32" t="str">
        <f>IF(SnapshotTable[[#This Row],[SC Is Filled]],100 * SnapshotTable[[#This Row],[SC Qty]] * IF(ISNUMBER(SnapshotTable[[#This Row],[SC Buyback Override]]), SnapshotTable[[#This Row],[SC Buyback Override]], SnapshotTable[[#This Row],[SC Current Ask]]), "")</f>
        <v/>
      </c>
      <c r="FK23" s="250" t="str">
        <f>IF(SnapshotTable[[#This Row],[SC Time Val]]&gt;0, SnapshotTable[[#This Row],[SC Time Val]] / SnapshotTable[[#This Row],[Last Price]],"")</f>
        <v/>
      </c>
      <c r="FL23" s="302" t="str">
        <f>IF(SnapshotTable[[#This Row],[SC Is Booked]], ((SnapshotTable[[#This Row],[Last Price]] -SnapshotTable[[#This Row],[SC Strike Price]]) / SnapshotTable[[#This Row],[Last Price]]) * -1, "")</f>
        <v/>
      </c>
      <c r="FM23" s="157"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33"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36" t="str">
        <f>IF(AND(ISNUMBER(SnapshotTable[[#This Row],[SC Simple ROO]]),SnapshotTable[[#This Row],[SC Simple ROO]] &gt; 0), SnapshotTable[[#This Row],[SC Premium]] + (SnapshotTable[[#This Row],[SC Qty]] * SnapshotTable[[#This Row],[SC Upside Potential]]), "")</f>
        <v/>
      </c>
      <c r="FX23" s="302" t="str" cm="1">
        <f t="array" ref="FX23">IF(ISNUMBER(SnapshotTable[[#This Row],[SC Max Dollars]]), annualize(SnapshotTable[[#This Row],[SC Term]],(SnapshotTable[[#This Row],[SC Max Dollars]]/SnapshotTable[[#This Row],[SC Basis]])),"")</f>
        <v/>
      </c>
      <c r="FY23" s="23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29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31.277999999999999</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31">
        <f>MAX(SnapshotTable[[#This Row],[Equity Basis Total]],SnapshotTable[[#This Row],[Equity Value]]) + (SnapshotTable[[#This Row],[SP Potential Spend]]- SnapshotTable[[#This Row],[SP Premium]] + SnapshotTable[[#This Row],[LP Premium]])+ (SnapshotTable[[#This Row],[LC Premium]] - SnapshotTable[[#This Row],[SC Premium]])</f>
        <v>0</v>
      </c>
      <c r="GW23" s="139" t="str">
        <f>IF(AND(SnapshotTable[[#This Row],[Exposure]] &lt;&gt; 0),SnapshotTable[[#This Row],[Exposure]] / SnapshotTable[[#Totals],[Exposure]], "")</f>
        <v/>
      </c>
      <c r="HK23" s="1"/>
      <c r="HL23" s="1"/>
      <c r="HM23" s="1"/>
      <c r="HN23" s="1"/>
      <c r="HO23" s="1"/>
      <c r="HP23" s="1"/>
    </row>
    <row r="24" spans="2:224" ht="12.75" hidden="1" customHeight="1" x14ac:dyDescent="0.25">
      <c r="B24" s="12" t="s">
        <v>1007</v>
      </c>
      <c r="C24" s="422">
        <v>73.92</v>
      </c>
      <c r="D24" s="208" t="s">
        <v>578</v>
      </c>
      <c r="E24" s="39">
        <f>SnapshotTable[[#This Row],[Last Price]]*(1 -CrashDiscount)</f>
        <v>62.832000000000001</v>
      </c>
      <c r="F24" s="26" t="s">
        <v>840</v>
      </c>
      <c r="G24" s="26" t="s">
        <v>9</v>
      </c>
      <c r="H24" s="149"/>
      <c r="I24" s="194">
        <v>44784.670138888891</v>
      </c>
      <c r="J24" s="195">
        <v>44784.670138888891</v>
      </c>
      <c r="K24" s="196"/>
      <c r="L24" s="326"/>
      <c r="M24" s="140"/>
      <c r="N24" s="140"/>
      <c r="O24" s="140"/>
      <c r="P24" s="22"/>
      <c r="Q24" s="25"/>
      <c r="R24" s="4" t="str">
        <f>IF(SnapshotTable[[#This Row],[Equity Basis Total]] &gt; 0, SnapshotTable[[#This Row],[Equity Basis Total]] / SnapshotTable[[#This Row],[Equity Shares]], "")</f>
        <v/>
      </c>
      <c r="S24" s="269">
        <f>SnapshotTable[[#This Row],[Last Price]] * SnapshotTable[[#This Row],[Equity Shares]]</f>
        <v>0</v>
      </c>
      <c r="T24" s="269">
        <f>SnapshotTable[[#This Row],[Equity Value]] - SnapshotTable[[#This Row],[Equity Basis Total]]</f>
        <v>0</v>
      </c>
      <c r="U24" s="270" t="str">
        <f>IF(SnapshotTable[[#This Row],[Equity Basis Total]] &gt; 0, SnapshotTable[[#This Row],[Equity G/L]] / SnapshotTable[[#This Row],[Equity Basis Total]], "")</f>
        <v/>
      </c>
      <c r="V24" s="268"/>
      <c r="W24" s="26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7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0"/>
      <c r="AD24" s="151"/>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1"/>
      <c r="AI24" s="5"/>
      <c r="AJ24" s="138">
        <v>14.54</v>
      </c>
      <c r="AK24" s="152" t="str">
        <f>IF(ISNUMBER( SnapshotTable[[#This Row],[EBF Target]]),(SnapshotTable[[#This Row],[EBF Target]] - SnapshotTable[[#This Row],[Last Price]]) / SnapshotTable[[#This Row],[Last Price]], "")</f>
        <v/>
      </c>
      <c r="AL24" s="152"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2">
        <f>IF(AND(ISNUMBER( SnapshotTable[[#This Row],[Long Term Target]]), ISNUMBER(SnapshotTable[[#This Row],[Last Price]])),(SnapshotTable[[#This Row],[Long Term Target]] - SnapshotTable[[#This Row],[Last Price]]) / SnapshotTable[[#This Row],[Last Price]], "")</f>
        <v>-0.80330086580086579</v>
      </c>
      <c r="AP24" s="5">
        <v>110</v>
      </c>
      <c r="AQ24" s="38" t="s">
        <v>46</v>
      </c>
      <c r="AR24" s="5">
        <v>100</v>
      </c>
      <c r="AS24" s="38" t="s">
        <v>110</v>
      </c>
      <c r="AT24" s="146" t="s">
        <v>532</v>
      </c>
      <c r="AU24" s="187" t="str">
        <f>IF(OR(SnapshotTable[[#This Row],[LP No Fill]]="Y",SnapshotTable[[#This Row],[SP Is Filled]],SnapshotTable[[#This Row],[LC Not Filled]]="Y",SnapshotTable[[#This Row],[SC Is Filled]]),"Y","")</f>
        <v/>
      </c>
      <c r="AV24" s="219"/>
      <c r="AW24" s="225"/>
      <c r="AX24" s="220"/>
      <c r="AY24" s="219" t="str">
        <f>IF(SnapshotTable[[#This Row],[Implied Move]]&gt;0, SnapshotTable[[#This Row],[Last Price]]-SnapshotTable[[#This Row],[Implied Move]],"")</f>
        <v/>
      </c>
      <c r="AZ24" s="219" t="str">
        <f>IF(SnapshotTable[[#This Row],[Implied Move]]&gt;0, SnapshotTable[[#This Row],[Last Price]] + SnapshotTable[[#This Row],[Implied Move]],"")</f>
        <v/>
      </c>
      <c r="BA24" s="331">
        <v>1.7</v>
      </c>
      <c r="BB24" s="347"/>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51"/>
      <c r="BE24" s="138"/>
      <c r="BF24" s="166"/>
      <c r="BG24" s="167"/>
      <c r="BH24" s="167"/>
      <c r="BI24" s="221"/>
      <c r="BJ24" s="153">
        <f>IF(SnapshotTable[[#This Row],[LP Qty]] &gt; 0, SnapshotTable[[#This Row],[LP Qty]] * SnapshotTable[[#This Row],[LP Book Price]] * 100,0)</f>
        <v>0</v>
      </c>
      <c r="BK24" s="136">
        <f>IF(SnapshotTable[[#This Row],[LP Premium]] &gt; 0, SnapshotTable[[#This Row],[LP Qty]] * SnapshotTable[[#This Row],[LP Strike Price]] * 100,0)</f>
        <v>0</v>
      </c>
      <c r="BL24" s="154"/>
      <c r="BM24" s="385" t="str">
        <f>IF(SnapshotTable[[#This Row],[LP Premium]] &gt; 0,SnapshotTable[[#This Row],[LP Exp Date]]-MAX(SnapshotTable[[#This Row],[LP Book Date]], SnapshotTable[[#This Row],[LP Fill Date]]),"")</f>
        <v/>
      </c>
      <c r="BN24" s="385" t="str">
        <f>IF(ISNUMBER( SnapshotTable[[#This Row],[LP Term]]), SnapshotTable[[#This Row],[LP Exp Date]] - MockToday,"")</f>
        <v/>
      </c>
      <c r="BO24" s="163"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7"/>
      <c r="BU24" s="13"/>
      <c r="BV24" s="5"/>
      <c r="BW24" s="419" t="b">
        <f>AND(ISNUMBER(SnapshotTable[[#This Row],[SP Exp Date]]), ISNUMBER(SnapshotTable[[#This Row],[SP Strike Price]]), ISNUMBER(SnapshotTable[[#This Row],[SP Qty]]), ISNUMBER(SnapshotTable[[#This Row],[SP Book Date]]), ISNUMBER(SnapshotTable[[#This Row],[SP Book Price]]))</f>
        <v>0</v>
      </c>
      <c r="BX24" s="419" t="b">
        <f>AND(SnapshotTable[[#This Row],[SP Is Booked]], NOT(ISBLANK(SnapshotTable[[#This Row],[SP Fill Date]])))</f>
        <v>0</v>
      </c>
      <c r="BY24" s="33">
        <f>IF(SnapshotTable[[#This Row],[SP Is Booked]], SnapshotTable[[#This Row],[SP Qty]] * SnapshotTable[[#This Row],[SP Book Price]] * 100, 0)</f>
        <v>0</v>
      </c>
      <c r="BZ24" s="369"/>
      <c r="CA24" s="368">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3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44"/>
      <c r="CK24" s="31">
        <f>IF(ISNUMBER(SnapshotTable[[#This Row],[SP Potential Spend]]),IF(ISNUMBER(SnapshotTable[[#This Row],[SP POW]]), SnapshotTable[[#This Row],[SP POW]] * SnapshotTable[[#This Row],[SP Potential Spend]], SnapshotTable[[#This Row],[SP Potential Spend]]), "")</f>
        <v>0</v>
      </c>
      <c r="CL24" s="164">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4"/>
      <c r="CO24" s="369"/>
      <c r="CP24" s="4" t="str">
        <f>IF(SnapshotTable[[#This Row],[SP Is Filled]], btc_max_buyback_amount(SnapshotTable[[#This Row],[SP Fill Date]],SnapshotTable[[#This Row],[SP Exp Date]], SnapshotTable[[#This Row],[SP Book Price]]),"")</f>
        <v/>
      </c>
      <c r="CQ24" s="78"/>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5" t="str">
        <f>IF(SnapshotTable[[#This Row],[SP Is Filled]], btc_next_cutoff_date(SnapshotTable[[#This Row],[SP Fill Date]],SnapshotTable[[#This Row],[SP Exp Date]]),"")</f>
        <v/>
      </c>
      <c r="CT24" s="23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3"/>
      <c r="CV24" s="235"/>
      <c r="CW24" s="378"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294" t="str">
        <f>IF(ISNUMBER((SnapshotTable[[#This Row],[SP Total Value]])), SnapshotTable[[#This Row],[SP Gain Loss]] / SnapshotTable[[#This Row],[SP Premium]], "")</f>
        <v/>
      </c>
      <c r="DI24" s="406"/>
      <c r="DJ24" s="138"/>
      <c r="DK24" s="148"/>
      <c r="DL24" s="147"/>
      <c r="DM24" s="147"/>
      <c r="DO24" s="31">
        <f>IF(SnapshotTable[[#This Row],[LC Symbol Count]]=1, SnapshotTable[[#This Row],[LC Qty]] * SnapshotTable[[#This Row],[LC Book Price]] * 100, 0)</f>
        <v>0</v>
      </c>
      <c r="DP24" s="163" t="str">
        <f>IF(AND(SnapshotTable[[#This Row],[LC Exp Date]]&gt;0, SnapshotTable[[#This Row],[LC Strike Price]]&gt;0,SnapshotTable[[#This Row],[LC Qty]]&gt;0,SnapshotTable[[#This Row],[LC Book Date]]&gt;0,SnapshotTable[[#This Row],[LC Book Price]]&gt;0,SnapshotTable[[#This Row],[LC Fill Date]]=0),"Y","")</f>
        <v/>
      </c>
      <c r="DQ24" s="386" t="str">
        <f>IF(SnapshotTable[[#This Row],[LC Premium]] &gt; 0,SnapshotTable[[#This Row],[LC Exp Date]]-MAX(SnapshotTable[[#This Row],[LC Book Date]], SnapshotTable[[#This Row],[LC Fill Date]]),"")</f>
        <v/>
      </c>
      <c r="DR24" s="386" t="str">
        <f>IF(ISNUMBER(SnapshotTable[[#This Row],[LC Term]]), SnapshotTable[[#This Row],[LC Exp Date]] - MockToday, "")</f>
        <v/>
      </c>
      <c r="DS24" s="23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40" t="str">
        <f>IF(ISNUMBER(SnapshotTable[[#This Row],[LC Actual Gain Loss]]), SnapshotTable[[#This Row],[LC Actual Gain Loss]] / SnapshotTable[[#This Row],[LC Premium]],"")</f>
        <v/>
      </c>
      <c r="DX24" s="284" t="str">
        <f>IF(ISNUMBER(SnapshotTable[[#This Row],[LC Book Price]]),SnapshotTable[[#This Row],[LC Book Price]] * 1.5,"")</f>
        <v/>
      </c>
      <c r="DY24" s="265" t="str">
        <f>IF(SnapshotTable[[#This Row],[LC Premium]]&gt;0, SnapshotTable[[#This Row],[LC Next Target]] * SnapshotTable[[#This Row],[LC Qty]] * 100,"")</f>
        <v/>
      </c>
      <c r="DZ24" s="265" t="str">
        <f>IF(ISNUMBER(SnapshotTable[[#This Row],[LC Target Gross]]), SnapshotTable[[#This Row],[LC Target Gross]] - SnapshotTable[[#This Row],[LC Premium]], "")</f>
        <v/>
      </c>
      <c r="EA24" s="305" t="str">
        <f>IF(ISNUMBER(SnapshotTable[[#This Row],[LC Target Gain Loss]]), SnapshotTable[[#This Row],[LC Target Gain Loss]]/SnapshotTable[[#This Row],[LC Premium]], "")</f>
        <v/>
      </c>
      <c r="EB24" s="262"/>
      <c r="EC24" s="283" t="str">
        <f>IF(SnapshotTable[[#This Row],[LC Premium]]&gt;0, SnapshotTable[[#This Row],[LC Book Price]] * (1 - LC_StopLoss_Pct),"")</f>
        <v/>
      </c>
      <c r="ED24" s="284"/>
      <c r="EE24" s="28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4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7"/>
      <c r="EL24" s="138"/>
      <c r="EM24" s="148"/>
      <c r="EN24" s="147"/>
      <c r="EO24" s="147"/>
      <c r="EP24" s="138"/>
      <c r="EQ24" s="419" t="b">
        <f>AND(ISNUMBER(SnapshotTable[[#This Row],[SC Exp Date]]), ISNUMBER(SnapshotTable[[#This Row],[SC Strike Price]]), ISNUMBER(SnapshotTable[[#This Row],[SC Qty]]), ISNUMBER(SnapshotTable[[#This Row],[SC Book Date]]), ISNUMBER(SnapshotTable[[#This Row],[SC Book Price]]))</f>
        <v>0</v>
      </c>
      <c r="ER24" s="419" t="b">
        <f>AND(SnapshotTable[[#This Row],[SC Is Booked]], NOT(ISBLANK(SnapshotTable[[#This Row],[SC Fill Date]])))</f>
        <v>0</v>
      </c>
      <c r="ES24" s="370"/>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3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283"/>
      <c r="FA24" s="218"/>
      <c r="FB24" s="370"/>
      <c r="FC24" s="4">
        <f>IF(SnapshotTable[[#This Row],[SC Is Filled]], btc_max_buyback_amount(SnapshotTable[[#This Row],[SC Fill Date]],SnapshotTable[[#This Row],[SC Exp Date]], SnapshotTable[[#This Row],[SC Book Price]]),0)</f>
        <v>0</v>
      </c>
      <c r="FD24" s="5"/>
      <c r="FE24" s="144"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382">
        <f>IF(SnapshotTable[[#This Row],[SC Is Filled]], IF(ISNUMBER(SnapshotTable[[#This Row],[SC Current Ask]]), SnapshotTable[[#This Row],[SC Current Ask]], SnapshotTable[[#This Row],[SC Book Price]]) - SnapshotTable[[#This Row],[SC Intrinsic Value]], 0)</f>
        <v>0</v>
      </c>
      <c r="FI24" s="143">
        <v>45786</v>
      </c>
      <c r="FJ24" s="32" t="str">
        <f>IF(SnapshotTable[[#This Row],[SC Is Filled]],100 * SnapshotTable[[#This Row],[SC Qty]] * IF(ISNUMBER(SnapshotTable[[#This Row],[SC Buyback Override]]), SnapshotTable[[#This Row],[SC Buyback Override]], SnapshotTable[[#This Row],[SC Current Ask]]), "")</f>
        <v/>
      </c>
      <c r="FK24" s="250" t="str">
        <f>IF(SnapshotTable[[#This Row],[SC Time Val]]&gt;0, SnapshotTable[[#This Row],[SC Time Val]] / SnapshotTable[[#This Row],[Last Price]],"")</f>
        <v/>
      </c>
      <c r="FL24" s="302" t="str">
        <f>IF(SnapshotTable[[#This Row],[SC Is Booked]], ((SnapshotTable[[#This Row],[Last Price]] -SnapshotTable[[#This Row],[SC Strike Price]]) / SnapshotTable[[#This Row],[Last Price]]) * -1, "")</f>
        <v/>
      </c>
      <c r="FM24" s="157" t="str">
        <f>IF(SnapshotTable[[#This Row],[SC Is Booked]],  (SnapshotTable[[#This Row],[SC Qty]] * 100 * SnapshotTable[[#This Row],[SC Strike Price]]) - SnapshotTable[[#This Row],[SC Current Ask]], "")</f>
        <v/>
      </c>
      <c r="FN2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7"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33"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36" t="str">
        <f>IF(AND(ISNUMBER(SnapshotTable[[#This Row],[SC Simple ROO]]),SnapshotTable[[#This Row],[SC Simple ROO]] &gt; 0), SnapshotTable[[#This Row],[SC Premium]] + (SnapshotTable[[#This Row],[SC Qty]] * SnapshotTable[[#This Row],[SC Upside Potential]]), "")</f>
        <v/>
      </c>
      <c r="FX24" s="302" t="str" cm="1">
        <f t="array" ref="FX24">IF(ISNUMBER(SnapshotTable[[#This Row],[SC Max Dollars]]), annualize(SnapshotTable[[#This Row],[SC Term]],(SnapshotTable[[#This Row],[SC Max Dollars]]/SnapshotTable[[#This Row],[SC Basis]])),"")</f>
        <v/>
      </c>
      <c r="FY24" s="236" t="str">
        <f>IF(AND(SnapshotTable[[#This Row],[SC Qty]]&gt;0,SnapshotTable[[#This Row],[SC Current Ask]]&gt;0), SnapshotTable[[#This Row],[SC Qty]] * SnapshotTable[[#This Row],[SC Current Ask]] * -100, "")</f>
        <v/>
      </c>
      <c r="FZ24" s="235" t="str">
        <f>IF(ISNUMBER((SnapshotTable[[#This Row],[SC Current Value]])), SnapshotTable[[#This Row],[SC Premium]] + SnapshotTable[[#This Row],[SC Current Value]], "")</f>
        <v/>
      </c>
      <c r="GA24" s="29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144.14400000000001</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8" t="str">
        <f>IF(SnapshotTable[[#This Row],[Sale G/L]]&gt;0, SnapshotTable[[#This Row],[Sale G/L]] / SnapshotTable[[#This Row],[Sale Basis]], IF(ISNUMBER(SnapshotTable[[#This Row],[SC Exercise P&amp;L (TAX)]]), SnapshotTable[[#This Row],[SC Exercise P&amp;L (TAX)]] / SnapshotTable[[#This Row],[SC Basis]], ""))</f>
        <v/>
      </c>
      <c r="GK24" s="27"/>
      <c r="GL24" s="159"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59" t="str">
        <f>IF(AND(SnapshotTable[[#This Row],[LC Exp Date]]&gt;0,SnapshotTable[[#This Row],[LC Strike Price]]&gt;0), [1]!ToOptionSymbol(SnapshotTable[[#This Row],[Symbol]], SnapshotTable[[#This Row],[LC Strike Price]],SnapshotTable[[#This Row],[LC Exp Date]],0), "")</f>
        <v/>
      </c>
      <c r="GQ24" s="160" t="str">
        <f>IF(LEN(SnapshotTable[[#This Row],[LC Symbol]])&gt;0, 1, "")</f>
        <v/>
      </c>
      <c r="GR24" s="159" t="str">
        <f>IF(AND(SnapshotTable[[#This Row],[SC Exp Date]]&gt;0,SnapshotTable[[#This Row],[SC Strike Price]]&gt;0), [1]!ToOptionSymbol(SnapshotTable[[#This Row],[Symbol]], SnapshotTable[[#This Row],[SC Strike Price]],SnapshotTable[[#This Row],[SC Exp Date]],0), "")</f>
        <v/>
      </c>
      <c r="GS24" s="160" t="str">
        <f>IF(LEN(SnapshotTable[[#This Row],[SC Symbol]])&gt;0, 1, "")</f>
        <v/>
      </c>
      <c r="GT24" s="161"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31">
        <f>MAX(SnapshotTable[[#This Row],[Equity Basis Total]],SnapshotTable[[#This Row],[Equity Value]]) + (SnapshotTable[[#This Row],[SP Potential Spend]]- SnapshotTable[[#This Row],[SP Premium]] + SnapshotTable[[#This Row],[LP Premium]])+ (SnapshotTable[[#This Row],[LC Premium]] - SnapshotTable[[#This Row],[SC Premium]])</f>
        <v>0</v>
      </c>
      <c r="GW24" s="139" t="str">
        <f>IF(AND(SnapshotTable[[#This Row],[Exposure]] &lt;&gt; 0),SnapshotTable[[#This Row],[Exposure]] / SnapshotTable[[#Totals],[Exposure]], "")</f>
        <v/>
      </c>
      <c r="HK24" s="1"/>
      <c r="HL24" s="1"/>
      <c r="HM24" s="1"/>
      <c r="HN24" s="1"/>
      <c r="HO24" s="1"/>
      <c r="HP24" s="1"/>
    </row>
    <row r="25" spans="2:224" ht="12.75" hidden="1" customHeight="1" x14ac:dyDescent="0.25">
      <c r="B25" s="12" t="s">
        <v>224</v>
      </c>
      <c r="C25" s="422">
        <v>130.34</v>
      </c>
      <c r="D25" s="208"/>
      <c r="E25" s="39">
        <f>SnapshotTable[[#This Row],[Last Price]]*(1 -CrashDiscount)</f>
        <v>110.789</v>
      </c>
      <c r="F25" s="26" t="s">
        <v>223</v>
      </c>
      <c r="G25" s="26" t="s">
        <v>49</v>
      </c>
      <c r="H25" s="149"/>
      <c r="I25" s="194">
        <v>44770.666666666664</v>
      </c>
      <c r="J25" s="195">
        <v>44770.666666666664</v>
      </c>
      <c r="K25" s="196"/>
      <c r="L25" s="326"/>
      <c r="M25" s="140"/>
      <c r="N25" s="140"/>
      <c r="O25" s="140">
        <v>2</v>
      </c>
      <c r="P25" s="22"/>
      <c r="Q25" s="25"/>
      <c r="R25" s="4" t="str">
        <f>IF(SnapshotTable[[#This Row],[Equity Basis Total]] &gt; 0, SnapshotTable[[#This Row],[Equity Basis Total]] / SnapshotTable[[#This Row],[Equity Shares]], "")</f>
        <v/>
      </c>
      <c r="S25" s="269">
        <f>SnapshotTable[[#This Row],[Last Price]] * SnapshotTable[[#This Row],[Equity Shares]]</f>
        <v>0</v>
      </c>
      <c r="T25" s="269">
        <f>SnapshotTable[[#This Row],[Equity Value]] - SnapshotTable[[#This Row],[Equity Basis Total]]</f>
        <v>0</v>
      </c>
      <c r="U25" s="270" t="str">
        <f>IF(SnapshotTable[[#This Row],[Equity Basis Total]] &gt; 0, SnapshotTable[[#This Row],[Equity G/L]] / SnapshotTable[[#This Row],[Equity Basis Total]], "")</f>
        <v/>
      </c>
      <c r="V25" s="268"/>
      <c r="W25" s="26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7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0">
        <v>2.08</v>
      </c>
      <c r="AD25" s="151">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1.5958263004449899E-2</v>
      </c>
      <c r="AH25" s="151">
        <v>43357</v>
      </c>
      <c r="AI25" s="5"/>
      <c r="AJ25" s="138">
        <v>75.319999999999993</v>
      </c>
      <c r="AK25" s="152" t="str">
        <f>IF(ISNUMBER( SnapshotTable[[#This Row],[EBF Target]]),(SnapshotTable[[#This Row],[EBF Target]] - SnapshotTable[[#This Row],[Last Price]]) / SnapshotTable[[#This Row],[Last Price]], "")</f>
        <v/>
      </c>
      <c r="AL25" s="152"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2">
        <f>IF(AND(ISNUMBER( SnapshotTable[[#This Row],[Long Term Target]]), ISNUMBER(SnapshotTable[[#This Row],[Last Price]])),(SnapshotTable[[#This Row],[Long Term Target]] - SnapshotTable[[#This Row],[Last Price]]) / SnapshotTable[[#This Row],[Last Price]], "")</f>
        <v>-0.42212674543501616</v>
      </c>
      <c r="AP25" s="5"/>
      <c r="AQ25" s="38"/>
      <c r="AR25" s="5"/>
      <c r="AS25" s="38"/>
      <c r="AT25" s="146"/>
      <c r="AU25" s="187" t="str">
        <f>IF(OR(SnapshotTable[[#This Row],[LP No Fill]]="Y",SnapshotTable[[#This Row],[SP Is Filled]],SnapshotTable[[#This Row],[LC Not Filled]]="Y",SnapshotTable[[#This Row],[SC Is Filled]]),"Y","")</f>
        <v/>
      </c>
      <c r="AV25" s="219"/>
      <c r="AW25" s="225"/>
      <c r="AX25" s="220"/>
      <c r="AY25" s="219" t="str">
        <f>IF(SnapshotTable[[#This Row],[Implied Move]]&gt;0, SnapshotTable[[#This Row],[Last Price]]-SnapshotTable[[#This Row],[Implied Move]],"")</f>
        <v/>
      </c>
      <c r="AZ25" s="219" t="str">
        <f>IF(SnapshotTable[[#This Row],[Implied Move]]&gt;0, SnapshotTable[[#This Row],[Last Price]] + SnapshotTable[[#This Row],[Implied Move]],"")</f>
        <v/>
      </c>
      <c r="BA25" s="331">
        <v>9.32</v>
      </c>
      <c r="BB25" s="347"/>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51"/>
      <c r="BE25" s="5"/>
      <c r="BF25" s="14"/>
      <c r="BG25" s="13"/>
      <c r="BH25" s="13"/>
      <c r="BI25" s="5"/>
      <c r="BJ25" s="136">
        <f>IF(SnapshotTable[[#This Row],[LP Qty]] &gt; 0, SnapshotTable[[#This Row],[LP Qty]] * SnapshotTable[[#This Row],[LP Book Price]] * 100,0)</f>
        <v>0</v>
      </c>
      <c r="BK25" s="136">
        <f>IF(SnapshotTable[[#This Row],[LP Premium]] &gt; 0, SnapshotTable[[#This Row],[LP Qty]] * SnapshotTable[[#This Row],[LP Strike Price]] * 100,0)</f>
        <v>0</v>
      </c>
      <c r="BL25" s="154"/>
      <c r="BM25" s="385" t="str">
        <f>IF(SnapshotTable[[#This Row],[LP Premium]] &gt; 0,SnapshotTable[[#This Row],[LP Exp Date]]-MAX(SnapshotTable[[#This Row],[LP Book Date]], SnapshotTable[[#This Row],[LP Fill Date]]),"")</f>
        <v/>
      </c>
      <c r="BN25" s="385" t="str">
        <f>IF(ISNUMBER( SnapshotTable[[#This Row],[LP Term]]), SnapshotTable[[#This Row],[LP Exp Date]] - MockToday,"")</f>
        <v/>
      </c>
      <c r="BO25" s="163"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7"/>
      <c r="BU25" s="13"/>
      <c r="BV25" s="5"/>
      <c r="BW25" s="419" t="b">
        <f>AND(ISNUMBER(SnapshotTable[[#This Row],[SP Exp Date]]), ISNUMBER(SnapshotTable[[#This Row],[SP Strike Price]]), ISNUMBER(SnapshotTable[[#This Row],[SP Qty]]), ISNUMBER(SnapshotTable[[#This Row],[SP Book Date]]), ISNUMBER(SnapshotTable[[#This Row],[SP Book Price]]))</f>
        <v>0</v>
      </c>
      <c r="BX25" s="419" t="b">
        <f>AND(SnapshotTable[[#This Row],[SP Is Booked]], NOT(ISBLANK(SnapshotTable[[#This Row],[SP Fill Date]])))</f>
        <v>0</v>
      </c>
      <c r="BY25" s="33">
        <f>IF(SnapshotTable[[#This Row],[SP Is Booked]], SnapshotTable[[#This Row],[SP Qty]] * SnapshotTable[[#This Row],[SP Book Price]] * 100, 0)</f>
        <v>0</v>
      </c>
      <c r="BZ25" s="369"/>
      <c r="CA25" s="368">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3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44"/>
      <c r="CK25" s="31">
        <f>IF(ISNUMBER(SnapshotTable[[#This Row],[SP Potential Spend]]),IF(ISNUMBER(SnapshotTable[[#This Row],[SP POW]]), SnapshotTable[[#This Row],[SP POW]] * SnapshotTable[[#This Row],[SP Potential Spend]], SnapshotTable[[#This Row],[SP Potential Spend]]), "")</f>
        <v>0</v>
      </c>
      <c r="CL25" s="164">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8"/>
      <c r="CO25" s="369"/>
      <c r="CP25" s="4" t="str">
        <f>IF(SnapshotTable[[#This Row],[SP Is Filled]], btc_max_buyback_amount(SnapshotTable[[#This Row],[SP Fill Date]],SnapshotTable[[#This Row],[SP Exp Date]], SnapshotTable[[#This Row],[SP Book Price]]),"")</f>
        <v/>
      </c>
      <c r="CQ25" s="78"/>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5" t="str">
        <f>IF(SnapshotTable[[#This Row],[SP Is Filled]], btc_next_cutoff_date(SnapshotTable[[#This Row],[SP Fill Date]],SnapshotTable[[#This Row],[SP Exp Date]]),"")</f>
        <v/>
      </c>
      <c r="CT25" s="23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3"/>
      <c r="CV25" s="235"/>
      <c r="CW25" s="378"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294" t="str">
        <f>IF(ISNUMBER((SnapshotTable[[#This Row],[SP Total Value]])), SnapshotTable[[#This Row],[SP Gain Loss]] / SnapshotTable[[#This Row],[SP Premium]], "")</f>
        <v/>
      </c>
      <c r="DI25" s="406"/>
      <c r="DJ25" s="138"/>
      <c r="DK25" s="148"/>
      <c r="DL25" s="13"/>
      <c r="DM25" s="13"/>
      <c r="DO25" s="31">
        <f>IF(SnapshotTable[[#This Row],[LC Symbol Count]]=1, SnapshotTable[[#This Row],[LC Qty]] * SnapshotTable[[#This Row],[LC Book Price]] * 100, 0)</f>
        <v>0</v>
      </c>
      <c r="DP25" s="163" t="str">
        <f>IF(AND(SnapshotTable[[#This Row],[LC Exp Date]]&gt;0, SnapshotTable[[#This Row],[LC Strike Price]]&gt;0,SnapshotTable[[#This Row],[LC Qty]]&gt;0,SnapshotTable[[#This Row],[LC Book Date]]&gt;0,SnapshotTable[[#This Row],[LC Book Price]]&gt;0,SnapshotTable[[#This Row],[LC Fill Date]]=0),"Y","")</f>
        <v/>
      </c>
      <c r="DQ25" s="386" t="str">
        <f>IF(SnapshotTable[[#This Row],[LC Premium]] &gt; 0,SnapshotTable[[#This Row],[LC Exp Date]]-MAX(SnapshotTable[[#This Row],[LC Book Date]], SnapshotTable[[#This Row],[LC Fill Date]]),"")</f>
        <v/>
      </c>
      <c r="DR25" s="386" t="str">
        <f>IF(ISNUMBER(SnapshotTable[[#This Row],[LC Term]]), SnapshotTable[[#This Row],[LC Exp Date]] - MockToday, "")</f>
        <v/>
      </c>
      <c r="DS25" s="23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40" t="e">
        <f>IF(ISNUMBER(SnapshotTable[[#This Row],[LC Actual Gain Loss]]), SnapshotTable[[#This Row],[LC Actual Gain Loss]] / SnapshotTable[[#This Row],[LC Premium]],"")</f>
        <v>#DIV/0!</v>
      </c>
      <c r="DX25" s="284" t="str">
        <f>IF(ISNUMBER(SnapshotTable[[#This Row],[LC Book Price]]),SnapshotTable[[#This Row],[LC Book Price]] * 1.5,"")</f>
        <v/>
      </c>
      <c r="DY25" s="265" t="str">
        <f>IF(SnapshotTable[[#This Row],[LC Premium]]&gt;0, SnapshotTable[[#This Row],[LC Next Target]] * SnapshotTable[[#This Row],[LC Qty]] * 100,"")</f>
        <v/>
      </c>
      <c r="DZ25" s="265" t="str">
        <f>IF(ISNUMBER(SnapshotTable[[#This Row],[LC Target Gross]]), SnapshotTable[[#This Row],[LC Target Gross]] - SnapshotTable[[#This Row],[LC Premium]], "")</f>
        <v/>
      </c>
      <c r="EA25" s="305" t="str">
        <f>IF(ISNUMBER(SnapshotTable[[#This Row],[LC Target Gain Loss]]), SnapshotTable[[#This Row],[LC Target Gain Loss]]/SnapshotTable[[#This Row],[LC Premium]], "")</f>
        <v/>
      </c>
      <c r="EB25" s="262"/>
      <c r="EC25" s="283" t="str">
        <f>IF(SnapshotTable[[#This Row],[LC Premium]]&gt;0, SnapshotTable[[#This Row],[LC Book Price]] * (1 - LC_StopLoss_Pct),"")</f>
        <v/>
      </c>
      <c r="ED25" s="284"/>
      <c r="EE25" s="28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4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7"/>
      <c r="EL25" s="138"/>
      <c r="EM25" s="148"/>
      <c r="EN25" s="147"/>
      <c r="EO25" s="147"/>
      <c r="EP25" s="138"/>
      <c r="EQ25" s="419" t="b">
        <f>AND(ISNUMBER(SnapshotTable[[#This Row],[SC Exp Date]]), ISNUMBER(SnapshotTable[[#This Row],[SC Strike Price]]), ISNUMBER(SnapshotTable[[#This Row],[SC Qty]]), ISNUMBER(SnapshotTable[[#This Row],[SC Book Date]]), ISNUMBER(SnapshotTable[[#This Row],[SC Book Price]]))</f>
        <v>0</v>
      </c>
      <c r="ER25" s="419" t="b">
        <f>AND(SnapshotTable[[#This Row],[SC Is Booked]], NOT(ISBLANK(SnapshotTable[[#This Row],[SC Fill Date]])))</f>
        <v>0</v>
      </c>
      <c r="ES25" s="370"/>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3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283"/>
      <c r="FA25" s="218"/>
      <c r="FB25" s="370"/>
      <c r="FC25" s="4">
        <f>IF(SnapshotTable[[#This Row],[SC Is Filled]], btc_max_buyback_amount(SnapshotTable[[#This Row],[SC Fill Date]],SnapshotTable[[#This Row],[SC Exp Date]], SnapshotTable[[#This Row],[SC Book Price]]),0)</f>
        <v>0</v>
      </c>
      <c r="FD25" s="5"/>
      <c r="FE25" s="144"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382">
        <f>IF(SnapshotTable[[#This Row],[SC Is Filled]], IF(ISNUMBER(SnapshotTable[[#This Row],[SC Current Ask]]), SnapshotTable[[#This Row],[SC Current Ask]], SnapshotTable[[#This Row],[SC Book Price]]) - SnapshotTable[[#This Row],[SC Intrinsic Value]], 0)</f>
        <v>0</v>
      </c>
      <c r="FI25" s="143"/>
      <c r="FJ25" s="32" t="str">
        <f>IF(SnapshotTable[[#This Row],[SC Is Filled]],100 * SnapshotTable[[#This Row],[SC Qty]] * IF(ISNUMBER(SnapshotTable[[#This Row],[SC Buyback Override]]), SnapshotTable[[#This Row],[SC Buyback Override]], SnapshotTable[[#This Row],[SC Current Ask]]), "")</f>
        <v/>
      </c>
      <c r="FK25" s="250" t="str">
        <f>IF(SnapshotTable[[#This Row],[SC Time Val]]&gt;0, SnapshotTable[[#This Row],[SC Time Val]] / SnapshotTable[[#This Row],[Last Price]],"")</f>
        <v/>
      </c>
      <c r="FL25" s="302" t="str">
        <f>IF(SnapshotTable[[#This Row],[SC Is Booked]], ((SnapshotTable[[#This Row],[Last Price]] -SnapshotTable[[#This Row],[SC Strike Price]]) / SnapshotTable[[#This Row],[Last Price]]) * -1, "")</f>
        <v/>
      </c>
      <c r="FM25" s="157"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33"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36" t="str">
        <f>IF(AND(ISNUMBER(SnapshotTable[[#This Row],[SC Simple ROO]]),SnapshotTable[[#This Row],[SC Simple ROO]] &gt; 0), SnapshotTable[[#This Row],[SC Premium]] + (SnapshotTable[[#This Row],[SC Qty]] * SnapshotTable[[#This Row],[SC Upside Potential]]), "")</f>
        <v/>
      </c>
      <c r="FX25" s="302" t="str" cm="1">
        <f t="array" ref="FX25">IF(ISNUMBER(SnapshotTable[[#This Row],[SC Max Dollars]]), annualize(SnapshotTable[[#This Row],[SC Term]],(SnapshotTable[[#This Row],[SC Max Dollars]]/SnapshotTable[[#This Row],[SC Basis]])),"")</f>
        <v/>
      </c>
      <c r="FY25" s="23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29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254.16300000000001</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713</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31">
        <f>MAX(SnapshotTable[[#This Row],[Equity Basis Total]],SnapshotTable[[#This Row],[Equity Value]]) + (SnapshotTable[[#This Row],[SP Potential Spend]]- SnapshotTable[[#This Row],[SP Premium]] + SnapshotTable[[#This Row],[LP Premium]])+ (SnapshotTable[[#This Row],[LC Premium]] - SnapshotTable[[#This Row],[SC Premium]])</f>
        <v>0</v>
      </c>
      <c r="GW25" s="139" t="str">
        <f>IF(AND(SnapshotTable[[#This Row],[Exposure]] &lt;&gt; 0),SnapshotTable[[#This Row],[Exposure]] / SnapshotTable[[#Totals],[Exposure]], "")</f>
        <v/>
      </c>
      <c r="HK25" s="1"/>
      <c r="HL25" s="1"/>
      <c r="HM25" s="1"/>
      <c r="HN25" s="1"/>
      <c r="HO25" s="1"/>
      <c r="HP25" s="1"/>
    </row>
    <row r="26" spans="2:224" ht="12.75" hidden="1" customHeight="1" x14ac:dyDescent="0.25">
      <c r="B26" s="12" t="s">
        <v>50</v>
      </c>
      <c r="C26" s="422">
        <v>193.02</v>
      </c>
      <c r="D26" s="208" t="s">
        <v>586</v>
      </c>
      <c r="E26" s="39">
        <f>SnapshotTable[[#This Row],[Last Price]]*(1 -CrashDiscount)</f>
        <v>164.06700000000001</v>
      </c>
      <c r="F26" s="26" t="s">
        <v>550</v>
      </c>
      <c r="G26" s="26" t="s">
        <v>41</v>
      </c>
      <c r="H26" s="149"/>
      <c r="I26" s="194">
        <v>44770.708333333336</v>
      </c>
      <c r="J26" s="195">
        <v>44770.708333333336</v>
      </c>
      <c r="K26" s="196"/>
      <c r="L26" s="326" t="s">
        <v>580</v>
      </c>
      <c r="M26" s="140"/>
      <c r="N26" s="140"/>
      <c r="O26" s="140"/>
      <c r="P26" s="22"/>
      <c r="Q26" s="25"/>
      <c r="R26" s="4" t="str">
        <f>IF(SnapshotTable[[#This Row],[Equity Basis Total]] &gt; 0, SnapshotTable[[#This Row],[Equity Basis Total]] / SnapshotTable[[#This Row],[Equity Shares]], "")</f>
        <v/>
      </c>
      <c r="S26" s="269">
        <f>SnapshotTable[[#This Row],[Last Price]] * SnapshotTable[[#This Row],[Equity Shares]]</f>
        <v>0</v>
      </c>
      <c r="T26" s="269">
        <f>SnapshotTable[[#This Row],[Equity Value]] - SnapshotTable[[#This Row],[Equity Basis Total]]</f>
        <v>0</v>
      </c>
      <c r="U26" s="270" t="str">
        <f>IF(SnapshotTable[[#This Row],[Equity Basis Total]] &gt; 0, SnapshotTable[[#This Row],[Equity G/L]] / SnapshotTable[[#This Row],[Equity Basis Total]], "")</f>
        <v/>
      </c>
      <c r="V26" s="268"/>
      <c r="W26" s="26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7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0">
        <v>2.88</v>
      </c>
      <c r="AD26" s="151">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1">
        <v>43782</v>
      </c>
      <c r="AI26" s="5">
        <v>205</v>
      </c>
      <c r="AJ26" s="138">
        <v>9.5399999999999991</v>
      </c>
      <c r="AK26" s="152">
        <f>IF(ISNUMBER( SnapshotTable[[#This Row],[EBF Target]]),(SnapshotTable[[#This Row],[EBF Target]] - SnapshotTable[[#This Row],[Last Price]]) / SnapshotTable[[#This Row],[Last Price]], "")</f>
        <v>6.2066107139156508E-2</v>
      </c>
      <c r="AL26" s="152"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2">
        <f>IF(AND(ISNUMBER( SnapshotTable[[#This Row],[Long Term Target]]), ISNUMBER(SnapshotTable[[#This Row],[Last Price]])),(SnapshotTable[[#This Row],[Long Term Target]] - SnapshotTable[[#This Row],[Last Price]]) / SnapshotTable[[#This Row],[Last Price]], "")</f>
        <v>-0.95057506994093877</v>
      </c>
      <c r="AP26" s="5">
        <v>8</v>
      </c>
      <c r="AQ26" s="38" t="s">
        <v>27</v>
      </c>
      <c r="AR26" s="5">
        <v>8</v>
      </c>
      <c r="AS26" s="38" t="s">
        <v>38</v>
      </c>
      <c r="AT26" s="146" t="s">
        <v>542</v>
      </c>
      <c r="AU26" s="187" t="str">
        <f>IF(OR(SnapshotTable[[#This Row],[LP No Fill]]="Y",SnapshotTable[[#This Row],[SP Is Filled]],SnapshotTable[[#This Row],[LC Not Filled]]="Y",SnapshotTable[[#This Row],[SC Is Filled]]),"Y","")</f>
        <v/>
      </c>
      <c r="AV26" s="219"/>
      <c r="AW26" s="225"/>
      <c r="AX26" s="220"/>
      <c r="AY26" s="219" t="str">
        <f>IF(SnapshotTable[[#This Row],[Implied Move]]&gt;0, SnapshotTable[[#This Row],[Last Price]]-SnapshotTable[[#This Row],[Implied Move]],"")</f>
        <v/>
      </c>
      <c r="AZ26" s="219" t="str">
        <f>IF(SnapshotTable[[#This Row],[Implied Move]]&gt;0, SnapshotTable[[#This Row],[Last Price]] + SnapshotTable[[#This Row],[Implied Move]],"")</f>
        <v/>
      </c>
      <c r="BA26" s="331"/>
      <c r="BB26" s="347"/>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51"/>
      <c r="BE26" s="5"/>
      <c r="BF26" s="14"/>
      <c r="BG26" s="13"/>
      <c r="BH26" s="13"/>
      <c r="BI26" s="5"/>
      <c r="BJ26" s="136">
        <f>IF(SnapshotTable[[#This Row],[LP Qty]] &gt; 0, SnapshotTable[[#This Row],[LP Qty]] * SnapshotTable[[#This Row],[LP Book Price]] * 100,0)</f>
        <v>0</v>
      </c>
      <c r="BK26" s="136">
        <f>IF(SnapshotTable[[#This Row],[LP Premium]] &gt; 0, SnapshotTable[[#This Row],[LP Qty]] * SnapshotTable[[#This Row],[LP Strike Price]] * 100,0)</f>
        <v>0</v>
      </c>
      <c r="BL26" s="154"/>
      <c r="BM26" s="385" t="str">
        <f>IF(SnapshotTable[[#This Row],[LP Premium]] &gt; 0,SnapshotTable[[#This Row],[LP Exp Date]]-MAX(SnapshotTable[[#This Row],[LP Book Date]], SnapshotTable[[#This Row],[LP Fill Date]]),"")</f>
        <v/>
      </c>
      <c r="BN26" s="385" t="str">
        <f>IF(ISNUMBER( SnapshotTable[[#This Row],[LP Term]]), SnapshotTable[[#This Row],[LP Exp Date]] - MockToday,"")</f>
        <v/>
      </c>
      <c r="BO26" s="163"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7"/>
      <c r="BU26" s="13"/>
      <c r="BV26" s="5"/>
      <c r="BW26" s="419" t="b">
        <f>AND(ISNUMBER(SnapshotTable[[#This Row],[SP Exp Date]]), ISNUMBER(SnapshotTable[[#This Row],[SP Strike Price]]), ISNUMBER(SnapshotTable[[#This Row],[SP Qty]]), ISNUMBER(SnapshotTable[[#This Row],[SP Book Date]]), ISNUMBER(SnapshotTable[[#This Row],[SP Book Price]]))</f>
        <v>0</v>
      </c>
      <c r="BX26" s="419" t="b">
        <f>AND(SnapshotTable[[#This Row],[SP Is Booked]], NOT(ISBLANK(SnapshotTable[[#This Row],[SP Fill Date]])))</f>
        <v>0</v>
      </c>
      <c r="BY26" s="33">
        <f>IF(SnapshotTable[[#This Row],[SP Is Booked]], SnapshotTable[[#This Row],[SP Qty]] * SnapshotTable[[#This Row],[SP Book Price]] * 100, 0)</f>
        <v>0</v>
      </c>
      <c r="BZ26" s="369"/>
      <c r="CA26" s="368">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3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44"/>
      <c r="CK26" s="31">
        <f>IF(ISNUMBER(SnapshotTable[[#This Row],[SP Potential Spend]]),IF(ISNUMBER(SnapshotTable[[#This Row],[SP POW]]), SnapshotTable[[#This Row],[SP POW]] * SnapshotTable[[#This Row],[SP Potential Spend]], SnapshotTable[[#This Row],[SP Potential Spend]]), "")</f>
        <v>0</v>
      </c>
      <c r="CL26" s="164">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8"/>
      <c r="CO26" s="369"/>
      <c r="CP26" s="4" t="str">
        <f>IF(SnapshotTable[[#This Row],[SP Is Filled]], btc_max_buyback_amount(SnapshotTable[[#This Row],[SP Fill Date]],SnapshotTable[[#This Row],[SP Exp Date]], SnapshotTable[[#This Row],[SP Book Price]]),"")</f>
        <v/>
      </c>
      <c r="CQ26" s="78"/>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5" t="str">
        <f>IF(SnapshotTable[[#This Row],[SP Is Filled]], btc_next_cutoff_date(SnapshotTable[[#This Row],[SP Fill Date]],SnapshotTable[[#This Row],[SP Exp Date]]),"")</f>
        <v/>
      </c>
      <c r="CT26" s="23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3"/>
      <c r="CV26" s="235"/>
      <c r="CW26" s="378"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294" t="str">
        <f>IF(ISNUMBER((SnapshotTable[[#This Row],[SP Total Value]])), SnapshotTable[[#This Row],[SP Gain Loss]] / SnapshotTable[[#This Row],[SP Premium]], "")</f>
        <v/>
      </c>
      <c r="DI26" s="406"/>
      <c r="DJ26" s="138"/>
      <c r="DK26" s="148"/>
      <c r="DL26" s="13"/>
      <c r="DM26" s="13"/>
      <c r="DO26" s="31">
        <f>IF(SnapshotTable[[#This Row],[LC Symbol Count]]=1, SnapshotTable[[#This Row],[LC Qty]] * SnapshotTable[[#This Row],[LC Book Price]] * 100, 0)</f>
        <v>0</v>
      </c>
      <c r="DP26" s="163" t="str">
        <f>IF(AND(SnapshotTable[[#This Row],[LC Exp Date]]&gt;0, SnapshotTable[[#This Row],[LC Strike Price]]&gt;0,SnapshotTable[[#This Row],[LC Qty]]&gt;0,SnapshotTable[[#This Row],[LC Book Date]]&gt;0,SnapshotTable[[#This Row],[LC Book Price]]&gt;0,SnapshotTable[[#This Row],[LC Fill Date]]=0),"Y","")</f>
        <v/>
      </c>
      <c r="DQ26" s="386" t="str">
        <f>IF(SnapshotTable[[#This Row],[LC Premium]] &gt; 0,SnapshotTable[[#This Row],[LC Exp Date]]-MAX(SnapshotTable[[#This Row],[LC Book Date]], SnapshotTable[[#This Row],[LC Fill Date]]),"")</f>
        <v/>
      </c>
      <c r="DR26" s="386" t="str">
        <f>IF(ISNUMBER(SnapshotTable[[#This Row],[LC Term]]), SnapshotTable[[#This Row],[LC Exp Date]] - MockToday, "")</f>
        <v/>
      </c>
      <c r="DS26" s="23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40" t="str">
        <f>IF(ISNUMBER(SnapshotTable[[#This Row],[LC Actual Gain Loss]]), SnapshotTable[[#This Row],[LC Actual Gain Loss]] / SnapshotTable[[#This Row],[LC Premium]],"")</f>
        <v/>
      </c>
      <c r="DX26" s="284" t="str">
        <f>IF(ISNUMBER(SnapshotTable[[#This Row],[LC Book Price]]),SnapshotTable[[#This Row],[LC Book Price]] * 1.5,"")</f>
        <v/>
      </c>
      <c r="DY26" s="265" t="str">
        <f>IF(SnapshotTable[[#This Row],[LC Premium]]&gt;0, SnapshotTable[[#This Row],[LC Next Target]] * SnapshotTable[[#This Row],[LC Qty]] * 100,"")</f>
        <v/>
      </c>
      <c r="DZ26" s="265" t="str">
        <f>IF(ISNUMBER(SnapshotTable[[#This Row],[LC Target Gross]]), SnapshotTable[[#This Row],[LC Target Gross]] - SnapshotTable[[#This Row],[LC Premium]], "")</f>
        <v/>
      </c>
      <c r="EA26" s="305" t="str">
        <f>IF(ISNUMBER(SnapshotTable[[#This Row],[LC Target Gain Loss]]), SnapshotTable[[#This Row],[LC Target Gain Loss]]/SnapshotTable[[#This Row],[LC Premium]], "")</f>
        <v/>
      </c>
      <c r="EB26" s="262"/>
      <c r="EC26" s="283" t="str">
        <f>IF(SnapshotTable[[#This Row],[LC Premium]]&gt;0, SnapshotTable[[#This Row],[LC Book Price]] * (1 - LC_StopLoss_Pct),"")</f>
        <v/>
      </c>
      <c r="ED26" s="284"/>
      <c r="EE26" s="28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4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7"/>
      <c r="EL26" s="138"/>
      <c r="EM26" s="148"/>
      <c r="EN26" s="147"/>
      <c r="EO26" s="147"/>
      <c r="EP26" s="138"/>
      <c r="EQ26" s="419" t="b">
        <f>AND(ISNUMBER(SnapshotTable[[#This Row],[SC Exp Date]]), ISNUMBER(SnapshotTable[[#This Row],[SC Strike Price]]), ISNUMBER(SnapshotTable[[#This Row],[SC Qty]]), ISNUMBER(SnapshotTable[[#This Row],[SC Book Date]]), ISNUMBER(SnapshotTable[[#This Row],[SC Book Price]]))</f>
        <v>0</v>
      </c>
      <c r="ER26" s="419" t="b">
        <f>AND(SnapshotTable[[#This Row],[SC Is Booked]], NOT(ISBLANK(SnapshotTable[[#This Row],[SC Fill Date]])))</f>
        <v>0</v>
      </c>
      <c r="ES26" s="370"/>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3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283"/>
      <c r="FA26" s="218"/>
      <c r="FB26" s="370"/>
      <c r="FC26" s="4">
        <f>IF(SnapshotTable[[#This Row],[SC Is Filled]], btc_max_buyback_amount(SnapshotTable[[#This Row],[SC Fill Date]],SnapshotTable[[#This Row],[SC Exp Date]], SnapshotTable[[#This Row],[SC Book Price]]),0)</f>
        <v>0</v>
      </c>
      <c r="FD26" s="5"/>
      <c r="FE26" s="144"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382">
        <f>IF(SnapshotTable[[#This Row],[SC Is Filled]], IF(ISNUMBER(SnapshotTable[[#This Row],[SC Current Ask]]), SnapshotTable[[#This Row],[SC Current Ask]], SnapshotTable[[#This Row],[SC Book Price]]) - SnapshotTable[[#This Row],[SC Intrinsic Value]], 0)</f>
        <v>0</v>
      </c>
      <c r="FI26" s="143">
        <v>45786</v>
      </c>
      <c r="FJ26" s="32" t="str">
        <f>IF(SnapshotTable[[#This Row],[SC Is Filled]],100 * SnapshotTable[[#This Row],[SC Qty]] * IF(ISNUMBER(SnapshotTable[[#This Row],[SC Buyback Override]]), SnapshotTable[[#This Row],[SC Buyback Override]], SnapshotTable[[#This Row],[SC Current Ask]]), "")</f>
        <v/>
      </c>
      <c r="FK26" s="250" t="str">
        <f>IF(SnapshotTable[[#This Row],[SC Time Val]]&gt;0, SnapshotTable[[#This Row],[SC Time Val]] / SnapshotTable[[#This Row],[Last Price]],"")</f>
        <v/>
      </c>
      <c r="FL26" s="302" t="str">
        <f>IF(SnapshotTable[[#This Row],[SC Is Booked]], ((SnapshotTable[[#This Row],[Last Price]] -SnapshotTable[[#This Row],[SC Strike Price]]) / SnapshotTable[[#This Row],[Last Price]]) * -1, "")</f>
        <v/>
      </c>
      <c r="FM26" s="157"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33"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36" t="str">
        <f>IF(AND(ISNUMBER(SnapshotTable[[#This Row],[SC Simple ROO]]),SnapshotTable[[#This Row],[SC Simple ROO]] &gt; 0), SnapshotTable[[#This Row],[SC Premium]] + (SnapshotTable[[#This Row],[SC Qty]] * SnapshotTable[[#This Row],[SC Upside Potential]]), "")</f>
        <v/>
      </c>
      <c r="FX26" s="302" t="str" cm="1">
        <f t="array" ref="FX26">IF(ISNUMBER(SnapshotTable[[#This Row],[SC Max Dollars]]), annualize(SnapshotTable[[#This Row],[SC Term]],(SnapshotTable[[#This Row],[SC Max Dollars]]/SnapshotTable[[#This Row],[SC Basis]])),"")</f>
        <v/>
      </c>
      <c r="FY26" s="23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29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628</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31">
        <f>MAX(SnapshotTable[[#This Row],[Equity Basis Total]],SnapshotTable[[#This Row],[Equity Value]]) + (SnapshotTable[[#This Row],[SP Potential Spend]]- SnapshotTable[[#This Row],[SP Premium]] + SnapshotTable[[#This Row],[LP Premium]])+ (SnapshotTable[[#This Row],[LC Premium]] - SnapshotTable[[#This Row],[SC Premium]])</f>
        <v>0</v>
      </c>
      <c r="GW26" s="139" t="str">
        <f>IF(AND(SnapshotTable[[#This Row],[Exposure]] &lt;&gt; 0),SnapshotTable[[#This Row],[Exposure]] / SnapshotTable[[#Totals],[Exposure]], "")</f>
        <v/>
      </c>
      <c r="HK26" s="1"/>
      <c r="HL26" s="1"/>
      <c r="HM26" s="1"/>
      <c r="HN26" s="1"/>
      <c r="HO26" s="1"/>
      <c r="HP26" s="1"/>
    </row>
    <row r="27" spans="2:224" ht="12.75" hidden="1" customHeight="1" x14ac:dyDescent="0.25">
      <c r="B27" s="12" t="s">
        <v>1230</v>
      </c>
      <c r="C27" s="422">
        <v>610.35</v>
      </c>
      <c r="D27" s="208"/>
      <c r="E27" s="39">
        <f>SnapshotTable[[#This Row],[Last Price]]*(1 -CrashDiscount)</f>
        <v>518.79750000000001</v>
      </c>
      <c r="F27" s="325" t="s">
        <v>1231</v>
      </c>
      <c r="G27" s="325" t="s">
        <v>872</v>
      </c>
      <c r="H27" s="149"/>
      <c r="I27" s="194"/>
      <c r="J27" s="195"/>
      <c r="K27" s="196"/>
      <c r="L27" s="326"/>
      <c r="M27" s="140"/>
      <c r="N27" s="140"/>
      <c r="O27" s="140"/>
      <c r="P27" s="22"/>
      <c r="Q27" s="25"/>
      <c r="R27" s="4" t="str">
        <f>IF(SnapshotTable[[#This Row],[Equity Basis Total]] &gt; 0, SnapshotTable[[#This Row],[Equity Basis Total]] / SnapshotTable[[#This Row],[Equity Shares]], "")</f>
        <v/>
      </c>
      <c r="S27" s="269">
        <f>SnapshotTable[[#This Row],[Last Price]] * SnapshotTable[[#This Row],[Equity Shares]]</f>
        <v>0</v>
      </c>
      <c r="T27" s="269">
        <f>SnapshotTable[[#This Row],[Equity Value]] - SnapshotTable[[#This Row],[Equity Basis Total]]</f>
        <v>0</v>
      </c>
      <c r="U27" s="270" t="str">
        <f>IF(SnapshotTable[[#This Row],[Equity Basis Total]] &gt; 0, SnapshotTable[[#This Row],[Equity G/L]] / SnapshotTable[[#This Row],[Equity Basis Total]], "")</f>
        <v/>
      </c>
      <c r="V27" s="268"/>
      <c r="W27" s="26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7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0"/>
      <c r="AD27" s="151"/>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1"/>
      <c r="AI27" s="5"/>
      <c r="AJ27" s="138"/>
      <c r="AK27" s="152" t="str">
        <f>IF(ISNUMBER( SnapshotTable[[#This Row],[EBF Target]]),(SnapshotTable[[#This Row],[EBF Target]] - SnapshotTable[[#This Row],[Last Price]]) / SnapshotTable[[#This Row],[Last Price]], "")</f>
        <v/>
      </c>
      <c r="AL27" s="152"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2" t="str">
        <f>IF(AND(ISNUMBER( SnapshotTable[[#This Row],[Long Term Target]]), ISNUMBER(SnapshotTable[[#This Row],[Last Price]])),(SnapshotTable[[#This Row],[Long Term Target]] - SnapshotTable[[#This Row],[Last Price]]) / SnapshotTable[[#This Row],[Last Price]], "")</f>
        <v/>
      </c>
      <c r="AP27" s="5"/>
      <c r="AQ27" s="38"/>
      <c r="AR27" s="5"/>
      <c r="AS27" s="38"/>
      <c r="AT27" s="146"/>
      <c r="AU27" s="187" t="str">
        <f>IF(OR(SnapshotTable[[#This Row],[LP No Fill]]="Y",SnapshotTable[[#This Row],[SP Is Filled]],SnapshotTable[[#This Row],[LC Not Filled]]="Y",SnapshotTable[[#This Row],[SC Is Filled]]),"Y","")</f>
        <v/>
      </c>
      <c r="AV27" s="219"/>
      <c r="AW27" s="225"/>
      <c r="AX27" s="220"/>
      <c r="AY27" s="219" t="str">
        <f>IF(SnapshotTable[[#This Row],[Implied Move]]&gt;0, SnapshotTable[[#This Row],[Last Price]]-SnapshotTable[[#This Row],[Implied Move]],"")</f>
        <v/>
      </c>
      <c r="AZ27" s="219" t="str">
        <f>IF(SnapshotTable[[#This Row],[Implied Move]]&gt;0, SnapshotTable[[#This Row],[Last Price]] + SnapshotTable[[#This Row],[Implied Move]],"")</f>
        <v/>
      </c>
      <c r="BA27" s="331">
        <v>202.56</v>
      </c>
      <c r="BB27" s="347"/>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51"/>
      <c r="BE27" s="5"/>
      <c r="BF27" s="14"/>
      <c r="BG27" s="13"/>
      <c r="BH27" s="13"/>
      <c r="BI27" s="5"/>
      <c r="BJ27" s="136">
        <f>IF(SnapshotTable[[#This Row],[LP Qty]] &gt; 0, SnapshotTable[[#This Row],[LP Qty]] * SnapshotTable[[#This Row],[LP Book Price]] * 100,0)</f>
        <v>0</v>
      </c>
      <c r="BK27" s="136">
        <f>IF(SnapshotTable[[#This Row],[LP Premium]] &gt; 0, SnapshotTable[[#This Row],[LP Qty]] * SnapshotTable[[#This Row],[LP Strike Price]] * 100,0)</f>
        <v>0</v>
      </c>
      <c r="BL27" s="154"/>
      <c r="BM27" s="385" t="str">
        <f>IF(SnapshotTable[[#This Row],[LP Premium]] &gt; 0,SnapshotTable[[#This Row],[LP Exp Date]]-MAX(SnapshotTable[[#This Row],[LP Book Date]], SnapshotTable[[#This Row],[LP Fill Date]]),"")</f>
        <v/>
      </c>
      <c r="BN27" s="385" t="str">
        <f>IF(ISNUMBER( SnapshotTable[[#This Row],[LP Term]]), SnapshotTable[[#This Row],[LP Exp Date]] - MockToday,"")</f>
        <v/>
      </c>
      <c r="BO27" s="163"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7"/>
      <c r="BU27" s="13"/>
      <c r="BV27" s="5"/>
      <c r="BW27" s="419" t="b">
        <f>AND(ISNUMBER(SnapshotTable[[#This Row],[SP Exp Date]]), ISNUMBER(SnapshotTable[[#This Row],[SP Strike Price]]), ISNUMBER(SnapshotTable[[#This Row],[SP Qty]]), ISNUMBER(SnapshotTable[[#This Row],[SP Book Date]]), ISNUMBER(SnapshotTable[[#This Row],[SP Book Price]]))</f>
        <v>0</v>
      </c>
      <c r="BX27" s="419" t="b">
        <f>AND(SnapshotTable[[#This Row],[SP Is Booked]], NOT(ISBLANK(SnapshotTable[[#This Row],[SP Fill Date]])))</f>
        <v>0</v>
      </c>
      <c r="BY27" s="33">
        <f>IF(SnapshotTable[[#This Row],[SP Is Booked]], SnapshotTable[[#This Row],[SP Qty]] * SnapshotTable[[#This Row],[SP Book Price]] * 100, 0)</f>
        <v>0</v>
      </c>
      <c r="BZ27" s="369"/>
      <c r="CA27" s="368">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3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44">
        <v>0.5</v>
      </c>
      <c r="CK27" s="31">
        <f>IF(ISNUMBER(SnapshotTable[[#This Row],[SP Potential Spend]]),IF(ISNUMBER(SnapshotTable[[#This Row],[SP POW]]), SnapshotTable[[#This Row],[SP POW]] * SnapshotTable[[#This Row],[SP Potential Spend]], SnapshotTable[[#This Row],[SP Potential Spend]]), "")</f>
        <v>0</v>
      </c>
      <c r="CL27" s="164">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8"/>
      <c r="CO27" s="369"/>
      <c r="CP27" s="4" t="str">
        <f>IF(SnapshotTable[[#This Row],[SP Is Filled]], btc_max_buyback_amount(SnapshotTable[[#This Row],[SP Fill Date]],SnapshotTable[[#This Row],[SP Exp Date]], SnapshotTable[[#This Row],[SP Book Price]]),"")</f>
        <v/>
      </c>
      <c r="CQ27" s="78"/>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5" t="str">
        <f>IF(SnapshotTable[[#This Row],[SP Is Filled]], btc_next_cutoff_date(SnapshotTable[[#This Row],[SP Fill Date]],SnapshotTable[[#This Row],[SP Exp Date]]),"")</f>
        <v/>
      </c>
      <c r="CT27" s="23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3"/>
      <c r="CV27" s="235"/>
      <c r="CW27" s="378"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294" t="str">
        <f>IF(ISNUMBER((SnapshotTable[[#This Row],[SP Total Value]])), SnapshotTable[[#This Row],[SP Gain Loss]] / SnapshotTable[[#This Row],[SP Premium]], "")</f>
        <v/>
      </c>
      <c r="DI27" s="406"/>
      <c r="DJ27" s="138"/>
      <c r="DK27" s="148"/>
      <c r="DL27" s="13"/>
      <c r="DM27" s="13"/>
      <c r="DO27" s="31">
        <f>IF(SnapshotTable[[#This Row],[LC Symbol Count]]=1, SnapshotTable[[#This Row],[LC Qty]] * SnapshotTable[[#This Row],[LC Book Price]] * 100, 0)</f>
        <v>0</v>
      </c>
      <c r="DP27" s="163" t="str">
        <f>IF(AND(SnapshotTable[[#This Row],[LC Exp Date]]&gt;0, SnapshotTable[[#This Row],[LC Strike Price]]&gt;0,SnapshotTable[[#This Row],[LC Qty]]&gt;0,SnapshotTable[[#This Row],[LC Book Date]]&gt;0,SnapshotTable[[#This Row],[LC Book Price]]&gt;0,SnapshotTable[[#This Row],[LC Fill Date]]=0),"Y","")</f>
        <v/>
      </c>
      <c r="DQ27" s="386" t="str">
        <f>IF(SnapshotTable[[#This Row],[LC Premium]] &gt; 0,SnapshotTable[[#This Row],[LC Exp Date]]-MAX(SnapshotTable[[#This Row],[LC Book Date]], SnapshotTable[[#This Row],[LC Fill Date]]),"")</f>
        <v/>
      </c>
      <c r="DR27" s="386" t="str">
        <f>IF(ISNUMBER(SnapshotTable[[#This Row],[LC Term]]), SnapshotTable[[#This Row],[LC Exp Date]] - MockToday, "")</f>
        <v/>
      </c>
      <c r="DS27" s="23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40" t="str">
        <f>IF(ISNUMBER(SnapshotTable[[#This Row],[LC Actual Gain Loss]]), SnapshotTable[[#This Row],[LC Actual Gain Loss]] / SnapshotTable[[#This Row],[LC Premium]],"")</f>
        <v/>
      </c>
      <c r="DX27" s="284" t="str">
        <f>IF(ISNUMBER(SnapshotTable[[#This Row],[LC Book Price]]),SnapshotTable[[#This Row],[LC Book Price]] * 1.5,"")</f>
        <v/>
      </c>
      <c r="DY27" s="265" t="str">
        <f>IF(SnapshotTable[[#This Row],[LC Premium]]&gt;0, SnapshotTable[[#This Row],[LC Next Target]] * SnapshotTable[[#This Row],[LC Qty]] * 100,"")</f>
        <v/>
      </c>
      <c r="DZ27" s="265" t="str">
        <f>IF(ISNUMBER(SnapshotTable[[#This Row],[LC Target Gross]]), SnapshotTable[[#This Row],[LC Target Gross]] - SnapshotTable[[#This Row],[LC Premium]], "")</f>
        <v/>
      </c>
      <c r="EA27" s="305" t="str">
        <f>IF(ISNUMBER(SnapshotTable[[#This Row],[LC Target Gain Loss]]), SnapshotTable[[#This Row],[LC Target Gain Loss]]/SnapshotTable[[#This Row],[LC Premium]], "")</f>
        <v/>
      </c>
      <c r="EB27" s="262"/>
      <c r="EC27" s="283" t="str">
        <f>IF(SnapshotTable[[#This Row],[LC Premium]]&gt;0, SnapshotTable[[#This Row],[LC Book Price]] * (1 - LC_StopLoss_Pct),"")</f>
        <v/>
      </c>
      <c r="ED27" s="284"/>
      <c r="EE27" s="28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4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7"/>
      <c r="EL27" s="138"/>
      <c r="EM27" s="148"/>
      <c r="EN27" s="147"/>
      <c r="EO27" s="147"/>
      <c r="EP27" s="138"/>
      <c r="EQ27" s="419" t="b">
        <f>AND(ISNUMBER(SnapshotTable[[#This Row],[SC Exp Date]]), ISNUMBER(SnapshotTable[[#This Row],[SC Strike Price]]), ISNUMBER(SnapshotTable[[#This Row],[SC Qty]]), ISNUMBER(SnapshotTable[[#This Row],[SC Book Date]]), ISNUMBER(SnapshotTable[[#This Row],[SC Book Price]]))</f>
        <v>0</v>
      </c>
      <c r="ER27" s="419" t="b">
        <f>AND(SnapshotTable[[#This Row],[SC Is Booked]], NOT(ISBLANK(SnapshotTable[[#This Row],[SC Fill Date]])))</f>
        <v>0</v>
      </c>
      <c r="ES27" s="370"/>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3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283"/>
      <c r="FA27" s="218"/>
      <c r="FB27" s="370"/>
      <c r="FC27" s="4">
        <f>IF(SnapshotTable[[#This Row],[SC Is Filled]], btc_max_buyback_amount(SnapshotTable[[#This Row],[SC Fill Date]],SnapshotTable[[#This Row],[SC Exp Date]], SnapshotTable[[#This Row],[SC Book Price]]),0)</f>
        <v>0</v>
      </c>
      <c r="FD27" s="5"/>
      <c r="FE27" s="144"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382">
        <f>IF(SnapshotTable[[#This Row],[SC Is Filled]], IF(ISNUMBER(SnapshotTable[[#This Row],[SC Current Ask]]), SnapshotTable[[#This Row],[SC Current Ask]], SnapshotTable[[#This Row],[SC Book Price]]) - SnapshotTable[[#This Row],[SC Intrinsic Value]], 0)</f>
        <v>0</v>
      </c>
      <c r="FI27" s="143"/>
      <c r="FJ27" s="32" t="str">
        <f>IF(SnapshotTable[[#This Row],[SC Is Filled]],100 * SnapshotTable[[#This Row],[SC Qty]] * IF(ISNUMBER(SnapshotTable[[#This Row],[SC Buyback Override]]), SnapshotTable[[#This Row],[SC Buyback Override]], SnapshotTable[[#This Row],[SC Current Ask]]), "")</f>
        <v/>
      </c>
      <c r="FK27" s="250" t="str">
        <f>IF(SnapshotTable[[#This Row],[SC Time Val]]&gt;0, SnapshotTable[[#This Row],[SC Time Val]] / SnapshotTable[[#This Row],[Last Price]],"")</f>
        <v/>
      </c>
      <c r="FL27" s="302" t="str">
        <f>IF(SnapshotTable[[#This Row],[SC Is Booked]], ((SnapshotTable[[#This Row],[Last Price]] -SnapshotTable[[#This Row],[SC Strike Price]]) / SnapshotTable[[#This Row],[Last Price]]) * -1, "")</f>
        <v/>
      </c>
      <c r="FM27" s="157"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33"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36" t="str">
        <f>IF(AND(ISNUMBER(SnapshotTable[[#This Row],[SC Simple ROO]]),SnapshotTable[[#This Row],[SC Simple ROO]] &gt; 0), SnapshotTable[[#This Row],[SC Premium]] + (SnapshotTable[[#This Row],[SC Qty]] * SnapshotTable[[#This Row],[SC Upside Potential]]), "")</f>
        <v/>
      </c>
      <c r="FX27" s="302" t="str" cm="1">
        <f t="array" ref="FX27">IF(ISNUMBER(SnapshotTable[[#This Row],[SC Max Dollars]]), annualize(SnapshotTable[[#This Row],[SC Term]],(SnapshotTable[[#This Row],[SC Max Dollars]]/SnapshotTable[[#This Row],[SC Basis]])),"")</f>
        <v/>
      </c>
      <c r="FY27" s="23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29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1190.1825000000001</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31">
        <f>MAX(SnapshotTable[[#This Row],[Equity Basis Total]],SnapshotTable[[#This Row],[Equity Value]]) + (SnapshotTable[[#This Row],[SP Potential Spend]]- SnapshotTable[[#This Row],[SP Premium]] + SnapshotTable[[#This Row],[LP Premium]])+ (SnapshotTable[[#This Row],[LC Premium]] - SnapshotTable[[#This Row],[SC Premium]])</f>
        <v>0</v>
      </c>
      <c r="GW27" s="139" t="str">
        <f>IF(AND(SnapshotTable[[#This Row],[Exposure]] &lt;&gt; 0),SnapshotTable[[#This Row],[Exposure]] / SnapshotTable[[#Totals],[Exposure]], "")</f>
        <v/>
      </c>
      <c r="HK27" s="1"/>
      <c r="HL27" s="1"/>
      <c r="HM27" s="1"/>
      <c r="HN27" s="1"/>
      <c r="HO27" s="1"/>
      <c r="HP27" s="1"/>
    </row>
    <row r="28" spans="2:224" ht="12.75" hidden="1" customHeight="1" x14ac:dyDescent="0.25">
      <c r="B28" s="12" t="s">
        <v>1080</v>
      </c>
      <c r="C28" s="422">
        <v>8.19</v>
      </c>
      <c r="D28" s="208" t="s">
        <v>578</v>
      </c>
      <c r="E28" s="39">
        <f>SnapshotTable[[#This Row],[Last Price]]*(1 -CrashDiscount)</f>
        <v>6.9614999999999991</v>
      </c>
      <c r="F28" s="26" t="s">
        <v>613</v>
      </c>
      <c r="G28" s="26" t="s">
        <v>9</v>
      </c>
      <c r="H28" s="149"/>
      <c r="I28" s="194">
        <v>45168.677083333336</v>
      </c>
      <c r="J28" s="195">
        <v>45168.677083333336</v>
      </c>
      <c r="K28" s="196"/>
      <c r="L28" s="326"/>
      <c r="M28" s="140"/>
      <c r="N28" s="140"/>
      <c r="O28" s="140"/>
      <c r="P28" s="22"/>
      <c r="Q28" s="25"/>
      <c r="R28" s="4" t="str">
        <f>IF(SnapshotTable[[#This Row],[Equity Basis Total]] &gt; 0, SnapshotTable[[#This Row],[Equity Basis Total]] / SnapshotTable[[#This Row],[Equity Shares]], "")</f>
        <v/>
      </c>
      <c r="S28" s="269">
        <f>SnapshotTable[[#This Row],[Last Price]] * SnapshotTable[[#This Row],[Equity Shares]]</f>
        <v>0</v>
      </c>
      <c r="T28" s="269">
        <f>SnapshotTable[[#This Row],[Equity Value]] - SnapshotTable[[#This Row],[Equity Basis Total]]</f>
        <v>0</v>
      </c>
      <c r="U28" s="270" t="str">
        <f>IF(SnapshotTable[[#This Row],[Equity Basis Total]] &gt; 0, SnapshotTable[[#This Row],[Equity G/L]] / SnapshotTable[[#This Row],[Equity Basis Total]], "")</f>
        <v/>
      </c>
      <c r="V28" s="268">
        <v>55</v>
      </c>
      <c r="W28" s="26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7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0"/>
      <c r="AD28" s="151"/>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1"/>
      <c r="AI28" s="5"/>
      <c r="AJ28" s="138"/>
      <c r="AK28" s="152" t="str">
        <f>IF(ISNUMBER( SnapshotTable[[#This Row],[EBF Target]]),(SnapshotTable[[#This Row],[EBF Target]] - SnapshotTable[[#This Row],[Last Price]]) / SnapshotTable[[#This Row],[Last Price]], "")</f>
        <v/>
      </c>
      <c r="AL28" s="152"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2" t="str">
        <f>IF(AND(ISNUMBER( SnapshotTable[[#This Row],[Long Term Target]]), ISNUMBER(SnapshotTable[[#This Row],[Last Price]])),(SnapshotTable[[#This Row],[Long Term Target]] - SnapshotTable[[#This Row],[Last Price]]) / SnapshotTable[[#This Row],[Last Price]], "")</f>
        <v/>
      </c>
      <c r="AP28" s="5">
        <v>29</v>
      </c>
      <c r="AQ28" s="38" t="s">
        <v>27</v>
      </c>
      <c r="AR28" s="5">
        <v>29</v>
      </c>
      <c r="AS28" s="38" t="s">
        <v>38</v>
      </c>
      <c r="AT28" s="146" t="s">
        <v>538</v>
      </c>
      <c r="AU28" s="187" t="str">
        <f>IF(OR(SnapshotTable[[#This Row],[LP No Fill]]="Y",SnapshotTable[[#This Row],[SP Is Filled]],SnapshotTable[[#This Row],[LC Not Filled]]="Y",SnapshotTable[[#This Row],[SC Is Filled]]),"Y","")</f>
        <v/>
      </c>
      <c r="AV28" s="219"/>
      <c r="AW28" s="225"/>
      <c r="AX28" s="220"/>
      <c r="AY28" s="219" t="str">
        <f>IF(SnapshotTable[[#This Row],[Implied Move]]&gt;0, SnapshotTable[[#This Row],[Last Price]]-SnapshotTable[[#This Row],[Implied Move]],"")</f>
        <v/>
      </c>
      <c r="AZ28" s="219" t="str">
        <f>IF(SnapshotTable[[#This Row],[Implied Move]]&gt;0, SnapshotTable[[#This Row],[Last Price]] + SnapshotTable[[#This Row],[Implied Move]],"")</f>
        <v/>
      </c>
      <c r="BA28" s="331"/>
      <c r="BB28" s="347"/>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51"/>
      <c r="BE28" s="5"/>
      <c r="BF28" s="14"/>
      <c r="BG28" s="13"/>
      <c r="BH28" s="13"/>
      <c r="BI28" s="5"/>
      <c r="BJ28" s="136">
        <f>IF(SnapshotTable[[#This Row],[LP Qty]] &gt; 0, SnapshotTable[[#This Row],[LP Qty]] * SnapshotTable[[#This Row],[LP Book Price]] * 100,0)</f>
        <v>0</v>
      </c>
      <c r="BK28" s="136">
        <f>IF(SnapshotTable[[#This Row],[LP Premium]] &gt; 0, SnapshotTable[[#This Row],[LP Qty]] * SnapshotTable[[#This Row],[LP Strike Price]] * 100,0)</f>
        <v>0</v>
      </c>
      <c r="BL28" s="154"/>
      <c r="BM28" s="385" t="str">
        <f>IF(SnapshotTable[[#This Row],[LP Premium]] &gt; 0,SnapshotTable[[#This Row],[LP Exp Date]]-MAX(SnapshotTable[[#This Row],[LP Book Date]], SnapshotTable[[#This Row],[LP Fill Date]]),"")</f>
        <v/>
      </c>
      <c r="BN28" s="385" t="str">
        <f>IF(ISNUMBER( SnapshotTable[[#This Row],[LP Term]]), SnapshotTable[[#This Row],[LP Exp Date]] - MockToday,"")</f>
        <v/>
      </c>
      <c r="BO28" s="163"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7"/>
      <c r="BU28" s="13"/>
      <c r="BV28" s="5"/>
      <c r="BW28" s="419" t="b">
        <f>AND(ISNUMBER(SnapshotTable[[#This Row],[SP Exp Date]]), ISNUMBER(SnapshotTable[[#This Row],[SP Strike Price]]), ISNUMBER(SnapshotTable[[#This Row],[SP Qty]]), ISNUMBER(SnapshotTable[[#This Row],[SP Book Date]]), ISNUMBER(SnapshotTable[[#This Row],[SP Book Price]]))</f>
        <v>0</v>
      </c>
      <c r="BX28" s="419" t="b">
        <f>AND(SnapshotTable[[#This Row],[SP Is Booked]], NOT(ISBLANK(SnapshotTable[[#This Row],[SP Fill Date]])))</f>
        <v>0</v>
      </c>
      <c r="BY28" s="33">
        <f>IF(SnapshotTable[[#This Row],[SP Is Booked]], SnapshotTable[[#This Row],[SP Qty]] * SnapshotTable[[#This Row],[SP Book Price]] * 100, 0)</f>
        <v>0</v>
      </c>
      <c r="BZ28" s="369"/>
      <c r="CA28" s="368">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3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44"/>
      <c r="CK28" s="31">
        <f>IF(ISNUMBER(SnapshotTable[[#This Row],[SP Potential Spend]]),IF(ISNUMBER(SnapshotTable[[#This Row],[SP POW]]), SnapshotTable[[#This Row],[SP POW]] * SnapshotTable[[#This Row],[SP Potential Spend]], SnapshotTable[[#This Row],[SP Potential Spend]]), "")</f>
        <v>0</v>
      </c>
      <c r="CL28" s="164">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8"/>
      <c r="CO28" s="369"/>
      <c r="CP28" s="4" t="str">
        <f>IF(SnapshotTable[[#This Row],[SP Is Filled]], btc_max_buyback_amount(SnapshotTable[[#This Row],[SP Fill Date]],SnapshotTable[[#This Row],[SP Exp Date]], SnapshotTable[[#This Row],[SP Book Price]]),"")</f>
        <v/>
      </c>
      <c r="CQ28" s="78"/>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5" t="str">
        <f>IF(SnapshotTable[[#This Row],[SP Is Filled]], btc_next_cutoff_date(SnapshotTable[[#This Row],[SP Fill Date]],SnapshotTable[[#This Row],[SP Exp Date]]),"")</f>
        <v/>
      </c>
      <c r="CT28" s="23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6"/>
      <c r="CV28" s="235"/>
      <c r="CW28" s="378"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294" t="str">
        <f>IF(ISNUMBER((SnapshotTable[[#This Row],[SP Total Value]])), SnapshotTable[[#This Row],[SP Gain Loss]] / SnapshotTable[[#This Row],[SP Premium]], "")</f>
        <v/>
      </c>
      <c r="DI28" s="406"/>
      <c r="DJ28" s="138"/>
      <c r="DK28" s="148"/>
      <c r="DL28" s="13"/>
      <c r="DM28" s="13"/>
      <c r="DO28" s="31">
        <f>IF(SnapshotTable[[#This Row],[LC Symbol Count]]=1, SnapshotTable[[#This Row],[LC Qty]] * SnapshotTable[[#This Row],[LC Book Price]] * 100, 0)</f>
        <v>0</v>
      </c>
      <c r="DP28" s="163" t="str">
        <f>IF(AND(SnapshotTable[[#This Row],[LC Exp Date]]&gt;0, SnapshotTable[[#This Row],[LC Strike Price]]&gt;0,SnapshotTable[[#This Row],[LC Qty]]&gt;0,SnapshotTable[[#This Row],[LC Book Date]]&gt;0,SnapshotTable[[#This Row],[LC Book Price]]&gt;0,SnapshotTable[[#This Row],[LC Fill Date]]=0),"Y","")</f>
        <v/>
      </c>
      <c r="DQ28" s="386" t="str">
        <f>IF(SnapshotTable[[#This Row],[LC Premium]] &gt; 0,SnapshotTable[[#This Row],[LC Exp Date]]-MAX(SnapshotTable[[#This Row],[LC Book Date]], SnapshotTable[[#This Row],[LC Fill Date]]),"")</f>
        <v/>
      </c>
      <c r="DR28" s="386" t="str">
        <f>IF(ISNUMBER(SnapshotTable[[#This Row],[LC Term]]), SnapshotTable[[#This Row],[LC Exp Date]] - MockToday, "")</f>
        <v/>
      </c>
      <c r="DS28" s="23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40" t="str">
        <f>IF(ISNUMBER(SnapshotTable[[#This Row],[LC Actual Gain Loss]]), SnapshotTable[[#This Row],[LC Actual Gain Loss]] / SnapshotTable[[#This Row],[LC Premium]],"")</f>
        <v/>
      </c>
      <c r="DX28" s="284" t="str">
        <f>IF(ISNUMBER(SnapshotTable[[#This Row],[LC Book Price]]),SnapshotTable[[#This Row],[LC Book Price]] * 1.5,"")</f>
        <v/>
      </c>
      <c r="DY28" s="265" t="str">
        <f>IF(SnapshotTable[[#This Row],[LC Premium]]&gt;0, SnapshotTable[[#This Row],[LC Next Target]] * SnapshotTable[[#This Row],[LC Qty]] * 100,"")</f>
        <v/>
      </c>
      <c r="DZ28" s="265" t="str">
        <f>IF(ISNUMBER(SnapshotTable[[#This Row],[LC Target Gross]]), SnapshotTable[[#This Row],[LC Target Gross]] - SnapshotTable[[#This Row],[LC Premium]], "")</f>
        <v/>
      </c>
      <c r="EA28" s="305" t="str">
        <f>IF(ISNUMBER(SnapshotTable[[#This Row],[LC Target Gain Loss]]), SnapshotTable[[#This Row],[LC Target Gain Loss]]/SnapshotTable[[#This Row],[LC Premium]], "")</f>
        <v/>
      </c>
      <c r="EB28" s="262"/>
      <c r="EC28" s="283" t="str">
        <f>IF(SnapshotTable[[#This Row],[LC Premium]]&gt;0, SnapshotTable[[#This Row],[LC Book Price]] * (1 - LC_StopLoss_Pct),"")</f>
        <v/>
      </c>
      <c r="ED28" s="284"/>
      <c r="EE28" s="28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4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7"/>
      <c r="EL28" s="138"/>
      <c r="EM28" s="148"/>
      <c r="EN28" s="147"/>
      <c r="EO28" s="147"/>
      <c r="EP28" s="138"/>
      <c r="EQ28" s="419" t="b">
        <f>AND(ISNUMBER(SnapshotTable[[#This Row],[SC Exp Date]]), ISNUMBER(SnapshotTable[[#This Row],[SC Strike Price]]), ISNUMBER(SnapshotTable[[#This Row],[SC Qty]]), ISNUMBER(SnapshotTable[[#This Row],[SC Book Date]]), ISNUMBER(SnapshotTable[[#This Row],[SC Book Price]]))</f>
        <v>0</v>
      </c>
      <c r="ER28" s="419" t="b">
        <f>AND(SnapshotTable[[#This Row],[SC Is Booked]], NOT(ISBLANK(SnapshotTable[[#This Row],[SC Fill Date]])))</f>
        <v>0</v>
      </c>
      <c r="ES28" s="370">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3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283"/>
      <c r="FA28" s="218"/>
      <c r="FB28" s="370"/>
      <c r="FC28" s="4">
        <f>IF(SnapshotTable[[#This Row],[SC Is Filled]], btc_max_buyback_amount(SnapshotTable[[#This Row],[SC Fill Date]],SnapshotTable[[#This Row],[SC Exp Date]], SnapshotTable[[#This Row],[SC Book Price]]),0)</f>
        <v>0</v>
      </c>
      <c r="FD28" s="5"/>
      <c r="FE28" s="144"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382">
        <f>IF(SnapshotTable[[#This Row],[SC Is Filled]], IF(ISNUMBER(SnapshotTable[[#This Row],[SC Current Ask]]), SnapshotTable[[#This Row],[SC Current Ask]], SnapshotTable[[#This Row],[SC Book Price]]) - SnapshotTable[[#This Row],[SC Intrinsic Value]], 0)</f>
        <v>0</v>
      </c>
      <c r="FI28" s="143">
        <v>45786</v>
      </c>
      <c r="FJ28" s="32" t="str">
        <f>IF(SnapshotTable[[#This Row],[SC Is Filled]],100 * SnapshotTable[[#This Row],[SC Qty]] * IF(ISNUMBER(SnapshotTable[[#This Row],[SC Buyback Override]]), SnapshotTable[[#This Row],[SC Buyback Override]], SnapshotTable[[#This Row],[SC Current Ask]]), "")</f>
        <v/>
      </c>
      <c r="FK28" s="250" t="str">
        <f>IF(SnapshotTable[[#This Row],[SC Time Val]]&gt;0, SnapshotTable[[#This Row],[SC Time Val]] / SnapshotTable[[#This Row],[Last Price]],"")</f>
        <v/>
      </c>
      <c r="FL28" s="302" t="str">
        <f>IF(SnapshotTable[[#This Row],[SC Is Booked]], ((SnapshotTable[[#This Row],[Last Price]] -SnapshotTable[[#This Row],[SC Strike Price]]) / SnapshotTable[[#This Row],[Last Price]]) * -1, "")</f>
        <v/>
      </c>
      <c r="FM28" s="157"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33"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36" t="str">
        <f>IF(AND(ISNUMBER(SnapshotTable[[#This Row],[SC Simple ROO]]),SnapshotTable[[#This Row],[SC Simple ROO]] &gt; 0), SnapshotTable[[#This Row],[SC Premium]] + (SnapshotTable[[#This Row],[SC Qty]] * SnapshotTable[[#This Row],[SC Upside Potential]]), "")</f>
        <v/>
      </c>
      <c r="FX28" s="302" t="str" cm="1">
        <f t="array" ref="FX28">IF(ISNUMBER(SnapshotTable[[#This Row],[SC Max Dollars]]), annualize(SnapshotTable[[#This Row],[SC Term]],(SnapshotTable[[#This Row],[SC Max Dollars]]/SnapshotTable[[#This Row],[SC Basis]])),"")</f>
        <v/>
      </c>
      <c r="FY28" s="23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29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15.970499999999999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31">
        <f>MAX(SnapshotTable[[#This Row],[Equity Basis Total]],SnapshotTable[[#This Row],[Equity Value]]) + (SnapshotTable[[#This Row],[SP Potential Spend]]- SnapshotTable[[#This Row],[SP Premium]] + SnapshotTable[[#This Row],[LP Premium]])+ (SnapshotTable[[#This Row],[LC Premium]] - SnapshotTable[[#This Row],[SC Premium]])</f>
        <v>0</v>
      </c>
      <c r="GW28" s="139" t="str">
        <f>IF(AND(SnapshotTable[[#This Row],[Exposure]] &lt;&gt; 0),SnapshotTable[[#This Row],[Exposure]] / SnapshotTable[[#Totals],[Exposure]], "")</f>
        <v/>
      </c>
      <c r="HK28" s="1"/>
      <c r="HL28" s="1"/>
      <c r="HM28" s="1"/>
      <c r="HN28" s="1"/>
      <c r="HO28" s="1"/>
      <c r="HP28" s="1"/>
    </row>
    <row r="29" spans="2:224" ht="12.75" hidden="1" customHeight="1" x14ac:dyDescent="0.25">
      <c r="B29" s="12" t="s">
        <v>79</v>
      </c>
      <c r="C29" s="422">
        <v>78.25</v>
      </c>
      <c r="D29" s="208"/>
      <c r="E29" s="39">
        <f>SnapshotTable[[#This Row],[Last Price]]*(1 -CrashDiscount)</f>
        <v>66.512500000000003</v>
      </c>
      <c r="F29" s="26" t="s">
        <v>953</v>
      </c>
      <c r="G29" s="26" t="s">
        <v>4</v>
      </c>
      <c r="H29" s="149"/>
      <c r="I29" s="194">
        <v>44775.677083333336</v>
      </c>
      <c r="J29" s="195">
        <v>44775.677083333336</v>
      </c>
      <c r="K29" s="196"/>
      <c r="L29" s="326"/>
      <c r="M29" s="140"/>
      <c r="N29" s="140"/>
      <c r="O29" s="140"/>
      <c r="P29" s="22"/>
      <c r="Q29" s="25"/>
      <c r="R29" s="4" t="str">
        <f>IF(SnapshotTable[[#This Row],[Equity Basis Total]] &gt; 0, SnapshotTable[[#This Row],[Equity Basis Total]] / SnapshotTable[[#This Row],[Equity Shares]], "")</f>
        <v/>
      </c>
      <c r="S29" s="269">
        <f>SnapshotTable[[#This Row],[Last Price]] * SnapshotTable[[#This Row],[Equity Shares]]</f>
        <v>0</v>
      </c>
      <c r="T29" s="269">
        <f>SnapshotTable[[#This Row],[Equity Value]] - SnapshotTable[[#This Row],[Equity Basis Total]]</f>
        <v>0</v>
      </c>
      <c r="U29" s="270" t="str">
        <f>IF(SnapshotTable[[#This Row],[Equity Basis Total]] &gt; 0, SnapshotTable[[#This Row],[Equity G/L]] / SnapshotTable[[#This Row],[Equity Basis Total]], "")</f>
        <v/>
      </c>
      <c r="V29" s="268"/>
      <c r="W29" s="26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7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0">
        <v>1.28</v>
      </c>
      <c r="AD29" s="151">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1.6357827476038339E-2</v>
      </c>
      <c r="AH29" s="151">
        <v>42339</v>
      </c>
      <c r="AI29" s="5"/>
      <c r="AJ29" s="138">
        <v>42.8</v>
      </c>
      <c r="AK29" s="152" t="str">
        <f>IF(ISNUMBER( SnapshotTable[[#This Row],[EBF Target]]),(SnapshotTable[[#This Row],[EBF Target]] - SnapshotTable[[#This Row],[Last Price]]) / SnapshotTable[[#This Row],[Last Price]], "")</f>
        <v/>
      </c>
      <c r="AL29" s="152"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2">
        <f>IF(AND(ISNUMBER( SnapshotTable[[#This Row],[Long Term Target]]), ISNUMBER(SnapshotTable[[#This Row],[Last Price]])),(SnapshotTable[[#This Row],[Long Term Target]] - SnapshotTable[[#This Row],[Last Price]]) / SnapshotTable[[#This Row],[Last Price]], "")</f>
        <v>-0.45303514376996806</v>
      </c>
      <c r="AP29" s="5">
        <v>8</v>
      </c>
      <c r="AQ29" s="38" t="s">
        <v>27</v>
      </c>
      <c r="AR29" s="5">
        <v>8</v>
      </c>
      <c r="AS29" s="38" t="s">
        <v>38</v>
      </c>
      <c r="AT29" s="146" t="s">
        <v>542</v>
      </c>
      <c r="AU29" s="187" t="str">
        <f>IF(OR(SnapshotTable[[#This Row],[LP No Fill]]="Y",SnapshotTable[[#This Row],[SP Is Filled]],SnapshotTable[[#This Row],[LC Not Filled]]="Y",SnapshotTable[[#This Row],[SC Is Filled]]),"Y","")</f>
        <v/>
      </c>
      <c r="AV29" s="219"/>
      <c r="AW29" s="225"/>
      <c r="AX29" s="220"/>
      <c r="AY29" s="219" t="str">
        <f>IF(SnapshotTable[[#This Row],[Implied Move]]&gt;0, SnapshotTable[[#This Row],[Last Price]]-SnapshotTable[[#This Row],[Implied Move]],"")</f>
        <v/>
      </c>
      <c r="AZ29" s="219" t="str">
        <f>IF(SnapshotTable[[#This Row],[Implied Move]]&gt;0, SnapshotTable[[#This Row],[Last Price]] + SnapshotTable[[#This Row],[Implied Move]],"")</f>
        <v/>
      </c>
      <c r="BA29" s="331"/>
      <c r="BB29" s="347"/>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51"/>
      <c r="BE29" s="5"/>
      <c r="BF29" s="14"/>
      <c r="BG29" s="13"/>
      <c r="BH29" s="13"/>
      <c r="BI29" s="5"/>
      <c r="BJ29" s="136">
        <f>IF(SnapshotTable[[#This Row],[LP Qty]] &gt; 0, SnapshotTable[[#This Row],[LP Qty]] * SnapshotTable[[#This Row],[LP Book Price]] * 100,0)</f>
        <v>0</v>
      </c>
      <c r="BK29" s="136">
        <f>IF(SnapshotTable[[#This Row],[LP Premium]] &gt; 0, SnapshotTable[[#This Row],[LP Qty]] * SnapshotTable[[#This Row],[LP Strike Price]] * 100,0)</f>
        <v>0</v>
      </c>
      <c r="BL29" s="154"/>
      <c r="BM29" s="385" t="str">
        <f>IF(SnapshotTable[[#This Row],[LP Premium]] &gt; 0,SnapshotTable[[#This Row],[LP Exp Date]]-MAX(SnapshotTable[[#This Row],[LP Book Date]], SnapshotTable[[#This Row],[LP Fill Date]]),"")</f>
        <v/>
      </c>
      <c r="BN29" s="385" t="str">
        <f>IF(ISNUMBER( SnapshotTable[[#This Row],[LP Term]]), SnapshotTable[[#This Row],[LP Exp Date]] - MockToday,"")</f>
        <v/>
      </c>
      <c r="BO29" s="163"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7"/>
      <c r="BU29" s="13"/>
      <c r="BV29" s="5"/>
      <c r="BW29" s="419" t="b">
        <f>AND(ISNUMBER(SnapshotTable[[#This Row],[SP Exp Date]]), ISNUMBER(SnapshotTable[[#This Row],[SP Strike Price]]), ISNUMBER(SnapshotTable[[#This Row],[SP Qty]]), ISNUMBER(SnapshotTable[[#This Row],[SP Book Date]]), ISNUMBER(SnapshotTable[[#This Row],[SP Book Price]]))</f>
        <v>0</v>
      </c>
      <c r="BX29" s="419" t="b">
        <f>AND(SnapshotTable[[#This Row],[SP Is Booked]], NOT(ISBLANK(SnapshotTable[[#This Row],[SP Fill Date]])))</f>
        <v>0</v>
      </c>
      <c r="BY29" s="33">
        <f>IF(SnapshotTable[[#This Row],[SP Is Booked]], SnapshotTable[[#This Row],[SP Qty]] * SnapshotTable[[#This Row],[SP Book Price]] * 100, 0)</f>
        <v>0</v>
      </c>
      <c r="BZ29" s="369"/>
      <c r="CA29" s="368">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3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44"/>
      <c r="CK29" s="31">
        <f>IF(ISNUMBER(SnapshotTable[[#This Row],[SP Potential Spend]]),IF(ISNUMBER(SnapshotTable[[#This Row],[SP POW]]), SnapshotTable[[#This Row],[SP POW]] * SnapshotTable[[#This Row],[SP Potential Spend]], SnapshotTable[[#This Row],[SP Potential Spend]]), "")</f>
        <v>0</v>
      </c>
      <c r="CL29" s="164">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8"/>
      <c r="CO29" s="369"/>
      <c r="CP29" s="4" t="str">
        <f>IF(SnapshotTable[[#This Row],[SP Is Filled]], btc_max_buyback_amount(SnapshotTable[[#This Row],[SP Fill Date]],SnapshotTable[[#This Row],[SP Exp Date]], SnapshotTable[[#This Row],[SP Book Price]]),"")</f>
        <v/>
      </c>
      <c r="CQ29" s="78"/>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5" t="str">
        <f>IF(SnapshotTable[[#This Row],[SP Is Filled]], btc_next_cutoff_date(SnapshotTable[[#This Row],[SP Fill Date]],SnapshotTable[[#This Row],[SP Exp Date]]),"")</f>
        <v/>
      </c>
      <c r="CT29" s="23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3"/>
      <c r="CV29" s="235"/>
      <c r="CW29" s="378"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294" t="str">
        <f>IF(ISNUMBER((SnapshotTable[[#This Row],[SP Total Value]])), SnapshotTable[[#This Row],[SP Gain Loss]] / SnapshotTable[[#This Row],[SP Premium]], "")</f>
        <v/>
      </c>
      <c r="DI29" s="406"/>
      <c r="DJ29" s="138"/>
      <c r="DK29" s="148"/>
      <c r="DL29" s="13"/>
      <c r="DM29" s="13"/>
      <c r="DO29" s="31">
        <f>IF(SnapshotTable[[#This Row],[LC Symbol Count]]=1, SnapshotTable[[#This Row],[LC Qty]] * SnapshotTable[[#This Row],[LC Book Price]] * 100, 0)</f>
        <v>0</v>
      </c>
      <c r="DP29" s="163" t="str">
        <f>IF(AND(SnapshotTable[[#This Row],[LC Exp Date]]&gt;0, SnapshotTable[[#This Row],[LC Strike Price]]&gt;0,SnapshotTable[[#This Row],[LC Qty]]&gt;0,SnapshotTable[[#This Row],[LC Book Date]]&gt;0,SnapshotTable[[#This Row],[LC Book Price]]&gt;0,SnapshotTable[[#This Row],[LC Fill Date]]=0),"Y","")</f>
        <v/>
      </c>
      <c r="DQ29" s="386" t="str">
        <f>IF(SnapshotTable[[#This Row],[LC Premium]] &gt; 0,SnapshotTable[[#This Row],[LC Exp Date]]-MAX(SnapshotTable[[#This Row],[LC Book Date]], SnapshotTable[[#This Row],[LC Fill Date]]),"")</f>
        <v/>
      </c>
      <c r="DR29" s="386" t="str">
        <f>IF(ISNUMBER(SnapshotTable[[#This Row],[LC Term]]), SnapshotTable[[#This Row],[LC Exp Date]] - MockToday, "")</f>
        <v/>
      </c>
      <c r="DS29" s="23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40" t="str">
        <f>IF(ISNUMBER(SnapshotTable[[#This Row],[LC Actual Gain Loss]]), SnapshotTable[[#This Row],[LC Actual Gain Loss]] / SnapshotTable[[#This Row],[LC Premium]],"")</f>
        <v/>
      </c>
      <c r="DX29" s="284" t="str">
        <f>IF(ISNUMBER(SnapshotTable[[#This Row],[LC Book Price]]),SnapshotTable[[#This Row],[LC Book Price]] * 1.5,"")</f>
        <v/>
      </c>
      <c r="DY29" s="265" t="str">
        <f>IF(SnapshotTable[[#This Row],[LC Premium]]&gt;0, SnapshotTable[[#This Row],[LC Next Target]] * SnapshotTable[[#This Row],[LC Qty]] * 100,"")</f>
        <v/>
      </c>
      <c r="DZ29" s="265" t="str">
        <f>IF(ISNUMBER(SnapshotTable[[#This Row],[LC Target Gross]]), SnapshotTable[[#This Row],[LC Target Gross]] - SnapshotTable[[#This Row],[LC Premium]], "")</f>
        <v/>
      </c>
      <c r="EA29" s="305" t="str">
        <f>IF(ISNUMBER(SnapshotTable[[#This Row],[LC Target Gain Loss]]), SnapshotTable[[#This Row],[LC Target Gain Loss]]/SnapshotTable[[#This Row],[LC Premium]], "")</f>
        <v/>
      </c>
      <c r="EB29" s="262"/>
      <c r="EC29" s="283" t="str">
        <f>IF(SnapshotTable[[#This Row],[LC Premium]]&gt;0, SnapshotTable[[#This Row],[LC Book Price]] * (1 - LC_StopLoss_Pct),"")</f>
        <v/>
      </c>
      <c r="ED29" s="284"/>
      <c r="EE29" s="28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4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7"/>
      <c r="EL29" s="138"/>
      <c r="EM29" s="148"/>
      <c r="EN29" s="147"/>
      <c r="EO29" s="147"/>
      <c r="EP29" s="138"/>
      <c r="EQ29" s="419" t="b">
        <f>AND(ISNUMBER(SnapshotTable[[#This Row],[SC Exp Date]]), ISNUMBER(SnapshotTable[[#This Row],[SC Strike Price]]), ISNUMBER(SnapshotTable[[#This Row],[SC Qty]]), ISNUMBER(SnapshotTable[[#This Row],[SC Book Date]]), ISNUMBER(SnapshotTable[[#This Row],[SC Book Price]]))</f>
        <v>0</v>
      </c>
      <c r="ER29" s="419" t="b">
        <f>AND(SnapshotTable[[#This Row],[SC Is Booked]], NOT(ISBLANK(SnapshotTable[[#This Row],[SC Fill Date]])))</f>
        <v>0</v>
      </c>
      <c r="ES29" s="370"/>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3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283"/>
      <c r="FA29" s="218"/>
      <c r="FB29" s="370"/>
      <c r="FC29" s="4">
        <f>IF(SnapshotTable[[#This Row],[SC Is Filled]], btc_max_buyback_amount(SnapshotTable[[#This Row],[SC Fill Date]],SnapshotTable[[#This Row],[SC Exp Date]], SnapshotTable[[#This Row],[SC Book Price]]),0)</f>
        <v>0</v>
      </c>
      <c r="FD29" s="5"/>
      <c r="FE29" s="144"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382">
        <f>IF(SnapshotTable[[#This Row],[SC Is Filled]], IF(ISNUMBER(SnapshotTable[[#This Row],[SC Current Ask]]), SnapshotTable[[#This Row],[SC Current Ask]], SnapshotTable[[#This Row],[SC Book Price]]) - SnapshotTable[[#This Row],[SC Intrinsic Value]], 0)</f>
        <v>0</v>
      </c>
      <c r="FI29" s="143">
        <v>45786</v>
      </c>
      <c r="FJ29" s="32" t="str">
        <f>IF(SnapshotTable[[#This Row],[SC Is Filled]],100 * SnapshotTable[[#This Row],[SC Qty]] * IF(ISNUMBER(SnapshotTable[[#This Row],[SC Buyback Override]]), SnapshotTable[[#This Row],[SC Buyback Override]], SnapshotTable[[#This Row],[SC Current Ask]]), "")</f>
        <v/>
      </c>
      <c r="FK29" s="250" t="str">
        <f>IF(SnapshotTable[[#This Row],[SC Time Val]]&gt;0, SnapshotTable[[#This Row],[SC Time Val]] / SnapshotTable[[#This Row],[Last Price]],"")</f>
        <v/>
      </c>
      <c r="FL29" s="302" t="str">
        <f>IF(SnapshotTable[[#This Row],[SC Is Booked]], ((SnapshotTable[[#This Row],[Last Price]] -SnapshotTable[[#This Row],[SC Strike Price]]) / SnapshotTable[[#This Row],[Last Price]]) * -1, "")</f>
        <v/>
      </c>
      <c r="FM29" s="157"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33"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36" t="str">
        <f>IF(AND(ISNUMBER(SnapshotTable[[#This Row],[SC Simple ROO]]),SnapshotTable[[#This Row],[SC Simple ROO]] &gt; 0), SnapshotTable[[#This Row],[SC Premium]] + (SnapshotTable[[#This Row],[SC Qty]] * SnapshotTable[[#This Row],[SC Upside Potential]]), "")</f>
        <v/>
      </c>
      <c r="FX29" s="302" t="str" cm="1">
        <f t="array" ref="FX29">IF(ISNUMBER(SnapshotTable[[#This Row],[SC Max Dollars]]), annualize(SnapshotTable[[#This Row],[SC Term]],(SnapshotTable[[#This Row],[SC Max Dollars]]/SnapshotTable[[#This Row],[SC Basis]])),"")</f>
        <v/>
      </c>
      <c r="FY29" s="23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29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152.58750000000001</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629</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31">
        <f>MAX(SnapshotTable[[#This Row],[Equity Basis Total]],SnapshotTable[[#This Row],[Equity Value]]) + (SnapshotTable[[#This Row],[SP Potential Spend]]- SnapshotTable[[#This Row],[SP Premium]] + SnapshotTable[[#This Row],[LP Premium]])+ (SnapshotTable[[#This Row],[LC Premium]] - SnapshotTable[[#This Row],[SC Premium]])</f>
        <v>0</v>
      </c>
      <c r="GW29" s="139" t="str">
        <f>IF(AND(SnapshotTable[[#This Row],[Exposure]] &lt;&gt; 0),SnapshotTable[[#This Row],[Exposure]] / SnapshotTable[[#Totals],[Exposure]], "")</f>
        <v/>
      </c>
      <c r="HK29" s="1"/>
      <c r="HL29" s="1"/>
      <c r="HM29" s="1"/>
      <c r="HN29" s="1"/>
      <c r="HO29" s="1"/>
      <c r="HP29" s="1"/>
    </row>
    <row r="30" spans="2:224" ht="12.75" hidden="1" customHeight="1" x14ac:dyDescent="0.25">
      <c r="B30" s="12" t="s">
        <v>1252</v>
      </c>
      <c r="C30" s="422">
        <v>15.03</v>
      </c>
      <c r="D30" s="208"/>
      <c r="E30" s="39">
        <f>SnapshotTable[[#This Row],[Last Price]]*(1 -CrashDiscount)</f>
        <v>12.775499999999999</v>
      </c>
      <c r="F30" s="325" t="s">
        <v>1253</v>
      </c>
      <c r="G30" s="325" t="s">
        <v>49</v>
      </c>
      <c r="H30" s="149"/>
      <c r="I30" s="194"/>
      <c r="J30" s="195"/>
      <c r="K30" s="196"/>
      <c r="L30" s="326"/>
      <c r="M30" s="140"/>
      <c r="N30" s="140"/>
      <c r="O30" s="140"/>
      <c r="P30" s="328"/>
      <c r="Q30" s="25"/>
      <c r="R30" s="4" t="str">
        <f>IF(SnapshotTable[[#This Row],[Equity Basis Total]] &gt; 0, SnapshotTable[[#This Row],[Equity Basis Total]] / SnapshotTable[[#This Row],[Equity Shares]], "")</f>
        <v/>
      </c>
      <c r="S30" s="269">
        <f>SnapshotTable[[#This Row],[Last Price]] * SnapshotTable[[#This Row],[Equity Shares]]</f>
        <v>0</v>
      </c>
      <c r="T30" s="269">
        <f>SnapshotTable[[#This Row],[Equity Value]] - SnapshotTable[[#This Row],[Equity Basis Total]]</f>
        <v>0</v>
      </c>
      <c r="U30" s="270" t="str">
        <f>IF(SnapshotTable[[#This Row],[Equity Basis Total]] &gt; 0, SnapshotTable[[#This Row],[Equity G/L]] / SnapshotTable[[#This Row],[Equity Basis Total]], "")</f>
        <v/>
      </c>
      <c r="V30" s="268"/>
      <c r="W30" s="26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7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0"/>
      <c r="AD30" s="151"/>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1"/>
      <c r="AI30" s="5"/>
      <c r="AJ30" s="138"/>
      <c r="AK30" s="152" t="str">
        <f>IF(ISNUMBER( SnapshotTable[[#This Row],[EBF Target]]),(SnapshotTable[[#This Row],[EBF Target]] - SnapshotTable[[#This Row],[Last Price]]) / SnapshotTable[[#This Row],[Last Price]], "")</f>
        <v/>
      </c>
      <c r="AL30" s="152"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2" t="str">
        <f>IF(AND(ISNUMBER( SnapshotTable[[#This Row],[Long Term Target]]), ISNUMBER(SnapshotTable[[#This Row],[Last Price]])),(SnapshotTable[[#This Row],[Long Term Target]] - SnapshotTable[[#This Row],[Last Price]]) / SnapshotTable[[#This Row],[Last Price]], "")</f>
        <v/>
      </c>
      <c r="AP30" s="5"/>
      <c r="AQ30" s="38"/>
      <c r="AR30" s="5"/>
      <c r="AS30" s="38"/>
      <c r="AT30" s="146"/>
      <c r="AU30" s="187" t="str">
        <f>IF(OR(SnapshotTable[[#This Row],[LP No Fill]]="Y",SnapshotTable[[#This Row],[SP Is Filled]],SnapshotTable[[#This Row],[LC Not Filled]]="Y",SnapshotTable[[#This Row],[SC Is Filled]]),"Y","")</f>
        <v/>
      </c>
      <c r="AV30" s="219"/>
      <c r="AW30" s="225"/>
      <c r="AX30" s="220"/>
      <c r="AY30" s="219" t="str">
        <f>IF(SnapshotTable[[#This Row],[Implied Move]]&gt;0, SnapshotTable[[#This Row],[Last Price]]-SnapshotTable[[#This Row],[Implied Move]],"")</f>
        <v/>
      </c>
      <c r="AZ30" s="219" t="str">
        <f>IF(SnapshotTable[[#This Row],[Implied Move]]&gt;0, SnapshotTable[[#This Row],[Last Price]] + SnapshotTable[[#This Row],[Implied Move]],"")</f>
        <v/>
      </c>
      <c r="BA30" s="331">
        <v>14.6</v>
      </c>
      <c r="BB30" s="347"/>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51"/>
      <c r="BE30" s="5"/>
      <c r="BF30" s="14"/>
      <c r="BG30" s="13"/>
      <c r="BH30" s="13"/>
      <c r="BI30" s="5"/>
      <c r="BJ30" s="136">
        <f>IF(SnapshotTable[[#This Row],[LP Qty]] &gt; 0, SnapshotTable[[#This Row],[LP Qty]] * SnapshotTable[[#This Row],[LP Book Price]] * 100,0)</f>
        <v>0</v>
      </c>
      <c r="BK30" s="136">
        <f>IF(SnapshotTable[[#This Row],[LP Premium]] &gt; 0, SnapshotTable[[#This Row],[LP Qty]] * SnapshotTable[[#This Row],[LP Strike Price]] * 100,0)</f>
        <v>0</v>
      </c>
      <c r="BL30" s="154"/>
      <c r="BM30" s="385" t="str">
        <f>IF(SnapshotTable[[#This Row],[LP Premium]] &gt; 0,SnapshotTable[[#This Row],[LP Exp Date]]-MAX(SnapshotTable[[#This Row],[LP Book Date]], SnapshotTable[[#This Row],[LP Fill Date]]),"")</f>
        <v/>
      </c>
      <c r="BN30" s="385" t="str">
        <f>IF(ISNUMBER( SnapshotTable[[#This Row],[LP Term]]), SnapshotTable[[#This Row],[LP Exp Date]] - MockToday,"")</f>
        <v/>
      </c>
      <c r="BO30" s="163"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7"/>
      <c r="BU30" s="13"/>
      <c r="BV30" s="5"/>
      <c r="BW30" s="419" t="b">
        <f>AND(ISNUMBER(SnapshotTable[[#This Row],[SP Exp Date]]), ISNUMBER(SnapshotTable[[#This Row],[SP Strike Price]]), ISNUMBER(SnapshotTable[[#This Row],[SP Qty]]), ISNUMBER(SnapshotTable[[#This Row],[SP Book Date]]), ISNUMBER(SnapshotTable[[#This Row],[SP Book Price]]))</f>
        <v>0</v>
      </c>
      <c r="BX30" s="419" t="b">
        <f>AND(SnapshotTable[[#This Row],[SP Is Booked]], NOT(ISBLANK(SnapshotTable[[#This Row],[SP Fill Date]])))</f>
        <v>0</v>
      </c>
      <c r="BY30" s="33">
        <f>IF(SnapshotTable[[#This Row],[SP Is Booked]], SnapshotTable[[#This Row],[SP Qty]] * SnapshotTable[[#This Row],[SP Book Price]] * 100, 0)</f>
        <v>0</v>
      </c>
      <c r="BZ30" s="369"/>
      <c r="CA30" s="368">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3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44"/>
      <c r="CK30" s="31">
        <f>IF(ISNUMBER(SnapshotTable[[#This Row],[SP Potential Spend]]),IF(ISNUMBER(SnapshotTable[[#This Row],[SP POW]]), SnapshotTable[[#This Row],[SP POW]] * SnapshotTable[[#This Row],[SP Potential Spend]], SnapshotTable[[#This Row],[SP Potential Spend]]), "")</f>
        <v>0</v>
      </c>
      <c r="CL30" s="164">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8"/>
      <c r="CO30" s="369"/>
      <c r="CP30" s="4" t="str">
        <f>IF(SnapshotTable[[#This Row],[SP Is Filled]], btc_max_buyback_amount(SnapshotTable[[#This Row],[SP Fill Date]],SnapshotTable[[#This Row],[SP Exp Date]], SnapshotTable[[#This Row],[SP Book Price]]),"")</f>
        <v/>
      </c>
      <c r="CQ30" s="78"/>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5" t="str">
        <f>IF(SnapshotTable[[#This Row],[SP Is Filled]], btc_next_cutoff_date(SnapshotTable[[#This Row],[SP Fill Date]],SnapshotTable[[#This Row],[SP Exp Date]]),"")</f>
        <v/>
      </c>
      <c r="CT30" s="23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3"/>
      <c r="CV30" s="235"/>
      <c r="CW30" s="378"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294" t="str">
        <f>IF(ISNUMBER((SnapshotTable[[#This Row],[SP Total Value]])), SnapshotTable[[#This Row],[SP Gain Loss]] / SnapshotTable[[#This Row],[SP Premium]], "")</f>
        <v/>
      </c>
      <c r="DI30" s="406"/>
      <c r="DJ30" s="138"/>
      <c r="DK30" s="148"/>
      <c r="DL30" s="13"/>
      <c r="DM30" s="13"/>
      <c r="DO30" s="31">
        <f>IF(SnapshotTable[[#This Row],[LC Symbol Count]]=1, SnapshotTable[[#This Row],[LC Qty]] * SnapshotTable[[#This Row],[LC Book Price]] * 100, 0)</f>
        <v>0</v>
      </c>
      <c r="DP30" s="163" t="str">
        <f>IF(AND(SnapshotTable[[#This Row],[LC Exp Date]]&gt;0, SnapshotTable[[#This Row],[LC Strike Price]]&gt;0,SnapshotTable[[#This Row],[LC Qty]]&gt;0,SnapshotTable[[#This Row],[LC Book Date]]&gt;0,SnapshotTable[[#This Row],[LC Book Price]]&gt;0,SnapshotTable[[#This Row],[LC Fill Date]]=0),"Y","")</f>
        <v/>
      </c>
      <c r="DQ30" s="386" t="str">
        <f>IF(SnapshotTable[[#This Row],[LC Premium]] &gt; 0,SnapshotTable[[#This Row],[LC Exp Date]]-MAX(SnapshotTable[[#This Row],[LC Book Date]], SnapshotTable[[#This Row],[LC Fill Date]]),"")</f>
        <v/>
      </c>
      <c r="DR30" s="386" t="str">
        <f>IF(ISNUMBER(SnapshotTable[[#This Row],[LC Term]]), SnapshotTable[[#This Row],[LC Exp Date]] - MockToday, "")</f>
        <v/>
      </c>
      <c r="DS30" s="23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40" t="str">
        <f>IF(ISNUMBER(SnapshotTable[[#This Row],[LC Actual Gain Loss]]), SnapshotTable[[#This Row],[LC Actual Gain Loss]] / SnapshotTable[[#This Row],[LC Premium]],"")</f>
        <v/>
      </c>
      <c r="DX30" s="284" t="str">
        <f>IF(ISNUMBER(SnapshotTable[[#This Row],[LC Book Price]]),SnapshotTable[[#This Row],[LC Book Price]] * 1.5,"")</f>
        <v/>
      </c>
      <c r="DY30" s="265" t="str">
        <f>IF(SnapshotTable[[#This Row],[LC Premium]]&gt;0, SnapshotTable[[#This Row],[LC Next Target]] * SnapshotTable[[#This Row],[LC Qty]] * 100,"")</f>
        <v/>
      </c>
      <c r="DZ30" s="265" t="str">
        <f>IF(ISNUMBER(SnapshotTable[[#This Row],[LC Target Gross]]), SnapshotTable[[#This Row],[LC Target Gross]] - SnapshotTable[[#This Row],[LC Premium]], "")</f>
        <v/>
      </c>
      <c r="EA30" s="305" t="str">
        <f>IF(ISNUMBER(SnapshotTable[[#This Row],[LC Target Gain Loss]]), SnapshotTable[[#This Row],[LC Target Gain Loss]]/SnapshotTable[[#This Row],[LC Premium]], "")</f>
        <v/>
      </c>
      <c r="EB30" s="262"/>
      <c r="EC30" s="283" t="str">
        <f>IF(SnapshotTable[[#This Row],[LC Premium]]&gt;0, SnapshotTable[[#This Row],[LC Book Price]] * (1 - LC_StopLoss_Pct),"")</f>
        <v/>
      </c>
      <c r="ED30" s="284"/>
      <c r="EE30" s="28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4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7"/>
      <c r="EL30" s="138"/>
      <c r="EM30" s="148"/>
      <c r="EN30" s="147"/>
      <c r="EO30" s="147"/>
      <c r="EP30" s="138"/>
      <c r="EQ30" s="419" t="b">
        <f>AND(ISNUMBER(SnapshotTable[[#This Row],[SC Exp Date]]), ISNUMBER(SnapshotTable[[#This Row],[SC Strike Price]]), ISNUMBER(SnapshotTable[[#This Row],[SC Qty]]), ISNUMBER(SnapshotTable[[#This Row],[SC Book Date]]), ISNUMBER(SnapshotTable[[#This Row],[SC Book Price]]))</f>
        <v>0</v>
      </c>
      <c r="ER30" s="419" t="b">
        <f>AND(SnapshotTable[[#This Row],[SC Is Booked]], NOT(ISBLANK(SnapshotTable[[#This Row],[SC Fill Date]])))</f>
        <v>0</v>
      </c>
      <c r="ES30" s="370">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3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283"/>
      <c r="FA30" s="218"/>
      <c r="FB30" s="370"/>
      <c r="FC30" s="4">
        <f>IF(SnapshotTable[[#This Row],[SC Is Filled]], btc_max_buyback_amount(SnapshotTable[[#This Row],[SC Fill Date]],SnapshotTable[[#This Row],[SC Exp Date]], SnapshotTable[[#This Row],[SC Book Price]]),0)</f>
        <v>0</v>
      </c>
      <c r="FD30" s="5"/>
      <c r="FE30" s="144"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382">
        <f>IF(SnapshotTable[[#This Row],[SC Is Filled]], IF(ISNUMBER(SnapshotTable[[#This Row],[SC Current Ask]]), SnapshotTable[[#This Row],[SC Current Ask]], SnapshotTable[[#This Row],[SC Book Price]]) - SnapshotTable[[#This Row],[SC Intrinsic Value]], 0)</f>
        <v>0</v>
      </c>
      <c r="FI30" s="143"/>
      <c r="FJ30" s="32" t="str">
        <f>IF(SnapshotTable[[#This Row],[SC Is Filled]],100 * SnapshotTable[[#This Row],[SC Qty]] * IF(ISNUMBER(SnapshotTable[[#This Row],[SC Buyback Override]]), SnapshotTable[[#This Row],[SC Buyback Override]], SnapshotTable[[#This Row],[SC Current Ask]]), "")</f>
        <v/>
      </c>
      <c r="FK30" s="250" t="str">
        <f>IF(SnapshotTable[[#This Row],[SC Time Val]]&gt;0, SnapshotTable[[#This Row],[SC Time Val]] / SnapshotTable[[#This Row],[Last Price]],"")</f>
        <v/>
      </c>
      <c r="FL30" s="302" t="str">
        <f>IF(SnapshotTable[[#This Row],[SC Is Booked]], ((SnapshotTable[[#This Row],[Last Price]] -SnapshotTable[[#This Row],[SC Strike Price]]) / SnapshotTable[[#This Row],[Last Price]]) * -1, "")</f>
        <v/>
      </c>
      <c r="FM30" s="157"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33"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36" t="str">
        <f>IF(AND(ISNUMBER(SnapshotTable[[#This Row],[SC Simple ROO]]),SnapshotTable[[#This Row],[SC Simple ROO]] &gt; 0), SnapshotTable[[#This Row],[SC Premium]] + (SnapshotTable[[#This Row],[SC Qty]] * SnapshotTable[[#This Row],[SC Upside Potential]]), "")</f>
        <v/>
      </c>
      <c r="FX30" s="302" t="str" cm="1">
        <f t="array" ref="FX30">IF(ISNUMBER(SnapshotTable[[#This Row],[SC Max Dollars]]), annualize(SnapshotTable[[#This Row],[SC Term]],(SnapshotTable[[#This Row],[SC Max Dollars]]/SnapshotTable[[#This Row],[SC Basis]])),"")</f>
        <v/>
      </c>
      <c r="FY30" s="23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29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29.308499999999999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31">
        <f>MAX(SnapshotTable[[#This Row],[Equity Basis Total]],SnapshotTable[[#This Row],[Equity Value]]) + (SnapshotTable[[#This Row],[SP Potential Spend]]- SnapshotTable[[#This Row],[SP Premium]] + SnapshotTable[[#This Row],[LP Premium]])+ (SnapshotTable[[#This Row],[LC Premium]] - SnapshotTable[[#This Row],[SC Premium]])</f>
        <v>0</v>
      </c>
      <c r="GW30" s="139" t="str">
        <f>IF(AND(SnapshotTable[[#This Row],[Exposure]] &lt;&gt; 0),SnapshotTable[[#This Row],[Exposure]] / SnapshotTable[[#Totals],[Exposure]], "")</f>
        <v/>
      </c>
      <c r="HK30" s="1"/>
      <c r="HL30" s="1"/>
      <c r="HM30" s="1"/>
      <c r="HN30" s="1"/>
      <c r="HO30" s="1"/>
      <c r="HP30" s="1"/>
    </row>
    <row r="31" spans="2:224" ht="12.75" hidden="1" customHeight="1" x14ac:dyDescent="0.25">
      <c r="B31" s="12" t="s">
        <v>228</v>
      </c>
      <c r="C31" s="422">
        <v>366.05</v>
      </c>
      <c r="D31" s="208"/>
      <c r="E31" s="39">
        <f>SnapshotTable[[#This Row],[Last Price]]*(1 -CrashDiscount)</f>
        <v>311.14249999999998</v>
      </c>
      <c r="F31" s="26" t="s">
        <v>941</v>
      </c>
      <c r="G31" s="26" t="s">
        <v>49</v>
      </c>
      <c r="H31" s="149"/>
      <c r="I31" s="194">
        <v>44769.666666666664</v>
      </c>
      <c r="J31" s="195">
        <v>44769.666666666664</v>
      </c>
      <c r="K31" s="196"/>
      <c r="L31" s="326"/>
      <c r="M31" s="140"/>
      <c r="N31" s="140"/>
      <c r="O31" s="140"/>
      <c r="P31" s="22"/>
      <c r="Q31" s="25"/>
      <c r="R31" s="4" t="str">
        <f>IF(SnapshotTable[[#This Row],[Equity Basis Total]] &gt; 0, SnapshotTable[[#This Row],[Equity Basis Total]] / SnapshotTable[[#This Row],[Equity Shares]], "")</f>
        <v/>
      </c>
      <c r="S31" s="269">
        <f>SnapshotTable[[#This Row],[Last Price]] * SnapshotTable[[#This Row],[Equity Shares]]</f>
        <v>0</v>
      </c>
      <c r="T31" s="269">
        <f>SnapshotTable[[#This Row],[Equity Value]] - SnapshotTable[[#This Row],[Equity Basis Total]]</f>
        <v>0</v>
      </c>
      <c r="U31" s="270" t="str">
        <f>IF(SnapshotTable[[#This Row],[Equity Basis Total]] &gt; 0, SnapshotTable[[#This Row],[Equity G/L]] / SnapshotTable[[#This Row],[Equity Basis Total]], "")</f>
        <v/>
      </c>
      <c r="V31" s="268"/>
      <c r="W31" s="26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7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0">
        <v>4</v>
      </c>
      <c r="AD31" s="151">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1.0927468925010245E-2</v>
      </c>
      <c r="AH31" s="151">
        <v>43783</v>
      </c>
      <c r="AI31" s="5">
        <v>220</v>
      </c>
      <c r="AJ31" s="138">
        <v>254.2</v>
      </c>
      <c r="AK31" s="152">
        <f>IF(ISNUMBER( SnapshotTable[[#This Row],[EBF Target]]),(SnapshotTable[[#This Row],[EBF Target]] - SnapshotTable[[#This Row],[Last Price]]) / SnapshotTable[[#This Row],[Last Price]], "")</f>
        <v>-0.39898920912443658</v>
      </c>
      <c r="AL31" s="152"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2">
        <f>IF(AND(ISNUMBER( SnapshotTable[[#This Row],[Long Term Target]]), ISNUMBER(SnapshotTable[[#This Row],[Last Price]])),(SnapshotTable[[#This Row],[Long Term Target]] - SnapshotTable[[#This Row],[Last Price]]) / SnapshotTable[[#This Row],[Last Price]], "")</f>
        <v>-0.30555934981559901</v>
      </c>
      <c r="AP31" s="5">
        <v>8</v>
      </c>
      <c r="AQ31" s="38" t="s">
        <v>27</v>
      </c>
      <c r="AR31" s="5">
        <v>8</v>
      </c>
      <c r="AS31" s="38" t="s">
        <v>38</v>
      </c>
      <c r="AT31" s="146" t="s">
        <v>542</v>
      </c>
      <c r="AU31" s="187" t="str">
        <f>IF(OR(SnapshotTable[[#This Row],[LP No Fill]]="Y",SnapshotTable[[#This Row],[SP Is Filled]],SnapshotTable[[#This Row],[LC Not Filled]]="Y",SnapshotTable[[#This Row],[SC Is Filled]]),"Y","")</f>
        <v/>
      </c>
      <c r="AV31" s="219"/>
      <c r="AW31" s="225"/>
      <c r="AX31" s="220"/>
      <c r="AY31" s="219" t="str">
        <f>IF(SnapshotTable[[#This Row],[Implied Move]]&gt;0, SnapshotTable[[#This Row],[Last Price]]-SnapshotTable[[#This Row],[Implied Move]],"")</f>
        <v/>
      </c>
      <c r="AZ31" s="219" t="str">
        <f>IF(SnapshotTable[[#This Row],[Implied Move]]&gt;0, SnapshotTable[[#This Row],[Last Price]] + SnapshotTable[[#This Row],[Implied Move]],"")</f>
        <v/>
      </c>
      <c r="BA31" s="331"/>
      <c r="BB31" s="347"/>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51"/>
      <c r="BE31" s="5"/>
      <c r="BF31" s="14"/>
      <c r="BG31" s="13"/>
      <c r="BH31" s="13"/>
      <c r="BI31" s="5"/>
      <c r="BJ31" s="136">
        <f>IF(SnapshotTable[[#This Row],[LP Qty]] &gt; 0, SnapshotTable[[#This Row],[LP Qty]] * SnapshotTable[[#This Row],[LP Book Price]] * 100,0)</f>
        <v>0</v>
      </c>
      <c r="BK31" s="136">
        <f>IF(SnapshotTable[[#This Row],[LP Premium]] &gt; 0, SnapshotTable[[#This Row],[LP Qty]] * SnapshotTable[[#This Row],[LP Strike Price]] * 100,0)</f>
        <v>0</v>
      </c>
      <c r="BL31" s="154"/>
      <c r="BM31" s="385" t="str">
        <f>IF(SnapshotTable[[#This Row],[LP Premium]] &gt; 0,SnapshotTable[[#This Row],[LP Exp Date]]-MAX(SnapshotTable[[#This Row],[LP Book Date]], SnapshotTable[[#This Row],[LP Fill Date]]),"")</f>
        <v/>
      </c>
      <c r="BN31" s="385" t="str">
        <f>IF(ISNUMBER( SnapshotTable[[#This Row],[LP Term]]), SnapshotTable[[#This Row],[LP Exp Date]] - MockToday,"")</f>
        <v/>
      </c>
      <c r="BO31" s="163"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7"/>
      <c r="BU31" s="13"/>
      <c r="BV31" s="5"/>
      <c r="BW31" s="419" t="b">
        <f>AND(ISNUMBER(SnapshotTable[[#This Row],[SP Exp Date]]), ISNUMBER(SnapshotTable[[#This Row],[SP Strike Price]]), ISNUMBER(SnapshotTable[[#This Row],[SP Qty]]), ISNUMBER(SnapshotTable[[#This Row],[SP Book Date]]), ISNUMBER(SnapshotTable[[#This Row],[SP Book Price]]))</f>
        <v>0</v>
      </c>
      <c r="BX31" s="419" t="b">
        <f>AND(SnapshotTable[[#This Row],[SP Is Booked]], NOT(ISBLANK(SnapshotTable[[#This Row],[SP Fill Date]])))</f>
        <v>0</v>
      </c>
      <c r="BY31" s="33">
        <f>IF(SnapshotTable[[#This Row],[SP Is Booked]], SnapshotTable[[#This Row],[SP Qty]] * SnapshotTable[[#This Row],[SP Book Price]] * 100, 0)</f>
        <v>0</v>
      </c>
      <c r="BZ31" s="369"/>
      <c r="CA31" s="368">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3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44"/>
      <c r="CK31" s="31">
        <f>IF(ISNUMBER(SnapshotTable[[#This Row],[SP Potential Spend]]),IF(ISNUMBER(SnapshotTable[[#This Row],[SP POW]]), SnapshotTable[[#This Row],[SP POW]] * SnapshotTable[[#This Row],[SP Potential Spend]], SnapshotTable[[#This Row],[SP Potential Spend]]), "")</f>
        <v>0</v>
      </c>
      <c r="CL31" s="164">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8"/>
      <c r="CO31" s="369"/>
      <c r="CP31" s="4" t="str">
        <f>IF(SnapshotTable[[#This Row],[SP Is Filled]], btc_max_buyback_amount(SnapshotTable[[#This Row],[SP Fill Date]],SnapshotTable[[#This Row],[SP Exp Date]], SnapshotTable[[#This Row],[SP Book Price]]),"")</f>
        <v/>
      </c>
      <c r="CQ31" s="78"/>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5" t="str">
        <f>IF(SnapshotTable[[#This Row],[SP Is Filled]], btc_next_cutoff_date(SnapshotTable[[#This Row],[SP Fill Date]],SnapshotTable[[#This Row],[SP Exp Date]]),"")</f>
        <v/>
      </c>
      <c r="CT31" s="23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3"/>
      <c r="CV31" s="235"/>
      <c r="CW31" s="378"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294" t="str">
        <f>IF(ISNUMBER((SnapshotTable[[#This Row],[SP Total Value]])), SnapshotTable[[#This Row],[SP Gain Loss]] / SnapshotTable[[#This Row],[SP Premium]], "")</f>
        <v/>
      </c>
      <c r="DI31" s="406"/>
      <c r="DJ31" s="138"/>
      <c r="DK31" s="148"/>
      <c r="DL31" s="13"/>
      <c r="DM31" s="13"/>
      <c r="DO31" s="31">
        <f>IF(SnapshotTable[[#This Row],[LC Symbol Count]]=1, SnapshotTable[[#This Row],[LC Qty]] * SnapshotTable[[#This Row],[LC Book Price]] * 100, 0)</f>
        <v>0</v>
      </c>
      <c r="DP31" s="163" t="str">
        <f>IF(AND(SnapshotTable[[#This Row],[LC Exp Date]]&gt;0, SnapshotTable[[#This Row],[LC Strike Price]]&gt;0,SnapshotTable[[#This Row],[LC Qty]]&gt;0,SnapshotTable[[#This Row],[LC Book Date]]&gt;0,SnapshotTable[[#This Row],[LC Book Price]]&gt;0,SnapshotTable[[#This Row],[LC Fill Date]]=0),"Y","")</f>
        <v/>
      </c>
      <c r="DQ31" s="386" t="str">
        <f>IF(SnapshotTable[[#This Row],[LC Premium]] &gt; 0,SnapshotTable[[#This Row],[LC Exp Date]]-MAX(SnapshotTable[[#This Row],[LC Book Date]], SnapshotTable[[#This Row],[LC Fill Date]]),"")</f>
        <v/>
      </c>
      <c r="DR31" s="386" t="str">
        <f>IF(ISNUMBER(SnapshotTable[[#This Row],[LC Term]]), SnapshotTable[[#This Row],[LC Exp Date]] - MockToday, "")</f>
        <v/>
      </c>
      <c r="DS31" s="23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40" t="str">
        <f>IF(ISNUMBER(SnapshotTable[[#This Row],[LC Actual Gain Loss]]), SnapshotTable[[#This Row],[LC Actual Gain Loss]] / SnapshotTable[[#This Row],[LC Premium]],"")</f>
        <v/>
      </c>
      <c r="DX31" s="284" t="str">
        <f>IF(ISNUMBER(SnapshotTable[[#This Row],[LC Book Price]]),SnapshotTable[[#This Row],[LC Book Price]] * 1.5,"")</f>
        <v/>
      </c>
      <c r="DY31" s="265" t="str">
        <f>IF(SnapshotTable[[#This Row],[LC Premium]]&gt;0, SnapshotTable[[#This Row],[LC Next Target]] * SnapshotTable[[#This Row],[LC Qty]] * 100,"")</f>
        <v/>
      </c>
      <c r="DZ31" s="265" t="str">
        <f>IF(ISNUMBER(SnapshotTable[[#This Row],[LC Target Gross]]), SnapshotTable[[#This Row],[LC Target Gross]] - SnapshotTable[[#This Row],[LC Premium]], "")</f>
        <v/>
      </c>
      <c r="EA31" s="305" t="str">
        <f>IF(ISNUMBER(SnapshotTable[[#This Row],[LC Target Gain Loss]]), SnapshotTable[[#This Row],[LC Target Gain Loss]]/SnapshotTable[[#This Row],[LC Premium]], "")</f>
        <v/>
      </c>
      <c r="EB31" s="262"/>
      <c r="EC31" s="283" t="str">
        <f>IF(SnapshotTable[[#This Row],[LC Premium]]&gt;0, SnapshotTable[[#This Row],[LC Book Price]] * (1 - LC_StopLoss_Pct),"")</f>
        <v/>
      </c>
      <c r="ED31" s="284"/>
      <c r="EE31" s="28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4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7"/>
      <c r="EL31" s="138"/>
      <c r="EM31" s="148"/>
      <c r="EN31" s="147"/>
      <c r="EO31" s="147"/>
      <c r="EP31" s="138"/>
      <c r="EQ31" s="419" t="b">
        <f>AND(ISNUMBER(SnapshotTable[[#This Row],[SC Exp Date]]), ISNUMBER(SnapshotTable[[#This Row],[SC Strike Price]]), ISNUMBER(SnapshotTable[[#This Row],[SC Qty]]), ISNUMBER(SnapshotTable[[#This Row],[SC Book Date]]), ISNUMBER(SnapshotTable[[#This Row],[SC Book Price]]))</f>
        <v>0</v>
      </c>
      <c r="ER31" s="419" t="b">
        <f>AND(SnapshotTable[[#This Row],[SC Is Booked]], NOT(ISBLANK(SnapshotTable[[#This Row],[SC Fill Date]])))</f>
        <v>0</v>
      </c>
      <c r="ES31" s="370"/>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3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283"/>
      <c r="FA31" s="218"/>
      <c r="FB31" s="370"/>
      <c r="FC31" s="4">
        <f>IF(SnapshotTable[[#This Row],[SC Is Filled]], btc_max_buyback_amount(SnapshotTable[[#This Row],[SC Fill Date]],SnapshotTable[[#This Row],[SC Exp Date]], SnapshotTable[[#This Row],[SC Book Price]]),0)</f>
        <v>0</v>
      </c>
      <c r="FD31" s="5"/>
      <c r="FE31" s="144"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382">
        <f>IF(SnapshotTable[[#This Row],[SC Is Filled]], IF(ISNUMBER(SnapshotTable[[#This Row],[SC Current Ask]]), SnapshotTable[[#This Row],[SC Current Ask]], SnapshotTable[[#This Row],[SC Book Price]]) - SnapshotTable[[#This Row],[SC Intrinsic Value]], 0)</f>
        <v>0</v>
      </c>
      <c r="FI31" s="143">
        <v>45786</v>
      </c>
      <c r="FJ31" s="32" t="str">
        <f>IF(SnapshotTable[[#This Row],[SC Is Filled]],100 * SnapshotTable[[#This Row],[SC Qty]] * IF(ISNUMBER(SnapshotTable[[#This Row],[SC Buyback Override]]), SnapshotTable[[#This Row],[SC Buyback Override]], SnapshotTable[[#This Row],[SC Current Ask]]), "")</f>
        <v/>
      </c>
      <c r="FK31" s="250" t="str">
        <f>IF(SnapshotTable[[#This Row],[SC Time Val]]&gt;0, SnapshotTable[[#This Row],[SC Time Val]] / SnapshotTable[[#This Row],[Last Price]],"")</f>
        <v/>
      </c>
      <c r="FL31" s="302" t="str">
        <f>IF(SnapshotTable[[#This Row],[SC Is Booked]], ((SnapshotTable[[#This Row],[Last Price]] -SnapshotTable[[#This Row],[SC Strike Price]]) / SnapshotTable[[#This Row],[Last Price]]) * -1, "")</f>
        <v/>
      </c>
      <c r="FM31" s="157"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33"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36" t="str">
        <f>IF(AND(ISNUMBER(SnapshotTable[[#This Row],[SC Simple ROO]]),SnapshotTable[[#This Row],[SC Simple ROO]] &gt; 0), SnapshotTable[[#This Row],[SC Premium]] + (SnapshotTable[[#This Row],[SC Qty]] * SnapshotTable[[#This Row],[SC Upside Potential]]), "")</f>
        <v/>
      </c>
      <c r="FX31" s="302" t="str" cm="1">
        <f t="array" ref="FX31">IF(ISNUMBER(SnapshotTable[[#This Row],[SC Max Dollars]]), annualize(SnapshotTable[[#This Row],[SC Term]],(SnapshotTable[[#This Row],[SC Max Dollars]]/SnapshotTable[[#This Row],[SC Basis]])),"")</f>
        <v/>
      </c>
      <c r="FY31" s="23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29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713.79750000000001</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633</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31">
        <f>MAX(SnapshotTable[[#This Row],[Equity Basis Total]],SnapshotTable[[#This Row],[Equity Value]]) + (SnapshotTable[[#This Row],[SP Potential Spend]]- SnapshotTable[[#This Row],[SP Premium]] + SnapshotTable[[#This Row],[LP Premium]])+ (SnapshotTable[[#This Row],[LC Premium]] - SnapshotTable[[#This Row],[SC Premium]])</f>
        <v>0</v>
      </c>
      <c r="GW31" s="139" t="str">
        <f>IF(AND(SnapshotTable[[#This Row],[Exposure]] &lt;&gt; 0),SnapshotTable[[#This Row],[Exposure]] / SnapshotTable[[#Totals],[Exposure]], "")</f>
        <v/>
      </c>
      <c r="HK31" s="1"/>
      <c r="HL31" s="1"/>
      <c r="HM31" s="1"/>
      <c r="HN31" s="1"/>
      <c r="HO31" s="1"/>
      <c r="HP31" s="1"/>
    </row>
    <row r="32" spans="2:224" ht="12.75" hidden="1" customHeight="1" x14ac:dyDescent="0.25">
      <c r="B32" s="12" t="s">
        <v>1081</v>
      </c>
      <c r="C32" s="422">
        <v>174.87</v>
      </c>
      <c r="D32" s="208"/>
      <c r="E32" s="39">
        <f>SnapshotTable[[#This Row],[Last Price]]*(1 -CrashDiscount)</f>
        <v>148.6395</v>
      </c>
      <c r="F32" s="26" t="s">
        <v>958</v>
      </c>
      <c r="G32" s="26" t="s">
        <v>9</v>
      </c>
      <c r="H32" s="149"/>
      <c r="I32" s="194">
        <v>45138.670138888891</v>
      </c>
      <c r="J32" s="195">
        <v>45138.670138888891</v>
      </c>
      <c r="K32" s="196"/>
      <c r="L32" s="326"/>
      <c r="M32" s="140"/>
      <c r="N32" s="140"/>
      <c r="O32" s="140"/>
      <c r="P32" s="22"/>
      <c r="Q32" s="25"/>
      <c r="R32" s="4" t="str">
        <f>IF(SnapshotTable[[#This Row],[Equity Basis Total]] &gt; 0, SnapshotTable[[#This Row],[Equity Basis Total]] / SnapshotTable[[#This Row],[Equity Shares]], "")</f>
        <v/>
      </c>
      <c r="S32" s="269">
        <f>SnapshotTable[[#This Row],[Last Price]] * SnapshotTable[[#This Row],[Equity Shares]]</f>
        <v>0</v>
      </c>
      <c r="T32" s="269">
        <f>SnapshotTable[[#This Row],[Equity Value]] - SnapshotTable[[#This Row],[Equity Basis Total]]</f>
        <v>0</v>
      </c>
      <c r="U32" s="270" t="str">
        <f>IF(SnapshotTable[[#This Row],[Equity Basis Total]] &gt; 0, SnapshotTable[[#This Row],[Equity G/L]] / SnapshotTable[[#This Row],[Equity Basis Total]], "")</f>
        <v/>
      </c>
      <c r="V32" s="268"/>
      <c r="W32" s="26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7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0"/>
      <c r="AD32" s="151"/>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1"/>
      <c r="AI32" s="5"/>
      <c r="AJ32" s="138">
        <v>171.41</v>
      </c>
      <c r="AK32" s="152" t="str">
        <f>IF(ISNUMBER( SnapshotTable[[#This Row],[EBF Target]]),(SnapshotTable[[#This Row],[EBF Target]] - SnapshotTable[[#This Row],[Last Price]]) / SnapshotTable[[#This Row],[Last Price]], "")</f>
        <v/>
      </c>
      <c r="AL32" s="152"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2">
        <f>IF(AND(ISNUMBER( SnapshotTable[[#This Row],[Long Term Target]]), ISNUMBER(SnapshotTable[[#This Row],[Last Price]])),(SnapshotTable[[#This Row],[Long Term Target]] - SnapshotTable[[#This Row],[Last Price]]) / SnapshotTable[[#This Row],[Last Price]], "")</f>
        <v>-1.9786126837079018E-2</v>
      </c>
      <c r="AP32" s="5">
        <v>130</v>
      </c>
      <c r="AQ32" s="38" t="s">
        <v>1082</v>
      </c>
      <c r="AR32" s="5">
        <v>120</v>
      </c>
      <c r="AS32" s="38" t="s">
        <v>1083</v>
      </c>
      <c r="AT32" s="146" t="s">
        <v>532</v>
      </c>
      <c r="AU32" s="187" t="str">
        <f>IF(OR(SnapshotTable[[#This Row],[LP No Fill]]="Y",SnapshotTable[[#This Row],[SP Is Filled]],SnapshotTable[[#This Row],[LC Not Filled]]="Y",SnapshotTable[[#This Row],[SC Is Filled]]),"Y","")</f>
        <v/>
      </c>
      <c r="AV32" s="219"/>
      <c r="AW32" s="225"/>
      <c r="AX32" s="220"/>
      <c r="AY32" s="219" t="str">
        <f>IF(SnapshotTable[[#This Row],[Implied Move]]&gt;0, SnapshotTable[[#This Row],[Last Price]]-SnapshotTable[[#This Row],[Implied Move]],"")</f>
        <v/>
      </c>
      <c r="AZ32" s="219" t="str">
        <f>IF(SnapshotTable[[#This Row],[Implied Move]]&gt;0, SnapshotTable[[#This Row],[Last Price]] + SnapshotTable[[#This Row],[Implied Move]],"")</f>
        <v/>
      </c>
      <c r="BA32" s="331">
        <v>-2.2799999999999998</v>
      </c>
      <c r="BB32" s="347"/>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51"/>
      <c r="BE32" s="5"/>
      <c r="BF32" s="14"/>
      <c r="BG32" s="13"/>
      <c r="BH32" s="13"/>
      <c r="BI32" s="5"/>
      <c r="BJ32" s="136">
        <f>IF(SnapshotTable[[#This Row],[LP Qty]] &gt; 0, SnapshotTable[[#This Row],[LP Qty]] * SnapshotTable[[#This Row],[LP Book Price]] * 100,0)</f>
        <v>0</v>
      </c>
      <c r="BK32" s="136">
        <f>IF(SnapshotTable[[#This Row],[LP Premium]] &gt; 0, SnapshotTable[[#This Row],[LP Qty]] * SnapshotTable[[#This Row],[LP Strike Price]] * 100,0)</f>
        <v>0</v>
      </c>
      <c r="BL32" s="154"/>
      <c r="BM32" s="385" t="str">
        <f>IF(SnapshotTable[[#This Row],[LP Premium]] &gt; 0,SnapshotTable[[#This Row],[LP Exp Date]]-MAX(SnapshotTable[[#This Row],[LP Book Date]], SnapshotTable[[#This Row],[LP Fill Date]]),"")</f>
        <v/>
      </c>
      <c r="BN32" s="385" t="str">
        <f>IF(ISNUMBER( SnapshotTable[[#This Row],[LP Term]]), SnapshotTable[[#This Row],[LP Exp Date]] - MockToday,"")</f>
        <v/>
      </c>
      <c r="BO32" s="163"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7"/>
      <c r="BU32" s="13"/>
      <c r="BV32" s="5"/>
      <c r="BW32" s="419" t="b">
        <f>AND(ISNUMBER(SnapshotTable[[#This Row],[SP Exp Date]]), ISNUMBER(SnapshotTable[[#This Row],[SP Strike Price]]), ISNUMBER(SnapshotTable[[#This Row],[SP Qty]]), ISNUMBER(SnapshotTable[[#This Row],[SP Book Date]]), ISNUMBER(SnapshotTable[[#This Row],[SP Book Price]]))</f>
        <v>0</v>
      </c>
      <c r="BX32" s="419" t="b">
        <f>AND(SnapshotTable[[#This Row],[SP Is Booked]], NOT(ISBLANK(SnapshotTable[[#This Row],[SP Fill Date]])))</f>
        <v>0</v>
      </c>
      <c r="BY32" s="33">
        <f>IF(SnapshotTable[[#This Row],[SP Is Booked]], SnapshotTable[[#This Row],[SP Qty]] * SnapshotTable[[#This Row],[SP Book Price]] * 100, 0)</f>
        <v>0</v>
      </c>
      <c r="BZ32" s="369"/>
      <c r="CA32" s="368">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3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44">
        <v>0.5</v>
      </c>
      <c r="CK32" s="31">
        <f>IF(ISNUMBER(SnapshotTable[[#This Row],[SP Potential Spend]]),IF(ISNUMBER(SnapshotTable[[#This Row],[SP POW]]), SnapshotTable[[#This Row],[SP POW]] * SnapshotTable[[#This Row],[SP Potential Spend]], SnapshotTable[[#This Row],[SP Potential Spend]]), "")</f>
        <v>0</v>
      </c>
      <c r="CL32" s="164">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8"/>
      <c r="CO32" s="369"/>
      <c r="CP32" s="4" t="str">
        <f>IF(SnapshotTable[[#This Row],[SP Is Filled]], btc_max_buyback_amount(SnapshotTable[[#This Row],[SP Fill Date]],SnapshotTable[[#This Row],[SP Exp Date]], SnapshotTable[[#This Row],[SP Book Price]]),"")</f>
        <v/>
      </c>
      <c r="CQ32" s="78"/>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5" t="str">
        <f>IF(SnapshotTable[[#This Row],[SP Is Filled]], btc_next_cutoff_date(SnapshotTable[[#This Row],[SP Fill Date]],SnapshotTable[[#This Row],[SP Exp Date]]),"")</f>
        <v/>
      </c>
      <c r="CT32" s="23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6"/>
      <c r="CV32" s="235"/>
      <c r="CW32" s="378"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294" t="str">
        <f>IF(ISNUMBER((SnapshotTable[[#This Row],[SP Total Value]])), SnapshotTable[[#This Row],[SP Gain Loss]] / SnapshotTable[[#This Row],[SP Premium]], "")</f>
        <v/>
      </c>
      <c r="DI32" s="406"/>
      <c r="DJ32" s="138"/>
      <c r="DK32" s="148"/>
      <c r="DL32" s="13"/>
      <c r="DM32" s="13"/>
      <c r="DO32" s="31">
        <f>IF(SnapshotTable[[#This Row],[LC Symbol Count]]=1, SnapshotTable[[#This Row],[LC Qty]] * SnapshotTable[[#This Row],[LC Book Price]] * 100, 0)</f>
        <v>0</v>
      </c>
      <c r="DP32" s="163" t="str">
        <f>IF(AND(SnapshotTable[[#This Row],[LC Exp Date]]&gt;0, SnapshotTable[[#This Row],[LC Strike Price]]&gt;0,SnapshotTable[[#This Row],[LC Qty]]&gt;0,SnapshotTable[[#This Row],[LC Book Date]]&gt;0,SnapshotTable[[#This Row],[LC Book Price]]&gt;0,SnapshotTable[[#This Row],[LC Fill Date]]=0),"Y","")</f>
        <v/>
      </c>
      <c r="DQ32" s="386" t="str">
        <f>IF(SnapshotTable[[#This Row],[LC Premium]] &gt; 0,SnapshotTable[[#This Row],[LC Exp Date]]-MAX(SnapshotTable[[#This Row],[LC Book Date]], SnapshotTable[[#This Row],[LC Fill Date]]),"")</f>
        <v/>
      </c>
      <c r="DR32" s="386" t="str">
        <f>IF(ISNUMBER(SnapshotTable[[#This Row],[LC Term]]), SnapshotTable[[#This Row],[LC Exp Date]] - MockToday, "")</f>
        <v/>
      </c>
      <c r="DS32" s="23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40" t="str">
        <f>IF(ISNUMBER(SnapshotTable[[#This Row],[LC Actual Gain Loss]]), SnapshotTable[[#This Row],[LC Actual Gain Loss]] / SnapshotTable[[#This Row],[LC Premium]],"")</f>
        <v/>
      </c>
      <c r="DX32" s="284" t="str">
        <f>IF(ISNUMBER(SnapshotTable[[#This Row],[LC Book Price]]),SnapshotTable[[#This Row],[LC Book Price]] * 1.5,"")</f>
        <v/>
      </c>
      <c r="DY32" s="265" t="str">
        <f>IF(SnapshotTable[[#This Row],[LC Premium]]&gt;0, SnapshotTable[[#This Row],[LC Next Target]] * SnapshotTable[[#This Row],[LC Qty]] * 100,"")</f>
        <v/>
      </c>
      <c r="DZ32" s="265" t="str">
        <f>IF(ISNUMBER(SnapshotTable[[#This Row],[LC Target Gross]]), SnapshotTable[[#This Row],[LC Target Gross]] - SnapshotTable[[#This Row],[LC Premium]], "")</f>
        <v/>
      </c>
      <c r="EA32" s="305" t="str">
        <f>IF(ISNUMBER(SnapshotTable[[#This Row],[LC Target Gain Loss]]), SnapshotTable[[#This Row],[LC Target Gain Loss]]/SnapshotTable[[#This Row],[LC Premium]], "")</f>
        <v/>
      </c>
      <c r="EB32" s="262"/>
      <c r="EC32" s="283" t="str">
        <f>IF(SnapshotTable[[#This Row],[LC Premium]]&gt;0, SnapshotTable[[#This Row],[LC Book Price]] * (1 - LC_StopLoss_Pct),"")</f>
        <v/>
      </c>
      <c r="ED32" s="284"/>
      <c r="EE32" s="28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4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7"/>
      <c r="EL32" s="138"/>
      <c r="EM32" s="148"/>
      <c r="EN32" s="147"/>
      <c r="EO32" s="147"/>
      <c r="EP32" s="138"/>
      <c r="EQ32" s="419" t="b">
        <f>AND(ISNUMBER(SnapshotTable[[#This Row],[SC Exp Date]]), ISNUMBER(SnapshotTable[[#This Row],[SC Strike Price]]), ISNUMBER(SnapshotTable[[#This Row],[SC Qty]]), ISNUMBER(SnapshotTable[[#This Row],[SC Book Date]]), ISNUMBER(SnapshotTable[[#This Row],[SC Book Price]]))</f>
        <v>0</v>
      </c>
      <c r="ER32" s="419" t="b">
        <f>AND(SnapshotTable[[#This Row],[SC Is Booked]], NOT(ISBLANK(SnapshotTable[[#This Row],[SC Fill Date]])))</f>
        <v>0</v>
      </c>
      <c r="ES32" s="370"/>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3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283"/>
      <c r="FA32" s="218"/>
      <c r="FB32" s="370"/>
      <c r="FC32" s="4">
        <f>IF(SnapshotTable[[#This Row],[SC Is Filled]], btc_max_buyback_amount(SnapshotTable[[#This Row],[SC Fill Date]],SnapshotTable[[#This Row],[SC Exp Date]], SnapshotTable[[#This Row],[SC Book Price]]),0)</f>
        <v>0</v>
      </c>
      <c r="FD32" s="5"/>
      <c r="FE32" s="144"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382">
        <f>IF(SnapshotTable[[#This Row],[SC Is Filled]], IF(ISNUMBER(SnapshotTable[[#This Row],[SC Current Ask]]), SnapshotTable[[#This Row],[SC Current Ask]], SnapshotTable[[#This Row],[SC Book Price]]) - SnapshotTable[[#This Row],[SC Intrinsic Value]], 0)</f>
        <v>0</v>
      </c>
      <c r="FI32" s="143"/>
      <c r="FJ32" s="32" t="str">
        <f>IF(SnapshotTable[[#This Row],[SC Is Filled]],100 * SnapshotTable[[#This Row],[SC Qty]] * IF(ISNUMBER(SnapshotTable[[#This Row],[SC Buyback Override]]), SnapshotTable[[#This Row],[SC Buyback Override]], SnapshotTable[[#This Row],[SC Current Ask]]), "")</f>
        <v/>
      </c>
      <c r="FK32" s="250" t="str">
        <f>IF(SnapshotTable[[#This Row],[SC Time Val]]&gt;0, SnapshotTable[[#This Row],[SC Time Val]] / SnapshotTable[[#This Row],[Last Price]],"")</f>
        <v/>
      </c>
      <c r="FL32" s="302" t="str">
        <f>IF(SnapshotTable[[#This Row],[SC Is Booked]], ((SnapshotTable[[#This Row],[Last Price]] -SnapshotTable[[#This Row],[SC Strike Price]]) / SnapshotTable[[#This Row],[Last Price]]) * -1, "")</f>
        <v/>
      </c>
      <c r="FM32" s="157"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33"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36" t="str">
        <f>IF(AND(ISNUMBER(SnapshotTable[[#This Row],[SC Simple ROO]]),SnapshotTable[[#This Row],[SC Simple ROO]] &gt; 0), SnapshotTable[[#This Row],[SC Premium]] + (SnapshotTable[[#This Row],[SC Qty]] * SnapshotTable[[#This Row],[SC Upside Potential]]), "")</f>
        <v/>
      </c>
      <c r="FX32" s="302" t="str" cm="1">
        <f t="array" ref="FX32">IF(ISNUMBER(SnapshotTable[[#This Row],[SC Max Dollars]]), annualize(SnapshotTable[[#This Row],[SC Term]],(SnapshotTable[[#This Row],[SC Max Dollars]]/SnapshotTable[[#This Row],[SC Basis]])),"")</f>
        <v/>
      </c>
      <c r="FY32" s="23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29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340.99650000000003</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31">
        <f>MAX(SnapshotTable[[#This Row],[Equity Basis Total]],SnapshotTable[[#This Row],[Equity Value]]) + (SnapshotTable[[#This Row],[SP Potential Spend]]- SnapshotTable[[#This Row],[SP Premium]] + SnapshotTable[[#This Row],[LP Premium]])+ (SnapshotTable[[#This Row],[LC Premium]] - SnapshotTable[[#This Row],[SC Premium]])</f>
        <v>0</v>
      </c>
      <c r="GW32" s="139" t="str">
        <f>IF(AND(SnapshotTable[[#This Row],[Exposure]] &lt;&gt; 0),SnapshotTable[[#This Row],[Exposure]] / SnapshotTable[[#Totals],[Exposure]], "")</f>
        <v/>
      </c>
      <c r="HK32" s="1"/>
      <c r="HL32" s="1"/>
      <c r="HM32" s="1"/>
      <c r="HN32" s="1"/>
      <c r="HO32" s="1"/>
      <c r="HP32" s="1"/>
    </row>
    <row r="33" spans="2:224" ht="12.75" hidden="1" customHeight="1" x14ac:dyDescent="0.25">
      <c r="B33" s="12" t="s">
        <v>938</v>
      </c>
      <c r="C33" s="422">
        <v>5.78</v>
      </c>
      <c r="D33" s="208" t="s">
        <v>578</v>
      </c>
      <c r="E33" s="39">
        <f>SnapshotTable[[#This Row],[Last Price]]*(1 -CrashDiscount)</f>
        <v>4.9130000000000003</v>
      </c>
      <c r="F33" s="26" t="s">
        <v>607</v>
      </c>
      <c r="G33" s="26" t="s">
        <v>606</v>
      </c>
      <c r="H33" s="149"/>
      <c r="I33" s="194">
        <v>44781.673611111109</v>
      </c>
      <c r="J33" s="195">
        <v>44781.673611111109</v>
      </c>
      <c r="K33" s="196"/>
      <c r="L33" s="326"/>
      <c r="M33" s="140"/>
      <c r="N33" s="140"/>
      <c r="O33" s="140"/>
      <c r="P33" s="22"/>
      <c r="Q33" s="25"/>
      <c r="R33" s="4" t="str">
        <f>IF(SnapshotTable[[#This Row],[Equity Basis Total]] &gt; 0, SnapshotTable[[#This Row],[Equity Basis Total]] / SnapshotTable[[#This Row],[Equity Shares]], "")</f>
        <v/>
      </c>
      <c r="S33" s="269">
        <f>SnapshotTable[[#This Row],[Last Price]] * SnapshotTable[[#This Row],[Equity Shares]]</f>
        <v>0</v>
      </c>
      <c r="T33" s="269">
        <f>SnapshotTable[[#This Row],[Equity Value]] - SnapshotTable[[#This Row],[Equity Basis Total]]</f>
        <v>0</v>
      </c>
      <c r="U33" s="270" t="str">
        <f>IF(SnapshotTable[[#This Row],[Equity Basis Total]] &gt; 0, SnapshotTable[[#This Row],[Equity G/L]] / SnapshotTable[[#This Row],[Equity Basis Total]], "")</f>
        <v/>
      </c>
      <c r="V33" s="268"/>
      <c r="W33" s="26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7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0"/>
      <c r="AD33" s="151"/>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1"/>
      <c r="AI33" s="5"/>
      <c r="AJ33" s="138">
        <v>16.04</v>
      </c>
      <c r="AK33" s="152" t="str">
        <f>IF(ISNUMBER( SnapshotTable[[#This Row],[EBF Target]]),(SnapshotTable[[#This Row],[EBF Target]] - SnapshotTable[[#This Row],[Last Price]]) / SnapshotTable[[#This Row],[Last Price]], "")</f>
        <v/>
      </c>
      <c r="AL33" s="152"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2">
        <f>IF(AND(ISNUMBER( SnapshotTable[[#This Row],[Long Term Target]]), ISNUMBER(SnapshotTable[[#This Row],[Last Price]])),(SnapshotTable[[#This Row],[Long Term Target]] - SnapshotTable[[#This Row],[Last Price]]) / SnapshotTable[[#This Row],[Last Price]], "")</f>
        <v>1.7750865051903111</v>
      </c>
      <c r="AP33" s="5">
        <v>8</v>
      </c>
      <c r="AQ33" s="38" t="s">
        <v>27</v>
      </c>
      <c r="AR33" s="5">
        <v>8</v>
      </c>
      <c r="AS33" s="38" t="s">
        <v>38</v>
      </c>
      <c r="AT33" s="146" t="s">
        <v>542</v>
      </c>
      <c r="AU33" s="187" t="str">
        <f>IF(OR(SnapshotTable[[#This Row],[LP No Fill]]="Y",SnapshotTable[[#This Row],[SP Is Filled]],SnapshotTable[[#This Row],[LC Not Filled]]="Y",SnapshotTable[[#This Row],[SC Is Filled]]),"Y","")</f>
        <v/>
      </c>
      <c r="AV33" s="219"/>
      <c r="AW33" s="225"/>
      <c r="AX33" s="220"/>
      <c r="AY33" s="219" t="str">
        <f>IF(SnapshotTable[[#This Row],[Implied Move]]&gt;0, SnapshotTable[[#This Row],[Last Price]]-SnapshotTable[[#This Row],[Implied Move]],"")</f>
        <v/>
      </c>
      <c r="AZ33" s="219" t="str">
        <f>IF(SnapshotTable[[#This Row],[Implied Move]]&gt;0, SnapshotTable[[#This Row],[Last Price]] + SnapshotTable[[#This Row],[Implied Move]],"")</f>
        <v/>
      </c>
      <c r="BA33" s="331"/>
      <c r="BB33" s="347"/>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51"/>
      <c r="BE33" s="5"/>
      <c r="BF33" s="14"/>
      <c r="BG33" s="13"/>
      <c r="BH33" s="13"/>
      <c r="BI33" s="5"/>
      <c r="BJ33" s="136">
        <f>IF(SnapshotTable[[#This Row],[LP Qty]] &gt; 0, SnapshotTable[[#This Row],[LP Qty]] * SnapshotTable[[#This Row],[LP Book Price]] * 100,0)</f>
        <v>0</v>
      </c>
      <c r="BK33" s="136">
        <f>IF(SnapshotTable[[#This Row],[LP Premium]] &gt; 0, SnapshotTable[[#This Row],[LP Qty]] * SnapshotTable[[#This Row],[LP Strike Price]] * 100,0)</f>
        <v>0</v>
      </c>
      <c r="BL33" s="154"/>
      <c r="BM33" s="385" t="str">
        <f>IF(SnapshotTable[[#This Row],[LP Premium]] &gt; 0,SnapshotTable[[#This Row],[LP Exp Date]]-MAX(SnapshotTable[[#This Row],[LP Book Date]], SnapshotTable[[#This Row],[LP Fill Date]]),"")</f>
        <v/>
      </c>
      <c r="BN33" s="385" t="str">
        <f>IF(ISNUMBER( SnapshotTable[[#This Row],[LP Term]]), SnapshotTable[[#This Row],[LP Exp Date]] - MockToday,"")</f>
        <v/>
      </c>
      <c r="BO33" s="163"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7"/>
      <c r="BU33" s="13"/>
      <c r="BV33" s="5"/>
      <c r="BW33" s="419" t="b">
        <f>AND(ISNUMBER(SnapshotTable[[#This Row],[SP Exp Date]]), ISNUMBER(SnapshotTable[[#This Row],[SP Strike Price]]), ISNUMBER(SnapshotTable[[#This Row],[SP Qty]]), ISNUMBER(SnapshotTable[[#This Row],[SP Book Date]]), ISNUMBER(SnapshotTable[[#This Row],[SP Book Price]]))</f>
        <v>0</v>
      </c>
      <c r="BX33" s="419" t="b">
        <f>AND(SnapshotTable[[#This Row],[SP Is Booked]], NOT(ISBLANK(SnapshotTable[[#This Row],[SP Fill Date]])))</f>
        <v>0</v>
      </c>
      <c r="BY33" s="33">
        <f>IF(SnapshotTable[[#This Row],[SP Is Booked]], SnapshotTable[[#This Row],[SP Qty]] * SnapshotTable[[#This Row],[SP Book Price]] * 100, 0)</f>
        <v>0</v>
      </c>
      <c r="BZ33" s="369"/>
      <c r="CA33" s="368">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3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44"/>
      <c r="CK33" s="31">
        <f>IF(ISNUMBER(SnapshotTable[[#This Row],[SP Potential Spend]]),IF(ISNUMBER(SnapshotTable[[#This Row],[SP POW]]), SnapshotTable[[#This Row],[SP POW]] * SnapshotTable[[#This Row],[SP Potential Spend]], SnapshotTable[[#This Row],[SP Potential Spend]]), "")</f>
        <v>0</v>
      </c>
      <c r="CL33" s="164">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8"/>
      <c r="CO33" s="369"/>
      <c r="CP33" s="4" t="str">
        <f>IF(SnapshotTable[[#This Row],[SP Is Filled]], btc_max_buyback_amount(SnapshotTable[[#This Row],[SP Fill Date]],SnapshotTable[[#This Row],[SP Exp Date]], SnapshotTable[[#This Row],[SP Book Price]]),"")</f>
        <v/>
      </c>
      <c r="CQ33" s="78"/>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5" t="str">
        <f>IF(SnapshotTable[[#This Row],[SP Is Filled]], btc_next_cutoff_date(SnapshotTable[[#This Row],[SP Fill Date]],SnapshotTable[[#This Row],[SP Exp Date]]),"")</f>
        <v/>
      </c>
      <c r="CT33" s="23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3"/>
      <c r="CV33" s="235"/>
      <c r="CW33" s="378"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294" t="str">
        <f>IF(ISNUMBER((SnapshotTable[[#This Row],[SP Total Value]])), SnapshotTable[[#This Row],[SP Gain Loss]] / SnapshotTable[[#This Row],[SP Premium]], "")</f>
        <v/>
      </c>
      <c r="DI33" s="406"/>
      <c r="DJ33" s="138"/>
      <c r="DK33" s="148"/>
      <c r="DL33" s="13"/>
      <c r="DM33" s="13"/>
      <c r="DO33" s="31">
        <f>IF(SnapshotTable[[#This Row],[LC Symbol Count]]=1, SnapshotTable[[#This Row],[LC Qty]] * SnapshotTable[[#This Row],[LC Book Price]] * 100, 0)</f>
        <v>0</v>
      </c>
      <c r="DP33" s="163" t="str">
        <f>IF(AND(SnapshotTable[[#This Row],[LC Exp Date]]&gt;0, SnapshotTable[[#This Row],[LC Strike Price]]&gt;0,SnapshotTable[[#This Row],[LC Qty]]&gt;0,SnapshotTable[[#This Row],[LC Book Date]]&gt;0,SnapshotTable[[#This Row],[LC Book Price]]&gt;0,SnapshotTable[[#This Row],[LC Fill Date]]=0),"Y","")</f>
        <v/>
      </c>
      <c r="DQ33" s="386" t="str">
        <f>IF(SnapshotTable[[#This Row],[LC Premium]] &gt; 0,SnapshotTable[[#This Row],[LC Exp Date]]-MAX(SnapshotTable[[#This Row],[LC Book Date]], SnapshotTable[[#This Row],[LC Fill Date]]),"")</f>
        <v/>
      </c>
      <c r="DR33" s="386" t="str">
        <f>IF(ISNUMBER(SnapshotTable[[#This Row],[LC Term]]), SnapshotTable[[#This Row],[LC Exp Date]] - MockToday, "")</f>
        <v/>
      </c>
      <c r="DS33" s="23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40" t="str">
        <f>IF(ISNUMBER(SnapshotTable[[#This Row],[LC Actual Gain Loss]]), SnapshotTable[[#This Row],[LC Actual Gain Loss]] / SnapshotTable[[#This Row],[LC Premium]],"")</f>
        <v/>
      </c>
      <c r="DX33" s="284" t="str">
        <f>IF(ISNUMBER(SnapshotTable[[#This Row],[LC Book Price]]),SnapshotTable[[#This Row],[LC Book Price]] * 1.5,"")</f>
        <v/>
      </c>
      <c r="DY33" s="265" t="str">
        <f>IF(SnapshotTable[[#This Row],[LC Premium]]&gt;0, SnapshotTable[[#This Row],[LC Next Target]] * SnapshotTable[[#This Row],[LC Qty]] * 100,"")</f>
        <v/>
      </c>
      <c r="DZ33" s="265" t="str">
        <f>IF(ISNUMBER(SnapshotTable[[#This Row],[LC Target Gross]]), SnapshotTable[[#This Row],[LC Target Gross]] - SnapshotTable[[#This Row],[LC Premium]], "")</f>
        <v/>
      </c>
      <c r="EA33" s="305" t="str">
        <f>IF(ISNUMBER(SnapshotTable[[#This Row],[LC Target Gain Loss]]), SnapshotTable[[#This Row],[LC Target Gain Loss]]/SnapshotTable[[#This Row],[LC Premium]], "")</f>
        <v/>
      </c>
      <c r="EB33" s="262"/>
      <c r="EC33" s="283" t="str">
        <f>IF(SnapshotTable[[#This Row],[LC Premium]]&gt;0, SnapshotTable[[#This Row],[LC Book Price]] * (1 - LC_StopLoss_Pct),"")</f>
        <v/>
      </c>
      <c r="ED33" s="284"/>
      <c r="EE33" s="28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4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7"/>
      <c r="EL33" s="138"/>
      <c r="EM33" s="148"/>
      <c r="EN33" s="147"/>
      <c r="EO33" s="147"/>
      <c r="EP33" s="138"/>
      <c r="EQ33" s="419" t="b">
        <f>AND(ISNUMBER(SnapshotTable[[#This Row],[SC Exp Date]]), ISNUMBER(SnapshotTable[[#This Row],[SC Strike Price]]), ISNUMBER(SnapshotTable[[#This Row],[SC Qty]]), ISNUMBER(SnapshotTable[[#This Row],[SC Book Date]]), ISNUMBER(SnapshotTable[[#This Row],[SC Book Price]]))</f>
        <v>0</v>
      </c>
      <c r="ER33" s="419" t="b">
        <f>AND(SnapshotTable[[#This Row],[SC Is Booked]], NOT(ISBLANK(SnapshotTable[[#This Row],[SC Fill Date]])))</f>
        <v>0</v>
      </c>
      <c r="ES33" s="370"/>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3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283"/>
      <c r="FA33" s="218"/>
      <c r="FB33" s="370"/>
      <c r="FC33" s="4">
        <f>IF(SnapshotTable[[#This Row],[SC Is Filled]], btc_max_buyback_amount(SnapshotTable[[#This Row],[SC Fill Date]],SnapshotTable[[#This Row],[SC Exp Date]], SnapshotTable[[#This Row],[SC Book Price]]),0)</f>
        <v>0</v>
      </c>
      <c r="FD33" s="5"/>
      <c r="FE33" s="144"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382">
        <f>IF(SnapshotTable[[#This Row],[SC Is Filled]], IF(ISNUMBER(SnapshotTable[[#This Row],[SC Current Ask]]), SnapshotTable[[#This Row],[SC Current Ask]], SnapshotTable[[#This Row],[SC Book Price]]) - SnapshotTable[[#This Row],[SC Intrinsic Value]], 0)</f>
        <v>0</v>
      </c>
      <c r="FI33" s="143"/>
      <c r="FJ33" s="32" t="str">
        <f>IF(SnapshotTable[[#This Row],[SC Is Filled]],100 * SnapshotTable[[#This Row],[SC Qty]] * IF(ISNUMBER(SnapshotTable[[#This Row],[SC Buyback Override]]), SnapshotTable[[#This Row],[SC Buyback Override]], SnapshotTable[[#This Row],[SC Current Ask]]), "")</f>
        <v/>
      </c>
      <c r="FK33" s="250" t="str">
        <f>IF(SnapshotTable[[#This Row],[SC Time Val]]&gt;0, SnapshotTable[[#This Row],[SC Time Val]] / SnapshotTable[[#This Row],[Last Price]],"")</f>
        <v/>
      </c>
      <c r="FL33" s="302" t="str">
        <f>IF(SnapshotTable[[#This Row],[SC Is Booked]], ((SnapshotTable[[#This Row],[Last Price]] -SnapshotTable[[#This Row],[SC Strike Price]]) / SnapshotTable[[#This Row],[Last Price]]) * -1, "")</f>
        <v/>
      </c>
      <c r="FM33" s="157" t="str">
        <f>IF(SnapshotTable[[#This Row],[SC Is Booked]],  (SnapshotTable[[#This Row],[SC Qty]] * 100 * SnapshotTable[[#This Row],[SC Strike Price]]) - SnapshotTable[[#This Row],[SC Current Ask]], "")</f>
        <v/>
      </c>
      <c r="FN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7"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33"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36" t="str">
        <f>IF(AND(ISNUMBER(SnapshotTable[[#This Row],[SC Simple ROO]]),SnapshotTable[[#This Row],[SC Simple ROO]] &gt; 0), SnapshotTable[[#This Row],[SC Premium]] + (SnapshotTable[[#This Row],[SC Qty]] * SnapshotTable[[#This Row],[SC Upside Potential]]), "")</f>
        <v/>
      </c>
      <c r="FX33" s="302" t="str" cm="1">
        <f t="array" ref="FX33">IF(ISNUMBER(SnapshotTable[[#This Row],[SC Max Dollars]]), annualize(SnapshotTable[[#This Row],[SC Term]],(SnapshotTable[[#This Row],[SC Max Dollars]]/SnapshotTable[[#This Row],[SC Basis]])),"")</f>
        <v/>
      </c>
      <c r="FY33" s="236" t="str">
        <f>IF(AND(SnapshotTable[[#This Row],[SC Qty]]&gt;0,SnapshotTable[[#This Row],[SC Current Ask]]&gt;0), SnapshotTable[[#This Row],[SC Qty]] * SnapshotTable[[#This Row],[SC Current Ask]] * -100, "")</f>
        <v/>
      </c>
      <c r="FZ33" s="235" t="str">
        <f>IF(ISNUMBER((SnapshotTable[[#This Row],[SC Current Value]])), SnapshotTable[[#This Row],[SC Premium]] + SnapshotTable[[#This Row],[SC Current Value]], "")</f>
        <v/>
      </c>
      <c r="GA33" s="294" t="str">
        <f>IFERROR( IF(ISNUMBER((SnapshotTable[[#This Row],[SC Current Value]])), SnapshotTable[[#This Row],[SC Gain Loss]] / SnapshotTable[[#This Row],[SC Premium]], ""), "")</f>
        <v/>
      </c>
      <c r="GB33" s="322">
        <f>SnapshotTable[[#This Row],[Equity Shares]] * SaleSharesToConsiderPercentage</f>
        <v>0</v>
      </c>
      <c r="GC33" s="323">
        <f>SnapshotTable[[#This Row],[Long Term Target]] * SellingPriceToConsiderBasedOnTargetPercentage</f>
        <v>15.237999999999998</v>
      </c>
      <c r="GD33" s="323">
        <f>SnapshotTable[[#This Row],[Last Price]] * (1+ SellingPriceToConsiderBasedOnTargetPercentage)</f>
        <v>11.271000000000001</v>
      </c>
      <c r="GE33" s="324"/>
      <c r="GF33" s="323"/>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8" t="str">
        <f>IF(SnapshotTable[[#This Row],[Sale G/L]]&gt;0, SnapshotTable[[#This Row],[Sale G/L]] / SnapshotTable[[#This Row],[Sale Basis]], IF(ISNUMBER(SnapshotTable[[#This Row],[SC Exercise P&amp;L (TAX)]]), SnapshotTable[[#This Row],[SC Exercise P&amp;L (TAX)]] / SnapshotTable[[#This Row],[SC Basis]], ""))</f>
        <v/>
      </c>
      <c r="GK33" s="27"/>
      <c r="GL33" s="159"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59" t="str">
        <f>IF(AND(SnapshotTable[[#This Row],[LC Exp Date]]&gt;0,SnapshotTable[[#This Row],[LC Strike Price]]&gt;0), [1]!ToOptionSymbol(SnapshotTable[[#This Row],[Symbol]], SnapshotTable[[#This Row],[LC Strike Price]],SnapshotTable[[#This Row],[LC Exp Date]],0), "")</f>
        <v/>
      </c>
      <c r="GQ33" s="160" t="str">
        <f>IF(LEN(SnapshotTable[[#This Row],[LC Symbol]])&gt;0, 1, "")</f>
        <v/>
      </c>
      <c r="GR33" s="159" t="str">
        <f>IF(AND(SnapshotTable[[#This Row],[SC Exp Date]]&gt;0,SnapshotTable[[#This Row],[SC Strike Price]]&gt;0), [1]!ToOptionSymbol(SnapshotTable[[#This Row],[Symbol]], SnapshotTable[[#This Row],[SC Strike Price]],SnapshotTable[[#This Row],[SC Exp Date]],0), "")</f>
        <v/>
      </c>
      <c r="GS33" s="160" t="str">
        <f>IF(LEN(SnapshotTable[[#This Row],[SC Symbol]])&gt;0, 1, "")</f>
        <v/>
      </c>
      <c r="GT33" s="161"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31">
        <f>MAX(SnapshotTable[[#This Row],[Equity Basis Total]],SnapshotTable[[#This Row],[Equity Value]]) + (SnapshotTable[[#This Row],[SP Potential Spend]]- SnapshotTable[[#This Row],[SP Premium]] + SnapshotTable[[#This Row],[LP Premium]])+ (SnapshotTable[[#This Row],[LC Premium]] - SnapshotTable[[#This Row],[SC Premium]])</f>
        <v>0</v>
      </c>
      <c r="GW33" s="139" t="str">
        <f>IF(AND(SnapshotTable[[#This Row],[Exposure]] &lt;&gt; 0),SnapshotTable[[#This Row],[Exposure]] / SnapshotTable[[#Totals],[Exposure]], "")</f>
        <v/>
      </c>
      <c r="HK33" s="1"/>
      <c r="HL33" s="1"/>
      <c r="HM33" s="1"/>
      <c r="HN33" s="1"/>
      <c r="HO33" s="1"/>
      <c r="HP33" s="1"/>
    </row>
    <row r="34" spans="2:224" s="47" customFormat="1" ht="12.75" hidden="1" customHeight="1" x14ac:dyDescent="0.25">
      <c r="B34" s="12" t="s">
        <v>139</v>
      </c>
      <c r="C34" s="422">
        <v>36.18</v>
      </c>
      <c r="D34" s="208"/>
      <c r="E34" s="39">
        <f>SnapshotTable[[#This Row],[Last Price]]*(1 -CrashDiscount)</f>
        <v>30.753</v>
      </c>
      <c r="F34" s="26" t="s">
        <v>975</v>
      </c>
      <c r="G34" s="26" t="s">
        <v>822</v>
      </c>
      <c r="H34" s="149"/>
      <c r="I34" s="194">
        <v>44776.708333333336</v>
      </c>
      <c r="J34" s="195">
        <v>44776.708333333336</v>
      </c>
      <c r="K34" s="196"/>
      <c r="L34" s="326"/>
      <c r="M34" s="140"/>
      <c r="N34" s="140"/>
      <c r="O34" s="140"/>
      <c r="P34" s="22"/>
      <c r="Q34" s="25"/>
      <c r="R34" s="4" t="str">
        <f>IF(SnapshotTable[[#This Row],[Equity Basis Total]] &gt; 0, SnapshotTable[[#This Row],[Equity Basis Total]] / SnapshotTable[[#This Row],[Equity Shares]], "")</f>
        <v/>
      </c>
      <c r="S34" s="269">
        <f>SnapshotTable[[#This Row],[Last Price]] * SnapshotTable[[#This Row],[Equity Shares]]</f>
        <v>0</v>
      </c>
      <c r="T34" s="269">
        <f>SnapshotTable[[#This Row],[Equity Value]] - SnapshotTable[[#This Row],[Equity Basis Total]]</f>
        <v>0</v>
      </c>
      <c r="U34" s="270" t="str">
        <f>IF(SnapshotTable[[#This Row],[Equity Basis Total]] &gt; 0, SnapshotTable[[#This Row],[Equity G/L]] / SnapshotTable[[#This Row],[Equity Basis Total]], "")</f>
        <v/>
      </c>
      <c r="V34" s="268">
        <v>39.93</v>
      </c>
      <c r="W34" s="26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7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0">
        <v>1</v>
      </c>
      <c r="AD34" s="151">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2.7639579878385848E-2</v>
      </c>
      <c r="AH34" s="151">
        <v>42839</v>
      </c>
      <c r="AI34" s="5">
        <v>32.5</v>
      </c>
      <c r="AJ34" s="138">
        <v>56.04</v>
      </c>
      <c r="AK34" s="152">
        <f>IF(ISNUMBER( SnapshotTable[[#This Row],[EBF Target]]),(SnapshotTable[[#This Row],[EBF Target]] - SnapshotTable[[#This Row],[Last Price]]) / SnapshotTable[[#This Row],[Last Price]], "")</f>
        <v>-0.10171365395245992</v>
      </c>
      <c r="AL34" s="152"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2">
        <f>IF(AND(ISNUMBER( SnapshotTable[[#This Row],[Long Term Target]]), ISNUMBER(SnapshotTable[[#This Row],[Last Price]])),(SnapshotTable[[#This Row],[Long Term Target]] - SnapshotTable[[#This Row],[Last Price]]) / SnapshotTable[[#This Row],[Last Price]], "")</f>
        <v>0.5489220563847429</v>
      </c>
      <c r="AP34" s="5">
        <v>32.5</v>
      </c>
      <c r="AQ34" s="38" t="s">
        <v>89</v>
      </c>
      <c r="AR34" s="5">
        <v>29.38</v>
      </c>
      <c r="AS34" s="38" t="s">
        <v>32</v>
      </c>
      <c r="AT34" s="146" t="s">
        <v>1132</v>
      </c>
      <c r="AU34" s="187" t="str">
        <f>IF(OR(SnapshotTable[[#This Row],[LP No Fill]]="Y",SnapshotTable[[#This Row],[SP Is Filled]],SnapshotTable[[#This Row],[LC Not Filled]]="Y",SnapshotTable[[#This Row],[SC Is Filled]]),"Y","")</f>
        <v/>
      </c>
      <c r="AV34" s="219"/>
      <c r="AW34" s="225"/>
      <c r="AX34" s="220"/>
      <c r="AY34" s="219" t="str">
        <f>IF(SnapshotTable[[#This Row],[Implied Move]]&gt;0, SnapshotTable[[#This Row],[Last Price]]-SnapshotTable[[#This Row],[Implied Move]],"")</f>
        <v/>
      </c>
      <c r="AZ34" s="219" t="str">
        <f>IF(SnapshotTable[[#This Row],[Implied Move]]&gt;0, SnapshotTable[[#This Row],[Last Price]] + SnapshotTable[[#This Row],[Implied Move]],"")</f>
        <v/>
      </c>
      <c r="BA34" s="331">
        <v>29.65</v>
      </c>
      <c r="BB34" s="347"/>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51"/>
      <c r="BE34" s="5"/>
      <c r="BF34" s="14"/>
      <c r="BG34" s="13"/>
      <c r="BH34" s="13"/>
      <c r="BI34" s="5"/>
      <c r="BJ34" s="136">
        <f>IF(SnapshotTable[[#This Row],[LP Qty]] &gt; 0, SnapshotTable[[#This Row],[LP Qty]] * SnapshotTable[[#This Row],[LP Book Price]] * 100,0)</f>
        <v>0</v>
      </c>
      <c r="BK34" s="136">
        <f>IF(SnapshotTable[[#This Row],[LP Premium]] &gt; 0, SnapshotTable[[#This Row],[LP Qty]] * SnapshotTable[[#This Row],[LP Strike Price]] * 100,0)</f>
        <v>0</v>
      </c>
      <c r="BL34" s="154"/>
      <c r="BM34" s="385" t="str">
        <f>IF(SnapshotTable[[#This Row],[LP Premium]] &gt; 0,SnapshotTable[[#This Row],[LP Exp Date]]-MAX(SnapshotTable[[#This Row],[LP Book Date]], SnapshotTable[[#This Row],[LP Fill Date]]),"")</f>
        <v/>
      </c>
      <c r="BN34" s="385" t="str">
        <f>IF(ISNUMBER( SnapshotTable[[#This Row],[LP Term]]), SnapshotTable[[#This Row],[LP Exp Date]] - MockToday,"")</f>
        <v/>
      </c>
      <c r="BO34" s="163"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7"/>
      <c r="BU34" s="13"/>
      <c r="BV34" s="5"/>
      <c r="BW34" s="419" t="b">
        <f>AND(ISNUMBER(SnapshotTable[[#This Row],[SP Exp Date]]), ISNUMBER(SnapshotTable[[#This Row],[SP Strike Price]]), ISNUMBER(SnapshotTable[[#This Row],[SP Qty]]), ISNUMBER(SnapshotTable[[#This Row],[SP Book Date]]), ISNUMBER(SnapshotTable[[#This Row],[SP Book Price]]))</f>
        <v>0</v>
      </c>
      <c r="BX34" s="419" t="b">
        <f>AND(SnapshotTable[[#This Row],[SP Is Booked]], NOT(ISBLANK(SnapshotTable[[#This Row],[SP Fill Date]])))</f>
        <v>0</v>
      </c>
      <c r="BY34" s="33">
        <f>IF(SnapshotTable[[#This Row],[SP Is Booked]], SnapshotTable[[#This Row],[SP Qty]] * SnapshotTable[[#This Row],[SP Book Price]] * 100, 0)</f>
        <v>0</v>
      </c>
      <c r="BZ34" s="369"/>
      <c r="CA34" s="368">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3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44"/>
      <c r="CK34" s="31">
        <f>IF(ISNUMBER(SnapshotTable[[#This Row],[SP Potential Spend]]),IF(ISNUMBER(SnapshotTable[[#This Row],[SP POW]]), SnapshotTable[[#This Row],[SP POW]] * SnapshotTable[[#This Row],[SP Potential Spend]], SnapshotTable[[#This Row],[SP Potential Spend]]), "")</f>
        <v>0</v>
      </c>
      <c r="CL34" s="164">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8"/>
      <c r="CO34" s="369"/>
      <c r="CP34" s="4" t="str">
        <f>IF(SnapshotTable[[#This Row],[SP Is Filled]], btc_max_buyback_amount(SnapshotTable[[#This Row],[SP Fill Date]],SnapshotTable[[#This Row],[SP Exp Date]], SnapshotTable[[#This Row],[SP Book Price]]),"")</f>
        <v/>
      </c>
      <c r="CQ34" s="78"/>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5" t="str">
        <f>IF(SnapshotTable[[#This Row],[SP Is Filled]], btc_next_cutoff_date(SnapshotTable[[#This Row],[SP Fill Date]],SnapshotTable[[#This Row],[SP Exp Date]]),"")</f>
        <v/>
      </c>
      <c r="CT34" s="23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3"/>
      <c r="CV34" s="235"/>
      <c r="CW34" s="378"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294" t="str">
        <f>IF(ISNUMBER((SnapshotTable[[#This Row],[SP Total Value]])), SnapshotTable[[#This Row],[SP Gain Loss]] / SnapshotTable[[#This Row],[SP Premium]], "")</f>
        <v/>
      </c>
      <c r="DI34" s="406"/>
      <c r="DJ34" s="138"/>
      <c r="DK34" s="148"/>
      <c r="DL34" s="13"/>
      <c r="DM34" s="13"/>
      <c r="DN34" s="5"/>
      <c r="DO34" s="31">
        <f>IF(SnapshotTable[[#This Row],[LC Symbol Count]]=1, SnapshotTable[[#This Row],[LC Qty]] * SnapshotTable[[#This Row],[LC Book Price]] * 100, 0)</f>
        <v>0</v>
      </c>
      <c r="DP34" s="163" t="str">
        <f>IF(AND(SnapshotTable[[#This Row],[LC Exp Date]]&gt;0, SnapshotTable[[#This Row],[LC Strike Price]]&gt;0,SnapshotTable[[#This Row],[LC Qty]]&gt;0,SnapshotTable[[#This Row],[LC Book Date]]&gt;0,SnapshotTable[[#This Row],[LC Book Price]]&gt;0,SnapshotTable[[#This Row],[LC Fill Date]]=0),"Y","")</f>
        <v/>
      </c>
      <c r="DQ34" s="386" t="str">
        <f>IF(SnapshotTable[[#This Row],[LC Premium]] &gt; 0,SnapshotTable[[#This Row],[LC Exp Date]]-MAX(SnapshotTable[[#This Row],[LC Book Date]], SnapshotTable[[#This Row],[LC Fill Date]]),"")</f>
        <v/>
      </c>
      <c r="DR34" s="386" t="str">
        <f>IF(ISNUMBER(SnapshotTable[[#This Row],[LC Term]]), SnapshotTable[[#This Row],[LC Exp Date]] - MockToday, "")</f>
        <v/>
      </c>
      <c r="DS34" s="23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40" t="str">
        <f>IF(ISNUMBER(SnapshotTable[[#This Row],[LC Actual Gain Loss]]), SnapshotTable[[#This Row],[LC Actual Gain Loss]] / SnapshotTable[[#This Row],[LC Premium]],"")</f>
        <v/>
      </c>
      <c r="DX34" s="284" t="str">
        <f>IF(ISNUMBER(SnapshotTable[[#This Row],[LC Book Price]]),SnapshotTable[[#This Row],[LC Book Price]] * 1.5,"")</f>
        <v/>
      </c>
      <c r="DY34" s="265" t="str">
        <f>IF(SnapshotTable[[#This Row],[LC Premium]]&gt;0, SnapshotTable[[#This Row],[LC Next Target]] * SnapshotTable[[#This Row],[LC Qty]] * 100,"")</f>
        <v/>
      </c>
      <c r="DZ34" s="265" t="str">
        <f>IF(ISNUMBER(SnapshotTable[[#This Row],[LC Target Gross]]), SnapshotTable[[#This Row],[LC Target Gross]] - SnapshotTable[[#This Row],[LC Premium]], "")</f>
        <v/>
      </c>
      <c r="EA34" s="305" t="str">
        <f>IF(ISNUMBER(SnapshotTable[[#This Row],[LC Target Gain Loss]]), SnapshotTable[[#This Row],[LC Target Gain Loss]]/SnapshotTable[[#This Row],[LC Premium]], "")</f>
        <v/>
      </c>
      <c r="EB34" s="262"/>
      <c r="EC34" s="283" t="str">
        <f>IF(SnapshotTable[[#This Row],[LC Premium]]&gt;0, SnapshotTable[[#This Row],[LC Book Price]] * (1 - LC_StopLoss_Pct),"")</f>
        <v/>
      </c>
      <c r="ED34" s="284"/>
      <c r="EE34" s="28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4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7"/>
      <c r="EL34" s="138"/>
      <c r="EM34" s="148"/>
      <c r="EN34" s="147"/>
      <c r="EO34" s="147"/>
      <c r="EP34" s="138"/>
      <c r="EQ34" s="419" t="b">
        <f>AND(ISNUMBER(SnapshotTable[[#This Row],[SC Exp Date]]), ISNUMBER(SnapshotTable[[#This Row],[SC Strike Price]]), ISNUMBER(SnapshotTable[[#This Row],[SC Qty]]), ISNUMBER(SnapshotTable[[#This Row],[SC Book Date]]), ISNUMBER(SnapshotTable[[#This Row],[SC Book Price]]))</f>
        <v>0</v>
      </c>
      <c r="ER34" s="419" t="b">
        <f>AND(SnapshotTable[[#This Row],[SC Is Booked]], NOT(ISBLANK(SnapshotTable[[#This Row],[SC Fill Date]])))</f>
        <v>0</v>
      </c>
      <c r="ES34" s="370"/>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3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283"/>
      <c r="FA34" s="218"/>
      <c r="FB34" s="370"/>
      <c r="FC34" s="4">
        <f>IF(SnapshotTable[[#This Row],[SC Is Filled]], btc_max_buyback_amount(SnapshotTable[[#This Row],[SC Fill Date]],SnapshotTable[[#This Row],[SC Exp Date]], SnapshotTable[[#This Row],[SC Book Price]]),0)</f>
        <v>0</v>
      </c>
      <c r="FD34" s="5"/>
      <c r="FE34" s="144"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382">
        <f>IF(SnapshotTable[[#This Row],[SC Is Filled]], IF(ISNUMBER(SnapshotTable[[#This Row],[SC Current Ask]]), SnapshotTable[[#This Row],[SC Current Ask]], SnapshotTable[[#This Row],[SC Book Price]]) - SnapshotTable[[#This Row],[SC Intrinsic Value]], 0)</f>
        <v>0</v>
      </c>
      <c r="FI34" s="143"/>
      <c r="FJ34" s="32" t="str">
        <f>IF(SnapshotTable[[#This Row],[SC Is Filled]],100 * SnapshotTable[[#This Row],[SC Qty]] * IF(ISNUMBER(SnapshotTable[[#This Row],[SC Buyback Override]]), SnapshotTable[[#This Row],[SC Buyback Override]], SnapshotTable[[#This Row],[SC Current Ask]]), "")</f>
        <v/>
      </c>
      <c r="FK34" s="250" t="str">
        <f>IF(SnapshotTable[[#This Row],[SC Time Val]]&gt;0, SnapshotTable[[#This Row],[SC Time Val]] / SnapshotTable[[#This Row],[Last Price]],"")</f>
        <v/>
      </c>
      <c r="FL34" s="302" t="str">
        <f>IF(SnapshotTable[[#This Row],[SC Is Booked]], ((SnapshotTable[[#This Row],[Last Price]] -SnapshotTable[[#This Row],[SC Strike Price]]) / SnapshotTable[[#This Row],[Last Price]]) * -1, "")</f>
        <v/>
      </c>
      <c r="FM34" s="157"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33"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36" t="str">
        <f>IF(AND(ISNUMBER(SnapshotTable[[#This Row],[SC Simple ROO]]),SnapshotTable[[#This Row],[SC Simple ROO]] &gt; 0), SnapshotTable[[#This Row],[SC Premium]] + (SnapshotTable[[#This Row],[SC Qty]] * SnapshotTable[[#This Row],[SC Upside Potential]]), "")</f>
        <v/>
      </c>
      <c r="FX34" s="302" t="str" cm="1">
        <f t="array" ref="FX34">IF(ISNUMBER(SnapshotTable[[#This Row],[SC Max Dollars]]), annualize(SnapshotTable[[#This Row],[SC Term]],(SnapshotTable[[#This Row],[SC Max Dollars]]/SnapshotTable[[#This Row],[SC Basis]])),"")</f>
        <v/>
      </c>
      <c r="FY34" s="23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29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70.551000000000002</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635</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31">
        <f>MAX(SnapshotTable[[#This Row],[Equity Basis Total]],SnapshotTable[[#This Row],[Equity Value]]) + (SnapshotTable[[#This Row],[SP Potential Spend]]- SnapshotTable[[#This Row],[SP Premium]] + SnapshotTable[[#This Row],[LP Premium]])+ (SnapshotTable[[#This Row],[LC Premium]] - SnapshotTable[[#This Row],[SC Premium]])</f>
        <v>0</v>
      </c>
      <c r="GW34" s="139" t="str">
        <f>IF(AND(SnapshotTable[[#This Row],[Exposure]] &lt;&gt; 0),SnapshotTable[[#This Row],[Exposure]] / SnapshotTable[[#Totals],[Exposure]], "")</f>
        <v/>
      </c>
      <c r="GY34" s="381"/>
      <c r="HE34" s="268"/>
      <c r="HF34" s="268"/>
      <c r="HG34" s="381"/>
      <c r="HH34" s="381"/>
      <c r="HI34" s="381"/>
      <c r="HJ34" s="381"/>
    </row>
    <row r="35" spans="2:224" s="47" customFormat="1" ht="12.75" hidden="1" customHeight="1" x14ac:dyDescent="0.25">
      <c r="B35" s="12" t="s">
        <v>246</v>
      </c>
      <c r="C35" s="422">
        <v>20.71</v>
      </c>
      <c r="D35" s="208"/>
      <c r="E35" s="39">
        <f>SnapshotTable[[#This Row],[Last Price]]*(1 -CrashDiscount)</f>
        <v>17.6035</v>
      </c>
      <c r="F35" s="26" t="s">
        <v>975</v>
      </c>
      <c r="G35" s="26" t="s">
        <v>822</v>
      </c>
      <c r="H35" s="149"/>
      <c r="I35" s="194">
        <v>44776.708333333336</v>
      </c>
      <c r="J35" s="195">
        <v>44776.708333333336</v>
      </c>
      <c r="K35" s="196"/>
      <c r="L35" s="326"/>
      <c r="M35" s="140"/>
      <c r="N35" s="140"/>
      <c r="O35" s="140"/>
      <c r="P35" s="22"/>
      <c r="Q35" s="25"/>
      <c r="R35" s="4"/>
      <c r="S35" s="269">
        <f>SnapshotTable[[#This Row],[Last Price]] * SnapshotTable[[#This Row],[Equity Shares]]</f>
        <v>0</v>
      </c>
      <c r="T35" s="269">
        <f>SnapshotTable[[#This Row],[Equity Value]] - SnapshotTable[[#This Row],[Equity Basis Total]]</f>
        <v>0</v>
      </c>
      <c r="U35" s="270" t="str">
        <f>IF(SnapshotTable[[#This Row],[Equity Basis Total]] &gt; 0, SnapshotTable[[#This Row],[Equity G/L]] / SnapshotTable[[#This Row],[Equity Basis Total]], "")</f>
        <v/>
      </c>
      <c r="V35" s="268"/>
      <c r="W35" s="26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7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0">
        <v>0.2</v>
      </c>
      <c r="AD35" s="151">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9.6571704490584255E-3</v>
      </c>
      <c r="AH35" s="151">
        <v>42341</v>
      </c>
      <c r="AI35" s="5">
        <v>65</v>
      </c>
      <c r="AJ35" s="138">
        <v>19.61</v>
      </c>
      <c r="AK35" s="152">
        <f>IF(ISNUMBER( SnapshotTable[[#This Row],[EBF Target]]),(SnapshotTable[[#This Row],[EBF Target]] - SnapshotTable[[#This Row],[Last Price]]) / SnapshotTable[[#This Row],[Last Price]], "")</f>
        <v>2.1385803959439884</v>
      </c>
      <c r="AL35" s="152"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2">
        <f>IF(AND(ISNUMBER( SnapshotTable[[#This Row],[Long Term Target]]), ISNUMBER(SnapshotTable[[#This Row],[Last Price]])),(SnapshotTable[[#This Row],[Long Term Target]] - SnapshotTable[[#This Row],[Last Price]]) / SnapshotTable[[#This Row],[Last Price]], "")</f>
        <v>-5.3114437469821411E-2</v>
      </c>
      <c r="AP35" s="5">
        <v>8</v>
      </c>
      <c r="AQ35" s="38" t="s">
        <v>27</v>
      </c>
      <c r="AR35" s="5">
        <v>8</v>
      </c>
      <c r="AS35" s="38" t="s">
        <v>38</v>
      </c>
      <c r="AT35" s="146" t="s">
        <v>542</v>
      </c>
      <c r="AU35" s="187" t="str">
        <f>IF(OR(SnapshotTable[[#This Row],[LP No Fill]]="Y",SnapshotTable[[#This Row],[SP Is Filled]],SnapshotTable[[#This Row],[LC Not Filled]]="Y",SnapshotTable[[#This Row],[SC Is Filled]]),"Y","")</f>
        <v/>
      </c>
      <c r="AV35" s="219"/>
      <c r="AW35" s="225"/>
      <c r="AX35" s="220"/>
      <c r="AY35" s="219" t="str">
        <f>IF(SnapshotTable[[#This Row],[Implied Move]]&gt;0, SnapshotTable[[#This Row],[Last Price]]-SnapshotTable[[#This Row],[Implied Move]],"")</f>
        <v/>
      </c>
      <c r="AZ35" s="219" t="str">
        <f>IF(SnapshotTable[[#This Row],[Implied Move]]&gt;0, SnapshotTable[[#This Row],[Last Price]] + SnapshotTable[[#This Row],[Implied Move]],"")</f>
        <v/>
      </c>
      <c r="BA35" s="331"/>
      <c r="BB35" s="347"/>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51"/>
      <c r="BE35" s="5"/>
      <c r="BF35" s="14"/>
      <c r="BG35" s="13"/>
      <c r="BH35" s="13"/>
      <c r="BI35" s="5"/>
      <c r="BJ35" s="136">
        <f>IF(SnapshotTable[[#This Row],[LP Qty]] &gt; 0, SnapshotTable[[#This Row],[LP Qty]] * SnapshotTable[[#This Row],[LP Book Price]] * 100,0)</f>
        <v>0</v>
      </c>
      <c r="BK35" s="136">
        <f>IF(SnapshotTable[[#This Row],[LP Premium]] &gt; 0, SnapshotTable[[#This Row],[LP Qty]] * SnapshotTable[[#This Row],[LP Strike Price]] * 100,0)</f>
        <v>0</v>
      </c>
      <c r="BL35" s="154"/>
      <c r="BM35" s="385" t="str">
        <f>IF(SnapshotTable[[#This Row],[LP Premium]] &gt; 0,SnapshotTable[[#This Row],[LP Exp Date]]-MAX(SnapshotTable[[#This Row],[LP Book Date]], SnapshotTable[[#This Row],[LP Fill Date]]),"")</f>
        <v/>
      </c>
      <c r="BN35" s="385" t="str">
        <f>IF(ISNUMBER( SnapshotTable[[#This Row],[LP Term]]), SnapshotTable[[#This Row],[LP Exp Date]] - MockToday,"")</f>
        <v/>
      </c>
      <c r="BO35" s="163"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7"/>
      <c r="BU35" s="13"/>
      <c r="BV35" s="5"/>
      <c r="BW35" s="419" t="b">
        <f>AND(ISNUMBER(SnapshotTable[[#This Row],[SP Exp Date]]), ISNUMBER(SnapshotTable[[#This Row],[SP Strike Price]]), ISNUMBER(SnapshotTable[[#This Row],[SP Qty]]), ISNUMBER(SnapshotTable[[#This Row],[SP Book Date]]), ISNUMBER(SnapshotTable[[#This Row],[SP Book Price]]))</f>
        <v>0</v>
      </c>
      <c r="BX35" s="419" t="b">
        <f>AND(SnapshotTable[[#This Row],[SP Is Booked]], NOT(ISBLANK(SnapshotTable[[#This Row],[SP Fill Date]])))</f>
        <v>0</v>
      </c>
      <c r="BY35" s="33">
        <f>IF(SnapshotTable[[#This Row],[SP Is Booked]], SnapshotTable[[#This Row],[SP Qty]] * SnapshotTable[[#This Row],[SP Book Price]] * 100, 0)</f>
        <v>0</v>
      </c>
      <c r="BZ35" s="369"/>
      <c r="CA35" s="368">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3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44"/>
      <c r="CK35" s="31">
        <f>IF(ISNUMBER(SnapshotTable[[#This Row],[SP Potential Spend]]),IF(ISNUMBER(SnapshotTable[[#This Row],[SP POW]]), SnapshotTable[[#This Row],[SP POW]] * SnapshotTable[[#This Row],[SP Potential Spend]], SnapshotTable[[#This Row],[SP Potential Spend]]), "")</f>
        <v>0</v>
      </c>
      <c r="CL35" s="164">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8"/>
      <c r="CO35" s="369"/>
      <c r="CP35" s="4" t="str">
        <f>IF(SnapshotTable[[#This Row],[SP Is Filled]], btc_max_buyback_amount(SnapshotTable[[#This Row],[SP Fill Date]],SnapshotTable[[#This Row],[SP Exp Date]], SnapshotTable[[#This Row],[SP Book Price]]),"")</f>
        <v/>
      </c>
      <c r="CQ35" s="78"/>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5" t="str">
        <f>IF(SnapshotTable[[#This Row],[SP Is Filled]], btc_next_cutoff_date(SnapshotTable[[#This Row],[SP Fill Date]],SnapshotTable[[#This Row],[SP Exp Date]]),"")</f>
        <v/>
      </c>
      <c r="CT35" s="23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3"/>
      <c r="CV35" s="235"/>
      <c r="CW35" s="378"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294" t="str">
        <f>IF(ISNUMBER((SnapshotTable[[#This Row],[SP Total Value]])), SnapshotTable[[#This Row],[SP Gain Loss]] / SnapshotTable[[#This Row],[SP Premium]], "")</f>
        <v/>
      </c>
      <c r="DI35" s="406"/>
      <c r="DJ35" s="138"/>
      <c r="DK35" s="148"/>
      <c r="DL35" s="13"/>
      <c r="DM35" s="13"/>
      <c r="DN35" s="5"/>
      <c r="DO35" s="31">
        <f>IF(SnapshotTable[[#This Row],[LC Symbol Count]]=1, SnapshotTable[[#This Row],[LC Qty]] * SnapshotTable[[#This Row],[LC Book Price]] * 100, 0)</f>
        <v>0</v>
      </c>
      <c r="DP35" s="163" t="str">
        <f>IF(AND(SnapshotTable[[#This Row],[LC Exp Date]]&gt;0, SnapshotTable[[#This Row],[LC Strike Price]]&gt;0,SnapshotTable[[#This Row],[LC Qty]]&gt;0,SnapshotTable[[#This Row],[LC Book Date]]&gt;0,SnapshotTable[[#This Row],[LC Book Price]]&gt;0,SnapshotTable[[#This Row],[LC Fill Date]]=0),"Y","")</f>
        <v/>
      </c>
      <c r="DQ35" s="386" t="str">
        <f>IF(SnapshotTable[[#This Row],[LC Premium]] &gt; 0,SnapshotTable[[#This Row],[LC Exp Date]]-MAX(SnapshotTable[[#This Row],[LC Book Date]], SnapshotTable[[#This Row],[LC Fill Date]]),"")</f>
        <v/>
      </c>
      <c r="DR35" s="386" t="str">
        <f>IF(ISNUMBER(SnapshotTable[[#This Row],[LC Term]]), SnapshotTable[[#This Row],[LC Exp Date]] - MockToday, "")</f>
        <v/>
      </c>
      <c r="DS35" s="23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40" t="str">
        <f>IF(ISNUMBER(SnapshotTable[[#This Row],[LC Actual Gain Loss]]), SnapshotTable[[#This Row],[LC Actual Gain Loss]] / SnapshotTable[[#This Row],[LC Premium]],"")</f>
        <v/>
      </c>
      <c r="DX35" s="284" t="str">
        <f>IF(ISNUMBER(SnapshotTable[[#This Row],[LC Book Price]]),SnapshotTable[[#This Row],[LC Book Price]] * 1.5,"")</f>
        <v/>
      </c>
      <c r="DY35" s="265" t="str">
        <f>IF(SnapshotTable[[#This Row],[LC Premium]]&gt;0, SnapshotTable[[#This Row],[LC Next Target]] * SnapshotTable[[#This Row],[LC Qty]] * 100,"")</f>
        <v/>
      </c>
      <c r="DZ35" s="265" t="str">
        <f>IF(ISNUMBER(SnapshotTable[[#This Row],[LC Target Gross]]), SnapshotTable[[#This Row],[LC Target Gross]] - SnapshotTable[[#This Row],[LC Premium]], "")</f>
        <v/>
      </c>
      <c r="EA35" s="305" t="str">
        <f>IF(ISNUMBER(SnapshotTable[[#This Row],[LC Target Gain Loss]]), SnapshotTable[[#This Row],[LC Target Gain Loss]]/SnapshotTable[[#This Row],[LC Premium]], "")</f>
        <v/>
      </c>
      <c r="EB35" s="262"/>
      <c r="EC35" s="283" t="str">
        <f>IF(SnapshotTable[[#This Row],[LC Premium]]&gt;0, SnapshotTable[[#This Row],[LC Book Price]] * (1 - LC_StopLoss_Pct),"")</f>
        <v/>
      </c>
      <c r="ED35" s="284"/>
      <c r="EE35" s="28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4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7"/>
      <c r="EL35" s="138"/>
      <c r="EM35" s="148"/>
      <c r="EN35" s="147"/>
      <c r="EO35" s="147"/>
      <c r="EP35" s="138"/>
      <c r="EQ35" s="419" t="b">
        <f>AND(ISNUMBER(SnapshotTable[[#This Row],[SC Exp Date]]), ISNUMBER(SnapshotTable[[#This Row],[SC Strike Price]]), ISNUMBER(SnapshotTable[[#This Row],[SC Qty]]), ISNUMBER(SnapshotTable[[#This Row],[SC Book Date]]), ISNUMBER(SnapshotTable[[#This Row],[SC Book Price]]))</f>
        <v>0</v>
      </c>
      <c r="ER35" s="419" t="b">
        <f>AND(SnapshotTable[[#This Row],[SC Is Booked]], NOT(ISBLANK(SnapshotTable[[#This Row],[SC Fill Date]])))</f>
        <v>0</v>
      </c>
      <c r="ES35" s="370"/>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3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283"/>
      <c r="FA35" s="218"/>
      <c r="FB35" s="370"/>
      <c r="FC35" s="4">
        <f>IF(SnapshotTable[[#This Row],[SC Is Filled]], btc_max_buyback_amount(SnapshotTable[[#This Row],[SC Fill Date]],SnapshotTable[[#This Row],[SC Exp Date]], SnapshotTable[[#This Row],[SC Book Price]]),0)</f>
        <v>0</v>
      </c>
      <c r="FD35" s="5"/>
      <c r="FE35" s="144"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382">
        <f>IF(SnapshotTable[[#This Row],[SC Is Filled]], IF(ISNUMBER(SnapshotTable[[#This Row],[SC Current Ask]]), SnapshotTable[[#This Row],[SC Current Ask]], SnapshotTable[[#This Row],[SC Book Price]]) - SnapshotTable[[#This Row],[SC Intrinsic Value]], 0)</f>
        <v>0</v>
      </c>
      <c r="FI35" s="143"/>
      <c r="FJ35" s="32" t="str">
        <f>IF(SnapshotTable[[#This Row],[SC Is Filled]],100 * SnapshotTable[[#This Row],[SC Qty]] * IF(ISNUMBER(SnapshotTable[[#This Row],[SC Buyback Override]]), SnapshotTable[[#This Row],[SC Buyback Override]], SnapshotTable[[#This Row],[SC Current Ask]]), "")</f>
        <v/>
      </c>
      <c r="FK35" s="250" t="str">
        <f>IF(SnapshotTable[[#This Row],[SC Time Val]]&gt;0, SnapshotTable[[#This Row],[SC Time Val]] / SnapshotTable[[#This Row],[Last Price]],"")</f>
        <v/>
      </c>
      <c r="FL35" s="302" t="str">
        <f>IF(SnapshotTable[[#This Row],[SC Is Booked]], ((SnapshotTable[[#This Row],[Last Price]] -SnapshotTable[[#This Row],[SC Strike Price]]) / SnapshotTable[[#This Row],[Last Price]]) * -1, "")</f>
        <v/>
      </c>
      <c r="FM35" s="157"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33"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36" t="str">
        <f>IF(AND(ISNUMBER(SnapshotTable[[#This Row],[SC Simple ROO]]),SnapshotTable[[#This Row],[SC Simple ROO]] &gt; 0), SnapshotTable[[#This Row],[SC Premium]] + (SnapshotTable[[#This Row],[SC Qty]] * SnapshotTable[[#This Row],[SC Upside Potential]]), "")</f>
        <v/>
      </c>
      <c r="FX35" s="302" t="str" cm="1">
        <f t="array" ref="FX35">IF(ISNUMBER(SnapshotTable[[#This Row],[SC Max Dollars]]), annualize(SnapshotTable[[#This Row],[SC Term]],(SnapshotTable[[#This Row],[SC Max Dollars]]/SnapshotTable[[#This Row],[SC Basis]])),"")</f>
        <v/>
      </c>
      <c r="FY35" s="23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29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40.384500000000003</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636</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31">
        <f>MAX(SnapshotTable[[#This Row],[Equity Basis Total]],SnapshotTable[[#This Row],[Equity Value]]) + (SnapshotTable[[#This Row],[SP Potential Spend]]- SnapshotTable[[#This Row],[SP Premium]] + SnapshotTable[[#This Row],[LP Premium]])+ (SnapshotTable[[#This Row],[LC Premium]] - SnapshotTable[[#This Row],[SC Premium]])</f>
        <v>0</v>
      </c>
      <c r="GW35" s="139" t="str">
        <f>IF(AND(SnapshotTable[[#This Row],[Exposure]] &lt;&gt; 0),SnapshotTable[[#This Row],[Exposure]] / SnapshotTable[[#Totals],[Exposure]], "")</f>
        <v/>
      </c>
      <c r="GY35" s="381"/>
      <c r="HE35" s="268"/>
      <c r="HF35" s="268"/>
      <c r="HG35" s="381"/>
      <c r="HH35" s="381"/>
      <c r="HI35" s="381"/>
      <c r="HJ35" s="381"/>
    </row>
    <row r="36" spans="2:224" s="47" customFormat="1" ht="12.75" hidden="1" customHeight="1" x14ac:dyDescent="0.25">
      <c r="B36" s="12" t="s">
        <v>69</v>
      </c>
      <c r="C36" s="422">
        <v>49.64</v>
      </c>
      <c r="D36" s="208"/>
      <c r="E36" s="39">
        <f>SnapshotTable[[#This Row],[Last Price]]*(1 -CrashDiscount)</f>
        <v>42.194000000000003</v>
      </c>
      <c r="F36" s="26" t="s">
        <v>68</v>
      </c>
      <c r="G36" s="26" t="s">
        <v>882</v>
      </c>
      <c r="H36" s="149"/>
      <c r="I36" s="194">
        <v>44767.673611111109</v>
      </c>
      <c r="J36" s="195">
        <v>44767.673611111109</v>
      </c>
      <c r="K36" s="196" t="s">
        <v>3</v>
      </c>
      <c r="L36" s="326"/>
      <c r="M36" s="140"/>
      <c r="N36" s="140"/>
      <c r="O36" s="140"/>
      <c r="P36" s="22"/>
      <c r="Q36" s="25"/>
      <c r="R36" s="4" t="str">
        <f>IF(SnapshotTable[[#This Row],[Equity Basis Total]] &gt; 0, SnapshotTable[[#This Row],[Equity Basis Total]] / SnapshotTable[[#This Row],[Equity Shares]], "")</f>
        <v/>
      </c>
      <c r="S36" s="269">
        <f>SnapshotTable[[#This Row],[Last Price]] * SnapshotTable[[#This Row],[Equity Shares]]</f>
        <v>0</v>
      </c>
      <c r="T36" s="269">
        <f>SnapshotTable[[#This Row],[Equity Value]] - SnapshotTable[[#This Row],[Equity Basis Total]]</f>
        <v>0</v>
      </c>
      <c r="U36" s="270" t="str">
        <f>IF(SnapshotTable[[#This Row],[Equity Basis Total]] &gt; 0, SnapshotTable[[#This Row],[Equity G/L]] / SnapshotTable[[#This Row],[Equity Basis Total]], "")</f>
        <v/>
      </c>
      <c r="V36" s="268"/>
      <c r="W36" s="26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7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0">
        <v>3.08</v>
      </c>
      <c r="AD36" s="151">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6.2046736502820304E-2</v>
      </c>
      <c r="AH36" s="151">
        <v>42363</v>
      </c>
      <c r="AI36" s="5"/>
      <c r="AJ36" s="138">
        <v>192.38</v>
      </c>
      <c r="AK36" s="152" t="str">
        <f>IF(ISNUMBER( SnapshotTable[[#This Row],[EBF Target]]),(SnapshotTable[[#This Row],[EBF Target]] - SnapshotTable[[#This Row],[Last Price]]) / SnapshotTable[[#This Row],[Last Price]], "")</f>
        <v/>
      </c>
      <c r="AL36" s="152"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2">
        <f>IF(AND(ISNUMBER( SnapshotTable[[#This Row],[Long Term Target]]), ISNUMBER(SnapshotTable[[#This Row],[Last Price]])),(SnapshotTable[[#This Row],[Long Term Target]] - SnapshotTable[[#This Row],[Last Price]]) / SnapshotTable[[#This Row],[Last Price]], "")</f>
        <v>2.8755036261079776</v>
      </c>
      <c r="AP36" s="5">
        <v>8</v>
      </c>
      <c r="AQ36" s="38" t="s">
        <v>27</v>
      </c>
      <c r="AR36" s="5">
        <v>8</v>
      </c>
      <c r="AS36" s="38" t="s">
        <v>38</v>
      </c>
      <c r="AT36" s="146" t="s">
        <v>542</v>
      </c>
      <c r="AU36" s="187" t="str">
        <f>IF(OR(SnapshotTable[[#This Row],[LP No Fill]]="Y",SnapshotTable[[#This Row],[SP Is Filled]],SnapshotTable[[#This Row],[LC Not Filled]]="Y",SnapshotTable[[#This Row],[SC Is Filled]]),"Y","")</f>
        <v/>
      </c>
      <c r="AV36" s="219"/>
      <c r="AW36" s="225"/>
      <c r="AX36" s="220"/>
      <c r="AY36" s="219" t="str">
        <f>IF(SnapshotTable[[#This Row],[Implied Move]]&gt;0, SnapshotTable[[#This Row],[Last Price]]-SnapshotTable[[#This Row],[Implied Move]],"")</f>
        <v/>
      </c>
      <c r="AZ36" s="219" t="str">
        <f>IF(SnapshotTable[[#This Row],[Implied Move]]&gt;0, SnapshotTable[[#This Row],[Last Price]] + SnapshotTable[[#This Row],[Implied Move]],"")</f>
        <v/>
      </c>
      <c r="BA36" s="331"/>
      <c r="BB36" s="347"/>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51"/>
      <c r="BE36" s="5"/>
      <c r="BF36" s="14"/>
      <c r="BG36" s="13"/>
      <c r="BH36" s="13"/>
      <c r="BI36" s="5"/>
      <c r="BJ36" s="136">
        <f>IF(SnapshotTable[[#This Row],[LP Qty]] &gt; 0, SnapshotTable[[#This Row],[LP Qty]] * SnapshotTable[[#This Row],[LP Book Price]] * 100,0)</f>
        <v>0</v>
      </c>
      <c r="BK36" s="136">
        <f>IF(SnapshotTable[[#This Row],[LP Premium]] &gt; 0, SnapshotTable[[#This Row],[LP Qty]] * SnapshotTable[[#This Row],[LP Strike Price]] * 100,0)</f>
        <v>0</v>
      </c>
      <c r="BL36" s="154"/>
      <c r="BM36" s="385" t="str">
        <f>IF(SnapshotTable[[#This Row],[LP Premium]] &gt; 0,SnapshotTable[[#This Row],[LP Exp Date]]-MAX(SnapshotTable[[#This Row],[LP Book Date]], SnapshotTable[[#This Row],[LP Fill Date]]),"")</f>
        <v/>
      </c>
      <c r="BN36" s="385" t="str">
        <f>IF(ISNUMBER( SnapshotTable[[#This Row],[LP Term]]), SnapshotTable[[#This Row],[LP Exp Date]] - MockToday,"")</f>
        <v/>
      </c>
      <c r="BO36" s="163"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7"/>
      <c r="BU36" s="13"/>
      <c r="BV36" s="5"/>
      <c r="BW36" s="419" t="b">
        <f>AND(ISNUMBER(SnapshotTable[[#This Row],[SP Exp Date]]), ISNUMBER(SnapshotTable[[#This Row],[SP Strike Price]]), ISNUMBER(SnapshotTable[[#This Row],[SP Qty]]), ISNUMBER(SnapshotTable[[#This Row],[SP Book Date]]), ISNUMBER(SnapshotTable[[#This Row],[SP Book Price]]))</f>
        <v>0</v>
      </c>
      <c r="BX36" s="419" t="b">
        <f>AND(SnapshotTable[[#This Row],[SP Is Booked]], NOT(ISBLANK(SnapshotTable[[#This Row],[SP Fill Date]])))</f>
        <v>0</v>
      </c>
      <c r="BY36" s="33">
        <f>IF(SnapshotTable[[#This Row],[SP Is Booked]], SnapshotTable[[#This Row],[SP Qty]] * SnapshotTable[[#This Row],[SP Book Price]] * 100, 0)</f>
        <v>0</v>
      </c>
      <c r="BZ36" s="369"/>
      <c r="CA36" s="368">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3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44"/>
      <c r="CK36" s="31">
        <f>IF(ISNUMBER(SnapshotTable[[#This Row],[SP Potential Spend]]),IF(ISNUMBER(SnapshotTable[[#This Row],[SP POW]]), SnapshotTable[[#This Row],[SP POW]] * SnapshotTable[[#This Row],[SP Potential Spend]], SnapshotTable[[#This Row],[SP Potential Spend]]), "")</f>
        <v>0</v>
      </c>
      <c r="CL36" s="164">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8"/>
      <c r="CO36" s="369"/>
      <c r="CP36" s="4" t="str">
        <f>IF(SnapshotTable[[#This Row],[SP Is Filled]], btc_max_buyback_amount(SnapshotTable[[#This Row],[SP Fill Date]],SnapshotTable[[#This Row],[SP Exp Date]], SnapshotTable[[#This Row],[SP Book Price]]),"")</f>
        <v/>
      </c>
      <c r="CQ36" s="78"/>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5" t="str">
        <f>IF(SnapshotTable[[#This Row],[SP Is Filled]], btc_next_cutoff_date(SnapshotTable[[#This Row],[SP Fill Date]],SnapshotTable[[#This Row],[SP Exp Date]]),"")</f>
        <v/>
      </c>
      <c r="CT36" s="23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3"/>
      <c r="CV36" s="235"/>
      <c r="CW36" s="378"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294" t="str">
        <f>IF(ISNUMBER((SnapshotTable[[#This Row],[SP Total Value]])), SnapshotTable[[#This Row],[SP Gain Loss]] / SnapshotTable[[#This Row],[SP Premium]], "")</f>
        <v/>
      </c>
      <c r="DI36" s="406"/>
      <c r="DJ36" s="138"/>
      <c r="DK36" s="148"/>
      <c r="DL36" s="13"/>
      <c r="DM36" s="13"/>
      <c r="DN36" s="5"/>
      <c r="DO36" s="31">
        <f>IF(SnapshotTable[[#This Row],[LC Symbol Count]]=1, SnapshotTable[[#This Row],[LC Qty]] * SnapshotTable[[#This Row],[LC Book Price]] * 100, 0)</f>
        <v>0</v>
      </c>
      <c r="DP36" s="163" t="str">
        <f>IF(AND(SnapshotTable[[#This Row],[LC Exp Date]]&gt;0, SnapshotTable[[#This Row],[LC Strike Price]]&gt;0,SnapshotTable[[#This Row],[LC Qty]]&gt;0,SnapshotTable[[#This Row],[LC Book Date]]&gt;0,SnapshotTable[[#This Row],[LC Book Price]]&gt;0,SnapshotTable[[#This Row],[LC Fill Date]]=0),"Y","")</f>
        <v/>
      </c>
      <c r="DQ36" s="386" t="str">
        <f>IF(SnapshotTable[[#This Row],[LC Premium]] &gt; 0,SnapshotTable[[#This Row],[LC Exp Date]]-MAX(SnapshotTable[[#This Row],[LC Book Date]], SnapshotTable[[#This Row],[LC Fill Date]]),"")</f>
        <v/>
      </c>
      <c r="DR36" s="386" t="str">
        <f>IF(ISNUMBER(SnapshotTable[[#This Row],[LC Term]]), SnapshotTable[[#This Row],[LC Exp Date]] - MockToday, "")</f>
        <v/>
      </c>
      <c r="DS36" s="23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40" t="str">
        <f>IF(ISNUMBER(SnapshotTable[[#This Row],[LC Actual Gain Loss]]), SnapshotTable[[#This Row],[LC Actual Gain Loss]] / SnapshotTable[[#This Row],[LC Premium]],"")</f>
        <v/>
      </c>
      <c r="DX36" s="284" t="str">
        <f>IF(ISNUMBER(SnapshotTable[[#This Row],[LC Book Price]]),SnapshotTable[[#This Row],[LC Book Price]] * 1.5,"")</f>
        <v/>
      </c>
      <c r="DY36" s="265" t="str">
        <f>IF(SnapshotTable[[#This Row],[LC Premium]]&gt;0, SnapshotTable[[#This Row],[LC Next Target]] * SnapshotTable[[#This Row],[LC Qty]] * 100,"")</f>
        <v/>
      </c>
      <c r="DZ36" s="265" t="str">
        <f>IF(ISNUMBER(SnapshotTable[[#This Row],[LC Target Gross]]), SnapshotTable[[#This Row],[LC Target Gross]] - SnapshotTable[[#This Row],[LC Premium]], "")</f>
        <v/>
      </c>
      <c r="EA36" s="305" t="str">
        <f>IF(ISNUMBER(SnapshotTable[[#This Row],[LC Target Gain Loss]]), SnapshotTable[[#This Row],[LC Target Gain Loss]]/SnapshotTable[[#This Row],[LC Premium]], "")</f>
        <v/>
      </c>
      <c r="EB36" s="262"/>
      <c r="EC36" s="283" t="str">
        <f>IF(SnapshotTable[[#This Row],[LC Premium]]&gt;0, SnapshotTable[[#This Row],[LC Book Price]] * (1 - LC_StopLoss_Pct),"")</f>
        <v/>
      </c>
      <c r="ED36" s="284"/>
      <c r="EE36" s="28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4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7"/>
      <c r="EL36" s="138"/>
      <c r="EM36" s="148"/>
      <c r="EN36" s="147"/>
      <c r="EO36" s="147"/>
      <c r="EP36" s="138"/>
      <c r="EQ36" s="419" t="b">
        <f>AND(ISNUMBER(SnapshotTable[[#This Row],[SC Exp Date]]), ISNUMBER(SnapshotTable[[#This Row],[SC Strike Price]]), ISNUMBER(SnapshotTable[[#This Row],[SC Qty]]), ISNUMBER(SnapshotTable[[#This Row],[SC Book Date]]), ISNUMBER(SnapshotTable[[#This Row],[SC Book Price]]))</f>
        <v>0</v>
      </c>
      <c r="ER36" s="419" t="b">
        <f>AND(SnapshotTable[[#This Row],[SC Is Booked]], NOT(ISBLANK(SnapshotTable[[#This Row],[SC Fill Date]])))</f>
        <v>0</v>
      </c>
      <c r="ES36" s="370"/>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3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283"/>
      <c r="FA36" s="218"/>
      <c r="FB36" s="370"/>
      <c r="FC36" s="4">
        <f>IF(SnapshotTable[[#This Row],[SC Is Filled]], btc_max_buyback_amount(SnapshotTable[[#This Row],[SC Fill Date]],SnapshotTable[[#This Row],[SC Exp Date]], SnapshotTable[[#This Row],[SC Book Price]]),0)</f>
        <v>0</v>
      </c>
      <c r="FD36" s="5"/>
      <c r="FE36" s="144"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382">
        <f>IF(SnapshotTable[[#This Row],[SC Is Filled]], IF(ISNUMBER(SnapshotTable[[#This Row],[SC Current Ask]]), SnapshotTable[[#This Row],[SC Current Ask]], SnapshotTable[[#This Row],[SC Book Price]]) - SnapshotTable[[#This Row],[SC Intrinsic Value]], 0)</f>
        <v>0</v>
      </c>
      <c r="FI36" s="143"/>
      <c r="FJ36" s="32" t="str">
        <f>IF(SnapshotTable[[#This Row],[SC Is Filled]],100 * SnapshotTable[[#This Row],[SC Qty]] * IF(ISNUMBER(SnapshotTable[[#This Row],[SC Buyback Override]]), SnapshotTable[[#This Row],[SC Buyback Override]], SnapshotTable[[#This Row],[SC Current Ask]]), "")</f>
        <v/>
      </c>
      <c r="FK36" s="250" t="str">
        <f>IF(SnapshotTable[[#This Row],[SC Time Val]]&gt;0, SnapshotTable[[#This Row],[SC Time Val]] / SnapshotTable[[#This Row],[Last Price]],"")</f>
        <v/>
      </c>
      <c r="FL36" s="302" t="str">
        <f>IF(SnapshotTable[[#This Row],[SC Is Booked]], ((SnapshotTable[[#This Row],[Last Price]] -SnapshotTable[[#This Row],[SC Strike Price]]) / SnapshotTable[[#This Row],[Last Price]]) * -1, "")</f>
        <v/>
      </c>
      <c r="FM36" s="157"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33"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36" t="str">
        <f>IF(AND(ISNUMBER(SnapshotTable[[#This Row],[SC Simple ROO]]),SnapshotTable[[#This Row],[SC Simple ROO]] &gt; 0), SnapshotTable[[#This Row],[SC Premium]] + (SnapshotTable[[#This Row],[SC Qty]] * SnapshotTable[[#This Row],[SC Upside Potential]]), "")</f>
        <v/>
      </c>
      <c r="FX36" s="302" t="str" cm="1">
        <f t="array" ref="FX36">IF(ISNUMBER(SnapshotTable[[#This Row],[SC Max Dollars]]), annualize(SnapshotTable[[#This Row],[SC Term]],(SnapshotTable[[#This Row],[SC Max Dollars]]/SnapshotTable[[#This Row],[SC Basis]])),"")</f>
        <v/>
      </c>
      <c r="FY36" s="23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29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96.798000000000002</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637</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31">
        <f>MAX(SnapshotTable[[#This Row],[Equity Basis Total]],SnapshotTable[[#This Row],[Equity Value]]) + (SnapshotTable[[#This Row],[SP Potential Spend]]- SnapshotTable[[#This Row],[SP Premium]] + SnapshotTable[[#This Row],[LP Premium]])+ (SnapshotTable[[#This Row],[LC Premium]] - SnapshotTable[[#This Row],[SC Premium]])</f>
        <v>0</v>
      </c>
      <c r="GW36" s="139" t="str">
        <f>IF(AND(SnapshotTable[[#This Row],[Exposure]] &lt;&gt; 0),SnapshotTable[[#This Row],[Exposure]] / SnapshotTable[[#Totals],[Exposure]], "")</f>
        <v/>
      </c>
      <c r="GY36" s="381"/>
      <c r="HE36" s="268"/>
      <c r="HF36" s="268"/>
      <c r="HG36" s="381"/>
      <c r="HH36" s="381"/>
      <c r="HI36" s="381"/>
      <c r="HJ36" s="381"/>
    </row>
    <row r="37" spans="2:224" ht="12.75" hidden="1" customHeight="1" x14ac:dyDescent="0.25">
      <c r="B37" s="12" t="s">
        <v>1089</v>
      </c>
      <c r="C37" s="422">
        <v>76.03</v>
      </c>
      <c r="D37" s="208" t="s">
        <v>578</v>
      </c>
      <c r="E37" s="39">
        <f>SnapshotTable[[#This Row],[Last Price]]*(1 -CrashDiscount)</f>
        <v>64.625500000000002</v>
      </c>
      <c r="F37" s="26"/>
      <c r="G37" s="26"/>
      <c r="H37" s="149"/>
      <c r="I37" s="194" t="s">
        <v>2</v>
      </c>
      <c r="J37" s="195"/>
      <c r="K37" s="196"/>
      <c r="L37" s="326"/>
      <c r="M37" s="140"/>
      <c r="N37" s="140"/>
      <c r="O37" s="140"/>
      <c r="P37" s="22"/>
      <c r="Q37" s="25"/>
      <c r="R37" s="4" t="str">
        <f>IF(SnapshotTable[[#This Row],[Equity Basis Total]] &gt; 0, SnapshotTable[[#This Row],[Equity Basis Total]] / SnapshotTable[[#This Row],[Equity Shares]], "")</f>
        <v/>
      </c>
      <c r="S37" s="269">
        <f>SnapshotTable[[#This Row],[Last Price]] * SnapshotTable[[#This Row],[Equity Shares]]</f>
        <v>0</v>
      </c>
      <c r="T37" s="269">
        <f>SnapshotTable[[#This Row],[Equity Value]] - SnapshotTable[[#This Row],[Equity Basis Total]]</f>
        <v>0</v>
      </c>
      <c r="U37" s="270" t="str">
        <f>IF(SnapshotTable[[#This Row],[Equity Basis Total]] &gt; 0, SnapshotTable[[#This Row],[Equity G/L]] / SnapshotTable[[#This Row],[Equity Basis Total]], "")</f>
        <v/>
      </c>
      <c r="V37" s="268">
        <v>44.2</v>
      </c>
      <c r="W37" s="26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7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0"/>
      <c r="AD37" s="151"/>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1"/>
      <c r="AI37" s="5"/>
      <c r="AJ37" s="138"/>
      <c r="AK37" s="152" t="str">
        <f>IF(ISNUMBER( SnapshotTable[[#This Row],[EBF Target]]),(SnapshotTable[[#This Row],[EBF Target]] - SnapshotTable[[#This Row],[Last Price]]) / SnapshotTable[[#This Row],[Last Price]], "")</f>
        <v/>
      </c>
      <c r="AL37" s="152"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2" t="str">
        <f>IF(AND(ISNUMBER( SnapshotTable[[#This Row],[Long Term Target]]), ISNUMBER(SnapshotTable[[#This Row],[Last Price]])),(SnapshotTable[[#This Row],[Long Term Target]] - SnapshotTable[[#This Row],[Last Price]]) / SnapshotTable[[#This Row],[Last Price]], "")</f>
        <v/>
      </c>
      <c r="AP37" s="5">
        <v>44.2</v>
      </c>
      <c r="AQ37" s="38" t="s">
        <v>89</v>
      </c>
      <c r="AR37" s="5">
        <v>38.72</v>
      </c>
      <c r="AS37" s="38" t="s">
        <v>32</v>
      </c>
      <c r="AT37" s="146"/>
      <c r="AU37" s="187" t="str">
        <f>IF(OR(SnapshotTable[[#This Row],[LP No Fill]]="Y",SnapshotTable[[#This Row],[SP Is Filled]],SnapshotTable[[#This Row],[LC Not Filled]]="Y",SnapshotTable[[#This Row],[SC Is Filled]]),"Y","")</f>
        <v/>
      </c>
      <c r="AV37" s="219"/>
      <c r="AW37" s="225"/>
      <c r="AX37" s="220"/>
      <c r="AY37" s="219" t="str">
        <f>IF(SnapshotTable[[#This Row],[Implied Move]]&gt;0, SnapshotTable[[#This Row],[Last Price]]-SnapshotTable[[#This Row],[Implied Move]],"")</f>
        <v/>
      </c>
      <c r="AZ37" s="219" t="str">
        <f>IF(SnapshotTable[[#This Row],[Implied Move]]&gt;0, SnapshotTable[[#This Row],[Last Price]] + SnapshotTable[[#This Row],[Implied Move]],"")</f>
        <v/>
      </c>
      <c r="BA37" s="331">
        <v>40.549999999999997</v>
      </c>
      <c r="BB37" s="347"/>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51"/>
      <c r="BE37" s="138"/>
      <c r="BF37" s="166"/>
      <c r="BG37" s="167"/>
      <c r="BH37" s="167"/>
      <c r="BI37" s="221"/>
      <c r="BJ37" s="153">
        <f>IF(SnapshotTable[[#This Row],[LP Qty]] &gt; 0, SnapshotTable[[#This Row],[LP Qty]] * SnapshotTable[[#This Row],[LP Book Price]] * 100,0)</f>
        <v>0</v>
      </c>
      <c r="BK37" s="136">
        <f>IF(SnapshotTable[[#This Row],[LP Premium]] &gt; 0, SnapshotTable[[#This Row],[LP Qty]] * SnapshotTable[[#This Row],[LP Strike Price]] * 100,0)</f>
        <v>0</v>
      </c>
      <c r="BL37" s="154"/>
      <c r="BM37" s="385" t="str">
        <f>IF(SnapshotTable[[#This Row],[LP Premium]] &gt; 0,SnapshotTable[[#This Row],[LP Exp Date]]-MAX(SnapshotTable[[#This Row],[LP Book Date]], SnapshotTable[[#This Row],[LP Fill Date]]),"")</f>
        <v/>
      </c>
      <c r="BN37" s="385" t="str">
        <f>IF(ISNUMBER( SnapshotTable[[#This Row],[LP Term]]), SnapshotTable[[#This Row],[LP Exp Date]] - MockToday,"")</f>
        <v/>
      </c>
      <c r="BO37" s="163"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7"/>
      <c r="BU37" s="13"/>
      <c r="BV37" s="5"/>
      <c r="BW37" s="419" t="b">
        <f>AND(ISNUMBER(SnapshotTable[[#This Row],[SP Exp Date]]), ISNUMBER(SnapshotTable[[#This Row],[SP Strike Price]]), ISNUMBER(SnapshotTable[[#This Row],[SP Qty]]), ISNUMBER(SnapshotTable[[#This Row],[SP Book Date]]), ISNUMBER(SnapshotTable[[#This Row],[SP Book Price]]))</f>
        <v>0</v>
      </c>
      <c r="BX37" s="419" t="b">
        <f>AND(SnapshotTable[[#This Row],[SP Is Booked]], NOT(ISBLANK(SnapshotTable[[#This Row],[SP Fill Date]])))</f>
        <v>0</v>
      </c>
      <c r="BY37" s="33">
        <f>IF(SnapshotTable[[#This Row],[SP Is Booked]], SnapshotTable[[#This Row],[SP Qty]] * SnapshotTable[[#This Row],[SP Book Price]] * 100, 0)</f>
        <v>0</v>
      </c>
      <c r="BZ37" s="369"/>
      <c r="CA37" s="368">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3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44"/>
      <c r="CK37" s="31">
        <f>IF(ISNUMBER(SnapshotTable[[#This Row],[SP Potential Spend]]),IF(ISNUMBER(SnapshotTable[[#This Row],[SP POW]]), SnapshotTable[[#This Row],[SP POW]] * SnapshotTable[[#This Row],[SP Potential Spend]], SnapshotTable[[#This Row],[SP Potential Spend]]), "")</f>
        <v>0</v>
      </c>
      <c r="CL37" s="164">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4"/>
      <c r="CO37" s="369"/>
      <c r="CP37" s="4" t="str">
        <f>IF(SnapshotTable[[#This Row],[SP Is Filled]], btc_max_buyback_amount(SnapshotTable[[#This Row],[SP Fill Date]],SnapshotTable[[#This Row],[SP Exp Date]], SnapshotTable[[#This Row],[SP Book Price]]),"")</f>
        <v/>
      </c>
      <c r="CQ37" s="78"/>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5" t="str">
        <f>IF(SnapshotTable[[#This Row],[SP Is Filled]], btc_next_cutoff_date(SnapshotTable[[#This Row],[SP Fill Date]],SnapshotTable[[#This Row],[SP Exp Date]]),"")</f>
        <v/>
      </c>
      <c r="CT37" s="23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6"/>
      <c r="CV37" s="235"/>
      <c r="CW37" s="378"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294" t="str">
        <f>IF(ISNUMBER((SnapshotTable[[#This Row],[SP Total Value]])), SnapshotTable[[#This Row],[SP Gain Loss]] / SnapshotTable[[#This Row],[SP Premium]], "")</f>
        <v/>
      </c>
      <c r="DI37" s="406"/>
      <c r="DJ37" s="138"/>
      <c r="DK37" s="148"/>
      <c r="DL37" s="147"/>
      <c r="DM37" s="147"/>
      <c r="DO37" s="31">
        <f>IF(SnapshotTable[[#This Row],[LC Symbol Count]]=1, SnapshotTable[[#This Row],[LC Qty]] * SnapshotTable[[#This Row],[LC Book Price]] * 100, 0)</f>
        <v>0</v>
      </c>
      <c r="DP37" s="289" t="str">
        <f>IF(AND(SnapshotTable[[#This Row],[LC Exp Date]]&gt;0, SnapshotTable[[#This Row],[LC Strike Price]]&gt;0,SnapshotTable[[#This Row],[LC Qty]]&gt;0,SnapshotTable[[#This Row],[LC Book Date]]&gt;0,SnapshotTable[[#This Row],[LC Book Price]]&gt;0,SnapshotTable[[#This Row],[LC Fill Date]]=0),"Y","")</f>
        <v/>
      </c>
      <c r="DQ37" s="386" t="str">
        <f>IF(SnapshotTable[[#This Row],[LC Premium]] &gt; 0,SnapshotTable[[#This Row],[LC Exp Date]]-MAX(SnapshotTable[[#This Row],[LC Book Date]], SnapshotTable[[#This Row],[LC Fill Date]]),"")</f>
        <v/>
      </c>
      <c r="DR37" s="386" t="str">
        <f>IF(ISNUMBER(SnapshotTable[[#This Row],[LC Term]]), SnapshotTable[[#This Row],[LC Exp Date]] - MockToday, "")</f>
        <v/>
      </c>
      <c r="DS37" s="23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40" t="str">
        <f>IF(ISNUMBER(SnapshotTable[[#This Row],[LC Actual Gain Loss]]), SnapshotTable[[#This Row],[LC Actual Gain Loss]] / SnapshotTable[[#This Row],[LC Premium]],"")</f>
        <v/>
      </c>
      <c r="DX37" s="284" t="str">
        <f>IF(ISNUMBER(SnapshotTable[[#This Row],[LC Book Price]]),SnapshotTable[[#This Row],[LC Book Price]] * 1.5,"")</f>
        <v/>
      </c>
      <c r="DY37" s="265" t="str">
        <f>IF(SnapshotTable[[#This Row],[LC Premium]]&gt;0, SnapshotTable[[#This Row],[LC Next Target]] * SnapshotTable[[#This Row],[LC Qty]] * 100,"")</f>
        <v/>
      </c>
      <c r="DZ37" s="265" t="str">
        <f>IF(ISNUMBER(SnapshotTable[[#This Row],[LC Target Gross]]), SnapshotTable[[#This Row],[LC Target Gross]] - SnapshotTable[[#This Row],[LC Premium]], "")</f>
        <v/>
      </c>
      <c r="EA37" s="305" t="str">
        <f>IF(ISNUMBER(SnapshotTable[[#This Row],[LC Target Gain Loss]]), SnapshotTable[[#This Row],[LC Target Gain Loss]]/SnapshotTable[[#This Row],[LC Premium]], "")</f>
        <v/>
      </c>
      <c r="EB37" s="262"/>
      <c r="EC37" s="283" t="str">
        <f>IF(SnapshotTable[[#This Row],[LC Premium]]&gt;0, SnapshotTable[[#This Row],[LC Book Price]] * (1 - LC_StopLoss_Pct),"")</f>
        <v/>
      </c>
      <c r="ED37" s="284"/>
      <c r="EE37" s="28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4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7"/>
      <c r="EL37" s="138"/>
      <c r="EM37" s="148"/>
      <c r="EN37" s="147"/>
      <c r="EO37" s="147"/>
      <c r="EP37" s="138"/>
      <c r="EQ37" s="419" t="b">
        <f>AND(ISNUMBER(SnapshotTable[[#This Row],[SC Exp Date]]), ISNUMBER(SnapshotTable[[#This Row],[SC Strike Price]]), ISNUMBER(SnapshotTable[[#This Row],[SC Qty]]), ISNUMBER(SnapshotTable[[#This Row],[SC Book Date]]), ISNUMBER(SnapshotTable[[#This Row],[SC Book Price]]))</f>
        <v>0</v>
      </c>
      <c r="ER37" s="419" t="b">
        <f>AND(SnapshotTable[[#This Row],[SC Is Booked]], NOT(ISBLANK(SnapshotTable[[#This Row],[SC Fill Date]])))</f>
        <v>0</v>
      </c>
      <c r="ES37" s="370"/>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3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283"/>
      <c r="FA37" s="218"/>
      <c r="FB37" s="370"/>
      <c r="FC37" s="4">
        <f>IF(SnapshotTable[[#This Row],[SC Is Filled]], btc_max_buyback_amount(SnapshotTable[[#This Row],[SC Fill Date]],SnapshotTable[[#This Row],[SC Exp Date]], SnapshotTable[[#This Row],[SC Book Price]]),0)</f>
        <v>0</v>
      </c>
      <c r="FD37" s="5"/>
      <c r="FE37" s="144"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382">
        <f>IF(SnapshotTable[[#This Row],[SC Is Filled]], IF(ISNUMBER(SnapshotTable[[#This Row],[SC Current Ask]]), SnapshotTable[[#This Row],[SC Current Ask]], SnapshotTable[[#This Row],[SC Book Price]]) - SnapshotTable[[#This Row],[SC Intrinsic Value]], 0)</f>
        <v>0</v>
      </c>
      <c r="FI37" s="143"/>
      <c r="FJ37" s="32" t="str">
        <f>IF(SnapshotTable[[#This Row],[SC Is Filled]],100 * SnapshotTable[[#This Row],[SC Qty]] * IF(ISNUMBER(SnapshotTable[[#This Row],[SC Buyback Override]]), SnapshotTable[[#This Row],[SC Buyback Override]], SnapshotTable[[#This Row],[SC Current Ask]]), "")</f>
        <v/>
      </c>
      <c r="FK37" s="250" t="str">
        <f>IF(SnapshotTable[[#This Row],[SC Time Val]]&gt;0, SnapshotTable[[#This Row],[SC Time Val]] / SnapshotTable[[#This Row],[Last Price]],"")</f>
        <v/>
      </c>
      <c r="FL37" s="302" t="str">
        <f>IF(SnapshotTable[[#This Row],[SC Is Booked]], ((SnapshotTable[[#This Row],[Last Price]] -SnapshotTable[[#This Row],[SC Strike Price]]) / SnapshotTable[[#This Row],[Last Price]]) * -1, "")</f>
        <v/>
      </c>
      <c r="FM37" s="157" t="str">
        <f>IF(SnapshotTable[[#This Row],[SC Is Booked]],  (SnapshotTable[[#This Row],[SC Qty]] * 100 * SnapshotTable[[#This Row],[SC Strike Price]]) - SnapshotTable[[#This Row],[SC Current Ask]], "")</f>
        <v/>
      </c>
      <c r="FN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7"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33"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36" t="str">
        <f>IF(AND(ISNUMBER(SnapshotTable[[#This Row],[SC Simple ROO]]),SnapshotTable[[#This Row],[SC Simple ROO]] &gt; 0), SnapshotTable[[#This Row],[SC Premium]] + (SnapshotTable[[#This Row],[SC Qty]] * SnapshotTable[[#This Row],[SC Upside Potential]]), "")</f>
        <v/>
      </c>
      <c r="FX37" s="302" t="str" cm="1">
        <f t="array" ref="FX37">IF(ISNUMBER(SnapshotTable[[#This Row],[SC Max Dollars]]), annualize(SnapshotTable[[#This Row],[SC Term]],(SnapshotTable[[#This Row],[SC Max Dollars]]/SnapshotTable[[#This Row],[SC Basis]])),"")</f>
        <v/>
      </c>
      <c r="FY37" s="236" t="str">
        <f>IF(AND(SnapshotTable[[#This Row],[SC Qty]]&gt;0,SnapshotTable[[#This Row],[SC Current Ask]]&gt;0), SnapshotTable[[#This Row],[SC Qty]] * SnapshotTable[[#This Row],[SC Current Ask]] * -100, "")</f>
        <v/>
      </c>
      <c r="FZ37" s="235" t="str">
        <f>IF(ISNUMBER((SnapshotTable[[#This Row],[SC Current Value]])), SnapshotTable[[#This Row],[SC Premium]] + SnapshotTable[[#This Row],[SC Current Value]], "")</f>
        <v/>
      </c>
      <c r="GA37" s="29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148.2585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8" t="str">
        <f>IF(SnapshotTable[[#This Row],[Sale G/L]]&gt;0, SnapshotTable[[#This Row],[Sale G/L]] / SnapshotTable[[#This Row],[Sale Basis]], IF(ISNUMBER(SnapshotTable[[#This Row],[SC Exercise P&amp;L (TAX)]]), SnapshotTable[[#This Row],[SC Exercise P&amp;L (TAX)]] / SnapshotTable[[#This Row],[SC Basis]], ""))</f>
        <v/>
      </c>
      <c r="GK37" s="27"/>
      <c r="GL37" s="159"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59" t="str">
        <f>IF(AND(SnapshotTable[[#This Row],[LC Exp Date]]&gt;0,SnapshotTable[[#This Row],[LC Strike Price]]&gt;0), [1]!ToOptionSymbol(SnapshotTable[[#This Row],[Symbol]], SnapshotTable[[#This Row],[LC Strike Price]],SnapshotTable[[#This Row],[LC Exp Date]],0), "")</f>
        <v/>
      </c>
      <c r="GQ37" s="160" t="str">
        <f>IF(LEN(SnapshotTable[[#This Row],[LC Symbol]])&gt;0, 1, "")</f>
        <v/>
      </c>
      <c r="GR37" s="159" t="str">
        <f>IF(AND(SnapshotTable[[#This Row],[SC Exp Date]]&gt;0,SnapshotTable[[#This Row],[SC Strike Price]]&gt;0), [1]!ToOptionSymbol(SnapshotTable[[#This Row],[Symbol]], SnapshotTable[[#This Row],[SC Strike Price]],SnapshotTable[[#This Row],[SC Exp Date]],0), "")</f>
        <v/>
      </c>
      <c r="GS37" s="160" t="str">
        <f>IF(LEN(SnapshotTable[[#This Row],[SC Symbol]])&gt;0, 1, "")</f>
        <v/>
      </c>
      <c r="GT37" s="161"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31">
        <f>MAX(SnapshotTable[[#This Row],[Equity Basis Total]],SnapshotTable[[#This Row],[Equity Value]]) + (SnapshotTable[[#This Row],[SP Potential Spend]]- SnapshotTable[[#This Row],[SP Premium]] + SnapshotTable[[#This Row],[LP Premium]])+ (SnapshotTable[[#This Row],[LC Premium]] - SnapshotTable[[#This Row],[SC Premium]])</f>
        <v>0</v>
      </c>
      <c r="GW37" s="139" t="str">
        <f>IF(AND(SnapshotTable[[#This Row],[Exposure]] &lt;&gt; 0),SnapshotTable[[#This Row],[Exposure]] / SnapshotTable[[#Totals],[Exposure]], "")</f>
        <v/>
      </c>
      <c r="HE37" s="268"/>
      <c r="HF37" s="268"/>
      <c r="HK37" s="1"/>
      <c r="HL37" s="1"/>
      <c r="HM37" s="1"/>
      <c r="HN37" s="1"/>
      <c r="HO37" s="1"/>
      <c r="HP37" s="1"/>
    </row>
    <row r="38" spans="2:224" ht="12.75" hidden="1" customHeight="1" x14ac:dyDescent="0.25">
      <c r="B38" s="12" t="s">
        <v>1164</v>
      </c>
      <c r="C38" s="422">
        <v>283.39999999999998</v>
      </c>
      <c r="D38" s="208" t="s">
        <v>578</v>
      </c>
      <c r="E38" s="39">
        <f>SnapshotTable[[#This Row],[Last Price]]*(1 -CrashDiscount)</f>
        <v>240.89</v>
      </c>
      <c r="F38" s="26" t="s">
        <v>614</v>
      </c>
      <c r="G38" s="325" t="s">
        <v>9</v>
      </c>
      <c r="H38" s="149"/>
      <c r="I38" s="194"/>
      <c r="J38" s="195"/>
      <c r="K38" s="196"/>
      <c r="L38" s="326"/>
      <c r="M38" s="140"/>
      <c r="N38" s="140"/>
      <c r="O38" s="140"/>
      <c r="P38" s="22"/>
      <c r="Q38" s="25"/>
      <c r="R38" s="4" t="str">
        <f>IF(SnapshotTable[[#This Row],[Equity Basis Total]] &gt; 0, SnapshotTable[[#This Row],[Equity Basis Total]] / SnapshotTable[[#This Row],[Equity Shares]], "")</f>
        <v/>
      </c>
      <c r="S38" s="269">
        <f>SnapshotTable[[#This Row],[Last Price]] * SnapshotTable[[#This Row],[Equity Shares]]</f>
        <v>0</v>
      </c>
      <c r="T38" s="269">
        <f>SnapshotTable[[#This Row],[Equity Value]] - SnapshotTable[[#This Row],[Equity Basis Total]]</f>
        <v>0</v>
      </c>
      <c r="U38" s="270" t="str">
        <f>IF(SnapshotTable[[#This Row],[Equity Basis Total]] &gt; 0, SnapshotTable[[#This Row],[Equity G/L]] / SnapshotTable[[#This Row],[Equity Basis Total]], "")</f>
        <v/>
      </c>
      <c r="V38" s="268"/>
      <c r="W38" s="26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7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0"/>
      <c r="AD38" s="151"/>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1"/>
      <c r="AI38" s="5"/>
      <c r="AJ38" s="138"/>
      <c r="AK38" s="152" t="str">
        <f>IF(ISNUMBER( SnapshotTable[[#This Row],[EBF Target]]),(SnapshotTable[[#This Row],[EBF Target]] - SnapshotTable[[#This Row],[Last Price]]) / SnapshotTable[[#This Row],[Last Price]], "")</f>
        <v/>
      </c>
      <c r="AL38" s="152"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2" t="str">
        <f>IF(AND(ISNUMBER( SnapshotTable[[#This Row],[Long Term Target]]), ISNUMBER(SnapshotTable[[#This Row],[Last Price]])),(SnapshotTable[[#This Row],[Long Term Target]] - SnapshotTable[[#This Row],[Last Price]]) / SnapshotTable[[#This Row],[Last Price]], "")</f>
        <v/>
      </c>
      <c r="AP38" s="5"/>
      <c r="AQ38" s="38"/>
      <c r="AR38" s="5"/>
      <c r="AS38" s="38"/>
      <c r="AT38" s="146"/>
      <c r="AU38" s="187" t="str">
        <f>IF(OR(SnapshotTable[[#This Row],[LP No Fill]]="Y",SnapshotTable[[#This Row],[SP Is Filled]],SnapshotTable[[#This Row],[LC Not Filled]]="Y",SnapshotTable[[#This Row],[SC Is Filled]]),"Y","")</f>
        <v/>
      </c>
      <c r="AV38" s="219"/>
      <c r="AW38" s="225"/>
      <c r="AX38" s="220"/>
      <c r="AY38" s="219" t="str">
        <f>IF(SnapshotTable[[#This Row],[Implied Move]]&gt;0, SnapshotTable[[#This Row],[Last Price]]-SnapshotTable[[#This Row],[Implied Move]],"")</f>
        <v/>
      </c>
      <c r="AZ38" s="219" t="str">
        <f>IF(SnapshotTable[[#This Row],[Implied Move]]&gt;0, SnapshotTable[[#This Row],[Last Price]] + SnapshotTable[[#This Row],[Implied Move]],"")</f>
        <v/>
      </c>
      <c r="BA38" s="331">
        <v>118.56</v>
      </c>
      <c r="BB38" s="347"/>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51"/>
      <c r="BE38" s="5"/>
      <c r="BF38" s="14"/>
      <c r="BG38" s="13"/>
      <c r="BH38" s="13"/>
      <c r="BI38" s="5"/>
      <c r="BJ38" s="136">
        <f>IF(SnapshotTable[[#This Row],[LP Qty]] &gt; 0, SnapshotTable[[#This Row],[LP Qty]] * SnapshotTable[[#This Row],[LP Book Price]] * 100,0)</f>
        <v>0</v>
      </c>
      <c r="BK38" s="136">
        <f>IF(SnapshotTable[[#This Row],[LP Premium]] &gt; 0, SnapshotTable[[#This Row],[LP Qty]] * SnapshotTable[[#This Row],[LP Strike Price]] * 100,0)</f>
        <v>0</v>
      </c>
      <c r="BL38" s="154"/>
      <c r="BM38" s="385" t="str">
        <f>IF(SnapshotTable[[#This Row],[LP Premium]] &gt; 0,SnapshotTable[[#This Row],[LP Exp Date]]-MAX(SnapshotTable[[#This Row],[LP Book Date]], SnapshotTable[[#This Row],[LP Fill Date]]),"")</f>
        <v/>
      </c>
      <c r="BN38" s="385" t="str">
        <f>IF(ISNUMBER( SnapshotTable[[#This Row],[LP Term]]), SnapshotTable[[#This Row],[LP Exp Date]] - MockToday,"")</f>
        <v/>
      </c>
      <c r="BO38" s="163"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7"/>
      <c r="BU38" s="13"/>
      <c r="BV38" s="5"/>
      <c r="BW38" s="419" t="b">
        <f>AND(ISNUMBER(SnapshotTable[[#This Row],[SP Exp Date]]), ISNUMBER(SnapshotTable[[#This Row],[SP Strike Price]]), ISNUMBER(SnapshotTable[[#This Row],[SP Qty]]), ISNUMBER(SnapshotTable[[#This Row],[SP Book Date]]), ISNUMBER(SnapshotTable[[#This Row],[SP Book Price]]))</f>
        <v>0</v>
      </c>
      <c r="BX38" s="419" t="b">
        <f>AND(SnapshotTable[[#This Row],[SP Is Booked]], NOT(ISBLANK(SnapshotTable[[#This Row],[SP Fill Date]])))</f>
        <v>0</v>
      </c>
      <c r="BY38" s="33">
        <f>IF(SnapshotTable[[#This Row],[SP Is Booked]], SnapshotTable[[#This Row],[SP Qty]] * SnapshotTable[[#This Row],[SP Book Price]] * 100, 0)</f>
        <v>0</v>
      </c>
      <c r="BZ38" s="369"/>
      <c r="CA38" s="368">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3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44"/>
      <c r="CK38" s="31">
        <f>IF(ISNUMBER(SnapshotTable[[#This Row],[SP Potential Spend]]),IF(ISNUMBER(SnapshotTable[[#This Row],[SP POW]]), SnapshotTable[[#This Row],[SP POW]] * SnapshotTable[[#This Row],[SP Potential Spend]], SnapshotTable[[#This Row],[SP Potential Spend]]), "")</f>
        <v>0</v>
      </c>
      <c r="CL38" s="164">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8"/>
      <c r="CO38" s="369"/>
      <c r="CP38" s="4" t="str">
        <f>IF(SnapshotTable[[#This Row],[SP Is Filled]], btc_max_buyback_amount(SnapshotTable[[#This Row],[SP Fill Date]],SnapshotTable[[#This Row],[SP Exp Date]], SnapshotTable[[#This Row],[SP Book Price]]),"")</f>
        <v/>
      </c>
      <c r="CQ38" s="78"/>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5" t="str">
        <f>IF(SnapshotTable[[#This Row],[SP Is Filled]], btc_next_cutoff_date(SnapshotTable[[#This Row],[SP Fill Date]],SnapshotTable[[#This Row],[SP Exp Date]]),"")</f>
        <v/>
      </c>
      <c r="CT38" s="23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6"/>
      <c r="CV38" s="235"/>
      <c r="CW38" s="378"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294" t="str">
        <f>IF(ISNUMBER((SnapshotTable[[#This Row],[SP Total Value]])), SnapshotTable[[#This Row],[SP Gain Loss]] / SnapshotTable[[#This Row],[SP Premium]], "")</f>
        <v/>
      </c>
      <c r="DI38" s="406"/>
      <c r="DJ38" s="138"/>
      <c r="DK38" s="148"/>
      <c r="DL38" s="13"/>
      <c r="DM38" s="13"/>
      <c r="DO38" s="31">
        <f>IF(SnapshotTable[[#This Row],[LC Symbol Count]]=1, SnapshotTable[[#This Row],[LC Qty]] * SnapshotTable[[#This Row],[LC Book Price]] * 100, 0)</f>
        <v>0</v>
      </c>
      <c r="DP38" s="163" t="str">
        <f>IF(AND(SnapshotTable[[#This Row],[LC Exp Date]]&gt;0, SnapshotTable[[#This Row],[LC Strike Price]]&gt;0,SnapshotTable[[#This Row],[LC Qty]]&gt;0,SnapshotTable[[#This Row],[LC Book Date]]&gt;0,SnapshotTable[[#This Row],[LC Book Price]]&gt;0,SnapshotTable[[#This Row],[LC Fill Date]]=0),"Y","")</f>
        <v/>
      </c>
      <c r="DQ38" s="386" t="str">
        <f>IF(SnapshotTable[[#This Row],[LC Premium]] &gt; 0,SnapshotTable[[#This Row],[LC Exp Date]]-MAX(SnapshotTable[[#This Row],[LC Book Date]], SnapshotTable[[#This Row],[LC Fill Date]]),"")</f>
        <v/>
      </c>
      <c r="DR38" s="386" t="str">
        <f>IF(ISNUMBER(SnapshotTable[[#This Row],[LC Term]]), SnapshotTable[[#This Row],[LC Exp Date]] - MockToday, "")</f>
        <v/>
      </c>
      <c r="DS38" s="23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40" t="str">
        <f>IF(ISNUMBER(SnapshotTable[[#This Row],[LC Actual Gain Loss]]), SnapshotTable[[#This Row],[LC Actual Gain Loss]] / SnapshotTable[[#This Row],[LC Premium]],"")</f>
        <v/>
      </c>
      <c r="DX38" s="284" t="str">
        <f>IF(ISNUMBER(SnapshotTable[[#This Row],[LC Book Price]]),SnapshotTable[[#This Row],[LC Book Price]] * 1.5,"")</f>
        <v/>
      </c>
      <c r="DY38" s="265" t="str">
        <f>IF(SnapshotTable[[#This Row],[LC Premium]]&gt;0, SnapshotTable[[#This Row],[LC Next Target]] * SnapshotTable[[#This Row],[LC Qty]] * 100,"")</f>
        <v/>
      </c>
      <c r="DZ38" s="265" t="str">
        <f>IF(ISNUMBER(SnapshotTable[[#This Row],[LC Target Gross]]), SnapshotTable[[#This Row],[LC Target Gross]] - SnapshotTable[[#This Row],[LC Premium]], "")</f>
        <v/>
      </c>
      <c r="EA38" s="305" t="str">
        <f>IF(ISNUMBER(SnapshotTable[[#This Row],[LC Target Gain Loss]]), SnapshotTable[[#This Row],[LC Target Gain Loss]]/SnapshotTable[[#This Row],[LC Premium]], "")</f>
        <v/>
      </c>
      <c r="EB38" s="262"/>
      <c r="EC38" s="283" t="str">
        <f>IF(SnapshotTable[[#This Row],[LC Premium]]&gt;0, SnapshotTable[[#This Row],[LC Book Price]] * (1 - LC_StopLoss_Pct),"")</f>
        <v/>
      </c>
      <c r="ED38" s="284"/>
      <c r="EE38" s="28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4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7"/>
      <c r="EL38" s="138"/>
      <c r="EM38" s="148"/>
      <c r="EN38" s="147"/>
      <c r="EO38" s="147"/>
      <c r="EP38" s="138"/>
      <c r="EQ38" s="419" t="b">
        <f>AND(ISNUMBER(SnapshotTable[[#This Row],[SC Exp Date]]), ISNUMBER(SnapshotTable[[#This Row],[SC Strike Price]]), ISNUMBER(SnapshotTable[[#This Row],[SC Qty]]), ISNUMBER(SnapshotTable[[#This Row],[SC Book Date]]), ISNUMBER(SnapshotTable[[#This Row],[SC Book Price]]))</f>
        <v>0</v>
      </c>
      <c r="ER38" s="419" t="b">
        <f>AND(SnapshotTable[[#This Row],[SC Is Booked]], NOT(ISBLANK(SnapshotTable[[#This Row],[SC Fill Date]])))</f>
        <v>0</v>
      </c>
      <c r="ES38" s="370"/>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3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283"/>
      <c r="FA38" s="218"/>
      <c r="FB38" s="370"/>
      <c r="FC38" s="4">
        <f>IF(SnapshotTable[[#This Row],[SC Is Filled]], btc_max_buyback_amount(SnapshotTable[[#This Row],[SC Fill Date]],SnapshotTable[[#This Row],[SC Exp Date]], SnapshotTable[[#This Row],[SC Book Price]]),0)</f>
        <v>0</v>
      </c>
      <c r="FD38" s="5"/>
      <c r="FE38" s="144"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382">
        <f>IF(SnapshotTable[[#This Row],[SC Is Filled]], IF(ISNUMBER(SnapshotTable[[#This Row],[SC Current Ask]]), SnapshotTable[[#This Row],[SC Current Ask]], SnapshotTable[[#This Row],[SC Book Price]]) - SnapshotTable[[#This Row],[SC Intrinsic Value]], 0)</f>
        <v>0</v>
      </c>
      <c r="FI38" s="143"/>
      <c r="FJ38" s="32" t="str">
        <f>IF(SnapshotTable[[#This Row],[SC Is Filled]],100 * SnapshotTable[[#This Row],[SC Qty]] * IF(ISNUMBER(SnapshotTable[[#This Row],[SC Buyback Override]]), SnapshotTable[[#This Row],[SC Buyback Override]], SnapshotTable[[#This Row],[SC Current Ask]]), "")</f>
        <v/>
      </c>
      <c r="FK38" s="250" t="str">
        <f>IF(SnapshotTable[[#This Row],[SC Time Val]]&gt;0, SnapshotTable[[#This Row],[SC Time Val]] / SnapshotTable[[#This Row],[Last Price]],"")</f>
        <v/>
      </c>
      <c r="FL38" s="302" t="str">
        <f>IF(SnapshotTable[[#This Row],[SC Is Booked]], ((SnapshotTable[[#This Row],[Last Price]] -SnapshotTable[[#This Row],[SC Strike Price]]) / SnapshotTable[[#This Row],[Last Price]]) * -1, "")</f>
        <v/>
      </c>
      <c r="FM38" s="157"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33"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36" t="str">
        <f>IF(AND(ISNUMBER(SnapshotTable[[#This Row],[SC Simple ROO]]),SnapshotTable[[#This Row],[SC Simple ROO]] &gt; 0), SnapshotTable[[#This Row],[SC Premium]] + (SnapshotTable[[#This Row],[SC Qty]] * SnapshotTable[[#This Row],[SC Upside Potential]]), "")</f>
        <v/>
      </c>
      <c r="FX38" s="302" t="str" cm="1">
        <f t="array" ref="FX38">IF(ISNUMBER(SnapshotTable[[#This Row],[SC Max Dollars]]), annualize(SnapshotTable[[#This Row],[SC Term]],(SnapshotTable[[#This Row],[SC Max Dollars]]/SnapshotTable[[#This Row],[SC Basis]])),"")</f>
        <v/>
      </c>
      <c r="FY38" s="23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29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552.63</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31">
        <f>MAX(SnapshotTable[[#This Row],[Equity Basis Total]],SnapshotTable[[#This Row],[Equity Value]]) + (SnapshotTable[[#This Row],[SP Potential Spend]]- SnapshotTable[[#This Row],[SP Premium]] + SnapshotTable[[#This Row],[LP Premium]])+ (SnapshotTable[[#This Row],[LC Premium]] - SnapshotTable[[#This Row],[SC Premium]])</f>
        <v>0</v>
      </c>
      <c r="GW38" s="139" t="str">
        <f>IF(AND(SnapshotTable[[#This Row],[Exposure]] &lt;&gt; 0),SnapshotTable[[#This Row],[Exposure]] / SnapshotTable[[#Totals],[Exposure]], "")</f>
        <v/>
      </c>
      <c r="HE38" s="268"/>
      <c r="HF38" s="268"/>
      <c r="HK38" s="1"/>
      <c r="HL38" s="1"/>
      <c r="HM38" s="1"/>
      <c r="HN38" s="1"/>
      <c r="HO38" s="1"/>
      <c r="HP38" s="1"/>
    </row>
    <row r="39" spans="2:224" s="47" customFormat="1" ht="12.75" hidden="1" customHeight="1" x14ac:dyDescent="0.25">
      <c r="B39" s="12" t="s">
        <v>248</v>
      </c>
      <c r="C39" s="422">
        <v>25.22</v>
      </c>
      <c r="D39" s="208"/>
      <c r="E39" s="39">
        <f>SnapshotTable[[#This Row],[Last Price]]*(1 -CrashDiscount)</f>
        <v>21.436999999999998</v>
      </c>
      <c r="F39" s="26" t="s">
        <v>1042</v>
      </c>
      <c r="G39" s="26" t="s">
        <v>872</v>
      </c>
      <c r="H39" s="149"/>
      <c r="I39" s="194">
        <v>44775.28125</v>
      </c>
      <c r="J39" s="195">
        <v>44775.28125</v>
      </c>
      <c r="K39" s="196"/>
      <c r="L39" s="326"/>
      <c r="M39" s="140"/>
      <c r="N39" s="140"/>
      <c r="O39" s="140"/>
      <c r="P39" s="22"/>
      <c r="Q39" s="25"/>
      <c r="R39" s="4" t="str">
        <f>IF(SnapshotTable[[#This Row],[Equity Basis Total]] &gt; 0, SnapshotTable[[#This Row],[Equity Basis Total]] / SnapshotTable[[#This Row],[Equity Shares]], "")</f>
        <v/>
      </c>
      <c r="S39" s="269">
        <f>SnapshotTable[[#This Row],[Last Price]] * SnapshotTable[[#This Row],[Equity Shares]]</f>
        <v>0</v>
      </c>
      <c r="T39" s="269">
        <f>SnapshotTable[[#This Row],[Equity Value]] - SnapshotTable[[#This Row],[Equity Basis Total]]</f>
        <v>0</v>
      </c>
      <c r="U39" s="270" t="str">
        <f>IF(SnapshotTable[[#This Row],[Equity Basis Total]] &gt; 0, SnapshotTable[[#This Row],[Equity G/L]] / SnapshotTable[[#This Row],[Equity Basis Total]], "")</f>
        <v/>
      </c>
      <c r="V39" s="268"/>
      <c r="W39" s="26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7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0">
        <v>0.24</v>
      </c>
      <c r="AD39" s="151">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1">
        <v>43040</v>
      </c>
      <c r="AI39" s="5">
        <v>31</v>
      </c>
      <c r="AJ39" s="138">
        <v>36.33</v>
      </c>
      <c r="AK39" s="152">
        <f>IF(ISNUMBER( SnapshotTable[[#This Row],[EBF Target]]),(SnapshotTable[[#This Row],[EBF Target]] - SnapshotTable[[#This Row],[Last Price]]) / SnapshotTable[[#This Row],[Last Price]], "")</f>
        <v>0.22918318794607459</v>
      </c>
      <c r="AL39" s="152"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2">
        <f>IF(AND(ISNUMBER( SnapshotTable[[#This Row],[Long Term Target]]), ISNUMBER(SnapshotTable[[#This Row],[Last Price]])),(SnapshotTable[[#This Row],[Long Term Target]] - SnapshotTable[[#This Row],[Last Price]]) / SnapshotTable[[#This Row],[Last Price]], "")</f>
        <v>0.44052339413164154</v>
      </c>
      <c r="AP39" s="5">
        <v>8</v>
      </c>
      <c r="AQ39" s="38" t="s">
        <v>27</v>
      </c>
      <c r="AR39" s="5">
        <v>8</v>
      </c>
      <c r="AS39" s="38" t="s">
        <v>38</v>
      </c>
      <c r="AT39" s="146" t="s">
        <v>542</v>
      </c>
      <c r="AU39" s="187" t="str">
        <f>IF(OR(SnapshotTable[[#This Row],[LP No Fill]]="Y",SnapshotTable[[#This Row],[SP Is Filled]],SnapshotTable[[#This Row],[LC Not Filled]]="Y",SnapshotTable[[#This Row],[SC Is Filled]]),"Y","")</f>
        <v/>
      </c>
      <c r="AV39" s="219"/>
      <c r="AW39" s="225"/>
      <c r="AX39" s="220"/>
      <c r="AY39" s="219" t="str">
        <f>IF(SnapshotTable[[#This Row],[Implied Move]]&gt;0, SnapshotTable[[#This Row],[Last Price]]-SnapshotTable[[#This Row],[Implied Move]],"")</f>
        <v/>
      </c>
      <c r="AZ39" s="219" t="str">
        <f>IF(SnapshotTable[[#This Row],[Implied Move]]&gt;0, SnapshotTable[[#This Row],[Last Price]] + SnapshotTable[[#This Row],[Implied Move]],"")</f>
        <v/>
      </c>
      <c r="BA39" s="331"/>
      <c r="BB39" s="347"/>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51"/>
      <c r="BE39" s="5"/>
      <c r="BF39" s="14"/>
      <c r="BG39" s="13"/>
      <c r="BH39" s="13"/>
      <c r="BI39" s="5"/>
      <c r="BJ39" s="136">
        <f>IF(SnapshotTable[[#This Row],[LP Qty]] &gt; 0, SnapshotTable[[#This Row],[LP Qty]] * SnapshotTable[[#This Row],[LP Book Price]] * 100,0)</f>
        <v>0</v>
      </c>
      <c r="BK39" s="136">
        <f>IF(SnapshotTable[[#This Row],[LP Premium]] &gt; 0, SnapshotTable[[#This Row],[LP Qty]] * SnapshotTable[[#This Row],[LP Strike Price]] * 100,0)</f>
        <v>0</v>
      </c>
      <c r="BL39" s="154"/>
      <c r="BM39" s="385" t="str">
        <f>IF(SnapshotTable[[#This Row],[LP Premium]] &gt; 0,SnapshotTable[[#This Row],[LP Exp Date]]-MAX(SnapshotTable[[#This Row],[LP Book Date]], SnapshotTable[[#This Row],[LP Fill Date]]),"")</f>
        <v/>
      </c>
      <c r="BN39" s="385" t="str">
        <f>IF(ISNUMBER( SnapshotTable[[#This Row],[LP Term]]), SnapshotTable[[#This Row],[LP Exp Date]] - MockToday,"")</f>
        <v/>
      </c>
      <c r="BO39" s="163"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7"/>
      <c r="BU39" s="13"/>
      <c r="BV39" s="5"/>
      <c r="BW39" s="419" t="b">
        <f>AND(ISNUMBER(SnapshotTable[[#This Row],[SP Exp Date]]), ISNUMBER(SnapshotTable[[#This Row],[SP Strike Price]]), ISNUMBER(SnapshotTable[[#This Row],[SP Qty]]), ISNUMBER(SnapshotTable[[#This Row],[SP Book Date]]), ISNUMBER(SnapshotTable[[#This Row],[SP Book Price]]))</f>
        <v>0</v>
      </c>
      <c r="BX39" s="419" t="b">
        <f>AND(SnapshotTable[[#This Row],[SP Is Booked]], NOT(ISBLANK(SnapshotTable[[#This Row],[SP Fill Date]])))</f>
        <v>0</v>
      </c>
      <c r="BY39" s="33">
        <f>IF(SnapshotTable[[#This Row],[SP Is Booked]], SnapshotTable[[#This Row],[SP Qty]] * SnapshotTable[[#This Row],[SP Book Price]] * 100, 0)</f>
        <v>0</v>
      </c>
      <c r="BZ39" s="369"/>
      <c r="CA39" s="368">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3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44"/>
      <c r="CK39" s="31">
        <f>IF(ISNUMBER(SnapshotTable[[#This Row],[SP Potential Spend]]),IF(ISNUMBER(SnapshotTable[[#This Row],[SP POW]]), SnapshotTable[[#This Row],[SP POW]] * SnapshotTable[[#This Row],[SP Potential Spend]], SnapshotTable[[#This Row],[SP Potential Spend]]), "")</f>
        <v>0</v>
      </c>
      <c r="CL39" s="164">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8"/>
      <c r="CO39" s="369"/>
      <c r="CP39" s="4" t="str">
        <f>IF(SnapshotTable[[#This Row],[SP Is Filled]], btc_max_buyback_amount(SnapshotTable[[#This Row],[SP Fill Date]],SnapshotTable[[#This Row],[SP Exp Date]], SnapshotTable[[#This Row],[SP Book Price]]),"")</f>
        <v/>
      </c>
      <c r="CQ39" s="78"/>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5" t="str">
        <f>IF(SnapshotTable[[#This Row],[SP Is Filled]], btc_next_cutoff_date(SnapshotTable[[#This Row],[SP Fill Date]],SnapshotTable[[#This Row],[SP Exp Date]]),"")</f>
        <v/>
      </c>
      <c r="CT39" s="23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3"/>
      <c r="CV39" s="235"/>
      <c r="CW39" s="378"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294" t="str">
        <f>IF(ISNUMBER((SnapshotTable[[#This Row],[SP Total Value]])), SnapshotTable[[#This Row],[SP Gain Loss]] / SnapshotTable[[#This Row],[SP Premium]], "")</f>
        <v/>
      </c>
      <c r="DI39" s="406"/>
      <c r="DJ39" s="138"/>
      <c r="DK39" s="148"/>
      <c r="DL39" s="13"/>
      <c r="DM39" s="13"/>
      <c r="DN39" s="5"/>
      <c r="DO39" s="31">
        <f>IF(SnapshotTable[[#This Row],[LC Symbol Count]]=1, SnapshotTable[[#This Row],[LC Qty]] * SnapshotTable[[#This Row],[LC Book Price]] * 100, 0)</f>
        <v>0</v>
      </c>
      <c r="DP39" s="163" t="str">
        <f>IF(AND(SnapshotTable[[#This Row],[LC Exp Date]]&gt;0, SnapshotTable[[#This Row],[LC Strike Price]]&gt;0,SnapshotTable[[#This Row],[LC Qty]]&gt;0,SnapshotTable[[#This Row],[LC Book Date]]&gt;0,SnapshotTable[[#This Row],[LC Book Price]]&gt;0,SnapshotTable[[#This Row],[LC Fill Date]]=0),"Y","")</f>
        <v/>
      </c>
      <c r="DQ39" s="386" t="str">
        <f>IF(SnapshotTable[[#This Row],[LC Premium]] &gt; 0,SnapshotTable[[#This Row],[LC Exp Date]]-MAX(SnapshotTable[[#This Row],[LC Book Date]], SnapshotTable[[#This Row],[LC Fill Date]]),"")</f>
        <v/>
      </c>
      <c r="DR39" s="386" t="str">
        <f>IF(ISNUMBER(SnapshotTable[[#This Row],[LC Term]]), SnapshotTable[[#This Row],[LC Exp Date]] - MockToday, "")</f>
        <v/>
      </c>
      <c r="DS39" s="23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40" t="str">
        <f>IF(ISNUMBER(SnapshotTable[[#This Row],[LC Actual Gain Loss]]), SnapshotTable[[#This Row],[LC Actual Gain Loss]] / SnapshotTable[[#This Row],[LC Premium]],"")</f>
        <v/>
      </c>
      <c r="DX39" s="284" t="str">
        <f>IF(ISNUMBER(SnapshotTable[[#This Row],[LC Book Price]]),SnapshotTable[[#This Row],[LC Book Price]] * 1.5,"")</f>
        <v/>
      </c>
      <c r="DY39" s="265" t="str">
        <f>IF(SnapshotTable[[#This Row],[LC Premium]]&gt;0, SnapshotTable[[#This Row],[LC Next Target]] * SnapshotTable[[#This Row],[LC Qty]] * 100,"")</f>
        <v/>
      </c>
      <c r="DZ39" s="265" t="str">
        <f>IF(ISNUMBER(SnapshotTable[[#This Row],[LC Target Gross]]), SnapshotTable[[#This Row],[LC Target Gross]] - SnapshotTable[[#This Row],[LC Premium]], "")</f>
        <v/>
      </c>
      <c r="EA39" s="305" t="str">
        <f>IF(ISNUMBER(SnapshotTable[[#This Row],[LC Target Gain Loss]]), SnapshotTable[[#This Row],[LC Target Gain Loss]]/SnapshotTable[[#This Row],[LC Premium]], "")</f>
        <v/>
      </c>
      <c r="EB39" s="262"/>
      <c r="EC39" s="283" t="str">
        <f>IF(SnapshotTable[[#This Row],[LC Premium]]&gt;0, SnapshotTable[[#This Row],[LC Book Price]] * (1 - LC_StopLoss_Pct),"")</f>
        <v/>
      </c>
      <c r="ED39" s="284"/>
      <c r="EE39" s="28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4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7"/>
      <c r="EL39" s="138"/>
      <c r="EM39" s="148"/>
      <c r="EN39" s="147"/>
      <c r="EO39" s="147"/>
      <c r="EP39" s="138"/>
      <c r="EQ39" s="419" t="b">
        <f>AND(ISNUMBER(SnapshotTable[[#This Row],[SC Exp Date]]), ISNUMBER(SnapshotTable[[#This Row],[SC Strike Price]]), ISNUMBER(SnapshotTable[[#This Row],[SC Qty]]), ISNUMBER(SnapshotTable[[#This Row],[SC Book Date]]), ISNUMBER(SnapshotTable[[#This Row],[SC Book Price]]))</f>
        <v>0</v>
      </c>
      <c r="ER39" s="419" t="b">
        <f>AND(SnapshotTable[[#This Row],[SC Is Booked]], NOT(ISBLANK(SnapshotTable[[#This Row],[SC Fill Date]])))</f>
        <v>0</v>
      </c>
      <c r="ES39" s="370"/>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3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283"/>
      <c r="FA39" s="218"/>
      <c r="FB39" s="370"/>
      <c r="FC39" s="4">
        <f>IF(SnapshotTable[[#This Row],[SC Is Filled]], btc_max_buyback_amount(SnapshotTable[[#This Row],[SC Fill Date]],SnapshotTable[[#This Row],[SC Exp Date]], SnapshotTable[[#This Row],[SC Book Price]]),0)</f>
        <v>0</v>
      </c>
      <c r="FD39" s="5"/>
      <c r="FE39" s="144"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382">
        <f>IF(SnapshotTable[[#This Row],[SC Is Filled]], IF(ISNUMBER(SnapshotTable[[#This Row],[SC Current Ask]]), SnapshotTable[[#This Row],[SC Current Ask]], SnapshotTable[[#This Row],[SC Book Price]]) - SnapshotTable[[#This Row],[SC Intrinsic Value]], 0)</f>
        <v>0</v>
      </c>
      <c r="FI39" s="143"/>
      <c r="FJ39" s="32" t="str">
        <f>IF(SnapshotTable[[#This Row],[SC Is Filled]],100 * SnapshotTable[[#This Row],[SC Qty]] * IF(ISNUMBER(SnapshotTable[[#This Row],[SC Buyback Override]]), SnapshotTable[[#This Row],[SC Buyback Override]], SnapshotTable[[#This Row],[SC Current Ask]]), "")</f>
        <v/>
      </c>
      <c r="FK39" s="250" t="str">
        <f>IF(SnapshotTable[[#This Row],[SC Time Val]]&gt;0, SnapshotTable[[#This Row],[SC Time Val]] / SnapshotTable[[#This Row],[Last Price]],"")</f>
        <v/>
      </c>
      <c r="FL39" s="302" t="str">
        <f>IF(SnapshotTable[[#This Row],[SC Is Booked]], ((SnapshotTable[[#This Row],[Last Price]] -SnapshotTable[[#This Row],[SC Strike Price]]) / SnapshotTable[[#This Row],[Last Price]]) * -1, "")</f>
        <v/>
      </c>
      <c r="FM39" s="157"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33"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36" t="str">
        <f>IF(AND(ISNUMBER(SnapshotTable[[#This Row],[SC Simple ROO]]),SnapshotTable[[#This Row],[SC Simple ROO]] &gt; 0), SnapshotTable[[#This Row],[SC Premium]] + (SnapshotTable[[#This Row],[SC Qty]] * SnapshotTable[[#This Row],[SC Upside Potential]]), "")</f>
        <v/>
      </c>
      <c r="FX39" s="302" t="str" cm="1">
        <f t="array" ref="FX39">IF(ISNUMBER(SnapshotTable[[#This Row],[SC Max Dollars]]), annualize(SnapshotTable[[#This Row],[SC Term]],(SnapshotTable[[#This Row],[SC Max Dollars]]/SnapshotTable[[#This Row],[SC Basis]])),"")</f>
        <v/>
      </c>
      <c r="FY39" s="23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29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638</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31">
        <f>MAX(SnapshotTable[[#This Row],[Equity Basis Total]],SnapshotTable[[#This Row],[Equity Value]]) + (SnapshotTable[[#This Row],[SP Potential Spend]]- SnapshotTable[[#This Row],[SP Premium]] + SnapshotTable[[#This Row],[LP Premium]])+ (SnapshotTable[[#This Row],[LC Premium]] - SnapshotTable[[#This Row],[SC Premium]])</f>
        <v>0</v>
      </c>
      <c r="GW39" s="139" t="str">
        <f>IF(AND(SnapshotTable[[#This Row],[Exposure]] &lt;&gt; 0),SnapshotTable[[#This Row],[Exposure]] / SnapshotTable[[#Totals],[Exposure]], "")</f>
        <v/>
      </c>
      <c r="GY39" s="381"/>
      <c r="HE39" s="268"/>
      <c r="HF39" s="268"/>
      <c r="HG39" s="381"/>
      <c r="HH39" s="381"/>
      <c r="HI39" s="381"/>
      <c r="HJ39" s="381"/>
    </row>
    <row r="40" spans="2:224" s="47" customFormat="1" ht="12.75" hidden="1" customHeight="1" x14ac:dyDescent="0.25">
      <c r="B40" s="12" t="s">
        <v>520</v>
      </c>
      <c r="C40" s="422">
        <v>88.7</v>
      </c>
      <c r="D40" s="208"/>
      <c r="E40" s="39">
        <f>SnapshotTable[[#This Row],[Last Price]]*(1 -CrashDiscount)</f>
        <v>75.394999999999996</v>
      </c>
      <c r="F40" s="26" t="s">
        <v>223</v>
      </c>
      <c r="G40" s="26" t="s">
        <v>49</v>
      </c>
      <c r="H40" s="149"/>
      <c r="I40" s="194">
        <v>44782.666666666664</v>
      </c>
      <c r="J40" s="195">
        <v>44782.666666666664</v>
      </c>
      <c r="K40" s="196"/>
      <c r="L40" s="326"/>
      <c r="M40" s="140"/>
      <c r="N40" s="140"/>
      <c r="O40" s="140"/>
      <c r="P40" s="22"/>
      <c r="Q40" s="25"/>
      <c r="R40" s="4" t="str">
        <f>IF(SnapshotTable[[#This Row],[Equity Basis Total]] &gt; 0, SnapshotTable[[#This Row],[Equity Basis Total]] / SnapshotTable[[#This Row],[Equity Shares]], "")</f>
        <v/>
      </c>
      <c r="S40" s="269">
        <f>SnapshotTable[[#This Row],[Last Price]] * SnapshotTable[[#This Row],[Equity Shares]]</f>
        <v>0</v>
      </c>
      <c r="T40" s="269">
        <f>SnapshotTable[[#This Row],[Equity Value]] - SnapshotTable[[#This Row],[Equity Basis Total]]</f>
        <v>0</v>
      </c>
      <c r="U40" s="270" t="str">
        <f>IF(SnapshotTable[[#This Row],[Equity Basis Total]] &gt; 0, SnapshotTable[[#This Row],[Equity G/L]] / SnapshotTable[[#This Row],[Equity Basis Total]], "")</f>
        <v/>
      </c>
      <c r="V40" s="268"/>
      <c r="W40" s="26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7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0"/>
      <c r="AD40" s="151"/>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1"/>
      <c r="AI40" s="5"/>
      <c r="AJ40" s="138">
        <v>92.42</v>
      </c>
      <c r="AK40" s="152" t="str">
        <f>IF(ISNUMBER( SnapshotTable[[#This Row],[EBF Target]]),(SnapshotTable[[#This Row],[EBF Target]] - SnapshotTable[[#This Row],[Last Price]]) / SnapshotTable[[#This Row],[Last Price]], "")</f>
        <v/>
      </c>
      <c r="AL40" s="152" t="str">
        <f>IF(AND(SnapshotTable[[#This Row],[Equity Basis Total]] &gt; 0,ISNUMBER( SnapshotTable[[#This Row],[Long Term Target]])), SnapshotTable[[#This Row],[From Basis $]] / SnapshotTable[[#This Row],[Equity Basis Total]], "")</f>
        <v/>
      </c>
      <c r="AM40" s="9">
        <f>IF( AND(SnapshotTable[[#This Row],[Equity Shares]] &gt;0,ISNUMBER( SnapshotTable[[#This Row],[Long Term Target]])),(SnapshotTable[[#This Row],[Equity Shares]] * SnapshotTable[[#This Row],[Long Term Target]]) - SnapshotTable[[#This Row],[Equity Basis Total]],0)</f>
        <v>0</v>
      </c>
      <c r="AN40" s="9">
        <f>IF( AND(SnapshotTable[[#This Row],[Equity Shares]] &gt;0,ISNUMBER( SnapshotTable[[#This Row],[Long Term Target]])),(SnapshotTable[[#This Row],[Equity Shares]]*SnapshotTable[[#This Row],[Long Term Target]]) - SnapshotTable[[#This Row],[Equity Value]],0)</f>
        <v>0</v>
      </c>
      <c r="AO40" s="152">
        <f>IF(AND(ISNUMBER( SnapshotTable[[#This Row],[Long Term Target]]), ISNUMBER(SnapshotTable[[#This Row],[Last Price]])),(SnapshotTable[[#This Row],[Long Term Target]] - SnapshotTable[[#This Row],[Last Price]]) / SnapshotTable[[#This Row],[Last Price]], "")</f>
        <v>4.1939120631341587E-2</v>
      </c>
      <c r="AP40" s="5">
        <v>8</v>
      </c>
      <c r="AQ40" s="38" t="s">
        <v>27</v>
      </c>
      <c r="AR40" s="5">
        <v>8</v>
      </c>
      <c r="AS40" s="38" t="s">
        <v>38</v>
      </c>
      <c r="AT40" s="146" t="s">
        <v>542</v>
      </c>
      <c r="AU40" s="187" t="str">
        <f>IF(OR(SnapshotTable[[#This Row],[LP No Fill]]="Y",SnapshotTable[[#This Row],[SP Is Filled]],SnapshotTable[[#This Row],[LC Not Filled]]="Y",SnapshotTable[[#This Row],[SC Is Filled]]),"Y","")</f>
        <v/>
      </c>
      <c r="AV40" s="219"/>
      <c r="AW40" s="225"/>
      <c r="AX40" s="220"/>
      <c r="AY40" s="219" t="str">
        <f>IF(SnapshotTable[[#This Row],[Implied Move]]&gt;0, SnapshotTable[[#This Row],[Last Price]]-SnapshotTable[[#This Row],[Implied Move]],"")</f>
        <v/>
      </c>
      <c r="AZ40" s="219" t="str">
        <f>IF(SnapshotTable[[#This Row],[Implied Move]]&gt;0, SnapshotTable[[#This Row],[Last Price]] + SnapshotTable[[#This Row],[Implied Move]],"")</f>
        <v/>
      </c>
      <c r="BA40" s="331">
        <v>18</v>
      </c>
      <c r="BB40" s="347"/>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51"/>
      <c r="BE40" s="5"/>
      <c r="BF40" s="14"/>
      <c r="BG40" s="13"/>
      <c r="BH40" s="13"/>
      <c r="BI40" s="5"/>
      <c r="BJ40" s="136">
        <f>IF(SnapshotTable[[#This Row],[LP Qty]] &gt; 0, SnapshotTable[[#This Row],[LP Qty]] * SnapshotTable[[#This Row],[LP Book Price]] * 100,0)</f>
        <v>0</v>
      </c>
      <c r="BK40" s="136">
        <f>IF(SnapshotTable[[#This Row],[LP Premium]] &gt; 0, SnapshotTable[[#This Row],[LP Qty]] * SnapshotTable[[#This Row],[LP Strike Price]] * 100,0)</f>
        <v>0</v>
      </c>
      <c r="BL40" s="154"/>
      <c r="BM40" s="385" t="str">
        <f>IF(SnapshotTable[[#This Row],[LP Premium]] &gt; 0,SnapshotTable[[#This Row],[LP Exp Date]]-MAX(SnapshotTable[[#This Row],[LP Book Date]], SnapshotTable[[#This Row],[LP Fill Date]]),"")</f>
        <v/>
      </c>
      <c r="BN40" s="385" t="str">
        <f>IF(ISNUMBER( SnapshotTable[[#This Row],[LP Term]]), SnapshotTable[[#This Row],[LP Exp Date]] - MockToday,"")</f>
        <v/>
      </c>
      <c r="BO40" s="163"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7"/>
      <c r="BU40" s="13"/>
      <c r="BV40" s="5"/>
      <c r="BW40" s="419" t="b">
        <f>AND(ISNUMBER(SnapshotTable[[#This Row],[SP Exp Date]]), ISNUMBER(SnapshotTable[[#This Row],[SP Strike Price]]), ISNUMBER(SnapshotTable[[#This Row],[SP Qty]]), ISNUMBER(SnapshotTable[[#This Row],[SP Book Date]]), ISNUMBER(SnapshotTable[[#This Row],[SP Book Price]]))</f>
        <v>0</v>
      </c>
      <c r="BX40" s="419" t="b">
        <f>AND(SnapshotTable[[#This Row],[SP Is Booked]], NOT(ISBLANK(SnapshotTable[[#This Row],[SP Fill Date]])))</f>
        <v>0</v>
      </c>
      <c r="BY40" s="33">
        <f>IF(SnapshotTable[[#This Row],[SP Is Booked]], SnapshotTable[[#This Row],[SP Qty]] * SnapshotTable[[#This Row],[SP Book Price]] * 100, 0)</f>
        <v>0</v>
      </c>
      <c r="BZ40" s="369"/>
      <c r="CA40" s="368">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3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44"/>
      <c r="CK40" s="31">
        <f>IF(ISNUMBER(SnapshotTable[[#This Row],[SP Potential Spend]]),IF(ISNUMBER(SnapshotTable[[#This Row],[SP POW]]), SnapshotTable[[#This Row],[SP POW]] * SnapshotTable[[#This Row],[SP Potential Spend]], SnapshotTable[[#This Row],[SP Potential Spend]]), "")</f>
        <v>0</v>
      </c>
      <c r="CL40" s="164">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8"/>
      <c r="CO40" s="369"/>
      <c r="CP40" s="4" t="str">
        <f>IF(SnapshotTable[[#This Row],[SP Is Filled]], btc_max_buyback_amount(SnapshotTable[[#This Row],[SP Fill Date]],SnapshotTable[[#This Row],[SP Exp Date]], SnapshotTable[[#This Row],[SP Book Price]]),"")</f>
        <v/>
      </c>
      <c r="CQ40" s="78"/>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5" t="str">
        <f>IF(SnapshotTable[[#This Row],[SP Is Filled]], btc_next_cutoff_date(SnapshotTable[[#This Row],[SP Fill Date]],SnapshotTable[[#This Row],[SP Exp Date]]),"")</f>
        <v/>
      </c>
      <c r="CT40" s="23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3"/>
      <c r="CV40" s="235"/>
      <c r="CW40" s="378"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294" t="str">
        <f>IF(ISNUMBER((SnapshotTable[[#This Row],[SP Total Value]])), SnapshotTable[[#This Row],[SP Gain Loss]] / SnapshotTable[[#This Row],[SP Premium]], "")</f>
        <v/>
      </c>
      <c r="DI40" s="406"/>
      <c r="DJ40" s="138"/>
      <c r="DK40" s="148"/>
      <c r="DL40" s="13"/>
      <c r="DM40" s="13"/>
      <c r="DN40" s="5"/>
      <c r="DO40" s="31">
        <f>IF(SnapshotTable[[#This Row],[LC Symbol Count]]=1, SnapshotTable[[#This Row],[LC Qty]] * SnapshotTable[[#This Row],[LC Book Price]] * 100, 0)</f>
        <v>0</v>
      </c>
      <c r="DP40" s="163" t="str">
        <f>IF(AND(SnapshotTable[[#This Row],[LC Exp Date]]&gt;0, SnapshotTable[[#This Row],[LC Strike Price]]&gt;0,SnapshotTable[[#This Row],[LC Qty]]&gt;0,SnapshotTable[[#This Row],[LC Book Date]]&gt;0,SnapshotTable[[#This Row],[LC Book Price]]&gt;0,SnapshotTable[[#This Row],[LC Fill Date]]=0),"Y","")</f>
        <v/>
      </c>
      <c r="DQ40" s="386" t="str">
        <f>IF(SnapshotTable[[#This Row],[LC Premium]] &gt; 0,SnapshotTable[[#This Row],[LC Exp Date]]-MAX(SnapshotTable[[#This Row],[LC Book Date]], SnapshotTable[[#This Row],[LC Fill Date]]),"")</f>
        <v/>
      </c>
      <c r="DR40" s="386" t="str">
        <f>IF(ISNUMBER(SnapshotTable[[#This Row],[LC Term]]), SnapshotTable[[#This Row],[LC Exp Date]] - MockToday, "")</f>
        <v/>
      </c>
      <c r="DS40" s="23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40" t="str">
        <f>IF(ISNUMBER(SnapshotTable[[#This Row],[LC Actual Gain Loss]]), SnapshotTable[[#This Row],[LC Actual Gain Loss]] / SnapshotTable[[#This Row],[LC Premium]],"")</f>
        <v/>
      </c>
      <c r="DX40" s="284" t="str">
        <f>IF(ISNUMBER(SnapshotTable[[#This Row],[LC Book Price]]),SnapshotTable[[#This Row],[LC Book Price]] * 1.5,"")</f>
        <v/>
      </c>
      <c r="DY40" s="265" t="str">
        <f>IF(SnapshotTable[[#This Row],[LC Premium]]&gt;0, SnapshotTable[[#This Row],[LC Next Target]] * SnapshotTable[[#This Row],[LC Qty]] * 100,"")</f>
        <v/>
      </c>
      <c r="DZ40" s="265" t="str">
        <f>IF(ISNUMBER(SnapshotTable[[#This Row],[LC Target Gross]]), SnapshotTable[[#This Row],[LC Target Gross]] - SnapshotTable[[#This Row],[LC Premium]], "")</f>
        <v/>
      </c>
      <c r="EA40" s="305" t="str">
        <f>IF(ISNUMBER(SnapshotTable[[#This Row],[LC Target Gain Loss]]), SnapshotTable[[#This Row],[LC Target Gain Loss]]/SnapshotTable[[#This Row],[LC Premium]], "")</f>
        <v/>
      </c>
      <c r="EB40" s="262"/>
      <c r="EC40" s="283" t="str">
        <f>IF(SnapshotTable[[#This Row],[LC Premium]]&gt;0, SnapshotTable[[#This Row],[LC Book Price]] * (1 - LC_StopLoss_Pct),"")</f>
        <v/>
      </c>
      <c r="ED40" s="284"/>
      <c r="EE40" s="28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4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0</v>
      </c>
      <c r="EK40" s="147"/>
      <c r="EL40" s="138"/>
      <c r="EM40" s="148"/>
      <c r="EN40" s="147"/>
      <c r="EO40" s="147"/>
      <c r="EP40" s="138"/>
      <c r="EQ40" s="419" t="b">
        <f>AND(ISNUMBER(SnapshotTable[[#This Row],[SC Exp Date]]), ISNUMBER(SnapshotTable[[#This Row],[SC Strike Price]]), ISNUMBER(SnapshotTable[[#This Row],[SC Qty]]), ISNUMBER(SnapshotTable[[#This Row],[SC Book Date]]), ISNUMBER(SnapshotTable[[#This Row],[SC Book Price]]))</f>
        <v>0</v>
      </c>
      <c r="ER40" s="419" t="b">
        <f>AND(SnapshotTable[[#This Row],[SC Is Booked]], NOT(ISBLANK(SnapshotTable[[#This Row],[SC Fill Date]])))</f>
        <v>0</v>
      </c>
      <c r="ES40" s="370"/>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3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283"/>
      <c r="FA40" s="218"/>
      <c r="FB40" s="370"/>
      <c r="FC40" s="4">
        <f>IF(SnapshotTable[[#This Row],[SC Is Filled]], btc_max_buyback_amount(SnapshotTable[[#This Row],[SC Fill Date]],SnapshotTable[[#This Row],[SC Exp Date]], SnapshotTable[[#This Row],[SC Book Price]]),0)</f>
        <v>0</v>
      </c>
      <c r="FD40" s="5"/>
      <c r="FE40" s="144"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382">
        <f>IF(SnapshotTable[[#This Row],[SC Is Filled]], IF(ISNUMBER(SnapshotTable[[#This Row],[SC Current Ask]]), SnapshotTable[[#This Row],[SC Current Ask]], SnapshotTable[[#This Row],[SC Book Price]]) - SnapshotTable[[#This Row],[SC Intrinsic Value]], 0)</f>
        <v>0</v>
      </c>
      <c r="FI40" s="143"/>
      <c r="FJ40" s="32" t="str">
        <f>IF(SnapshotTable[[#This Row],[SC Is Filled]],100 * SnapshotTable[[#This Row],[SC Qty]] * IF(ISNUMBER(SnapshotTable[[#This Row],[SC Buyback Override]]), SnapshotTable[[#This Row],[SC Buyback Override]], SnapshotTable[[#This Row],[SC Current Ask]]), "")</f>
        <v/>
      </c>
      <c r="FK40" s="250" t="str">
        <f>IF(SnapshotTable[[#This Row],[SC Time Val]]&gt;0, SnapshotTable[[#This Row],[SC Time Val]] / SnapshotTable[[#This Row],[Last Price]],"")</f>
        <v/>
      </c>
      <c r="FL40" s="302" t="str">
        <f>IF(SnapshotTable[[#This Row],[SC Is Booked]], ((SnapshotTable[[#This Row],[Last Price]] -SnapshotTable[[#This Row],[SC Strike Price]]) / SnapshotTable[[#This Row],[Last Price]]) * -1, "")</f>
        <v/>
      </c>
      <c r="FM40" s="157"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33"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36" t="str">
        <f>IF(AND(ISNUMBER(SnapshotTable[[#This Row],[SC Simple ROO]]),SnapshotTable[[#This Row],[SC Simple ROO]] &gt; 0), SnapshotTable[[#This Row],[SC Premium]] + (SnapshotTable[[#This Row],[SC Qty]] * SnapshotTable[[#This Row],[SC Upside Potential]]), "")</f>
        <v/>
      </c>
      <c r="FX40" s="302" t="str" cm="1">
        <f t="array" ref="FX40">IF(ISNUMBER(SnapshotTable[[#This Row],[SC Max Dollars]]), annualize(SnapshotTable[[#This Row],[SC Term]],(SnapshotTable[[#This Row],[SC Max Dollars]]/SnapshotTable[[#This Row],[SC Basis]])),"")</f>
        <v/>
      </c>
      <c r="FY40" s="23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294" t="str">
        <f>IFERROR( IF(ISNUMBER((SnapshotTable[[#This Row],[SC Current Value]])), SnapshotTable[[#This Row],[SC Gain Loss]] / SnapshotTable[[#This Row],[SC Premium]], ""), "")</f>
        <v/>
      </c>
      <c r="GB40" s="42">
        <f>SnapshotTable[[#This Row],[Equity Shares]] * SaleSharesToConsiderPercentage</f>
        <v>0</v>
      </c>
      <c r="GC40" s="40">
        <f>SnapshotTable[[#This Row],[Long Term Target]] * SellingPriceToConsiderBasedOnTargetPercentage</f>
        <v>87.798999999999992</v>
      </c>
      <c r="GD40" s="40">
        <f>SnapshotTable[[#This Row],[Last Price]] * (1+ SellingPriceToConsiderBasedOnTargetPercentage)</f>
        <v>172.965</v>
      </c>
      <c r="GE40" s="41"/>
      <c r="GF40" s="40"/>
      <c r="GG40" s="31">
        <f>SnapshotTable[[#This Row],[Booked Sale Shares]] * SnapshotTable[[#This Row],[Booked Sale Price]]</f>
        <v>0</v>
      </c>
      <c r="GH40" s="31" t="str">
        <f>IF(SnapshotTable[[#This Row],[Equity Basis Total]] &gt; 0, SnapshotTable[[#This Row],[Equity Basis Per Share]] * SnapshotTable[[#This Row],[Booked Sale Shares]], "")</f>
        <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639</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 s="231">
        <f>MAX(SnapshotTable[[#This Row],[Equity Basis Total]],SnapshotTable[[#This Row],[Equity Value]]) + (SnapshotTable[[#This Row],[SP Potential Spend]]- SnapshotTable[[#This Row],[SP Premium]] + SnapshotTable[[#This Row],[LP Premium]])+ (SnapshotTable[[#This Row],[LC Premium]] - SnapshotTable[[#This Row],[SC Premium]])</f>
        <v>0</v>
      </c>
      <c r="GW40" s="139" t="str">
        <f>IF(AND(SnapshotTable[[#This Row],[Exposure]] &lt;&gt; 0),SnapshotTable[[#This Row],[Exposure]] / SnapshotTable[[#Totals],[Exposure]], "")</f>
        <v/>
      </c>
      <c r="GY40" s="381"/>
      <c r="HE40" s="268"/>
      <c r="HF40" s="268"/>
      <c r="HG40" s="381"/>
      <c r="HH40" s="381"/>
      <c r="HI40" s="381"/>
      <c r="HJ40" s="381"/>
    </row>
    <row r="41" spans="2:224" s="47" customFormat="1" ht="12.75" hidden="1" customHeight="1" x14ac:dyDescent="0.25">
      <c r="B41" s="12" t="s">
        <v>1204</v>
      </c>
      <c r="C41" s="422">
        <v>61.95</v>
      </c>
      <c r="D41" s="208"/>
      <c r="E41" s="39">
        <f>SnapshotTable[[#This Row],[Last Price]]*(1 -CrashDiscount)</f>
        <v>52.657499999999999</v>
      </c>
      <c r="F41" s="26" t="s">
        <v>210</v>
      </c>
      <c r="G41" s="325" t="s">
        <v>9</v>
      </c>
      <c r="H41" s="149"/>
      <c r="I41" s="194"/>
      <c r="J41" s="195"/>
      <c r="K41" s="196"/>
      <c r="L41" s="326"/>
      <c r="M41" s="140"/>
      <c r="N41" s="140"/>
      <c r="O41" s="140"/>
      <c r="P41" s="22"/>
      <c r="Q41" s="25"/>
      <c r="R41" s="4" t="str">
        <f>IF(SnapshotTable[[#This Row],[Equity Basis Total]] &gt; 0, SnapshotTable[[#This Row],[Equity Basis Total]] / SnapshotTable[[#This Row],[Equity Shares]], "")</f>
        <v/>
      </c>
      <c r="S41" s="269">
        <f>SnapshotTable[[#This Row],[Last Price]] * SnapshotTable[[#This Row],[Equity Shares]]</f>
        <v>0</v>
      </c>
      <c r="T41" s="269">
        <f>SnapshotTable[[#This Row],[Equity Value]] - SnapshotTable[[#This Row],[Equity Basis Total]]</f>
        <v>0</v>
      </c>
      <c r="U41" s="270" t="str">
        <f>IF(SnapshotTable[[#This Row],[Equity Basis Total]] &gt; 0, SnapshotTable[[#This Row],[Equity G/L]] / SnapshotTable[[#This Row],[Equity Basis Total]], "")</f>
        <v/>
      </c>
      <c r="V41" s="268"/>
      <c r="W41" s="26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7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0"/>
      <c r="AD41" s="151"/>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1"/>
      <c r="AI41" s="5"/>
      <c r="AJ41" s="138"/>
      <c r="AK41" s="152" t="str">
        <f>IF(ISNUMBER( SnapshotTable[[#This Row],[EBF Target]]),(SnapshotTable[[#This Row],[EBF Target]] - SnapshotTable[[#This Row],[Last Price]]) / SnapshotTable[[#This Row],[Last Price]], "")</f>
        <v/>
      </c>
      <c r="AL41" s="152"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2" t="str">
        <f>IF(AND(ISNUMBER( SnapshotTable[[#This Row],[Long Term Target]]), ISNUMBER(SnapshotTable[[#This Row],[Last Price]])),(SnapshotTable[[#This Row],[Long Term Target]] - SnapshotTable[[#This Row],[Last Price]]) / SnapshotTable[[#This Row],[Last Price]], "")</f>
        <v/>
      </c>
      <c r="AP41" s="5">
        <v>17.5</v>
      </c>
      <c r="AQ41" s="38" t="s">
        <v>38</v>
      </c>
      <c r="AR41" s="5">
        <v>17.5</v>
      </c>
      <c r="AS41" s="38" t="s">
        <v>26</v>
      </c>
      <c r="AT41" s="146" t="s">
        <v>538</v>
      </c>
      <c r="AU41" s="187" t="str">
        <f>IF(OR(SnapshotTable[[#This Row],[LP No Fill]]="Y",SnapshotTable[[#This Row],[SP Is Filled]],SnapshotTable[[#This Row],[LC Not Filled]]="Y",SnapshotTable[[#This Row],[SC Is Filled]]),"Y","")</f>
        <v/>
      </c>
      <c r="AV41" s="219"/>
      <c r="AW41" s="225"/>
      <c r="AX41" s="220"/>
      <c r="AY41" s="219" t="str">
        <f>IF(SnapshotTable[[#This Row],[Implied Move]]&gt;0, SnapshotTable[[#This Row],[Last Price]]-SnapshotTable[[#This Row],[Implied Move]],"")</f>
        <v/>
      </c>
      <c r="AZ41" s="219" t="str">
        <f>IF(SnapshotTable[[#This Row],[Implied Move]]&gt;0, SnapshotTable[[#This Row],[Last Price]] + SnapshotTable[[#This Row],[Implied Move]],"")</f>
        <v/>
      </c>
      <c r="BA41" s="331">
        <v>16.45</v>
      </c>
      <c r="BB41" s="347"/>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51"/>
      <c r="BE41" s="5"/>
      <c r="BF41" s="14"/>
      <c r="BG41" s="13"/>
      <c r="BH41" s="13"/>
      <c r="BI41" s="5"/>
      <c r="BJ41" s="136">
        <f>IF(SnapshotTable[[#This Row],[LP Qty]] &gt; 0, SnapshotTable[[#This Row],[LP Qty]] * SnapshotTable[[#This Row],[LP Book Price]] * 100,0)</f>
        <v>0</v>
      </c>
      <c r="BK41" s="136">
        <f>IF(SnapshotTable[[#This Row],[LP Premium]] &gt; 0, SnapshotTable[[#This Row],[LP Qty]] * SnapshotTable[[#This Row],[LP Strike Price]] * 100,0)</f>
        <v>0</v>
      </c>
      <c r="BL41" s="154"/>
      <c r="BM41" s="385" t="str">
        <f>IF(SnapshotTable[[#This Row],[LP Premium]] &gt; 0,SnapshotTable[[#This Row],[LP Exp Date]]-MAX(SnapshotTable[[#This Row],[LP Book Date]], SnapshotTable[[#This Row],[LP Fill Date]]),"")</f>
        <v/>
      </c>
      <c r="BN41" s="385" t="str">
        <f>IF(ISNUMBER( SnapshotTable[[#This Row],[LP Term]]), SnapshotTable[[#This Row],[LP Exp Date]] - MockToday,"")</f>
        <v/>
      </c>
      <c r="BO41" s="163"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7"/>
      <c r="BU41" s="13"/>
      <c r="BV41" s="5"/>
      <c r="BW41" s="419" t="b">
        <f>AND(ISNUMBER(SnapshotTable[[#This Row],[SP Exp Date]]), ISNUMBER(SnapshotTable[[#This Row],[SP Strike Price]]), ISNUMBER(SnapshotTable[[#This Row],[SP Qty]]), ISNUMBER(SnapshotTable[[#This Row],[SP Book Date]]), ISNUMBER(SnapshotTable[[#This Row],[SP Book Price]]))</f>
        <v>0</v>
      </c>
      <c r="BX41" s="419" t="b">
        <f>AND(SnapshotTable[[#This Row],[SP Is Booked]], NOT(ISBLANK(SnapshotTable[[#This Row],[SP Fill Date]])))</f>
        <v>0</v>
      </c>
      <c r="BY41" s="33">
        <f>IF(SnapshotTable[[#This Row],[SP Is Booked]], SnapshotTable[[#This Row],[SP Qty]] * SnapshotTable[[#This Row],[SP Book Price]] * 100, 0)</f>
        <v>0</v>
      </c>
      <c r="BZ41" s="369"/>
      <c r="CA41" s="368">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3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44">
        <v>0.01</v>
      </c>
      <c r="CK41" s="31">
        <f>IF(ISNUMBER(SnapshotTable[[#This Row],[SP Potential Spend]]),IF(ISNUMBER(SnapshotTable[[#This Row],[SP POW]]), SnapshotTable[[#This Row],[SP POW]] * SnapshotTable[[#This Row],[SP Potential Spend]], SnapshotTable[[#This Row],[SP Potential Spend]]), "")</f>
        <v>0</v>
      </c>
      <c r="CL41" s="164">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8"/>
      <c r="CO41" s="369"/>
      <c r="CP41" s="4" t="str">
        <f>IF(SnapshotTable[[#This Row],[SP Is Filled]], btc_max_buyback_amount(SnapshotTable[[#This Row],[SP Fill Date]],SnapshotTable[[#This Row],[SP Exp Date]], SnapshotTable[[#This Row],[SP Book Price]]),"")</f>
        <v/>
      </c>
      <c r="CQ41" s="78"/>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5" t="str">
        <f>IF(SnapshotTable[[#This Row],[SP Is Filled]], btc_next_cutoff_date(SnapshotTable[[#This Row],[SP Fill Date]],SnapshotTable[[#This Row],[SP Exp Date]]),"")</f>
        <v/>
      </c>
      <c r="CT41" s="23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3"/>
      <c r="CV41" s="235"/>
      <c r="CW41" s="378"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294" t="str">
        <f>IF(ISNUMBER((SnapshotTable[[#This Row],[SP Total Value]])), SnapshotTable[[#This Row],[SP Gain Loss]] / SnapshotTable[[#This Row],[SP Premium]], "")</f>
        <v/>
      </c>
      <c r="DI41" s="406"/>
      <c r="DJ41" s="138"/>
      <c r="DK41" s="148"/>
      <c r="DL41" s="13"/>
      <c r="DM41" s="13"/>
      <c r="DN41" s="5"/>
      <c r="DO41" s="31">
        <f>IF(SnapshotTable[[#This Row],[LC Symbol Count]]=1, SnapshotTable[[#This Row],[LC Qty]] * SnapshotTable[[#This Row],[LC Book Price]] * 100, 0)</f>
        <v>0</v>
      </c>
      <c r="DP41" s="163" t="str">
        <f>IF(AND(SnapshotTable[[#This Row],[LC Exp Date]]&gt;0, SnapshotTable[[#This Row],[LC Strike Price]]&gt;0,SnapshotTable[[#This Row],[LC Qty]]&gt;0,SnapshotTable[[#This Row],[LC Book Date]]&gt;0,SnapshotTable[[#This Row],[LC Book Price]]&gt;0,SnapshotTable[[#This Row],[LC Fill Date]]=0),"Y","")</f>
        <v/>
      </c>
      <c r="DQ41" s="386" t="str">
        <f>IF(SnapshotTable[[#This Row],[LC Premium]] &gt; 0,SnapshotTable[[#This Row],[LC Exp Date]]-MAX(SnapshotTable[[#This Row],[LC Book Date]], SnapshotTable[[#This Row],[LC Fill Date]]),"")</f>
        <v/>
      </c>
      <c r="DR41" s="386" t="str">
        <f>IF(ISNUMBER(SnapshotTable[[#This Row],[LC Term]]), SnapshotTable[[#This Row],[LC Exp Date]] - MockToday, "")</f>
        <v/>
      </c>
      <c r="DS41" s="23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40" t="str">
        <f>IF(ISNUMBER(SnapshotTable[[#This Row],[LC Actual Gain Loss]]), SnapshotTable[[#This Row],[LC Actual Gain Loss]] / SnapshotTable[[#This Row],[LC Premium]],"")</f>
        <v/>
      </c>
      <c r="DX41" s="284" t="str">
        <f>IF(ISNUMBER(SnapshotTable[[#This Row],[LC Book Price]]),SnapshotTable[[#This Row],[LC Book Price]] * 1.5,"")</f>
        <v/>
      </c>
      <c r="DY41" s="265" t="str">
        <f>IF(SnapshotTable[[#This Row],[LC Premium]]&gt;0, SnapshotTable[[#This Row],[LC Next Target]] * SnapshotTable[[#This Row],[LC Qty]] * 100,"")</f>
        <v/>
      </c>
      <c r="DZ41" s="265" t="str">
        <f>IF(ISNUMBER(SnapshotTable[[#This Row],[LC Target Gross]]), SnapshotTable[[#This Row],[LC Target Gross]] - SnapshotTable[[#This Row],[LC Premium]], "")</f>
        <v/>
      </c>
      <c r="EA41" s="305" t="str">
        <f>IF(ISNUMBER(SnapshotTable[[#This Row],[LC Target Gain Loss]]), SnapshotTable[[#This Row],[LC Target Gain Loss]]/SnapshotTable[[#This Row],[LC Premium]], "")</f>
        <v/>
      </c>
      <c r="EB41" s="262"/>
      <c r="EC41" s="283" t="str">
        <f>IF(SnapshotTable[[#This Row],[LC Premium]]&gt;0, SnapshotTable[[#This Row],[LC Book Price]] * (1 - LC_StopLoss_Pct),"")</f>
        <v/>
      </c>
      <c r="ED41" s="284"/>
      <c r="EE41" s="28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4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7"/>
      <c r="EL41" s="138"/>
      <c r="EM41" s="148"/>
      <c r="EN41" s="147"/>
      <c r="EO41" s="147"/>
      <c r="EP41" s="138"/>
      <c r="EQ41" s="419" t="b">
        <f>AND(ISNUMBER(SnapshotTable[[#This Row],[SC Exp Date]]), ISNUMBER(SnapshotTable[[#This Row],[SC Strike Price]]), ISNUMBER(SnapshotTable[[#This Row],[SC Qty]]), ISNUMBER(SnapshotTable[[#This Row],[SC Book Date]]), ISNUMBER(SnapshotTable[[#This Row],[SC Book Price]]))</f>
        <v>0</v>
      </c>
      <c r="ER41" s="419" t="b">
        <f>AND(SnapshotTable[[#This Row],[SC Is Booked]], NOT(ISBLANK(SnapshotTable[[#This Row],[SC Fill Date]])))</f>
        <v>0</v>
      </c>
      <c r="ES41" s="370"/>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3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283"/>
      <c r="FA41" s="218"/>
      <c r="FB41" s="370"/>
      <c r="FC41" s="4">
        <f>IF(SnapshotTable[[#This Row],[SC Is Filled]], btc_max_buyback_amount(SnapshotTable[[#This Row],[SC Fill Date]],SnapshotTable[[#This Row],[SC Exp Date]], SnapshotTable[[#This Row],[SC Book Price]]),0)</f>
        <v>0</v>
      </c>
      <c r="FD41" s="5"/>
      <c r="FE41" s="144"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382">
        <f>IF(SnapshotTable[[#This Row],[SC Is Filled]], IF(ISNUMBER(SnapshotTable[[#This Row],[SC Current Ask]]), SnapshotTable[[#This Row],[SC Current Ask]], SnapshotTable[[#This Row],[SC Book Price]]) - SnapshotTable[[#This Row],[SC Intrinsic Value]], 0)</f>
        <v>0</v>
      </c>
      <c r="FI41" s="143"/>
      <c r="FJ41" s="32" t="str">
        <f>IF(SnapshotTable[[#This Row],[SC Is Filled]],100 * SnapshotTable[[#This Row],[SC Qty]] * IF(ISNUMBER(SnapshotTable[[#This Row],[SC Buyback Override]]), SnapshotTable[[#This Row],[SC Buyback Override]], SnapshotTable[[#This Row],[SC Current Ask]]), "")</f>
        <v/>
      </c>
      <c r="FK41" s="250" t="str">
        <f>IF(SnapshotTable[[#This Row],[SC Time Val]]&gt;0, SnapshotTable[[#This Row],[SC Time Val]] / SnapshotTable[[#This Row],[Last Price]],"")</f>
        <v/>
      </c>
      <c r="FL41" s="302" t="str">
        <f>IF(SnapshotTable[[#This Row],[SC Is Booked]], ((SnapshotTable[[#This Row],[Last Price]] -SnapshotTable[[#This Row],[SC Strike Price]]) / SnapshotTable[[#This Row],[Last Price]]) * -1, "")</f>
        <v/>
      </c>
      <c r="FM41" s="157"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33"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36" t="str">
        <f>IF(AND(ISNUMBER(SnapshotTable[[#This Row],[SC Simple ROO]]),SnapshotTable[[#This Row],[SC Simple ROO]] &gt; 0), SnapshotTable[[#This Row],[SC Premium]] + (SnapshotTable[[#This Row],[SC Qty]] * SnapshotTable[[#This Row],[SC Upside Potential]]), "")</f>
        <v/>
      </c>
      <c r="FX41" s="302" t="str" cm="1">
        <f t="array" ref="FX41">IF(ISNUMBER(SnapshotTable[[#This Row],[SC Max Dollars]]), annualize(SnapshotTable[[#This Row],[SC Term]],(SnapshotTable[[#This Row],[SC Max Dollars]]/SnapshotTable[[#This Row],[SC Basis]])),"")</f>
        <v/>
      </c>
      <c r="FY41" s="23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29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120.80250000000001</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31">
        <f>MAX(SnapshotTable[[#This Row],[Equity Basis Total]],SnapshotTable[[#This Row],[Equity Value]]) + (SnapshotTable[[#This Row],[SP Potential Spend]]- SnapshotTable[[#This Row],[SP Premium]] + SnapshotTable[[#This Row],[LP Premium]])+ (SnapshotTable[[#This Row],[LC Premium]] - SnapshotTable[[#This Row],[SC Premium]])</f>
        <v>0</v>
      </c>
      <c r="GW41" s="139" t="str">
        <f>IF(AND(SnapshotTable[[#This Row],[Exposure]] &lt;&gt; 0),SnapshotTable[[#This Row],[Exposure]] / SnapshotTable[[#Totals],[Exposure]], "")</f>
        <v/>
      </c>
      <c r="GY41" s="381"/>
      <c r="HE41" s="268"/>
      <c r="HF41" s="268"/>
      <c r="HG41" s="381"/>
      <c r="HH41" s="381"/>
      <c r="HI41" s="381"/>
      <c r="HJ41" s="381"/>
    </row>
    <row r="42" spans="2:224" s="47" customFormat="1" ht="12.75" hidden="1" customHeight="1" x14ac:dyDescent="0.25">
      <c r="B42" s="12" t="s">
        <v>100</v>
      </c>
      <c r="C42" s="422">
        <v>84.19</v>
      </c>
      <c r="D42" s="208" t="s">
        <v>587</v>
      </c>
      <c r="E42" s="39">
        <f>SnapshotTable[[#This Row],[Last Price]]*(1 -CrashDiscount)</f>
        <v>71.561499999999995</v>
      </c>
      <c r="F42" s="26" t="s">
        <v>1043</v>
      </c>
      <c r="G42" s="26" t="s">
        <v>606</v>
      </c>
      <c r="H42" s="149"/>
      <c r="I42" s="194">
        <v>44767.3125</v>
      </c>
      <c r="J42" s="195">
        <v>44767.3125</v>
      </c>
      <c r="K42" s="196"/>
      <c r="L42" s="326"/>
      <c r="M42" s="140"/>
      <c r="N42" s="140"/>
      <c r="O42" s="140"/>
      <c r="P42" s="22"/>
      <c r="Q42" s="25"/>
      <c r="R42" s="4" t="str">
        <f>IF(SnapshotTable[[#This Row],[Equity Basis Total]] &gt; 0, SnapshotTable[[#This Row],[Equity Basis Total]] / SnapshotTable[[#This Row],[Equity Shares]], "")</f>
        <v/>
      </c>
      <c r="S42" s="269">
        <f>SnapshotTable[[#This Row],[Last Price]] * SnapshotTable[[#This Row],[Equity Shares]]</f>
        <v>0</v>
      </c>
      <c r="T42" s="269">
        <f>SnapshotTable[[#This Row],[Equity Value]] - SnapshotTable[[#This Row],[Equity Basis Total]]</f>
        <v>0</v>
      </c>
      <c r="U42" s="270" t="str">
        <f>IF(SnapshotTable[[#This Row],[Equity Basis Total]] &gt; 0, SnapshotTable[[#This Row],[Equity G/L]] / SnapshotTable[[#This Row],[Equity Basis Total]], "")</f>
        <v/>
      </c>
      <c r="V42" s="268"/>
      <c r="W42" s="26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7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0">
        <v>1.44</v>
      </c>
      <c r="AD42" s="151">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1">
        <v>43935</v>
      </c>
      <c r="AI42" s="5"/>
      <c r="AJ42" s="138">
        <v>111.48</v>
      </c>
      <c r="AK42" s="152" t="str">
        <f>IF(ISNUMBER( SnapshotTable[[#This Row],[EBF Target]]),(SnapshotTable[[#This Row],[EBF Target]] - SnapshotTable[[#This Row],[Last Price]]) / SnapshotTable[[#This Row],[Last Price]], "")</f>
        <v/>
      </c>
      <c r="AL42" s="152"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2">
        <f>IF(AND(ISNUMBER( SnapshotTable[[#This Row],[Long Term Target]]), ISNUMBER(SnapshotTable[[#This Row],[Last Price]])),(SnapshotTable[[#This Row],[Long Term Target]] - SnapshotTable[[#This Row],[Last Price]]) / SnapshotTable[[#This Row],[Last Price]], "")</f>
        <v>0.32414776101674792</v>
      </c>
      <c r="AP42" s="5">
        <v>8</v>
      </c>
      <c r="AQ42" s="38" t="s">
        <v>27</v>
      </c>
      <c r="AR42" s="5">
        <v>8</v>
      </c>
      <c r="AS42" s="38" t="s">
        <v>38</v>
      </c>
      <c r="AT42" s="146" t="s">
        <v>542</v>
      </c>
      <c r="AU42" s="187" t="str">
        <f>IF(OR(SnapshotTable[[#This Row],[LP No Fill]]="Y",SnapshotTable[[#This Row],[SP Is Filled]],SnapshotTable[[#This Row],[LC Not Filled]]="Y",SnapshotTable[[#This Row],[SC Is Filled]]),"Y","")</f>
        <v/>
      </c>
      <c r="AV42" s="219"/>
      <c r="AW42" s="225"/>
      <c r="AX42" s="220"/>
      <c r="AY42" s="219"/>
      <c r="AZ42" s="219"/>
      <c r="BA42" s="331"/>
      <c r="BB42" s="347"/>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51"/>
      <c r="BE42" s="5"/>
      <c r="BF42" s="14"/>
      <c r="BG42" s="13"/>
      <c r="BH42" s="13"/>
      <c r="BI42" s="5"/>
      <c r="BJ42" s="136">
        <f>IF(SnapshotTable[[#This Row],[LP Qty]] &gt; 0, SnapshotTable[[#This Row],[LP Qty]] * SnapshotTable[[#This Row],[LP Book Price]] * 100,0)</f>
        <v>0</v>
      </c>
      <c r="BK42" s="136">
        <f>IF(SnapshotTable[[#This Row],[LP Premium]] &gt; 0, SnapshotTable[[#This Row],[LP Qty]] * SnapshotTable[[#This Row],[LP Strike Price]] * 100,0)</f>
        <v>0</v>
      </c>
      <c r="BL42" s="154"/>
      <c r="BM42" s="385" t="str">
        <f>IF(SnapshotTable[[#This Row],[LP Premium]] &gt; 0,SnapshotTable[[#This Row],[LP Exp Date]]-MAX(SnapshotTable[[#This Row],[LP Book Date]], SnapshotTable[[#This Row],[LP Fill Date]]),"")</f>
        <v/>
      </c>
      <c r="BN42" s="385" t="str">
        <f>IF(ISNUMBER( SnapshotTable[[#This Row],[LP Term]]), SnapshotTable[[#This Row],[LP Exp Date]] - MockToday,"")</f>
        <v/>
      </c>
      <c r="BO42" s="163"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7"/>
      <c r="BU42" s="13"/>
      <c r="BV42" s="5"/>
      <c r="BW42" s="419" t="b">
        <f>AND(ISNUMBER(SnapshotTable[[#This Row],[SP Exp Date]]), ISNUMBER(SnapshotTable[[#This Row],[SP Strike Price]]), ISNUMBER(SnapshotTable[[#This Row],[SP Qty]]), ISNUMBER(SnapshotTable[[#This Row],[SP Book Date]]), ISNUMBER(SnapshotTable[[#This Row],[SP Book Price]]))</f>
        <v>0</v>
      </c>
      <c r="BX42" s="419" t="b">
        <f>AND(SnapshotTable[[#This Row],[SP Is Booked]], NOT(ISBLANK(SnapshotTable[[#This Row],[SP Fill Date]])))</f>
        <v>0</v>
      </c>
      <c r="BY42" s="33">
        <f>IF(SnapshotTable[[#This Row],[SP Is Booked]], SnapshotTable[[#This Row],[SP Qty]] * SnapshotTable[[#This Row],[SP Book Price]] * 100, 0)</f>
        <v>0</v>
      </c>
      <c r="BZ42" s="369"/>
      <c r="CA42" s="368">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3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44"/>
      <c r="CK42" s="31">
        <f>IF(ISNUMBER(SnapshotTable[[#This Row],[SP Potential Spend]]),IF(ISNUMBER(SnapshotTable[[#This Row],[SP POW]]), SnapshotTable[[#This Row],[SP POW]] * SnapshotTable[[#This Row],[SP Potential Spend]], SnapshotTable[[#This Row],[SP Potential Spend]]), "")</f>
        <v>0</v>
      </c>
      <c r="CL42" s="164">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8"/>
      <c r="CO42" s="369"/>
      <c r="CP42" s="4" t="str">
        <f>IF(SnapshotTable[[#This Row],[SP Is Filled]], btc_max_buyback_amount(SnapshotTable[[#This Row],[SP Fill Date]],SnapshotTable[[#This Row],[SP Exp Date]], SnapshotTable[[#This Row],[SP Book Price]]),"")</f>
        <v/>
      </c>
      <c r="CQ42" s="78"/>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5" t="str">
        <f>IF(SnapshotTable[[#This Row],[SP Is Filled]], btc_next_cutoff_date(SnapshotTable[[#This Row],[SP Fill Date]],SnapshotTable[[#This Row],[SP Exp Date]]),"")</f>
        <v/>
      </c>
      <c r="CT42" s="23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3"/>
      <c r="CV42" s="235"/>
      <c r="CW42" s="378"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294" t="str">
        <f>IF(ISNUMBER((SnapshotTable[[#This Row],[SP Total Value]])), SnapshotTable[[#This Row],[SP Gain Loss]] / SnapshotTable[[#This Row],[SP Premium]], "")</f>
        <v/>
      </c>
      <c r="DI42" s="406"/>
      <c r="DJ42" s="138"/>
      <c r="DK42" s="148"/>
      <c r="DL42" s="13"/>
      <c r="DM42" s="13"/>
      <c r="DN42" s="5"/>
      <c r="DO42" s="31">
        <f>IF(SnapshotTable[[#This Row],[LC Symbol Count]]=1, SnapshotTable[[#This Row],[LC Qty]] * SnapshotTable[[#This Row],[LC Book Price]] * 100, 0)</f>
        <v>0</v>
      </c>
      <c r="DP42" s="163" t="str">
        <f>IF(AND(SnapshotTable[[#This Row],[LC Exp Date]]&gt;0, SnapshotTable[[#This Row],[LC Strike Price]]&gt;0,SnapshotTable[[#This Row],[LC Qty]]&gt;0,SnapshotTable[[#This Row],[LC Book Date]]&gt;0,SnapshotTable[[#This Row],[LC Book Price]]&gt;0,SnapshotTable[[#This Row],[LC Fill Date]]=0),"Y","")</f>
        <v/>
      </c>
      <c r="DQ42" s="386" t="str">
        <f>IF(SnapshotTable[[#This Row],[LC Premium]] &gt; 0,SnapshotTable[[#This Row],[LC Exp Date]]-MAX(SnapshotTable[[#This Row],[LC Book Date]], SnapshotTable[[#This Row],[LC Fill Date]]),"")</f>
        <v/>
      </c>
      <c r="DR42" s="386" t="str">
        <f>IF(ISNUMBER(SnapshotTable[[#This Row],[LC Term]]), SnapshotTable[[#This Row],[LC Exp Date]] - MockToday, "")</f>
        <v/>
      </c>
      <c r="DS42" s="23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40" t="str">
        <f>IF(ISNUMBER(SnapshotTable[[#This Row],[LC Actual Gain Loss]]), SnapshotTable[[#This Row],[LC Actual Gain Loss]] / SnapshotTable[[#This Row],[LC Premium]],"")</f>
        <v/>
      </c>
      <c r="DX42" s="284" t="str">
        <f>IF(ISNUMBER(SnapshotTable[[#This Row],[LC Book Price]]),SnapshotTable[[#This Row],[LC Book Price]] * 1.5,"")</f>
        <v/>
      </c>
      <c r="DY42" s="265" t="str">
        <f>IF(SnapshotTable[[#This Row],[LC Premium]]&gt;0, SnapshotTable[[#This Row],[LC Next Target]] * SnapshotTable[[#This Row],[LC Qty]] * 100,"")</f>
        <v/>
      </c>
      <c r="DZ42" s="265" t="str">
        <f>IF(ISNUMBER(SnapshotTable[[#This Row],[LC Target Gross]]), SnapshotTable[[#This Row],[LC Target Gross]] - SnapshotTable[[#This Row],[LC Premium]], "")</f>
        <v/>
      </c>
      <c r="EA42" s="305" t="str">
        <f>IF(ISNUMBER(SnapshotTable[[#This Row],[LC Target Gain Loss]]), SnapshotTable[[#This Row],[LC Target Gain Loss]]/SnapshotTable[[#This Row],[LC Premium]], "")</f>
        <v/>
      </c>
      <c r="EB42" s="262"/>
      <c r="EC42" s="283" t="str">
        <f>IF(SnapshotTable[[#This Row],[LC Premium]]&gt;0, SnapshotTable[[#This Row],[LC Book Price]] * (1 - LC_StopLoss_Pct),"")</f>
        <v/>
      </c>
      <c r="ED42" s="284"/>
      <c r="EE42" s="28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4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7"/>
      <c r="EL42" s="138"/>
      <c r="EM42" s="148"/>
      <c r="EN42" s="147"/>
      <c r="EO42" s="147"/>
      <c r="EP42" s="138"/>
      <c r="EQ42" s="419" t="b">
        <f>AND(ISNUMBER(SnapshotTable[[#This Row],[SC Exp Date]]), ISNUMBER(SnapshotTable[[#This Row],[SC Strike Price]]), ISNUMBER(SnapshotTable[[#This Row],[SC Qty]]), ISNUMBER(SnapshotTable[[#This Row],[SC Book Date]]), ISNUMBER(SnapshotTable[[#This Row],[SC Book Price]]))</f>
        <v>0</v>
      </c>
      <c r="ER42" s="419" t="b">
        <f>AND(SnapshotTable[[#This Row],[SC Is Booked]], NOT(ISBLANK(SnapshotTable[[#This Row],[SC Fill Date]])))</f>
        <v>0</v>
      </c>
      <c r="ES42" s="370"/>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3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283"/>
      <c r="FA42" s="218"/>
      <c r="FB42" s="370"/>
      <c r="FC42" s="4">
        <f>IF(SnapshotTable[[#This Row],[SC Is Filled]], btc_max_buyback_amount(SnapshotTable[[#This Row],[SC Fill Date]],SnapshotTable[[#This Row],[SC Exp Date]], SnapshotTable[[#This Row],[SC Book Price]]),0)</f>
        <v>0</v>
      </c>
      <c r="FD42" s="5"/>
      <c r="FE42" s="144"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382">
        <f>IF(SnapshotTable[[#This Row],[SC Is Filled]], IF(ISNUMBER(SnapshotTable[[#This Row],[SC Current Ask]]), SnapshotTable[[#This Row],[SC Current Ask]], SnapshotTable[[#This Row],[SC Book Price]]) - SnapshotTable[[#This Row],[SC Intrinsic Value]], 0)</f>
        <v>0</v>
      </c>
      <c r="FI42" s="143"/>
      <c r="FJ42" s="32" t="str">
        <f>IF(SnapshotTable[[#This Row],[SC Is Filled]],100 * SnapshotTable[[#This Row],[SC Qty]] * IF(ISNUMBER(SnapshotTable[[#This Row],[SC Buyback Override]]), SnapshotTable[[#This Row],[SC Buyback Override]], SnapshotTable[[#This Row],[SC Current Ask]]), "")</f>
        <v/>
      </c>
      <c r="FK42" s="250" t="str">
        <f>IF(SnapshotTable[[#This Row],[SC Time Val]]&gt;0, SnapshotTable[[#This Row],[SC Time Val]] / SnapshotTable[[#This Row],[Last Price]],"")</f>
        <v/>
      </c>
      <c r="FL42" s="302" t="str">
        <f>IF(SnapshotTable[[#This Row],[SC Is Booked]], ((SnapshotTable[[#This Row],[Last Price]] -SnapshotTable[[#This Row],[SC Strike Price]]) / SnapshotTable[[#This Row],[Last Price]]) * -1, "")</f>
        <v/>
      </c>
      <c r="FM42" s="157"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33"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36" t="str">
        <f>IF(AND(ISNUMBER(SnapshotTable[[#This Row],[SC Simple ROO]]),SnapshotTable[[#This Row],[SC Simple ROO]] &gt; 0), SnapshotTable[[#This Row],[SC Premium]] + (SnapshotTable[[#This Row],[SC Qty]] * SnapshotTable[[#This Row],[SC Upside Potential]]), "")</f>
        <v/>
      </c>
      <c r="FX42" s="302" t="str" cm="1">
        <f t="array" ref="FX42">IF(ISNUMBER(SnapshotTable[[#This Row],[SC Max Dollars]]), annualize(SnapshotTable[[#This Row],[SC Term]],(SnapshotTable[[#This Row],[SC Max Dollars]]/SnapshotTable[[#This Row],[SC Basis]])),"")</f>
        <v/>
      </c>
      <c r="FY42" s="23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29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731</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31">
        <f>MAX(SnapshotTable[[#This Row],[Equity Basis Total]],SnapshotTable[[#This Row],[Equity Value]]) + (SnapshotTable[[#This Row],[SP Potential Spend]]- SnapshotTable[[#This Row],[SP Premium]] + SnapshotTable[[#This Row],[LP Premium]])+ (SnapshotTable[[#This Row],[LC Premium]] - SnapshotTable[[#This Row],[SC Premium]])</f>
        <v>0</v>
      </c>
      <c r="GW42" s="139" t="str">
        <f>IF(AND(SnapshotTable[[#This Row],[Exposure]] &lt;&gt; 0),SnapshotTable[[#This Row],[Exposure]] / SnapshotTable[[#Totals],[Exposure]], "")</f>
        <v/>
      </c>
      <c r="GY42" s="381"/>
      <c r="HE42" s="268"/>
      <c r="HF42" s="268"/>
      <c r="HG42" s="381"/>
      <c r="HH42" s="381"/>
      <c r="HI42" s="381"/>
      <c r="HJ42" s="381"/>
    </row>
    <row r="43" spans="2:224" s="47" customFormat="1" ht="12.75" hidden="1" customHeight="1" x14ac:dyDescent="0.25">
      <c r="B43" s="12" t="s">
        <v>231</v>
      </c>
      <c r="C43" s="422">
        <v>163</v>
      </c>
      <c r="D43" s="208" t="s">
        <v>850</v>
      </c>
      <c r="E43" s="39">
        <f>SnapshotTable[[#This Row],[Last Price]]*(1 -CrashDiscount)</f>
        <v>138.54999999999998</v>
      </c>
      <c r="F43" s="26" t="s">
        <v>230</v>
      </c>
      <c r="G43" s="26" t="s">
        <v>9</v>
      </c>
      <c r="H43" s="149"/>
      <c r="I43" s="194">
        <v>44803.670138888891</v>
      </c>
      <c r="J43" s="195">
        <v>44803.670138888891</v>
      </c>
      <c r="K43" s="196"/>
      <c r="L43" s="326"/>
      <c r="M43" s="140">
        <v>2</v>
      </c>
      <c r="N43" s="140"/>
      <c r="O43" s="140"/>
      <c r="P43" s="22"/>
      <c r="Q43" s="25"/>
      <c r="R43" s="4" t="str">
        <f>IF(SnapshotTable[[#This Row],[Equity Basis Total]] &gt; 0, SnapshotTable[[#This Row],[Equity Basis Total]] / SnapshotTable[[#This Row],[Equity Shares]], "")</f>
        <v/>
      </c>
      <c r="S43" s="269">
        <f>SnapshotTable[[#This Row],[Last Price]] * SnapshotTable[[#This Row],[Equity Shares]]</f>
        <v>0</v>
      </c>
      <c r="T43" s="269">
        <f>SnapshotTable[[#This Row],[Equity Value]] - SnapshotTable[[#This Row],[Equity Basis Total]]</f>
        <v>0</v>
      </c>
      <c r="U43" s="270" t="str">
        <f>IF(SnapshotTable[[#This Row],[Equity Basis Total]] &gt; 0, SnapshotTable[[#This Row],[Equity G/L]] / SnapshotTable[[#This Row],[Equity Basis Total]], "")</f>
        <v/>
      </c>
      <c r="V43" s="268">
        <v>275</v>
      </c>
      <c r="W43" s="26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7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0"/>
      <c r="AD43" s="151"/>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1"/>
      <c r="AI43" s="5"/>
      <c r="AJ43" s="138">
        <v>277.33999999999997</v>
      </c>
      <c r="AK43" s="152" t="str">
        <f>IF(ISNUMBER( SnapshotTable[[#This Row],[EBF Target]]),(SnapshotTable[[#This Row],[EBF Target]] - SnapshotTable[[#This Row],[Last Price]]) / SnapshotTable[[#This Row],[Last Price]], "")</f>
        <v/>
      </c>
      <c r="AL43" s="152"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2">
        <f>IF(AND(ISNUMBER( SnapshotTable[[#This Row],[Long Term Target]]), ISNUMBER(SnapshotTable[[#This Row],[Last Price]])),(SnapshotTable[[#This Row],[Long Term Target]] - SnapshotTable[[#This Row],[Last Price]]) / SnapshotTable[[#This Row],[Last Price]], "")</f>
        <v>0.70147239263803662</v>
      </c>
      <c r="AP43" s="5">
        <v>220</v>
      </c>
      <c r="AQ43" s="38" t="s">
        <v>27</v>
      </c>
      <c r="AR43" s="5">
        <v>220</v>
      </c>
      <c r="AS43" s="38" t="s">
        <v>38</v>
      </c>
      <c r="AT43" s="146" t="s">
        <v>542</v>
      </c>
      <c r="AU43" s="187" t="str">
        <f>IF(OR(SnapshotTable[[#This Row],[LP No Fill]]="Y",SnapshotTable[[#This Row],[SP Is Filled]],SnapshotTable[[#This Row],[LC Not Filled]]="Y",SnapshotTable[[#This Row],[SC Is Filled]]),"Y","")</f>
        <v/>
      </c>
      <c r="AV43" s="219"/>
      <c r="AW43" s="225"/>
      <c r="AX43" s="220"/>
      <c r="AY43" s="219" t="str">
        <f>IF(SnapshotTable[[#This Row],[Implied Move]]&gt;0, SnapshotTable[[#This Row],[Last Price]]-SnapshotTable[[#This Row],[Implied Move]],"")</f>
        <v/>
      </c>
      <c r="AZ43" s="219" t="str">
        <f>IF(SnapshotTable[[#This Row],[Implied Move]]&gt;0, SnapshotTable[[#This Row],[Last Price]] + SnapshotTable[[#This Row],[Implied Move]],"")</f>
        <v/>
      </c>
      <c r="BA43" s="331">
        <v>149.38</v>
      </c>
      <c r="BB43" s="347"/>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51"/>
      <c r="BE43" s="5"/>
      <c r="BF43" s="14"/>
      <c r="BG43" s="13"/>
      <c r="BH43" s="13"/>
      <c r="BI43" s="5"/>
      <c r="BJ43" s="136">
        <f>IF(SnapshotTable[[#This Row],[LP Qty]] &gt; 0, SnapshotTable[[#This Row],[LP Qty]] * SnapshotTable[[#This Row],[LP Book Price]] * 100,0)</f>
        <v>0</v>
      </c>
      <c r="BK43" s="136">
        <f>IF(SnapshotTable[[#This Row],[LP Premium]] &gt; 0, SnapshotTable[[#This Row],[LP Qty]] * SnapshotTable[[#This Row],[LP Strike Price]] * 100,0)</f>
        <v>0</v>
      </c>
      <c r="BL43" s="154"/>
      <c r="BM43" s="385" t="str">
        <f>IF(SnapshotTable[[#This Row],[LP Premium]] &gt; 0,SnapshotTable[[#This Row],[LP Exp Date]]-MAX(SnapshotTable[[#This Row],[LP Book Date]], SnapshotTable[[#This Row],[LP Fill Date]]),"")</f>
        <v/>
      </c>
      <c r="BN43" s="385" t="str">
        <f>IF(ISNUMBER( SnapshotTable[[#This Row],[LP Term]]), SnapshotTable[[#This Row],[LP Exp Date]] - MockToday,"")</f>
        <v/>
      </c>
      <c r="BO43" s="163"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7"/>
      <c r="BU43" s="13"/>
      <c r="BV43" s="5"/>
      <c r="BW43" s="419" t="b">
        <f>AND(ISNUMBER(SnapshotTable[[#This Row],[SP Exp Date]]), ISNUMBER(SnapshotTable[[#This Row],[SP Strike Price]]), ISNUMBER(SnapshotTable[[#This Row],[SP Qty]]), ISNUMBER(SnapshotTable[[#This Row],[SP Book Date]]), ISNUMBER(SnapshotTable[[#This Row],[SP Book Price]]))</f>
        <v>0</v>
      </c>
      <c r="BX43" s="419" t="b">
        <f>AND(SnapshotTable[[#This Row],[SP Is Booked]], NOT(ISBLANK(SnapshotTable[[#This Row],[SP Fill Date]])))</f>
        <v>0</v>
      </c>
      <c r="BY43" s="33">
        <f>IF(SnapshotTable[[#This Row],[SP Is Booked]], SnapshotTable[[#This Row],[SP Qty]] * SnapshotTable[[#This Row],[SP Book Price]] * 100, 0)</f>
        <v>0</v>
      </c>
      <c r="BZ43" s="369"/>
      <c r="CA43" s="368">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3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44">
        <v>0.75</v>
      </c>
      <c r="CK43" s="31">
        <f>IF(ISNUMBER(SnapshotTable[[#This Row],[SP Potential Spend]]),IF(ISNUMBER(SnapshotTable[[#This Row],[SP POW]]), SnapshotTable[[#This Row],[SP POW]] * SnapshotTable[[#This Row],[SP Potential Spend]], SnapshotTable[[#This Row],[SP Potential Spend]]), "")</f>
        <v>0</v>
      </c>
      <c r="CL43" s="164">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18"/>
      <c r="CO43" s="369"/>
      <c r="CP43" s="4" t="str">
        <f>IF(SnapshotTable[[#This Row],[SP Is Filled]], btc_max_buyback_amount(SnapshotTable[[#This Row],[SP Fill Date]],SnapshotTable[[#This Row],[SP Exp Date]], SnapshotTable[[#This Row],[SP Book Price]]),"")</f>
        <v/>
      </c>
      <c r="CQ43" s="78"/>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5" t="str">
        <f>IF(SnapshotTable[[#This Row],[SP Is Filled]], btc_next_cutoff_date(SnapshotTable[[#This Row],[SP Fill Date]],SnapshotTable[[#This Row],[SP Exp Date]]),"")</f>
        <v/>
      </c>
      <c r="CT43" s="23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3"/>
      <c r="CV43" s="235"/>
      <c r="CW43" s="378"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294" t="str">
        <f>IF(ISNUMBER((SnapshotTable[[#This Row],[SP Total Value]])), SnapshotTable[[#This Row],[SP Gain Loss]] / SnapshotTable[[#This Row],[SP Premium]], "")</f>
        <v/>
      </c>
      <c r="DI43" s="406"/>
      <c r="DJ43" s="138"/>
      <c r="DK43" s="148"/>
      <c r="DL43" s="13"/>
      <c r="DM43" s="13"/>
      <c r="DN43" s="5"/>
      <c r="DO43" s="31">
        <f>IF(SnapshotTable[[#This Row],[LC Symbol Count]]=1, SnapshotTable[[#This Row],[LC Qty]] * SnapshotTable[[#This Row],[LC Book Price]] * 100, 0)</f>
        <v>0</v>
      </c>
      <c r="DP43" s="163" t="str">
        <f>IF(AND(SnapshotTable[[#This Row],[LC Exp Date]]&gt;0, SnapshotTable[[#This Row],[LC Strike Price]]&gt;0,SnapshotTable[[#This Row],[LC Qty]]&gt;0,SnapshotTable[[#This Row],[LC Book Date]]&gt;0,SnapshotTable[[#This Row],[LC Book Price]]&gt;0,SnapshotTable[[#This Row],[LC Fill Date]]=0),"Y","")</f>
        <v/>
      </c>
      <c r="DQ43" s="386" t="str">
        <f>IF(SnapshotTable[[#This Row],[LC Premium]] &gt; 0,SnapshotTable[[#This Row],[LC Exp Date]]-MAX(SnapshotTable[[#This Row],[LC Book Date]], SnapshotTable[[#This Row],[LC Fill Date]]),"")</f>
        <v/>
      </c>
      <c r="DR43" s="386" t="str">
        <f>IF(ISNUMBER(SnapshotTable[[#This Row],[LC Term]]), SnapshotTable[[#This Row],[LC Exp Date]] - MockToday, "")</f>
        <v/>
      </c>
      <c r="DS43" s="23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40" t="str">
        <f>IF(ISNUMBER(SnapshotTable[[#This Row],[LC Actual Gain Loss]]), SnapshotTable[[#This Row],[LC Actual Gain Loss]] / SnapshotTable[[#This Row],[LC Premium]],"")</f>
        <v/>
      </c>
      <c r="DX43" s="284" t="str">
        <f>IF(ISNUMBER(SnapshotTable[[#This Row],[LC Book Price]]),SnapshotTable[[#This Row],[LC Book Price]] * 1.5,"")</f>
        <v/>
      </c>
      <c r="DY43" s="265" t="str">
        <f>IF(SnapshotTable[[#This Row],[LC Premium]]&gt;0, SnapshotTable[[#This Row],[LC Next Target]] * SnapshotTable[[#This Row],[LC Qty]] * 100,"")</f>
        <v/>
      </c>
      <c r="DZ43" s="265" t="str">
        <f>IF(ISNUMBER(SnapshotTable[[#This Row],[LC Target Gross]]), SnapshotTable[[#This Row],[LC Target Gross]] - SnapshotTable[[#This Row],[LC Premium]], "")</f>
        <v/>
      </c>
      <c r="EA43" s="305" t="str">
        <f>IF(ISNUMBER(SnapshotTable[[#This Row],[LC Target Gain Loss]]), SnapshotTable[[#This Row],[LC Target Gain Loss]]/SnapshotTable[[#This Row],[LC Premium]], "")</f>
        <v/>
      </c>
      <c r="EB43" s="262"/>
      <c r="EC43" s="283" t="str">
        <f>IF(SnapshotTable[[#This Row],[LC Premium]]&gt;0, SnapshotTable[[#This Row],[LC Book Price]] * (1 - LC_StopLoss_Pct),"")</f>
        <v/>
      </c>
      <c r="ED43" s="284"/>
      <c r="EE43" s="28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4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7"/>
      <c r="EL43" s="138"/>
      <c r="EM43" s="148"/>
      <c r="EN43" s="147"/>
      <c r="EO43" s="147"/>
      <c r="EP43" s="138"/>
      <c r="EQ43" s="419" t="b">
        <f>AND(ISNUMBER(SnapshotTable[[#This Row],[SC Exp Date]]), ISNUMBER(SnapshotTable[[#This Row],[SC Strike Price]]), ISNUMBER(SnapshotTable[[#This Row],[SC Qty]]), ISNUMBER(SnapshotTable[[#This Row],[SC Book Date]]), ISNUMBER(SnapshotTable[[#This Row],[SC Book Price]]))</f>
        <v>0</v>
      </c>
      <c r="ER43" s="419" t="b">
        <f>AND(SnapshotTable[[#This Row],[SC Is Booked]], NOT(ISBLANK(SnapshotTable[[#This Row],[SC Fill Date]])))</f>
        <v>0</v>
      </c>
      <c r="ES43" s="370"/>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3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283"/>
      <c r="FA43" s="218"/>
      <c r="FB43" s="370"/>
      <c r="FC43" s="4">
        <f>IF(SnapshotTable[[#This Row],[SC Is Filled]], btc_max_buyback_amount(SnapshotTable[[#This Row],[SC Fill Date]],SnapshotTable[[#This Row],[SC Exp Date]], SnapshotTable[[#This Row],[SC Book Price]]),0)</f>
        <v>0</v>
      </c>
      <c r="FD43" s="5"/>
      <c r="FE43" s="144"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382">
        <f>IF(SnapshotTable[[#This Row],[SC Is Filled]], IF(ISNUMBER(SnapshotTable[[#This Row],[SC Current Ask]]), SnapshotTable[[#This Row],[SC Current Ask]], SnapshotTable[[#This Row],[SC Book Price]]) - SnapshotTable[[#This Row],[SC Intrinsic Value]], 0)</f>
        <v>0</v>
      </c>
      <c r="FI43" s="143"/>
      <c r="FJ43" s="32" t="str">
        <f>IF(SnapshotTable[[#This Row],[SC Is Filled]],100 * SnapshotTable[[#This Row],[SC Qty]] * IF(ISNUMBER(SnapshotTable[[#This Row],[SC Buyback Override]]), SnapshotTable[[#This Row],[SC Buyback Override]], SnapshotTable[[#This Row],[SC Current Ask]]), "")</f>
        <v/>
      </c>
      <c r="FK43" s="250" t="str">
        <f>IF(SnapshotTable[[#This Row],[SC Time Val]]&gt;0, SnapshotTable[[#This Row],[SC Time Val]] / SnapshotTable[[#This Row],[Last Price]],"")</f>
        <v/>
      </c>
      <c r="FL43" s="302" t="str">
        <f>IF(SnapshotTable[[#This Row],[SC Is Booked]], ((SnapshotTable[[#This Row],[Last Price]] -SnapshotTable[[#This Row],[SC Strike Price]]) / SnapshotTable[[#This Row],[Last Price]]) * -1, "")</f>
        <v/>
      </c>
      <c r="FM43" s="157"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33"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36" t="str">
        <f>IF(AND(ISNUMBER(SnapshotTable[[#This Row],[SC Simple ROO]]),SnapshotTable[[#This Row],[SC Simple ROO]] &gt; 0), SnapshotTable[[#This Row],[SC Premium]] + (SnapshotTable[[#This Row],[SC Qty]] * SnapshotTable[[#This Row],[SC Upside Potential]]), "")</f>
        <v/>
      </c>
      <c r="FX43" s="302" t="str" cm="1">
        <f t="array" ref="FX43">IF(ISNUMBER(SnapshotTable[[#This Row],[SC Max Dollars]]), annualize(SnapshotTable[[#This Row],[SC Term]],(SnapshotTable[[#This Row],[SC Max Dollars]]/SnapshotTable[[#This Row],[SC Basis]])),"")</f>
        <v/>
      </c>
      <c r="FY43" s="23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29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317.84999999999997</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739</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31">
        <f>MAX(SnapshotTable[[#This Row],[Equity Basis Total]],SnapshotTable[[#This Row],[Equity Value]]) + (SnapshotTable[[#This Row],[SP Potential Spend]]- SnapshotTable[[#This Row],[SP Premium]] + SnapshotTable[[#This Row],[LP Premium]])+ (SnapshotTable[[#This Row],[LC Premium]] - SnapshotTable[[#This Row],[SC Premium]])</f>
        <v>0</v>
      </c>
      <c r="GW43" s="139" t="str">
        <f>IF(AND(SnapshotTable[[#This Row],[Exposure]] &lt;&gt; 0),SnapshotTable[[#This Row],[Exposure]] / SnapshotTable[[#Totals],[Exposure]], "")</f>
        <v/>
      </c>
      <c r="GY43" s="381"/>
      <c r="HE43" s="268"/>
      <c r="HF43" s="268"/>
      <c r="HG43" s="381"/>
      <c r="HH43" s="381"/>
      <c r="HI43" s="381"/>
      <c r="HJ43" s="381"/>
    </row>
    <row r="44" spans="2:224" s="47" customFormat="1" ht="12.75" hidden="1" customHeight="1" x14ac:dyDescent="0.25">
      <c r="B44" s="12" t="s">
        <v>207</v>
      </c>
      <c r="C44" s="422">
        <v>348.74</v>
      </c>
      <c r="D44" s="208"/>
      <c r="E44" s="39">
        <f>SnapshotTable[[#This Row],[Last Price]]*(1 -CrashDiscount)</f>
        <v>296.42899999999997</v>
      </c>
      <c r="F44" s="26" t="s">
        <v>183</v>
      </c>
      <c r="G44" s="26" t="s">
        <v>4</v>
      </c>
      <c r="H44" s="149"/>
      <c r="I44" s="194">
        <v>44764.291666666664</v>
      </c>
      <c r="J44" s="195">
        <v>44764.291666666664</v>
      </c>
      <c r="K44" s="196"/>
      <c r="L44" s="326"/>
      <c r="M44" s="140"/>
      <c r="N44" s="140"/>
      <c r="O44" s="140"/>
      <c r="P44" s="22"/>
      <c r="Q44" s="25"/>
      <c r="R44" s="4" t="str">
        <f>IF(SnapshotTable[[#This Row],[Equity Basis Total]] &gt; 0, SnapshotTable[[#This Row],[Equity Basis Total]] / SnapshotTable[[#This Row],[Equity Shares]], "")</f>
        <v/>
      </c>
      <c r="S44" s="269">
        <f>SnapshotTable[[#This Row],[Last Price]] * SnapshotTable[[#This Row],[Equity Shares]]</f>
        <v>0</v>
      </c>
      <c r="T44" s="269">
        <f>SnapshotTable[[#This Row],[Equity Value]] - SnapshotTable[[#This Row],[Equity Basis Total]]</f>
        <v>0</v>
      </c>
      <c r="U44" s="270" t="str">
        <f>IF(SnapshotTable[[#This Row],[Equity Basis Total]] &gt; 0, SnapshotTable[[#This Row],[Equity G/L]] / SnapshotTable[[#This Row],[Equity Basis Total]], "")</f>
        <v/>
      </c>
      <c r="V44" s="268"/>
      <c r="W44" s="26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7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0">
        <v>1.1599999999999999</v>
      </c>
      <c r="AD44" s="151">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3.3262602511899978E-3</v>
      </c>
      <c r="AH44" s="151">
        <v>42373</v>
      </c>
      <c r="AI44" s="5"/>
      <c r="AJ44" s="138">
        <v>130.32</v>
      </c>
      <c r="AK44" s="152" t="str">
        <f>IF(ISNUMBER( SnapshotTable[[#This Row],[EBF Target]]),(SnapshotTable[[#This Row],[EBF Target]] - SnapshotTable[[#This Row],[Last Price]]) / SnapshotTable[[#This Row],[Last Price]], "")</f>
        <v/>
      </c>
      <c r="AL44" s="152"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2">
        <f>IF(AND(ISNUMBER( SnapshotTable[[#This Row],[Long Term Target]]), ISNUMBER(SnapshotTable[[#This Row],[Last Price]])),(SnapshotTable[[#This Row],[Long Term Target]] - SnapshotTable[[#This Row],[Last Price]]) / SnapshotTable[[#This Row],[Last Price]], "")</f>
        <v>-0.62631186557320639</v>
      </c>
      <c r="AP44" s="5">
        <v>8</v>
      </c>
      <c r="AQ44" s="38" t="s">
        <v>27</v>
      </c>
      <c r="AR44" s="5">
        <v>8</v>
      </c>
      <c r="AS44" s="38" t="s">
        <v>38</v>
      </c>
      <c r="AT44" s="146" t="s">
        <v>542</v>
      </c>
      <c r="AU44" s="187" t="str">
        <f>IF(OR(SnapshotTable[[#This Row],[LP No Fill]]="Y",SnapshotTable[[#This Row],[SP Is Filled]],SnapshotTable[[#This Row],[LC Not Filled]]="Y",SnapshotTable[[#This Row],[SC Is Filled]]),"Y","")</f>
        <v/>
      </c>
      <c r="AV44" s="219"/>
      <c r="AW44" s="225"/>
      <c r="AX44" s="220"/>
      <c r="AY44" s="219" t="str">
        <f>IF(SnapshotTable[[#This Row],[Implied Move]]&gt;0, SnapshotTable[[#This Row],[Last Price]]-SnapshotTable[[#This Row],[Implied Move]],"")</f>
        <v/>
      </c>
      <c r="AZ44" s="219" t="str">
        <f>IF(SnapshotTable[[#This Row],[Implied Move]]&gt;0, SnapshotTable[[#This Row],[Last Price]] + SnapshotTable[[#This Row],[Implied Move]],"")</f>
        <v/>
      </c>
      <c r="BA44" s="331"/>
      <c r="BB44" s="347"/>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51"/>
      <c r="BE44" s="5"/>
      <c r="BF44" s="14"/>
      <c r="BG44" s="13"/>
      <c r="BH44" s="13"/>
      <c r="BI44" s="5"/>
      <c r="BJ44" s="136">
        <f>IF(SnapshotTable[[#This Row],[LP Qty]] &gt; 0, SnapshotTable[[#This Row],[LP Qty]] * SnapshotTable[[#This Row],[LP Book Price]] * 100,0)</f>
        <v>0</v>
      </c>
      <c r="BK44" s="136">
        <f>IF(SnapshotTable[[#This Row],[LP Premium]] &gt; 0, SnapshotTable[[#This Row],[LP Qty]] * SnapshotTable[[#This Row],[LP Strike Price]] * 100,0)</f>
        <v>0</v>
      </c>
      <c r="BL44" s="154"/>
      <c r="BM44" s="385" t="str">
        <f>IF(SnapshotTable[[#This Row],[LP Premium]] &gt; 0,SnapshotTable[[#This Row],[LP Exp Date]]-MAX(SnapshotTable[[#This Row],[LP Book Date]], SnapshotTable[[#This Row],[LP Fill Date]]),"")</f>
        <v/>
      </c>
      <c r="BN44" s="385" t="str">
        <f>IF(ISNUMBER( SnapshotTable[[#This Row],[LP Term]]), SnapshotTable[[#This Row],[LP Exp Date]] - MockToday,"")</f>
        <v/>
      </c>
      <c r="BO44" s="163"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7"/>
      <c r="BU44" s="13"/>
      <c r="BV44" s="5"/>
      <c r="BW44" s="419" t="b">
        <f>AND(ISNUMBER(SnapshotTable[[#This Row],[SP Exp Date]]), ISNUMBER(SnapshotTable[[#This Row],[SP Strike Price]]), ISNUMBER(SnapshotTable[[#This Row],[SP Qty]]), ISNUMBER(SnapshotTable[[#This Row],[SP Book Date]]), ISNUMBER(SnapshotTable[[#This Row],[SP Book Price]]))</f>
        <v>0</v>
      </c>
      <c r="BX44" s="419" t="b">
        <f>AND(SnapshotTable[[#This Row],[SP Is Booked]], NOT(ISBLANK(SnapshotTable[[#This Row],[SP Fill Date]])))</f>
        <v>0</v>
      </c>
      <c r="BY44" s="33">
        <f>IF(SnapshotTable[[#This Row],[SP Is Booked]], SnapshotTable[[#This Row],[SP Qty]] * SnapshotTable[[#This Row],[SP Book Price]] * 100, 0)</f>
        <v>0</v>
      </c>
      <c r="BZ44" s="369"/>
      <c r="CA44" s="368">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3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44"/>
      <c r="CK44" s="31">
        <f>IF(ISNUMBER(SnapshotTable[[#This Row],[SP Potential Spend]]),IF(ISNUMBER(SnapshotTable[[#This Row],[SP POW]]), SnapshotTable[[#This Row],[SP POW]] * SnapshotTable[[#This Row],[SP Potential Spend]], SnapshotTable[[#This Row],[SP Potential Spend]]), "")</f>
        <v>0</v>
      </c>
      <c r="CL44" s="164">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8"/>
      <c r="CO44" s="369"/>
      <c r="CP44" s="4" t="str">
        <f>IF(SnapshotTable[[#This Row],[SP Is Filled]], btc_max_buyback_amount(SnapshotTable[[#This Row],[SP Fill Date]],SnapshotTable[[#This Row],[SP Exp Date]], SnapshotTable[[#This Row],[SP Book Price]]),"")</f>
        <v/>
      </c>
      <c r="CQ44" s="78"/>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5" t="str">
        <f>IF(SnapshotTable[[#This Row],[SP Is Filled]], btc_next_cutoff_date(SnapshotTable[[#This Row],[SP Fill Date]],SnapshotTable[[#This Row],[SP Exp Date]]),"")</f>
        <v/>
      </c>
      <c r="CT44" s="23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3"/>
      <c r="CV44" s="235"/>
      <c r="CW44" s="378"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294" t="str">
        <f>IF(ISNUMBER((SnapshotTable[[#This Row],[SP Total Value]])), SnapshotTable[[#This Row],[SP Gain Loss]] / SnapshotTable[[#This Row],[SP Premium]], "")</f>
        <v/>
      </c>
      <c r="DI44" s="406"/>
      <c r="DJ44" s="138"/>
      <c r="DK44" s="148"/>
      <c r="DL44" s="13"/>
      <c r="DM44" s="13"/>
      <c r="DN44" s="5"/>
      <c r="DO44" s="31">
        <f>IF(SnapshotTable[[#This Row],[LC Symbol Count]]=1, SnapshotTable[[#This Row],[LC Qty]] * SnapshotTable[[#This Row],[LC Book Price]] * 100, 0)</f>
        <v>0</v>
      </c>
      <c r="DP44" s="163" t="str">
        <f>IF(AND(SnapshotTable[[#This Row],[LC Exp Date]]&gt;0, SnapshotTable[[#This Row],[LC Strike Price]]&gt;0,SnapshotTable[[#This Row],[LC Qty]]&gt;0,SnapshotTable[[#This Row],[LC Book Date]]&gt;0,SnapshotTable[[#This Row],[LC Book Price]]&gt;0,SnapshotTable[[#This Row],[LC Fill Date]]=0),"Y","")</f>
        <v/>
      </c>
      <c r="DQ44" s="386" t="str">
        <f>IF(SnapshotTable[[#This Row],[LC Premium]] &gt; 0,SnapshotTable[[#This Row],[LC Exp Date]]-MAX(SnapshotTable[[#This Row],[LC Book Date]], SnapshotTable[[#This Row],[LC Fill Date]]),"")</f>
        <v/>
      </c>
      <c r="DR44" s="386" t="str">
        <f>IF(ISNUMBER(SnapshotTable[[#This Row],[LC Term]]), SnapshotTable[[#This Row],[LC Exp Date]] - MockToday, "")</f>
        <v/>
      </c>
      <c r="DS44" s="23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40" t="str">
        <f>IF(ISNUMBER(SnapshotTable[[#This Row],[LC Actual Gain Loss]]), SnapshotTable[[#This Row],[LC Actual Gain Loss]] / SnapshotTable[[#This Row],[LC Premium]],"")</f>
        <v/>
      </c>
      <c r="DX44" s="284" t="str">
        <f>IF(ISNUMBER(SnapshotTable[[#This Row],[LC Book Price]]),SnapshotTable[[#This Row],[LC Book Price]] * 1.5,"")</f>
        <v/>
      </c>
      <c r="DY44" s="265" t="str">
        <f>IF(SnapshotTable[[#This Row],[LC Premium]]&gt;0, SnapshotTable[[#This Row],[LC Next Target]] * SnapshotTable[[#This Row],[LC Qty]] * 100,"")</f>
        <v/>
      </c>
      <c r="DZ44" s="265" t="str">
        <f>IF(ISNUMBER(SnapshotTable[[#This Row],[LC Target Gross]]), SnapshotTable[[#This Row],[LC Target Gross]] - SnapshotTable[[#This Row],[LC Premium]], "")</f>
        <v/>
      </c>
      <c r="EA44" s="305" t="str">
        <f>IF(ISNUMBER(SnapshotTable[[#This Row],[LC Target Gain Loss]]), SnapshotTable[[#This Row],[LC Target Gain Loss]]/SnapshotTable[[#This Row],[LC Premium]], "")</f>
        <v/>
      </c>
      <c r="EB44" s="262"/>
      <c r="EC44" s="283" t="str">
        <f>IF(SnapshotTable[[#This Row],[LC Premium]]&gt;0, SnapshotTable[[#This Row],[LC Book Price]] * (1 - LC_StopLoss_Pct),"")</f>
        <v/>
      </c>
      <c r="ED44" s="284"/>
      <c r="EE44" s="28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4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7"/>
      <c r="EL44" s="138"/>
      <c r="EM44" s="148"/>
      <c r="EN44" s="147"/>
      <c r="EO44" s="147"/>
      <c r="EP44" s="138"/>
      <c r="EQ44" s="419" t="b">
        <f>AND(ISNUMBER(SnapshotTable[[#This Row],[SC Exp Date]]), ISNUMBER(SnapshotTable[[#This Row],[SC Strike Price]]), ISNUMBER(SnapshotTable[[#This Row],[SC Qty]]), ISNUMBER(SnapshotTable[[#This Row],[SC Book Date]]), ISNUMBER(SnapshotTable[[#This Row],[SC Book Price]]))</f>
        <v>0</v>
      </c>
      <c r="ER44" s="419" t="b">
        <f>AND(SnapshotTable[[#This Row],[SC Is Booked]], NOT(ISBLANK(SnapshotTable[[#This Row],[SC Fill Date]])))</f>
        <v>0</v>
      </c>
      <c r="ES44" s="370"/>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3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283"/>
      <c r="FA44" s="218"/>
      <c r="FB44" s="370"/>
      <c r="FC44" s="4">
        <f>IF(SnapshotTable[[#This Row],[SC Is Filled]], btc_max_buyback_amount(SnapshotTable[[#This Row],[SC Fill Date]],SnapshotTable[[#This Row],[SC Exp Date]], SnapshotTable[[#This Row],[SC Book Price]]),0)</f>
        <v>0</v>
      </c>
      <c r="FD44" s="5"/>
      <c r="FE44" s="144"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382">
        <f>IF(SnapshotTable[[#This Row],[SC Is Filled]], IF(ISNUMBER(SnapshotTable[[#This Row],[SC Current Ask]]), SnapshotTable[[#This Row],[SC Current Ask]], SnapshotTable[[#This Row],[SC Book Price]]) - SnapshotTable[[#This Row],[SC Intrinsic Value]], 0)</f>
        <v>0</v>
      </c>
      <c r="FI44" s="143"/>
      <c r="FJ44" s="32" t="str">
        <f>IF(SnapshotTable[[#This Row],[SC Is Filled]],100 * SnapshotTable[[#This Row],[SC Qty]] * IF(ISNUMBER(SnapshotTable[[#This Row],[SC Buyback Override]]), SnapshotTable[[#This Row],[SC Buyback Override]], SnapshotTable[[#This Row],[SC Current Ask]]), "")</f>
        <v/>
      </c>
      <c r="FK44" s="250" t="str">
        <f>IF(SnapshotTable[[#This Row],[SC Time Val]]&gt;0, SnapshotTable[[#This Row],[SC Time Val]] / SnapshotTable[[#This Row],[Last Price]],"")</f>
        <v/>
      </c>
      <c r="FL44" s="302" t="str">
        <f>IF(SnapshotTable[[#This Row],[SC Is Booked]], ((SnapshotTable[[#This Row],[Last Price]] -SnapshotTable[[#This Row],[SC Strike Price]]) / SnapshotTable[[#This Row],[Last Price]]) * -1, "")</f>
        <v/>
      </c>
      <c r="FM44" s="157"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33"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36" t="str">
        <f>IF(AND(ISNUMBER(SnapshotTable[[#This Row],[SC Simple ROO]]),SnapshotTable[[#This Row],[SC Simple ROO]] &gt; 0), SnapshotTable[[#This Row],[SC Premium]] + (SnapshotTable[[#This Row],[SC Qty]] * SnapshotTable[[#This Row],[SC Upside Potential]]), "")</f>
        <v/>
      </c>
      <c r="FX44" s="302" t="str" cm="1">
        <f t="array" ref="FX44">IF(ISNUMBER(SnapshotTable[[#This Row],[SC Max Dollars]]), annualize(SnapshotTable[[#This Row],[SC Term]],(SnapshotTable[[#This Row],[SC Max Dollars]]/SnapshotTable[[#This Row],[SC Basis]])),"")</f>
        <v/>
      </c>
      <c r="FY44" s="23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29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680.04300000000001</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641</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31">
        <f>MAX(SnapshotTable[[#This Row],[Equity Basis Total]],SnapshotTable[[#This Row],[Equity Value]]) + (SnapshotTable[[#This Row],[SP Potential Spend]]- SnapshotTable[[#This Row],[SP Premium]] + SnapshotTable[[#This Row],[LP Premium]])+ (SnapshotTable[[#This Row],[LC Premium]] - SnapshotTable[[#This Row],[SC Premium]])</f>
        <v>0</v>
      </c>
      <c r="GW44" s="139" t="str">
        <f>IF(AND(SnapshotTable[[#This Row],[Exposure]] &lt;&gt; 0),SnapshotTable[[#This Row],[Exposure]] / SnapshotTable[[#Totals],[Exposure]], "")</f>
        <v/>
      </c>
      <c r="GY44" s="381"/>
      <c r="HE44" s="268"/>
      <c r="HF44" s="268"/>
      <c r="HG44" s="381"/>
      <c r="HH44" s="381"/>
      <c r="HI44" s="381"/>
      <c r="HJ44" s="381"/>
    </row>
    <row r="45" spans="2:224" s="47" customFormat="1" ht="12.75" hidden="1" customHeight="1" x14ac:dyDescent="0.25">
      <c r="B45" s="12" t="s">
        <v>947</v>
      </c>
      <c r="C45" s="422">
        <v>32.799999999999997</v>
      </c>
      <c r="D45" s="208" t="s">
        <v>578</v>
      </c>
      <c r="E45" s="39">
        <f>SnapshotTable[[#This Row],[Last Price]]*(1 -CrashDiscount)</f>
        <v>27.879999999999995</v>
      </c>
      <c r="F45" s="26" t="s">
        <v>948</v>
      </c>
      <c r="G45" s="26" t="s">
        <v>41</v>
      </c>
      <c r="H45" s="149"/>
      <c r="I45" s="194">
        <v>44767.677083333336</v>
      </c>
      <c r="J45" s="195">
        <v>44767.677083333336</v>
      </c>
      <c r="K45" s="196"/>
      <c r="L45" s="326"/>
      <c r="M45" s="140"/>
      <c r="N45" s="140"/>
      <c r="O45" s="140"/>
      <c r="P45" s="22"/>
      <c r="Q45" s="25"/>
      <c r="R45" s="4" t="str">
        <f>IF(SnapshotTable[[#This Row],[Equity Basis Total]] &gt; 0, SnapshotTable[[#This Row],[Equity Basis Total]] / SnapshotTable[[#This Row],[Equity Shares]], "")</f>
        <v/>
      </c>
      <c r="S45" s="269">
        <f>SnapshotTable[[#This Row],[Last Price]] * SnapshotTable[[#This Row],[Equity Shares]]</f>
        <v>0</v>
      </c>
      <c r="T45" s="269">
        <f>SnapshotTable[[#This Row],[Equity Value]] - SnapshotTable[[#This Row],[Equity Basis Total]]</f>
        <v>0</v>
      </c>
      <c r="U45" s="270" t="str">
        <f>IF(SnapshotTable[[#This Row],[Equity Basis Total]] &gt; 0, SnapshotTable[[#This Row],[Equity G/L]] / SnapshotTable[[#This Row],[Equity Basis Total]], "")</f>
        <v/>
      </c>
      <c r="V45" s="268"/>
      <c r="W45" s="26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7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0"/>
      <c r="AD45" s="151"/>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1"/>
      <c r="AI45" s="5"/>
      <c r="AJ45" s="138">
        <v>32.75</v>
      </c>
      <c r="AK45" s="152" t="str">
        <f>IF(ISNUMBER( SnapshotTable[[#This Row],[EBF Target]]),(SnapshotTable[[#This Row],[EBF Target]] - SnapshotTable[[#This Row],[Last Price]]) / SnapshotTable[[#This Row],[Last Price]], "")</f>
        <v/>
      </c>
      <c r="AL45" s="152"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2">
        <f>IF(AND(ISNUMBER( SnapshotTable[[#This Row],[Long Term Target]]), ISNUMBER(SnapshotTable[[#This Row],[Last Price]])),(SnapshotTable[[#This Row],[Long Term Target]] - SnapshotTable[[#This Row],[Last Price]]) / SnapshotTable[[#This Row],[Last Price]], "")</f>
        <v>-1.5243902439023526E-3</v>
      </c>
      <c r="AP45" s="5">
        <v>8</v>
      </c>
      <c r="AQ45" s="38" t="s">
        <v>27</v>
      </c>
      <c r="AR45" s="5">
        <v>8</v>
      </c>
      <c r="AS45" s="38" t="s">
        <v>38</v>
      </c>
      <c r="AT45" s="146" t="s">
        <v>542</v>
      </c>
      <c r="AU45" s="187" t="str">
        <f>IF(OR(SnapshotTable[[#This Row],[LP No Fill]]="Y",SnapshotTable[[#This Row],[SP Is Filled]],SnapshotTable[[#This Row],[LC Not Filled]]="Y",SnapshotTable[[#This Row],[SC Is Filled]]),"Y","")</f>
        <v/>
      </c>
      <c r="AV45" s="219"/>
      <c r="AW45" s="225"/>
      <c r="AX45" s="220"/>
      <c r="AY45" s="219" t="str">
        <f>IF(SnapshotTable[[#This Row],[Implied Move]]&gt;0, SnapshotTable[[#This Row],[Last Price]]-SnapshotTable[[#This Row],[Implied Move]],"")</f>
        <v/>
      </c>
      <c r="AZ45" s="219" t="str">
        <f>IF(SnapshotTable[[#This Row],[Implied Move]]&gt;0, SnapshotTable[[#This Row],[Last Price]] + SnapshotTable[[#This Row],[Implied Move]],"")</f>
        <v/>
      </c>
      <c r="BA45" s="331"/>
      <c r="BB45" s="347"/>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51"/>
      <c r="BE45" s="174"/>
      <c r="BF45" s="175"/>
      <c r="BG45" s="176"/>
      <c r="BH45" s="176"/>
      <c r="BI45" s="5"/>
      <c r="BJ45" s="153">
        <f>IF(SnapshotTable[[#This Row],[LP Qty]] &gt; 0, SnapshotTable[[#This Row],[LP Qty]] * SnapshotTable[[#This Row],[LP Book Price]] * 100,0)</f>
        <v>0</v>
      </c>
      <c r="BK45" s="136">
        <f>IF(SnapshotTable[[#This Row],[LP Premium]] &gt; 0, SnapshotTable[[#This Row],[LP Qty]] * SnapshotTable[[#This Row],[LP Strike Price]] * 100,0)</f>
        <v>0</v>
      </c>
      <c r="BL45" s="154"/>
      <c r="BM45" s="385" t="str">
        <f>IF(SnapshotTable[[#This Row],[LP Premium]] &gt; 0,SnapshotTable[[#This Row],[LP Exp Date]]-MAX(SnapshotTable[[#This Row],[LP Book Date]], SnapshotTable[[#This Row],[LP Fill Date]]),"")</f>
        <v/>
      </c>
      <c r="BN45" s="385" t="str">
        <f>IF(ISNUMBER( SnapshotTable[[#This Row],[LP Term]]), SnapshotTable[[#This Row],[LP Exp Date]] - MockToday,"")</f>
        <v/>
      </c>
      <c r="BO45" s="163"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7"/>
      <c r="BU45" s="13"/>
      <c r="BV45" s="5"/>
      <c r="BW45" s="419" t="b">
        <f>AND(ISNUMBER(SnapshotTable[[#This Row],[SP Exp Date]]), ISNUMBER(SnapshotTable[[#This Row],[SP Strike Price]]), ISNUMBER(SnapshotTable[[#This Row],[SP Qty]]), ISNUMBER(SnapshotTable[[#This Row],[SP Book Date]]), ISNUMBER(SnapshotTable[[#This Row],[SP Book Price]]))</f>
        <v>0</v>
      </c>
      <c r="BX45" s="419" t="b">
        <f>AND(SnapshotTable[[#This Row],[SP Is Booked]], NOT(ISBLANK(SnapshotTable[[#This Row],[SP Fill Date]])))</f>
        <v>0</v>
      </c>
      <c r="BY45" s="33">
        <f>IF(SnapshotTable[[#This Row],[SP Is Booked]], SnapshotTable[[#This Row],[SP Qty]] * SnapshotTable[[#This Row],[SP Book Price]] * 100, 0)</f>
        <v>0</v>
      </c>
      <c r="BZ45" s="369"/>
      <c r="CA45" s="368">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3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44"/>
      <c r="CK45" s="31">
        <f>IF(ISNUMBER(SnapshotTable[[#This Row],[SP Potential Spend]]),IF(ISNUMBER(SnapshotTable[[#This Row],[SP POW]]), SnapshotTable[[#This Row],[SP POW]] * SnapshotTable[[#This Row],[SP Potential Spend]], SnapshotTable[[#This Row],[SP Potential Spend]]), "")</f>
        <v>0</v>
      </c>
      <c r="CL45" s="164">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4"/>
      <c r="CO45" s="369"/>
      <c r="CP45" s="4" t="str">
        <f>IF(SnapshotTable[[#This Row],[SP Is Filled]], btc_max_buyback_amount(SnapshotTable[[#This Row],[SP Fill Date]],SnapshotTable[[#This Row],[SP Exp Date]], SnapshotTable[[#This Row],[SP Book Price]]),"")</f>
        <v/>
      </c>
      <c r="CQ45" s="78"/>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5" t="str">
        <f>IF(SnapshotTable[[#This Row],[SP Is Filled]], btc_next_cutoff_date(SnapshotTable[[#This Row],[SP Fill Date]],SnapshotTable[[#This Row],[SP Exp Date]]),"")</f>
        <v/>
      </c>
      <c r="CT45" s="23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6"/>
      <c r="CV45" s="235"/>
      <c r="CW45" s="378"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294" t="str">
        <f>IF(ISNUMBER((SnapshotTable[[#This Row],[SP Total Value]])), SnapshotTable[[#This Row],[SP Gain Loss]] / SnapshotTable[[#This Row],[SP Premium]], "")</f>
        <v/>
      </c>
      <c r="DI45" s="406"/>
      <c r="DJ45" s="138"/>
      <c r="DK45" s="148"/>
      <c r="DL45" s="13"/>
      <c r="DM45" s="13"/>
      <c r="DN45" s="5"/>
      <c r="DO45" s="31">
        <f>IF(SnapshotTable[[#This Row],[LC Symbol Count]]=1, SnapshotTable[[#This Row],[LC Qty]] * SnapshotTable[[#This Row],[LC Book Price]] * 100, 0)</f>
        <v>0</v>
      </c>
      <c r="DP45" s="163" t="str">
        <f>IF(AND(SnapshotTable[[#This Row],[LC Exp Date]]&gt;0, SnapshotTable[[#This Row],[LC Strike Price]]&gt;0,SnapshotTable[[#This Row],[LC Qty]]&gt;0,SnapshotTable[[#This Row],[LC Book Date]]&gt;0,SnapshotTable[[#This Row],[LC Book Price]]&gt;0,SnapshotTable[[#This Row],[LC Fill Date]]=0),"Y","")</f>
        <v/>
      </c>
      <c r="DQ45" s="386" t="str">
        <f>IF(SnapshotTable[[#This Row],[LC Premium]] &gt; 0,SnapshotTable[[#This Row],[LC Exp Date]]-MAX(SnapshotTable[[#This Row],[LC Book Date]], SnapshotTable[[#This Row],[LC Fill Date]]),"")</f>
        <v/>
      </c>
      <c r="DR45" s="386" t="str">
        <f>IF(ISNUMBER(SnapshotTable[[#This Row],[LC Term]]), SnapshotTable[[#This Row],[LC Exp Date]] - MockToday, "")</f>
        <v/>
      </c>
      <c r="DS45" s="23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40" t="str">
        <f>IF(ISNUMBER(SnapshotTable[[#This Row],[LC Actual Gain Loss]]), SnapshotTable[[#This Row],[LC Actual Gain Loss]] / SnapshotTable[[#This Row],[LC Premium]],"")</f>
        <v/>
      </c>
      <c r="DX45" s="284" t="str">
        <f>IF(ISNUMBER(SnapshotTable[[#This Row],[LC Book Price]]),SnapshotTable[[#This Row],[LC Book Price]] * 1.5,"")</f>
        <v/>
      </c>
      <c r="DY45" s="265" t="str">
        <f>IF(SnapshotTable[[#This Row],[LC Premium]]&gt;0, SnapshotTable[[#This Row],[LC Next Target]] * SnapshotTable[[#This Row],[LC Qty]] * 100,"")</f>
        <v/>
      </c>
      <c r="DZ45" s="265" t="str">
        <f>IF(ISNUMBER(SnapshotTable[[#This Row],[LC Target Gross]]), SnapshotTable[[#This Row],[LC Target Gross]] - SnapshotTable[[#This Row],[LC Premium]], "")</f>
        <v/>
      </c>
      <c r="EA45" s="305" t="str">
        <f>IF(ISNUMBER(SnapshotTable[[#This Row],[LC Target Gain Loss]]), SnapshotTable[[#This Row],[LC Target Gain Loss]]/SnapshotTable[[#This Row],[LC Premium]], "")</f>
        <v/>
      </c>
      <c r="EB45" s="262"/>
      <c r="EC45" s="283" t="str">
        <f>IF(SnapshotTable[[#This Row],[LC Premium]]&gt;0, SnapshotTable[[#This Row],[LC Book Price]] * (1 - LC_StopLoss_Pct),"")</f>
        <v/>
      </c>
      <c r="ED45" s="284"/>
      <c r="EE45" s="28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4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7"/>
      <c r="EL45" s="138"/>
      <c r="EM45" s="148"/>
      <c r="EN45" s="147"/>
      <c r="EO45" s="147"/>
      <c r="EP45" s="138"/>
      <c r="EQ45" s="419" t="b">
        <f>AND(ISNUMBER(SnapshotTable[[#This Row],[SC Exp Date]]), ISNUMBER(SnapshotTable[[#This Row],[SC Strike Price]]), ISNUMBER(SnapshotTable[[#This Row],[SC Qty]]), ISNUMBER(SnapshotTable[[#This Row],[SC Book Date]]), ISNUMBER(SnapshotTable[[#This Row],[SC Book Price]]))</f>
        <v>0</v>
      </c>
      <c r="ER45" s="419" t="b">
        <f>AND(SnapshotTable[[#This Row],[SC Is Booked]], NOT(ISBLANK(SnapshotTable[[#This Row],[SC Fill Date]])))</f>
        <v>0</v>
      </c>
      <c r="ES45" s="370"/>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3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283"/>
      <c r="FA45" s="218"/>
      <c r="FB45" s="370"/>
      <c r="FC45" s="4">
        <f>IF(SnapshotTable[[#This Row],[SC Is Filled]], btc_max_buyback_amount(SnapshotTable[[#This Row],[SC Fill Date]],SnapshotTable[[#This Row],[SC Exp Date]], SnapshotTable[[#This Row],[SC Book Price]]),0)</f>
        <v>0</v>
      </c>
      <c r="FD45" s="5"/>
      <c r="FE45" s="144"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382">
        <f>IF(SnapshotTable[[#This Row],[SC Is Filled]], IF(ISNUMBER(SnapshotTable[[#This Row],[SC Current Ask]]), SnapshotTable[[#This Row],[SC Current Ask]], SnapshotTable[[#This Row],[SC Book Price]]) - SnapshotTable[[#This Row],[SC Intrinsic Value]], 0)</f>
        <v>0</v>
      </c>
      <c r="FI45" s="143"/>
      <c r="FJ45" s="32" t="str">
        <f>IF(SnapshotTable[[#This Row],[SC Is Filled]],100 * SnapshotTable[[#This Row],[SC Qty]] * IF(ISNUMBER(SnapshotTable[[#This Row],[SC Buyback Override]]), SnapshotTable[[#This Row],[SC Buyback Override]], SnapshotTable[[#This Row],[SC Current Ask]]), "")</f>
        <v/>
      </c>
      <c r="FK45" s="250" t="str">
        <f>IF(SnapshotTable[[#This Row],[SC Time Val]]&gt;0, SnapshotTable[[#This Row],[SC Time Val]] / SnapshotTable[[#This Row],[Last Price]],"")</f>
        <v/>
      </c>
      <c r="FL45" s="302" t="str">
        <f>IF(SnapshotTable[[#This Row],[SC Is Booked]], ((SnapshotTable[[#This Row],[Last Price]] -SnapshotTable[[#This Row],[SC Strike Price]]) / SnapshotTable[[#This Row],[Last Price]]) * -1, "")</f>
        <v/>
      </c>
      <c r="FM45" s="157" t="str">
        <f>IF(SnapshotTable[[#This Row],[SC Is Booked]],  (SnapshotTable[[#This Row],[SC Qty]] * 100 * SnapshotTable[[#This Row],[SC Strike Price]]) - SnapshotTable[[#This Row],[SC Current Ask]], "")</f>
        <v/>
      </c>
      <c r="FN4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7"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33"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36" t="str">
        <f>IF(AND(ISNUMBER(SnapshotTable[[#This Row],[SC Simple ROO]]),SnapshotTable[[#This Row],[SC Simple ROO]] &gt; 0), SnapshotTable[[#This Row],[SC Premium]] + (SnapshotTable[[#This Row],[SC Qty]] * SnapshotTable[[#This Row],[SC Upside Potential]]), "")</f>
        <v/>
      </c>
      <c r="FX45" s="302" t="str" cm="1">
        <f t="array" ref="FX45">IF(ISNUMBER(SnapshotTable[[#This Row],[SC Max Dollars]]), annualize(SnapshotTable[[#This Row],[SC Term]],(SnapshotTable[[#This Row],[SC Max Dollars]]/SnapshotTable[[#This Row],[SC Basis]])),"")</f>
        <v/>
      </c>
      <c r="FY45" s="23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294" t="str">
        <f>IFERROR( IF(ISNUMBER((SnapshotTable[[#This Row],[SC Current Value]])), SnapshotTable[[#This Row],[SC Gain Loss]] / SnapshotTable[[#This Row],[SC Premium]], ""), "")</f>
        <v/>
      </c>
      <c r="GB45" s="177">
        <f>SnapshotTable[[#This Row],[Equity Shares]] * SaleSharesToConsiderPercentage</f>
        <v>0</v>
      </c>
      <c r="GC45" s="178">
        <f>SnapshotTable[[#This Row],[Long Term Target]] * SellingPriceToConsiderBasedOnTargetPercentage</f>
        <v>31.112499999999997</v>
      </c>
      <c r="GD45" s="178">
        <f>SnapshotTable[[#This Row],[Last Price]] * (1+ SellingPriceToConsiderBasedOnTargetPercentage)</f>
        <v>63.959999999999994</v>
      </c>
      <c r="GE45" s="179"/>
      <c r="GF45" s="178"/>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8" t="str">
        <f>IF(SnapshotTable[[#This Row],[Sale G/L]]&gt;0, SnapshotTable[[#This Row],[Sale G/L]] / SnapshotTable[[#This Row],[Sale Basis]], IF(ISNUMBER(SnapshotTable[[#This Row],[SC Exercise P&amp;L (TAX)]]), SnapshotTable[[#This Row],[SC Exercise P&amp;L (TAX)]] / SnapshotTable[[#This Row],[SC Basis]], ""))</f>
        <v/>
      </c>
      <c r="GK45" s="158"/>
      <c r="GL45" s="159"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59" t="str">
        <f>IF(AND(SnapshotTable[[#This Row],[LC Exp Date]]&gt;0,SnapshotTable[[#This Row],[LC Strike Price]]&gt;0), [1]!ToOptionSymbol(SnapshotTable[[#This Row],[Symbol]], SnapshotTable[[#This Row],[LC Strike Price]],SnapshotTable[[#This Row],[LC Exp Date]],0), "")</f>
        <v/>
      </c>
      <c r="GQ45" s="160" t="str">
        <f>IF(LEN(SnapshotTable[[#This Row],[LC Symbol]])&gt;0, 1, "")</f>
        <v/>
      </c>
      <c r="GR45" s="159" t="str">
        <f>IF(AND(SnapshotTable[[#This Row],[SC Exp Date]]&gt;0,SnapshotTable[[#This Row],[SC Strike Price]]&gt;0), [1]!ToOptionSymbol(SnapshotTable[[#This Row],[Symbol]], SnapshotTable[[#This Row],[SC Strike Price]],SnapshotTable[[#This Row],[SC Exp Date]],0), "")</f>
        <v/>
      </c>
      <c r="GS45" s="160" t="str">
        <f>IF(LEN(SnapshotTable[[#This Row],[SC Symbol]])&gt;0, 1, "")</f>
        <v/>
      </c>
      <c r="GT45" s="161"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31">
        <f>MAX(SnapshotTable[[#This Row],[Equity Basis Total]],SnapshotTable[[#This Row],[Equity Value]]) + (SnapshotTable[[#This Row],[SP Potential Spend]]- SnapshotTable[[#This Row],[SP Premium]] + SnapshotTable[[#This Row],[LP Premium]])+ (SnapshotTable[[#This Row],[LC Premium]] - SnapshotTable[[#This Row],[SC Premium]])</f>
        <v>0</v>
      </c>
      <c r="GW45" s="139" t="str">
        <f>IF(AND(SnapshotTable[[#This Row],[Exposure]] &lt;&gt; 0),SnapshotTable[[#This Row],[Exposure]] / SnapshotTable[[#Totals],[Exposure]], "")</f>
        <v/>
      </c>
      <c r="GY45" s="381"/>
      <c r="HE45" s="268"/>
      <c r="HF45" s="268"/>
      <c r="HG45" s="381"/>
      <c r="HH45" s="381"/>
      <c r="HI45" s="381"/>
      <c r="HJ45" s="381"/>
    </row>
    <row r="46" spans="2:224" s="47" customFormat="1" ht="12.75" hidden="1" customHeight="1" x14ac:dyDescent="0.25">
      <c r="B46" s="12" t="s">
        <v>1237</v>
      </c>
      <c r="C46" s="422">
        <v>23.06</v>
      </c>
      <c r="D46" s="208"/>
      <c r="E46" s="39">
        <f>SnapshotTable[[#This Row],[Last Price]]*(1 -CrashDiscount)</f>
        <v>19.600999999999999</v>
      </c>
      <c r="F46" s="325" t="s">
        <v>1039</v>
      </c>
      <c r="G46" s="325" t="s">
        <v>822</v>
      </c>
      <c r="H46" s="149"/>
      <c r="I46" s="194"/>
      <c r="J46" s="195"/>
      <c r="K46" s="196"/>
      <c r="L46" s="326"/>
      <c r="M46" s="140"/>
      <c r="N46" s="140"/>
      <c r="O46" s="140"/>
      <c r="P46" s="22"/>
      <c r="Q46" s="354"/>
      <c r="R46" s="4" t="str">
        <f>IF(SnapshotTable[[#This Row],[Equity Basis Total]] &gt; 0, SnapshotTable[[#This Row],[Equity Basis Total]] / SnapshotTable[[#This Row],[Equity Shares]], "")</f>
        <v/>
      </c>
      <c r="S46" s="269">
        <f>SnapshotTable[[#This Row],[Last Price]] * SnapshotTable[[#This Row],[Equity Shares]]</f>
        <v>0</v>
      </c>
      <c r="T46" s="269">
        <f>SnapshotTable[[#This Row],[Equity Value]] - SnapshotTable[[#This Row],[Equity Basis Total]]</f>
        <v>0</v>
      </c>
      <c r="U46" s="270" t="str">
        <f>IF(SnapshotTable[[#This Row],[Equity Basis Total]] &gt; 0, SnapshotTable[[#This Row],[Equity G/L]] / SnapshotTable[[#This Row],[Equity Basis Total]], "")</f>
        <v/>
      </c>
      <c r="V46" s="268"/>
      <c r="W46" s="26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7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0"/>
      <c r="AD46" s="151"/>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1"/>
      <c r="AI46" s="5"/>
      <c r="AJ46" s="138"/>
      <c r="AK46" s="152" t="str">
        <f>IF(ISNUMBER( SnapshotTable[[#This Row],[EBF Target]]),(SnapshotTable[[#This Row],[EBF Target]] - SnapshotTable[[#This Row],[Last Price]]) / SnapshotTable[[#This Row],[Last Price]], "")</f>
        <v/>
      </c>
      <c r="AL46" s="152"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2" t="str">
        <f>IF(AND(ISNUMBER( SnapshotTable[[#This Row],[Long Term Target]]), ISNUMBER(SnapshotTable[[#This Row],[Last Price]])),(SnapshotTable[[#This Row],[Long Term Target]] - SnapshotTable[[#This Row],[Last Price]]) / SnapshotTable[[#This Row],[Last Price]], "")</f>
        <v/>
      </c>
      <c r="AP46" s="5"/>
      <c r="AQ46" s="38"/>
      <c r="AR46" s="5"/>
      <c r="AS46" s="38"/>
      <c r="AT46" s="146"/>
      <c r="AU46" s="187" t="str">
        <f>IF(OR(SnapshotTable[[#This Row],[LP No Fill]]="Y",SnapshotTable[[#This Row],[SP Is Filled]],SnapshotTable[[#This Row],[LC Not Filled]]="Y",SnapshotTable[[#This Row],[SC Is Filled]]),"Y","")</f>
        <v/>
      </c>
      <c r="AV46" s="219"/>
      <c r="AW46" s="225"/>
      <c r="AX46" s="220"/>
      <c r="AY46" s="219" t="str">
        <f>IF(SnapshotTable[[#This Row],[Implied Move]]&gt;0, SnapshotTable[[#This Row],[Last Price]]-SnapshotTable[[#This Row],[Implied Move]],"")</f>
        <v/>
      </c>
      <c r="AZ46" s="219" t="str">
        <f>IF(SnapshotTable[[#This Row],[Implied Move]]&gt;0, SnapshotTable[[#This Row],[Last Price]] + SnapshotTable[[#This Row],[Implied Move]],"")</f>
        <v/>
      </c>
      <c r="BA46" s="331">
        <v>17.13</v>
      </c>
      <c r="BB46" s="347"/>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51"/>
      <c r="BE46" s="5"/>
      <c r="BF46" s="14"/>
      <c r="BG46" s="13"/>
      <c r="BH46" s="13"/>
      <c r="BI46" s="5"/>
      <c r="BJ46" s="136">
        <f>IF(SnapshotTable[[#This Row],[LP Qty]] &gt; 0, SnapshotTable[[#This Row],[LP Qty]] * SnapshotTable[[#This Row],[LP Book Price]] * 100,0)</f>
        <v>0</v>
      </c>
      <c r="BK46" s="136">
        <f>IF(SnapshotTable[[#This Row],[LP Premium]] &gt; 0, SnapshotTable[[#This Row],[LP Qty]] * SnapshotTable[[#This Row],[LP Strike Price]] * 100,0)</f>
        <v>0</v>
      </c>
      <c r="BL46" s="154"/>
      <c r="BM46" s="385" t="str">
        <f>IF(SnapshotTable[[#This Row],[LP Premium]] &gt; 0,SnapshotTable[[#This Row],[LP Exp Date]]-MAX(SnapshotTable[[#This Row],[LP Book Date]], SnapshotTable[[#This Row],[LP Fill Date]]),"")</f>
        <v/>
      </c>
      <c r="BN46" s="385" t="str">
        <f>IF(ISNUMBER( SnapshotTable[[#This Row],[LP Term]]), SnapshotTable[[#This Row],[LP Exp Date]] - MockToday,"")</f>
        <v/>
      </c>
      <c r="BO46" s="163"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7"/>
      <c r="BU46" s="13"/>
      <c r="BV46" s="5"/>
      <c r="BW46" s="419" t="b">
        <f>AND(ISNUMBER(SnapshotTable[[#This Row],[SP Exp Date]]), ISNUMBER(SnapshotTable[[#This Row],[SP Strike Price]]), ISNUMBER(SnapshotTable[[#This Row],[SP Qty]]), ISNUMBER(SnapshotTable[[#This Row],[SP Book Date]]), ISNUMBER(SnapshotTable[[#This Row],[SP Book Price]]))</f>
        <v>0</v>
      </c>
      <c r="BX46" s="419" t="b">
        <f>AND(SnapshotTable[[#This Row],[SP Is Booked]], NOT(ISBLANK(SnapshotTable[[#This Row],[SP Fill Date]])))</f>
        <v>0</v>
      </c>
      <c r="BY46" s="33">
        <f>IF(SnapshotTable[[#This Row],[SP Is Booked]], SnapshotTable[[#This Row],[SP Qty]] * SnapshotTable[[#This Row],[SP Book Price]] * 100, 0)</f>
        <v>0</v>
      </c>
      <c r="BZ46" s="369"/>
      <c r="CA46" s="368">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3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44"/>
      <c r="CK46" s="31">
        <f>IF(ISNUMBER(SnapshotTable[[#This Row],[SP Potential Spend]]),IF(ISNUMBER(SnapshotTable[[#This Row],[SP POW]]), SnapshotTable[[#This Row],[SP POW]] * SnapshotTable[[#This Row],[SP Potential Spend]], SnapshotTable[[#This Row],[SP Potential Spend]]), "")</f>
        <v>0</v>
      </c>
      <c r="CL46" s="164">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8"/>
      <c r="CO46" s="369"/>
      <c r="CP46" s="4" t="str">
        <f>IF(SnapshotTable[[#This Row],[SP Is Filled]], btc_max_buyback_amount(SnapshotTable[[#This Row],[SP Fill Date]],SnapshotTable[[#This Row],[SP Exp Date]], SnapshotTable[[#This Row],[SP Book Price]]),"")</f>
        <v/>
      </c>
      <c r="CQ46" s="78"/>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5" t="str">
        <f>IF(SnapshotTable[[#This Row],[SP Is Filled]], btc_next_cutoff_date(SnapshotTable[[#This Row],[SP Fill Date]],SnapshotTable[[#This Row],[SP Exp Date]]),"")</f>
        <v/>
      </c>
      <c r="CT46" s="23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3"/>
      <c r="CV46" s="235"/>
      <c r="CW46" s="378"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294" t="str">
        <f>IF(ISNUMBER((SnapshotTable[[#This Row],[SP Total Value]])), SnapshotTable[[#This Row],[SP Gain Loss]] / SnapshotTable[[#This Row],[SP Premium]], "")</f>
        <v/>
      </c>
      <c r="DI46" s="406"/>
      <c r="DJ46" s="138"/>
      <c r="DK46" s="148"/>
      <c r="DL46" s="13"/>
      <c r="DM46" s="13"/>
      <c r="DN46" s="5"/>
      <c r="DO46" s="31">
        <f>IF(SnapshotTable[[#This Row],[LC Symbol Count]]=1, SnapshotTable[[#This Row],[LC Qty]] * SnapshotTable[[#This Row],[LC Book Price]] * 100, 0)</f>
        <v>0</v>
      </c>
      <c r="DP46" s="163" t="str">
        <f>IF(AND(SnapshotTable[[#This Row],[LC Exp Date]]&gt;0, SnapshotTable[[#This Row],[LC Strike Price]]&gt;0,SnapshotTable[[#This Row],[LC Qty]]&gt;0,SnapshotTable[[#This Row],[LC Book Date]]&gt;0,SnapshotTable[[#This Row],[LC Book Price]]&gt;0,SnapshotTable[[#This Row],[LC Fill Date]]=0),"Y","")</f>
        <v/>
      </c>
      <c r="DQ46" s="386" t="str">
        <f>IF(SnapshotTable[[#This Row],[LC Premium]] &gt; 0,SnapshotTable[[#This Row],[LC Exp Date]]-MAX(SnapshotTable[[#This Row],[LC Book Date]], SnapshotTable[[#This Row],[LC Fill Date]]),"")</f>
        <v/>
      </c>
      <c r="DR46" s="386" t="str">
        <f>IF(ISNUMBER(SnapshotTable[[#This Row],[LC Term]]), SnapshotTable[[#This Row],[LC Exp Date]] - MockToday, "")</f>
        <v/>
      </c>
      <c r="DS46" s="23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40" t="str">
        <f>IF(ISNUMBER(SnapshotTable[[#This Row],[LC Actual Gain Loss]]), SnapshotTable[[#This Row],[LC Actual Gain Loss]] / SnapshotTable[[#This Row],[LC Premium]],"")</f>
        <v/>
      </c>
      <c r="DX46" s="284" t="str">
        <f>IF(ISNUMBER(SnapshotTable[[#This Row],[LC Book Price]]),SnapshotTable[[#This Row],[LC Book Price]] * 1.5,"")</f>
        <v/>
      </c>
      <c r="DY46" s="265" t="str">
        <f>IF(SnapshotTable[[#This Row],[LC Premium]]&gt;0, SnapshotTable[[#This Row],[LC Next Target]] * SnapshotTable[[#This Row],[LC Qty]] * 100,"")</f>
        <v/>
      </c>
      <c r="DZ46" s="265" t="str">
        <f>IF(ISNUMBER(SnapshotTable[[#This Row],[LC Target Gross]]), SnapshotTable[[#This Row],[LC Target Gross]] - SnapshotTable[[#This Row],[LC Premium]], "")</f>
        <v/>
      </c>
      <c r="EA46" s="305" t="str">
        <f>IF(ISNUMBER(SnapshotTable[[#This Row],[LC Target Gain Loss]]), SnapshotTable[[#This Row],[LC Target Gain Loss]]/SnapshotTable[[#This Row],[LC Premium]], "")</f>
        <v/>
      </c>
      <c r="EB46" s="262"/>
      <c r="EC46" s="283" t="str">
        <f>IF(SnapshotTable[[#This Row],[LC Premium]]&gt;0, SnapshotTable[[#This Row],[LC Book Price]] * (1 - LC_StopLoss_Pct),"")</f>
        <v/>
      </c>
      <c r="ED46" s="284"/>
      <c r="EE46" s="28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4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7"/>
      <c r="EL46" s="138"/>
      <c r="EM46" s="148"/>
      <c r="EN46" s="147"/>
      <c r="EO46" s="147"/>
      <c r="EP46" s="138"/>
      <c r="EQ46" s="419" t="b">
        <f>AND(ISNUMBER(SnapshotTable[[#This Row],[SC Exp Date]]), ISNUMBER(SnapshotTable[[#This Row],[SC Strike Price]]), ISNUMBER(SnapshotTable[[#This Row],[SC Qty]]), ISNUMBER(SnapshotTable[[#This Row],[SC Book Date]]), ISNUMBER(SnapshotTable[[#This Row],[SC Book Price]]))</f>
        <v>0</v>
      </c>
      <c r="ER46" s="419" t="b">
        <f>AND(SnapshotTable[[#This Row],[SC Is Booked]], NOT(ISBLANK(SnapshotTable[[#This Row],[SC Fill Date]])))</f>
        <v>0</v>
      </c>
      <c r="ES46" s="370"/>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3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283"/>
      <c r="FA46" s="218"/>
      <c r="FB46" s="370"/>
      <c r="FC46" s="4">
        <f>IF(SnapshotTable[[#This Row],[SC Is Filled]], btc_max_buyback_amount(SnapshotTable[[#This Row],[SC Fill Date]],SnapshotTable[[#This Row],[SC Exp Date]], SnapshotTable[[#This Row],[SC Book Price]]),0)</f>
        <v>0</v>
      </c>
      <c r="FD46" s="5"/>
      <c r="FE46" s="144"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382">
        <f>IF(SnapshotTable[[#This Row],[SC Is Filled]], IF(ISNUMBER(SnapshotTable[[#This Row],[SC Current Ask]]), SnapshotTable[[#This Row],[SC Current Ask]], SnapshotTable[[#This Row],[SC Book Price]]) - SnapshotTable[[#This Row],[SC Intrinsic Value]], 0)</f>
        <v>0</v>
      </c>
      <c r="FI46" s="143"/>
      <c r="FJ46" s="32" t="str">
        <f>IF(SnapshotTable[[#This Row],[SC Is Filled]],100 * SnapshotTable[[#This Row],[SC Qty]] * IF(ISNUMBER(SnapshotTable[[#This Row],[SC Buyback Override]]), SnapshotTable[[#This Row],[SC Buyback Override]], SnapshotTable[[#This Row],[SC Current Ask]]), "")</f>
        <v/>
      </c>
      <c r="FK46" s="250" t="str">
        <f>IF(SnapshotTable[[#This Row],[SC Time Val]]&gt;0, SnapshotTable[[#This Row],[SC Time Val]] / SnapshotTable[[#This Row],[Last Price]],"")</f>
        <v/>
      </c>
      <c r="FL46" s="302" t="str">
        <f>IF(SnapshotTable[[#This Row],[SC Is Booked]], ((SnapshotTable[[#This Row],[Last Price]] -SnapshotTable[[#This Row],[SC Strike Price]]) / SnapshotTable[[#This Row],[Last Price]]) * -1, "")</f>
        <v/>
      </c>
      <c r="FM46" s="157"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33"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36" t="str">
        <f>IF(AND(ISNUMBER(SnapshotTable[[#This Row],[SC Simple ROO]]),SnapshotTable[[#This Row],[SC Simple ROO]] &gt; 0), SnapshotTable[[#This Row],[SC Premium]] + (SnapshotTable[[#This Row],[SC Qty]] * SnapshotTable[[#This Row],[SC Upside Potential]]), "")</f>
        <v/>
      </c>
      <c r="FX46" s="302" t="str" cm="1">
        <f t="array" ref="FX46">IF(ISNUMBER(SnapshotTable[[#This Row],[SC Max Dollars]]), annualize(SnapshotTable[[#This Row],[SC Term]],(SnapshotTable[[#This Row],[SC Max Dollars]]/SnapshotTable[[#This Row],[SC Basis]])),"")</f>
        <v/>
      </c>
      <c r="FY46" s="23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29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44.966999999999999</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31">
        <f>MAX(SnapshotTable[[#This Row],[Equity Basis Total]],SnapshotTable[[#This Row],[Equity Value]]) + (SnapshotTable[[#This Row],[SP Potential Spend]]- SnapshotTable[[#This Row],[SP Premium]] + SnapshotTable[[#This Row],[LP Premium]])+ (SnapshotTable[[#This Row],[LC Premium]] - SnapshotTable[[#This Row],[SC Premium]])</f>
        <v>0</v>
      </c>
      <c r="GW46" s="139" t="str">
        <f>IF(AND(SnapshotTable[[#This Row],[Exposure]] &lt;&gt; 0),SnapshotTable[[#This Row],[Exposure]] / SnapshotTable[[#Totals],[Exposure]], "")</f>
        <v/>
      </c>
      <c r="GY46" s="381"/>
      <c r="HE46" s="268"/>
      <c r="HF46" s="268"/>
      <c r="HG46" s="381"/>
      <c r="HH46" s="381"/>
      <c r="HI46" s="381"/>
      <c r="HJ46" s="381"/>
    </row>
    <row r="47" spans="2:224" s="47" customFormat="1" ht="12.75" hidden="1" customHeight="1" x14ac:dyDescent="0.25">
      <c r="B47" s="12" t="s">
        <v>1067</v>
      </c>
      <c r="C47" s="422">
        <v>95.87</v>
      </c>
      <c r="D47" s="208" t="s">
        <v>850</v>
      </c>
      <c r="E47" s="39">
        <f>SnapshotTable[[#This Row],[Last Price]]*(1 -CrashDiscount)</f>
        <v>81.489500000000007</v>
      </c>
      <c r="F47" s="26" t="s">
        <v>945</v>
      </c>
      <c r="G47" s="26" t="s">
        <v>606</v>
      </c>
      <c r="H47" s="149"/>
      <c r="I47" s="194">
        <v>44965.670138888891</v>
      </c>
      <c r="J47" s="195">
        <v>44965.670138888891</v>
      </c>
      <c r="K47" s="196" t="s">
        <v>3</v>
      </c>
      <c r="L47" s="326"/>
      <c r="M47" s="140">
        <v>2</v>
      </c>
      <c r="N47" s="140" t="b">
        <v>1</v>
      </c>
      <c r="O47" s="140"/>
      <c r="P47" s="22"/>
      <c r="Q47" s="25"/>
      <c r="R47" s="4" t="str">
        <f>IF(SnapshotTable[[#This Row],[Equity Basis Total]] &gt; 0, SnapshotTable[[#This Row],[Equity Basis Total]] / SnapshotTable[[#This Row],[Equity Shares]], "")</f>
        <v/>
      </c>
      <c r="S47" s="269">
        <f>SnapshotTable[[#This Row],[Last Price]] * SnapshotTable[[#This Row],[Equity Shares]]</f>
        <v>0</v>
      </c>
      <c r="T47" s="269">
        <f>SnapshotTable[[#This Row],[Equity Value]] - SnapshotTable[[#This Row],[Equity Basis Total]]</f>
        <v>0</v>
      </c>
      <c r="U47" s="270" t="str">
        <f>IF(SnapshotTable[[#This Row],[Equity Basis Total]] &gt; 0, SnapshotTable[[#This Row],[Equity G/L]] / SnapshotTable[[#This Row],[Equity Basis Total]], "")</f>
        <v/>
      </c>
      <c r="V47" s="268">
        <v>210</v>
      </c>
      <c r="W47" s="26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7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0"/>
      <c r="AD47" s="151"/>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1"/>
      <c r="AI47" s="5"/>
      <c r="AJ47" s="138">
        <v>126.29</v>
      </c>
      <c r="AK47" s="152" t="str">
        <f>IF(ISNUMBER( SnapshotTable[[#This Row],[EBF Target]]),(SnapshotTable[[#This Row],[EBF Target]] - SnapshotTable[[#This Row],[Last Price]]) / SnapshotTable[[#This Row],[Last Price]], "")</f>
        <v/>
      </c>
      <c r="AL47" s="152"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2">
        <f>IF(AND(ISNUMBER( SnapshotTable[[#This Row],[Long Term Target]]), ISNUMBER(SnapshotTable[[#This Row],[Last Price]])),(SnapshotTable[[#This Row],[Long Term Target]] - SnapshotTable[[#This Row],[Last Price]]) / SnapshotTable[[#This Row],[Last Price]], "")</f>
        <v>0.31730468342547202</v>
      </c>
      <c r="AP47" s="5">
        <v>95</v>
      </c>
      <c r="AQ47" s="38" t="s">
        <v>27</v>
      </c>
      <c r="AR47" s="5">
        <v>95</v>
      </c>
      <c r="AS47" s="38" t="s">
        <v>38</v>
      </c>
      <c r="AT47" s="146" t="s">
        <v>542</v>
      </c>
      <c r="AU47" s="187" t="str">
        <f>IF(OR(SnapshotTable[[#This Row],[LP No Fill]]="Y",SnapshotTable[[#This Row],[SP Is Filled]],SnapshotTable[[#This Row],[LC Not Filled]]="Y",SnapshotTable[[#This Row],[SC Is Filled]]),"Y","")</f>
        <v/>
      </c>
      <c r="AV47" s="219"/>
      <c r="AW47" s="225"/>
      <c r="AX47" s="220"/>
      <c r="AY47" s="219" t="str">
        <f>IF(SnapshotTable[[#This Row],[Implied Move]]&gt;0, SnapshotTable[[#This Row],[Last Price]]-SnapshotTable[[#This Row],[Implied Move]],"")</f>
        <v/>
      </c>
      <c r="AZ47" s="219" t="str">
        <f>IF(SnapshotTable[[#This Row],[Implied Move]]&gt;0, SnapshotTable[[#This Row],[Last Price]] + SnapshotTable[[#This Row],[Implied Move]],"")</f>
        <v/>
      </c>
      <c r="BA47" s="331">
        <v>91.56</v>
      </c>
      <c r="BB47" s="347" t="s">
        <v>1072</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51"/>
      <c r="BE47" s="5"/>
      <c r="BF47" s="14"/>
      <c r="BG47" s="13"/>
      <c r="BH47" s="13"/>
      <c r="BI47" s="5"/>
      <c r="BJ47" s="136">
        <f>IF(SnapshotTable[[#This Row],[LP Qty]] &gt; 0, SnapshotTable[[#This Row],[LP Qty]] * SnapshotTable[[#This Row],[LP Book Price]] * 100,0)</f>
        <v>0</v>
      </c>
      <c r="BK47" s="136">
        <f>IF(SnapshotTable[[#This Row],[LP Premium]] &gt; 0, SnapshotTable[[#This Row],[LP Qty]] * SnapshotTable[[#This Row],[LP Strike Price]] * 100,0)</f>
        <v>0</v>
      </c>
      <c r="BL47" s="154"/>
      <c r="BM47" s="385" t="str">
        <f>IF(SnapshotTable[[#This Row],[LP Premium]] &gt; 0,SnapshotTable[[#This Row],[LP Exp Date]]-MAX(SnapshotTable[[#This Row],[LP Book Date]], SnapshotTable[[#This Row],[LP Fill Date]]),"")</f>
        <v/>
      </c>
      <c r="BN47" s="385" t="str">
        <f>IF(ISNUMBER( SnapshotTable[[#This Row],[LP Term]]), SnapshotTable[[#This Row],[LP Exp Date]] - MockToday,"")</f>
        <v/>
      </c>
      <c r="BO47" s="163"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7"/>
      <c r="BU47" s="13"/>
      <c r="BV47" s="5"/>
      <c r="BW47" s="419" t="b">
        <f>AND(ISNUMBER(SnapshotTable[[#This Row],[SP Exp Date]]), ISNUMBER(SnapshotTable[[#This Row],[SP Strike Price]]), ISNUMBER(SnapshotTable[[#This Row],[SP Qty]]), ISNUMBER(SnapshotTable[[#This Row],[SP Book Date]]), ISNUMBER(SnapshotTable[[#This Row],[SP Book Price]]))</f>
        <v>0</v>
      </c>
      <c r="BX47" s="419" t="b">
        <f>AND(SnapshotTable[[#This Row],[SP Is Booked]], NOT(ISBLANK(SnapshotTable[[#This Row],[SP Fill Date]])))</f>
        <v>0</v>
      </c>
      <c r="BY47" s="33">
        <f>IF(SnapshotTable[[#This Row],[SP Is Booked]], SnapshotTable[[#This Row],[SP Qty]] * SnapshotTable[[#This Row],[SP Book Price]] * 100, 0)</f>
        <v>0</v>
      </c>
      <c r="BZ47" s="369"/>
      <c r="CA47" s="368">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3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44"/>
      <c r="CK47" s="31">
        <f>IF(ISNUMBER(SnapshotTable[[#This Row],[SP Potential Spend]]),IF(ISNUMBER(SnapshotTable[[#This Row],[SP POW]]), SnapshotTable[[#This Row],[SP POW]] * SnapshotTable[[#This Row],[SP Potential Spend]], SnapshotTable[[#This Row],[SP Potential Spend]]), "")</f>
        <v>0</v>
      </c>
      <c r="CL47" s="164">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8"/>
      <c r="CO47" s="369"/>
      <c r="CP47" s="4" t="str">
        <f>IF(SnapshotTable[[#This Row],[SP Is Filled]], btc_max_buyback_amount(SnapshotTable[[#This Row],[SP Fill Date]],SnapshotTable[[#This Row],[SP Exp Date]], SnapshotTable[[#This Row],[SP Book Price]]),"")</f>
        <v/>
      </c>
      <c r="CQ47" s="78"/>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5" t="str">
        <f>IF(SnapshotTable[[#This Row],[SP Is Filled]], btc_next_cutoff_date(SnapshotTable[[#This Row],[SP Fill Date]],SnapshotTable[[#This Row],[SP Exp Date]]),"")</f>
        <v/>
      </c>
      <c r="CT47" s="23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3"/>
      <c r="CV47" s="235"/>
      <c r="CW47" s="378"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294" t="str">
        <f>IF(ISNUMBER((SnapshotTable[[#This Row],[SP Total Value]])), SnapshotTable[[#This Row],[SP Gain Loss]] / SnapshotTable[[#This Row],[SP Premium]], "")</f>
        <v/>
      </c>
      <c r="DI47" s="406"/>
      <c r="DJ47" s="138"/>
      <c r="DK47" s="148"/>
      <c r="DL47" s="13"/>
      <c r="DM47" s="13"/>
      <c r="DN47" s="5"/>
      <c r="DO47" s="31">
        <f>IF(SnapshotTable[[#This Row],[LC Symbol Count]]=1, SnapshotTable[[#This Row],[LC Qty]] * SnapshotTable[[#This Row],[LC Book Price]] * 100, 0)</f>
        <v>0</v>
      </c>
      <c r="DP47" s="163" t="str">
        <f>IF(AND(SnapshotTable[[#This Row],[LC Exp Date]]&gt;0, SnapshotTable[[#This Row],[LC Strike Price]]&gt;0,SnapshotTable[[#This Row],[LC Qty]]&gt;0,SnapshotTable[[#This Row],[LC Book Date]]&gt;0,SnapshotTable[[#This Row],[LC Book Price]]&gt;0,SnapshotTable[[#This Row],[LC Fill Date]]=0),"Y","")</f>
        <v/>
      </c>
      <c r="DQ47" s="386" t="str">
        <f>IF(SnapshotTable[[#This Row],[LC Premium]] &gt; 0,SnapshotTable[[#This Row],[LC Exp Date]]-MAX(SnapshotTable[[#This Row],[LC Book Date]], SnapshotTable[[#This Row],[LC Fill Date]]),"")</f>
        <v/>
      </c>
      <c r="DR47" s="386" t="str">
        <f>IF(ISNUMBER(SnapshotTable[[#This Row],[LC Term]]), SnapshotTable[[#This Row],[LC Exp Date]] - MockToday, "")</f>
        <v/>
      </c>
      <c r="DS47" s="23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40" t="str">
        <f>IF(ISNUMBER(SnapshotTable[[#This Row],[LC Actual Gain Loss]]), SnapshotTable[[#This Row],[LC Actual Gain Loss]] / SnapshotTable[[#This Row],[LC Premium]],"")</f>
        <v/>
      </c>
      <c r="DX47" s="284" t="str">
        <f>IF(ISNUMBER(SnapshotTable[[#This Row],[LC Book Price]]),SnapshotTable[[#This Row],[LC Book Price]] * 1.5,"")</f>
        <v/>
      </c>
      <c r="DY47" s="265" t="str">
        <f>IF(SnapshotTable[[#This Row],[LC Premium]]&gt;0, SnapshotTable[[#This Row],[LC Next Target]] * SnapshotTable[[#This Row],[LC Qty]] * 100,"")</f>
        <v/>
      </c>
      <c r="DZ47" s="265" t="str">
        <f>IF(ISNUMBER(SnapshotTable[[#This Row],[LC Target Gross]]), SnapshotTable[[#This Row],[LC Target Gross]] - SnapshotTable[[#This Row],[LC Premium]], "")</f>
        <v/>
      </c>
      <c r="EA47" s="305" t="str">
        <f>IF(ISNUMBER(SnapshotTable[[#This Row],[LC Target Gain Loss]]), SnapshotTable[[#This Row],[LC Target Gain Loss]]/SnapshotTable[[#This Row],[LC Premium]], "")</f>
        <v/>
      </c>
      <c r="EB47" s="262"/>
      <c r="EC47" s="283" t="str">
        <f>IF(SnapshotTable[[#This Row],[LC Premium]]&gt;0, SnapshotTable[[#This Row],[LC Book Price]] * (1 - LC_StopLoss_Pct),"")</f>
        <v/>
      </c>
      <c r="ED47" s="284"/>
      <c r="EE47" s="28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4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7"/>
      <c r="EL47" s="138"/>
      <c r="EM47" s="148"/>
      <c r="EN47" s="147"/>
      <c r="EO47" s="147"/>
      <c r="EP47" s="138"/>
      <c r="EQ47" s="419" t="b">
        <f>AND(ISNUMBER(SnapshotTable[[#This Row],[SC Exp Date]]), ISNUMBER(SnapshotTable[[#This Row],[SC Strike Price]]), ISNUMBER(SnapshotTable[[#This Row],[SC Qty]]), ISNUMBER(SnapshotTable[[#This Row],[SC Book Date]]), ISNUMBER(SnapshotTable[[#This Row],[SC Book Price]]))</f>
        <v>0</v>
      </c>
      <c r="ER47" s="419" t="b">
        <f>AND(SnapshotTable[[#This Row],[SC Is Booked]], NOT(ISBLANK(SnapshotTable[[#This Row],[SC Fill Date]])))</f>
        <v>0</v>
      </c>
      <c r="ES47" s="370"/>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3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283"/>
      <c r="FA47" s="218"/>
      <c r="FB47" s="370"/>
      <c r="FC47" s="4">
        <f>IF(SnapshotTable[[#This Row],[SC Is Filled]], btc_max_buyback_amount(SnapshotTable[[#This Row],[SC Fill Date]],SnapshotTable[[#This Row],[SC Exp Date]], SnapshotTable[[#This Row],[SC Book Price]]),0)</f>
        <v>0</v>
      </c>
      <c r="FD47" s="5"/>
      <c r="FE47" s="144"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382">
        <f>IF(SnapshotTable[[#This Row],[SC Is Filled]], IF(ISNUMBER(SnapshotTable[[#This Row],[SC Current Ask]]), SnapshotTable[[#This Row],[SC Current Ask]], SnapshotTable[[#This Row],[SC Book Price]]) - SnapshotTable[[#This Row],[SC Intrinsic Value]], 0)</f>
        <v>0</v>
      </c>
      <c r="FI47" s="143"/>
      <c r="FJ47" s="32" t="str">
        <f>IF(SnapshotTable[[#This Row],[SC Is Filled]],100 * SnapshotTable[[#This Row],[SC Qty]] * IF(ISNUMBER(SnapshotTable[[#This Row],[SC Buyback Override]]), SnapshotTable[[#This Row],[SC Buyback Override]], SnapshotTable[[#This Row],[SC Current Ask]]), "")</f>
        <v/>
      </c>
      <c r="FK47" s="250" t="str">
        <f>IF(SnapshotTable[[#This Row],[SC Time Val]]&gt;0, SnapshotTable[[#This Row],[SC Time Val]] / SnapshotTable[[#This Row],[Last Price]],"")</f>
        <v/>
      </c>
      <c r="FL47" s="302" t="str">
        <f>IF(SnapshotTable[[#This Row],[SC Is Booked]], ((SnapshotTable[[#This Row],[Last Price]] -SnapshotTable[[#This Row],[SC Strike Price]]) / SnapshotTable[[#This Row],[Last Price]]) * -1, "")</f>
        <v/>
      </c>
      <c r="FM47" s="157"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33"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36" t="str">
        <f>IF(AND(ISNUMBER(SnapshotTable[[#This Row],[SC Simple ROO]]),SnapshotTable[[#This Row],[SC Simple ROO]] &gt; 0), SnapshotTable[[#This Row],[SC Premium]] + (SnapshotTable[[#This Row],[SC Qty]] * SnapshotTable[[#This Row],[SC Upside Potential]]), "")</f>
        <v/>
      </c>
      <c r="FX47" s="302" t="str" cm="1">
        <f t="array" ref="FX47">IF(ISNUMBER(SnapshotTable[[#This Row],[SC Max Dollars]]), annualize(SnapshotTable[[#This Row],[SC Term]],(SnapshotTable[[#This Row],[SC Max Dollars]]/SnapshotTable[[#This Row],[SC Basis]])),"")</f>
        <v/>
      </c>
      <c r="FY47" s="23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29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186.94650000000001</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1060</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31">
        <f>MAX(SnapshotTable[[#This Row],[Equity Basis Total]],SnapshotTable[[#This Row],[Equity Value]]) + (SnapshotTable[[#This Row],[SP Potential Spend]]- SnapshotTable[[#This Row],[SP Premium]] + SnapshotTable[[#This Row],[LP Premium]])+ (SnapshotTable[[#This Row],[LC Premium]] - SnapshotTable[[#This Row],[SC Premium]])</f>
        <v>0</v>
      </c>
      <c r="GW47" s="139" t="str">
        <f>IF(AND(SnapshotTable[[#This Row],[Exposure]] &lt;&gt; 0),SnapshotTable[[#This Row],[Exposure]] / SnapshotTable[[#Totals],[Exposure]], "")</f>
        <v/>
      </c>
      <c r="GY47" s="381"/>
      <c r="HE47" s="268"/>
      <c r="HF47" s="268"/>
      <c r="HG47" s="381"/>
      <c r="HH47" s="381"/>
      <c r="HI47" s="381"/>
      <c r="HJ47" s="381"/>
    </row>
    <row r="48" spans="2:224" s="47" customFormat="1" ht="12.75" hidden="1" customHeight="1" x14ac:dyDescent="0.25">
      <c r="B48" s="12" t="s">
        <v>218</v>
      </c>
      <c r="C48" s="422">
        <v>116.56</v>
      </c>
      <c r="D48" s="208"/>
      <c r="E48" s="39">
        <f>SnapshotTable[[#This Row],[Last Price]]*(1 -CrashDiscount)</f>
        <v>99.075999999999993</v>
      </c>
      <c r="F48" s="26" t="s">
        <v>904</v>
      </c>
      <c r="G48" s="26" t="s">
        <v>610</v>
      </c>
      <c r="H48" s="149"/>
      <c r="I48" s="194">
        <v>44798.291666666664</v>
      </c>
      <c r="J48" s="195">
        <v>44798.291666666664</v>
      </c>
      <c r="K48" s="196"/>
      <c r="L48" s="326"/>
      <c r="M48" s="140"/>
      <c r="N48" s="140"/>
      <c r="O48" s="140">
        <v>1</v>
      </c>
      <c r="P48" s="22"/>
      <c r="Q48" s="25"/>
      <c r="R48" s="4" t="str">
        <f>IF(SnapshotTable[[#This Row],[Equity Basis Total]] &gt; 0, SnapshotTable[[#This Row],[Equity Basis Total]] / SnapshotTable[[#This Row],[Equity Shares]], "")</f>
        <v/>
      </c>
      <c r="S48" s="269">
        <f>SnapshotTable[[#This Row],[Last Price]] * SnapshotTable[[#This Row],[Equity Shares]]</f>
        <v>0</v>
      </c>
      <c r="T48" s="269">
        <f>SnapshotTable[[#This Row],[Equity Value]] - SnapshotTable[[#This Row],[Equity Basis Total]]</f>
        <v>0</v>
      </c>
      <c r="U48" s="270" t="str">
        <f>IF(SnapshotTable[[#This Row],[Equity Basis Total]] &gt; 0, SnapshotTable[[#This Row],[Equity G/L]] / SnapshotTable[[#This Row],[Equity Basis Total]], "")</f>
        <v/>
      </c>
      <c r="V48" s="268">
        <v>150</v>
      </c>
      <c r="W48" s="26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7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0"/>
      <c r="AD48" s="151"/>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1"/>
      <c r="AI48" s="5"/>
      <c r="AJ48" s="138">
        <v>321.43</v>
      </c>
      <c r="AK48" s="152" t="str">
        <f>IF(ISNUMBER( SnapshotTable[[#This Row],[EBF Target]]),(SnapshotTable[[#This Row],[EBF Target]] - SnapshotTable[[#This Row],[Last Price]]) / SnapshotTable[[#This Row],[Last Price]], "")</f>
        <v/>
      </c>
      <c r="AL48" s="152"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2">
        <f>IF(AND(ISNUMBER( SnapshotTable[[#This Row],[Long Term Target]]), ISNUMBER(SnapshotTable[[#This Row],[Last Price]])),(SnapshotTable[[#This Row],[Long Term Target]] - SnapshotTable[[#This Row],[Last Price]]) / SnapshotTable[[#This Row],[Last Price]], "")</f>
        <v>1.7576355525051475</v>
      </c>
      <c r="AP48" s="5">
        <v>180</v>
      </c>
      <c r="AQ48" s="38" t="s">
        <v>27</v>
      </c>
      <c r="AR48" s="5"/>
      <c r="AS48" s="38" t="s">
        <v>38</v>
      </c>
      <c r="AT48" s="146"/>
      <c r="AU48" s="187" t="str">
        <f>IF(OR(SnapshotTable[[#This Row],[LP No Fill]]="Y",SnapshotTable[[#This Row],[SP Is Filled]],SnapshotTable[[#This Row],[LC Not Filled]]="Y",SnapshotTable[[#This Row],[SC Is Filled]]),"Y","")</f>
        <v/>
      </c>
      <c r="AV48" s="219"/>
      <c r="AW48" s="225"/>
      <c r="AX48" s="220"/>
      <c r="AY48" s="219" t="str">
        <f>IF(SnapshotTable[[#This Row],[Implied Move]]&gt;0, SnapshotTable[[#This Row],[Last Price]]-SnapshotTable[[#This Row],[Implied Move]],"")</f>
        <v/>
      </c>
      <c r="AZ48" s="219" t="str">
        <f>IF(SnapshotTable[[#This Row],[Implied Move]]&gt;0, SnapshotTable[[#This Row],[Last Price]] + SnapshotTable[[#This Row],[Implied Move]],"")</f>
        <v/>
      </c>
      <c r="BA48" s="331">
        <v>124.8</v>
      </c>
      <c r="BB48" s="404"/>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51"/>
      <c r="BE48" s="5"/>
      <c r="BF48" s="14"/>
      <c r="BG48" s="13"/>
      <c r="BH48" s="13"/>
      <c r="BI48" s="5"/>
      <c r="BJ48" s="136">
        <f>IF(SnapshotTable[[#This Row],[LP Qty]] &gt; 0, SnapshotTable[[#This Row],[LP Qty]] * SnapshotTable[[#This Row],[LP Book Price]] * 100,0)</f>
        <v>0</v>
      </c>
      <c r="BK48" s="136">
        <f>IF(SnapshotTable[[#This Row],[LP Premium]] &gt; 0, SnapshotTable[[#This Row],[LP Qty]] * SnapshotTable[[#This Row],[LP Strike Price]] * 100,0)</f>
        <v>0</v>
      </c>
      <c r="BL48" s="154"/>
      <c r="BM48" s="385" t="str">
        <f>IF(SnapshotTable[[#This Row],[LP Premium]] &gt; 0,SnapshotTable[[#This Row],[LP Exp Date]]-MAX(SnapshotTable[[#This Row],[LP Book Date]], SnapshotTable[[#This Row],[LP Fill Date]]),"")</f>
        <v/>
      </c>
      <c r="BN48" s="385" t="str">
        <f>IF(ISNUMBER( SnapshotTable[[#This Row],[LP Term]]), SnapshotTable[[#This Row],[LP Exp Date]] - MockToday,"")</f>
        <v/>
      </c>
      <c r="BO48" s="163"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7"/>
      <c r="BU48" s="13"/>
      <c r="BV48" s="5"/>
      <c r="BW48" s="419" t="b">
        <f>AND(ISNUMBER(SnapshotTable[[#This Row],[SP Exp Date]]), ISNUMBER(SnapshotTable[[#This Row],[SP Strike Price]]), ISNUMBER(SnapshotTable[[#This Row],[SP Qty]]), ISNUMBER(SnapshotTable[[#This Row],[SP Book Date]]), ISNUMBER(SnapshotTable[[#This Row],[SP Book Price]]))</f>
        <v>0</v>
      </c>
      <c r="BX48" s="419" t="b">
        <f>AND(SnapshotTable[[#This Row],[SP Is Booked]], NOT(ISBLANK(SnapshotTable[[#This Row],[SP Fill Date]])))</f>
        <v>0</v>
      </c>
      <c r="BY48" s="33">
        <f>IF(SnapshotTable[[#This Row],[SP Is Booked]], SnapshotTable[[#This Row],[SP Qty]] * SnapshotTable[[#This Row],[SP Book Price]] * 100, 0)</f>
        <v>0</v>
      </c>
      <c r="BZ48" s="369"/>
      <c r="CA48" s="368">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3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44">
        <v>0.5</v>
      </c>
      <c r="CK48" s="31">
        <f>IF(ISNUMBER(SnapshotTable[[#This Row],[SP Potential Spend]]),IF(ISNUMBER(SnapshotTable[[#This Row],[SP POW]]), SnapshotTable[[#This Row],[SP POW]] * SnapshotTable[[#This Row],[SP Potential Spend]], SnapshotTable[[#This Row],[SP Potential Spend]]), "")</f>
        <v>0</v>
      </c>
      <c r="CL48" s="164">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8"/>
      <c r="CO48" s="369"/>
      <c r="CP48" s="4" t="str">
        <f>IF(SnapshotTable[[#This Row],[SP Is Filled]], btc_max_buyback_amount(SnapshotTable[[#This Row],[SP Fill Date]],SnapshotTable[[#This Row],[SP Exp Date]], SnapshotTable[[#This Row],[SP Book Price]]),"")</f>
        <v/>
      </c>
      <c r="CQ48" s="78"/>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5" t="str">
        <f>IF(SnapshotTable[[#This Row],[SP Is Filled]], btc_next_cutoff_date(SnapshotTable[[#This Row],[SP Fill Date]],SnapshotTable[[#This Row],[SP Exp Date]]),"")</f>
        <v/>
      </c>
      <c r="CT48" s="23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3"/>
      <c r="CV48" s="235"/>
      <c r="CW48" s="378"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294" t="str">
        <f>IF(ISNUMBER((SnapshotTable[[#This Row],[SP Total Value]])), SnapshotTable[[#This Row],[SP Gain Loss]] / SnapshotTable[[#This Row],[SP Premium]], "")</f>
        <v/>
      </c>
      <c r="DI48" s="406"/>
      <c r="DJ48" s="138"/>
      <c r="DK48" s="148"/>
      <c r="DL48" s="13"/>
      <c r="DM48" s="13"/>
      <c r="DN48" s="5"/>
      <c r="DO48" s="31">
        <f>IF(SnapshotTable[[#This Row],[LC Symbol Count]]=1, SnapshotTable[[#This Row],[LC Qty]] * SnapshotTable[[#This Row],[LC Book Price]] * 100, 0)</f>
        <v>0</v>
      </c>
      <c r="DP48" s="163" t="str">
        <f>IF(AND(SnapshotTable[[#This Row],[LC Exp Date]]&gt;0, SnapshotTable[[#This Row],[LC Strike Price]]&gt;0,SnapshotTable[[#This Row],[LC Qty]]&gt;0,SnapshotTable[[#This Row],[LC Book Date]]&gt;0,SnapshotTable[[#This Row],[LC Book Price]]&gt;0,SnapshotTable[[#This Row],[LC Fill Date]]=0),"Y","")</f>
        <v/>
      </c>
      <c r="DQ48" s="386" t="str">
        <f>IF(SnapshotTable[[#This Row],[LC Premium]] &gt; 0,SnapshotTable[[#This Row],[LC Exp Date]]-MAX(SnapshotTable[[#This Row],[LC Book Date]], SnapshotTable[[#This Row],[LC Fill Date]]),"")</f>
        <v/>
      </c>
      <c r="DR48" s="386" t="str">
        <f>IF(ISNUMBER(SnapshotTable[[#This Row],[LC Term]]), SnapshotTable[[#This Row],[LC Exp Date]] - MockToday, "")</f>
        <v/>
      </c>
      <c r="DS48" s="23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40" t="str">
        <f>IF(ISNUMBER(SnapshotTable[[#This Row],[LC Actual Gain Loss]]), SnapshotTable[[#This Row],[LC Actual Gain Loss]] / SnapshotTable[[#This Row],[LC Premium]],"")</f>
        <v/>
      </c>
      <c r="DX48" s="284" t="str">
        <f>IF(ISNUMBER(SnapshotTable[[#This Row],[LC Book Price]]),SnapshotTable[[#This Row],[LC Book Price]] * 1.5,"")</f>
        <v/>
      </c>
      <c r="DY48" s="265" t="str">
        <f>IF(SnapshotTable[[#This Row],[LC Premium]]&gt;0, SnapshotTable[[#This Row],[LC Next Target]] * SnapshotTable[[#This Row],[LC Qty]] * 100,"")</f>
        <v/>
      </c>
      <c r="DZ48" s="265" t="str">
        <f>IF(ISNUMBER(SnapshotTable[[#This Row],[LC Target Gross]]), SnapshotTable[[#This Row],[LC Target Gross]] - SnapshotTable[[#This Row],[LC Premium]], "")</f>
        <v/>
      </c>
      <c r="EA48" s="305" t="str">
        <f>IF(ISNUMBER(SnapshotTable[[#This Row],[LC Target Gain Loss]]), SnapshotTable[[#This Row],[LC Target Gain Loss]]/SnapshotTable[[#This Row],[LC Premium]], "")</f>
        <v/>
      </c>
      <c r="EB48" s="262"/>
      <c r="EC48" s="283" t="str">
        <f>IF(SnapshotTable[[#This Row],[LC Premium]]&gt;0, SnapshotTable[[#This Row],[LC Book Price]] * (1 - LC_StopLoss_Pct),"")</f>
        <v/>
      </c>
      <c r="ED48" s="284"/>
      <c r="EE48" s="28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4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7"/>
      <c r="EL48" s="138"/>
      <c r="EM48" s="148"/>
      <c r="EN48" s="147"/>
      <c r="EO48" s="147"/>
      <c r="EP48" s="138"/>
      <c r="EQ48" s="419" t="b">
        <f>AND(ISNUMBER(SnapshotTable[[#This Row],[SC Exp Date]]), ISNUMBER(SnapshotTable[[#This Row],[SC Strike Price]]), ISNUMBER(SnapshotTable[[#This Row],[SC Qty]]), ISNUMBER(SnapshotTable[[#This Row],[SC Book Date]]), ISNUMBER(SnapshotTable[[#This Row],[SC Book Price]]))</f>
        <v>0</v>
      </c>
      <c r="ER48" s="419" t="b">
        <f>AND(SnapshotTable[[#This Row],[SC Is Booked]], NOT(ISBLANK(SnapshotTable[[#This Row],[SC Fill Date]])))</f>
        <v>0</v>
      </c>
      <c r="ES48" s="370"/>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3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283"/>
      <c r="FA48" s="423"/>
      <c r="FB48" s="370">
        <v>0.55000000000000004</v>
      </c>
      <c r="FC48" s="4">
        <f>IF(SnapshotTable[[#This Row],[SC Is Filled]], btc_max_buyback_amount(SnapshotTable[[#This Row],[SC Fill Date]],SnapshotTable[[#This Row],[SC Exp Date]], SnapshotTable[[#This Row],[SC Book Price]]),0)</f>
        <v>0</v>
      </c>
      <c r="FD48" s="5"/>
      <c r="FE48" s="144"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382">
        <f>IF(SnapshotTable[[#This Row],[SC Is Filled]], IF(ISNUMBER(SnapshotTable[[#This Row],[SC Current Ask]]), SnapshotTable[[#This Row],[SC Current Ask]], SnapshotTable[[#This Row],[SC Book Price]]) - SnapshotTable[[#This Row],[SC Intrinsic Value]], 0)</f>
        <v>0</v>
      </c>
      <c r="FI48" s="143"/>
      <c r="FJ48" s="32" t="str">
        <f>IF(SnapshotTable[[#This Row],[SC Is Filled]],100 * SnapshotTable[[#This Row],[SC Qty]] * IF(ISNUMBER(SnapshotTable[[#This Row],[SC Buyback Override]]), SnapshotTable[[#This Row],[SC Buyback Override]], SnapshotTable[[#This Row],[SC Current Ask]]), "")</f>
        <v/>
      </c>
      <c r="FK48" s="250" t="str">
        <f>IF(SnapshotTable[[#This Row],[SC Time Val]]&gt;0, SnapshotTable[[#This Row],[SC Time Val]] / SnapshotTable[[#This Row],[Last Price]],"")</f>
        <v/>
      </c>
      <c r="FL48" s="302" t="str">
        <f>IF(SnapshotTable[[#This Row],[SC Is Booked]], ((SnapshotTable[[#This Row],[Last Price]] -SnapshotTable[[#This Row],[SC Strike Price]]) / SnapshotTable[[#This Row],[Last Price]]) * -1, "")</f>
        <v/>
      </c>
      <c r="FM48" s="157"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33"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36" t="str">
        <f>IF(AND(ISNUMBER(SnapshotTable[[#This Row],[SC Simple ROO]]),SnapshotTable[[#This Row],[SC Simple ROO]] &gt; 0), SnapshotTable[[#This Row],[SC Premium]] + (SnapshotTable[[#This Row],[SC Qty]] * SnapshotTable[[#This Row],[SC Upside Potential]]), "")</f>
        <v/>
      </c>
      <c r="FX48" s="302" t="str" cm="1">
        <f t="array" ref="FX48">IF(ISNUMBER(SnapshotTable[[#This Row],[SC Max Dollars]]), annualize(SnapshotTable[[#This Row],[SC Term]],(SnapshotTable[[#This Row],[SC Max Dollars]]/SnapshotTable[[#This Row],[SC Basis]])),"")</f>
        <v/>
      </c>
      <c r="FY48" s="23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29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227.292</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642</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31">
        <f>MAX(SnapshotTable[[#This Row],[Equity Basis Total]],SnapshotTable[[#This Row],[Equity Value]]) + (SnapshotTable[[#This Row],[SP Potential Spend]]- SnapshotTable[[#This Row],[SP Premium]] + SnapshotTable[[#This Row],[LP Premium]])+ (SnapshotTable[[#This Row],[LC Premium]] - SnapshotTable[[#This Row],[SC Premium]])</f>
        <v>0</v>
      </c>
      <c r="GW48" s="139" t="str">
        <f>IF(AND(SnapshotTable[[#This Row],[Exposure]] &lt;&gt; 0),SnapshotTable[[#This Row],[Exposure]] / SnapshotTable[[#Totals],[Exposure]], "")</f>
        <v/>
      </c>
      <c r="GY48" s="381"/>
      <c r="HE48" s="268"/>
      <c r="HF48" s="268"/>
      <c r="HG48" s="381"/>
      <c r="HH48" s="381"/>
      <c r="HI48" s="381"/>
      <c r="HJ48" s="381"/>
    </row>
    <row r="49" spans="2:224" s="47" customFormat="1" ht="12.75" hidden="1" customHeight="1" x14ac:dyDescent="0.25">
      <c r="B49" s="12" t="s">
        <v>102</v>
      </c>
      <c r="C49" s="422">
        <v>61.62</v>
      </c>
      <c r="D49" s="208"/>
      <c r="E49" s="39">
        <f>SnapshotTable[[#This Row],[Last Price]]*(1 -CrashDiscount)</f>
        <v>52.376999999999995</v>
      </c>
      <c r="F49" s="26" t="s">
        <v>942</v>
      </c>
      <c r="G49" s="26" t="s">
        <v>4</v>
      </c>
      <c r="H49" s="149"/>
      <c r="I49" s="194">
        <v>44760.28125</v>
      </c>
      <c r="J49" s="195">
        <v>44760.28125</v>
      </c>
      <c r="K49" s="196"/>
      <c r="L49" s="326"/>
      <c r="M49" s="140"/>
      <c r="N49" s="140"/>
      <c r="O49" s="140">
        <v>1</v>
      </c>
      <c r="P49" s="22"/>
      <c r="Q49" s="25"/>
      <c r="R49" s="4" t="str">
        <f>IF(SnapshotTable[[#This Row],[Equity Basis Total]] &gt; 0, SnapshotTable[[#This Row],[Equity Basis Total]] / SnapshotTable[[#This Row],[Equity Shares]], "")</f>
        <v/>
      </c>
      <c r="S49" s="269">
        <f>SnapshotTable[[#This Row],[Last Price]] * SnapshotTable[[#This Row],[Equity Shares]]</f>
        <v>0</v>
      </c>
      <c r="T49" s="269">
        <f>SnapshotTable[[#This Row],[Equity Value]] - SnapshotTable[[#This Row],[Equity Basis Total]]</f>
        <v>0</v>
      </c>
      <c r="U49" s="270" t="str">
        <f>IF(SnapshotTable[[#This Row],[Equity Basis Total]] &gt; 0, SnapshotTable[[#This Row],[Equity G/L]] / SnapshotTable[[#This Row],[Equity Basis Total]], "")</f>
        <v/>
      </c>
      <c r="V49" s="268"/>
      <c r="W49" s="26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7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0">
        <v>0.3</v>
      </c>
      <c r="AD49" s="151">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4.8685491723466411E-3</v>
      </c>
      <c r="AH49" s="151">
        <v>42794</v>
      </c>
      <c r="AI49" s="5">
        <v>33</v>
      </c>
      <c r="AJ49" s="138">
        <v>36.07</v>
      </c>
      <c r="AK49" s="152">
        <f>IF(ISNUMBER( SnapshotTable[[#This Row],[EBF Target]]),(SnapshotTable[[#This Row],[EBF Target]] - SnapshotTable[[#This Row],[Last Price]]) / SnapshotTable[[#This Row],[Last Price]], "")</f>
        <v>-0.46445959104186951</v>
      </c>
      <c r="AL49" s="152"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2">
        <f>IF(AND(ISNUMBER( SnapshotTable[[#This Row],[Long Term Target]]), ISNUMBER(SnapshotTable[[#This Row],[Last Price]])),(SnapshotTable[[#This Row],[Long Term Target]] - SnapshotTable[[#This Row],[Last Price]]) / SnapshotTable[[#This Row],[Last Price]], "")</f>
        <v>-0.41463810451152222</v>
      </c>
      <c r="AP49" s="5">
        <v>29.5</v>
      </c>
      <c r="AQ49" s="38" t="s">
        <v>38</v>
      </c>
      <c r="AR49" s="5"/>
      <c r="AS49" s="38" t="s">
        <v>26</v>
      </c>
      <c r="AT49" s="146"/>
      <c r="AU49" s="187" t="str">
        <f>IF(OR(SnapshotTable[[#This Row],[LP No Fill]]="Y",SnapshotTable[[#This Row],[SP Is Filled]],SnapshotTable[[#This Row],[LC Not Filled]]="Y",SnapshotTable[[#This Row],[SC Is Filled]]),"Y","")</f>
        <v/>
      </c>
      <c r="AV49" s="219"/>
      <c r="AW49" s="225"/>
      <c r="AX49" s="220"/>
      <c r="AY49" s="219" t="str">
        <f>IF(SnapshotTable[[#This Row],[Implied Move]]&gt;0, SnapshotTable[[#This Row],[Last Price]]-SnapshotTable[[#This Row],[Implied Move]],"")</f>
        <v/>
      </c>
      <c r="AZ49" s="219" t="str">
        <f>IF(SnapshotTable[[#This Row],[Implied Move]]&gt;0, SnapshotTable[[#This Row],[Last Price]] + SnapshotTable[[#This Row],[Implied Move]],"")</f>
        <v/>
      </c>
      <c r="BA49" s="331">
        <v>29.5</v>
      </c>
      <c r="BB49" s="347"/>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51"/>
      <c r="BE49" s="5"/>
      <c r="BF49" s="14"/>
      <c r="BG49" s="13"/>
      <c r="BH49" s="13"/>
      <c r="BI49" s="5"/>
      <c r="BJ49" s="136">
        <f>IF(SnapshotTable[[#This Row],[LP Qty]] &gt; 0, SnapshotTable[[#This Row],[LP Qty]] * SnapshotTable[[#This Row],[LP Book Price]] * 100,0)</f>
        <v>0</v>
      </c>
      <c r="BK49" s="136">
        <f>IF(SnapshotTable[[#This Row],[LP Premium]] &gt; 0, SnapshotTable[[#This Row],[LP Qty]] * SnapshotTable[[#This Row],[LP Strike Price]] * 100,0)</f>
        <v>0</v>
      </c>
      <c r="BL49" s="154"/>
      <c r="BM49" s="385" t="str">
        <f>IF(SnapshotTable[[#This Row],[LP Premium]] &gt; 0,SnapshotTable[[#This Row],[LP Exp Date]]-MAX(SnapshotTable[[#This Row],[LP Book Date]], SnapshotTable[[#This Row],[LP Fill Date]]),"")</f>
        <v/>
      </c>
      <c r="BN49" s="385" t="str">
        <f>IF(ISNUMBER( SnapshotTable[[#This Row],[LP Term]]), SnapshotTable[[#This Row],[LP Exp Date]] - MockToday,"")</f>
        <v/>
      </c>
      <c r="BO49" s="163"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7"/>
      <c r="BU49" s="13"/>
      <c r="BV49" s="5"/>
      <c r="BW49" s="419" t="b">
        <f>AND(ISNUMBER(SnapshotTable[[#This Row],[SP Exp Date]]), ISNUMBER(SnapshotTable[[#This Row],[SP Strike Price]]), ISNUMBER(SnapshotTable[[#This Row],[SP Qty]]), ISNUMBER(SnapshotTable[[#This Row],[SP Book Date]]), ISNUMBER(SnapshotTable[[#This Row],[SP Book Price]]))</f>
        <v>0</v>
      </c>
      <c r="BX49" s="419" t="b">
        <f>AND(SnapshotTable[[#This Row],[SP Is Booked]], NOT(ISBLANK(SnapshotTable[[#This Row],[SP Fill Date]])))</f>
        <v>0</v>
      </c>
      <c r="BY49" s="33">
        <f>IF(SnapshotTable[[#This Row],[SP Is Booked]], SnapshotTable[[#This Row],[SP Qty]] * SnapshotTable[[#This Row],[SP Book Price]] * 100, 0)</f>
        <v>0</v>
      </c>
      <c r="BZ49" s="369"/>
      <c r="CA49" s="368">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3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44"/>
      <c r="CK49" s="31">
        <f>IF(ISNUMBER(SnapshotTable[[#This Row],[SP Potential Spend]]),IF(ISNUMBER(SnapshotTable[[#This Row],[SP POW]]), SnapshotTable[[#This Row],[SP POW]] * SnapshotTable[[#This Row],[SP Potential Spend]], SnapshotTable[[#This Row],[SP Potential Spend]]), "")</f>
        <v>0</v>
      </c>
      <c r="CL49" s="164">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8"/>
      <c r="CO49" s="369"/>
      <c r="CP49" s="4" t="str">
        <f>IF(SnapshotTable[[#This Row],[SP Is Filled]], btc_max_buyback_amount(SnapshotTable[[#This Row],[SP Fill Date]],SnapshotTable[[#This Row],[SP Exp Date]], SnapshotTable[[#This Row],[SP Book Price]]),"")</f>
        <v/>
      </c>
      <c r="CQ49" s="78"/>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5" t="str">
        <f>IF(SnapshotTable[[#This Row],[SP Is Filled]], btc_next_cutoff_date(SnapshotTable[[#This Row],[SP Fill Date]],SnapshotTable[[#This Row],[SP Exp Date]]),"")</f>
        <v/>
      </c>
      <c r="CT49" s="23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3">
        <v>44883</v>
      </c>
      <c r="CV49" s="235"/>
      <c r="CW49" s="378"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294" t="str">
        <f>IF(ISNUMBER((SnapshotTable[[#This Row],[SP Total Value]])), SnapshotTable[[#This Row],[SP Gain Loss]] / SnapshotTable[[#This Row],[SP Premium]], "")</f>
        <v/>
      </c>
      <c r="DI49" s="406"/>
      <c r="DJ49" s="138"/>
      <c r="DK49" s="148"/>
      <c r="DL49" s="13"/>
      <c r="DM49" s="13"/>
      <c r="DN49" s="5"/>
      <c r="DO49" s="31">
        <f>IF(SnapshotTable[[#This Row],[LC Symbol Count]]=1, SnapshotTable[[#This Row],[LC Qty]] * SnapshotTable[[#This Row],[LC Book Price]] * 100, 0)</f>
        <v>0</v>
      </c>
      <c r="DP49" s="163" t="str">
        <f>IF(AND(SnapshotTable[[#This Row],[LC Exp Date]]&gt;0, SnapshotTable[[#This Row],[LC Strike Price]]&gt;0,SnapshotTable[[#This Row],[LC Qty]]&gt;0,SnapshotTable[[#This Row],[LC Book Date]]&gt;0,SnapshotTable[[#This Row],[LC Book Price]]&gt;0,SnapshotTable[[#This Row],[LC Fill Date]]=0),"Y","")</f>
        <v/>
      </c>
      <c r="DQ49" s="386" t="str">
        <f>IF(SnapshotTable[[#This Row],[LC Premium]] &gt; 0,SnapshotTable[[#This Row],[LC Exp Date]]-MAX(SnapshotTable[[#This Row],[LC Book Date]], SnapshotTable[[#This Row],[LC Fill Date]]),"")</f>
        <v/>
      </c>
      <c r="DR49" s="386" t="str">
        <f>IF(ISNUMBER(SnapshotTable[[#This Row],[LC Term]]), SnapshotTable[[#This Row],[LC Exp Date]] - MockToday, "")</f>
        <v/>
      </c>
      <c r="DS49" s="23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40" t="str">
        <f>IF(ISNUMBER(SnapshotTable[[#This Row],[LC Actual Gain Loss]]), SnapshotTable[[#This Row],[LC Actual Gain Loss]] / SnapshotTable[[#This Row],[LC Premium]],"")</f>
        <v/>
      </c>
      <c r="DX49" s="284" t="str">
        <f>IF(ISNUMBER(SnapshotTable[[#This Row],[LC Book Price]]),SnapshotTable[[#This Row],[LC Book Price]] * 1.5,"")</f>
        <v/>
      </c>
      <c r="DY49" s="265" t="str">
        <f>IF(SnapshotTable[[#This Row],[LC Premium]]&gt;0, SnapshotTable[[#This Row],[LC Next Target]] * SnapshotTable[[#This Row],[LC Qty]] * 100,"")</f>
        <v/>
      </c>
      <c r="DZ49" s="265" t="str">
        <f>IF(ISNUMBER(SnapshotTable[[#This Row],[LC Target Gross]]), SnapshotTable[[#This Row],[LC Target Gross]] - SnapshotTable[[#This Row],[LC Premium]], "")</f>
        <v/>
      </c>
      <c r="EA49" s="305" t="str">
        <f>IF(ISNUMBER(SnapshotTable[[#This Row],[LC Target Gain Loss]]), SnapshotTable[[#This Row],[LC Target Gain Loss]]/SnapshotTable[[#This Row],[LC Premium]], "")</f>
        <v/>
      </c>
      <c r="EB49" s="262"/>
      <c r="EC49" s="283" t="str">
        <f>IF(SnapshotTable[[#This Row],[LC Premium]]&gt;0, SnapshotTable[[#This Row],[LC Book Price]] * (1 - LC_StopLoss_Pct),"")</f>
        <v/>
      </c>
      <c r="ED49" s="284"/>
      <c r="EE49" s="28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4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7"/>
      <c r="EL49" s="138"/>
      <c r="EM49" s="148"/>
      <c r="EN49" s="147"/>
      <c r="EO49" s="147"/>
      <c r="EP49" s="138"/>
      <c r="EQ49" s="419" t="b">
        <f>AND(ISNUMBER(SnapshotTable[[#This Row],[SC Exp Date]]), ISNUMBER(SnapshotTable[[#This Row],[SC Strike Price]]), ISNUMBER(SnapshotTable[[#This Row],[SC Qty]]), ISNUMBER(SnapshotTable[[#This Row],[SC Book Date]]), ISNUMBER(SnapshotTable[[#This Row],[SC Book Price]]))</f>
        <v>0</v>
      </c>
      <c r="ER49" s="419" t="b">
        <f>AND(SnapshotTable[[#This Row],[SC Is Booked]], NOT(ISBLANK(SnapshotTable[[#This Row],[SC Fill Date]])))</f>
        <v>0</v>
      </c>
      <c r="ES49" s="370"/>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3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283"/>
      <c r="FA49" s="218"/>
      <c r="FB49" s="370"/>
      <c r="FC49" s="4">
        <f>IF(SnapshotTable[[#This Row],[SC Is Filled]], btc_max_buyback_amount(SnapshotTable[[#This Row],[SC Fill Date]],SnapshotTable[[#This Row],[SC Exp Date]], SnapshotTable[[#This Row],[SC Book Price]]),0)</f>
        <v>0</v>
      </c>
      <c r="FD49" s="5"/>
      <c r="FE49" s="144"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382">
        <f>IF(SnapshotTable[[#This Row],[SC Is Filled]], IF(ISNUMBER(SnapshotTable[[#This Row],[SC Current Ask]]), SnapshotTable[[#This Row],[SC Current Ask]], SnapshotTable[[#This Row],[SC Book Price]]) - SnapshotTable[[#This Row],[SC Intrinsic Value]], 0)</f>
        <v>0</v>
      </c>
      <c r="FI49" s="143"/>
      <c r="FJ49" s="32" t="str">
        <f>IF(SnapshotTable[[#This Row],[SC Is Filled]],100 * SnapshotTable[[#This Row],[SC Qty]] * IF(ISNUMBER(SnapshotTable[[#This Row],[SC Buyback Override]]), SnapshotTable[[#This Row],[SC Buyback Override]], SnapshotTable[[#This Row],[SC Current Ask]]), "")</f>
        <v/>
      </c>
      <c r="FK49" s="250" t="str">
        <f>IF(SnapshotTable[[#This Row],[SC Time Val]]&gt;0, SnapshotTable[[#This Row],[SC Time Val]] / SnapshotTable[[#This Row],[Last Price]],"")</f>
        <v/>
      </c>
      <c r="FL49" s="302" t="str">
        <f>IF(SnapshotTable[[#This Row],[SC Is Booked]], ((SnapshotTable[[#This Row],[Last Price]] -SnapshotTable[[#This Row],[SC Strike Price]]) / SnapshotTable[[#This Row],[Last Price]]) * -1, "")</f>
        <v/>
      </c>
      <c r="FM49" s="157"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33"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36" t="str">
        <f>IF(AND(ISNUMBER(SnapshotTable[[#This Row],[SC Simple ROO]]),SnapshotTable[[#This Row],[SC Simple ROO]] &gt; 0), SnapshotTable[[#This Row],[SC Premium]] + (SnapshotTable[[#This Row],[SC Qty]] * SnapshotTable[[#This Row],[SC Upside Potential]]), "")</f>
        <v/>
      </c>
      <c r="FX49" s="302" t="str" cm="1">
        <f t="array" ref="FX49">IF(ISNUMBER(SnapshotTable[[#This Row],[SC Max Dollars]]), annualize(SnapshotTable[[#This Row],[SC Term]],(SnapshotTable[[#This Row],[SC Max Dollars]]/SnapshotTable[[#This Row],[SC Basis]])),"")</f>
        <v/>
      </c>
      <c r="FY49" s="23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29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120.15899999999999</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643</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31">
        <f>MAX(SnapshotTable[[#This Row],[Equity Basis Total]],SnapshotTable[[#This Row],[Equity Value]]) + (SnapshotTable[[#This Row],[SP Potential Spend]]- SnapshotTable[[#This Row],[SP Premium]] + SnapshotTable[[#This Row],[LP Premium]])+ (SnapshotTable[[#This Row],[LC Premium]] - SnapshotTable[[#This Row],[SC Premium]])</f>
        <v>0</v>
      </c>
      <c r="GW49" s="139" t="str">
        <f>IF(AND(SnapshotTable[[#This Row],[Exposure]] &lt;&gt; 0),SnapshotTable[[#This Row],[Exposure]] / SnapshotTable[[#Totals],[Exposure]], "")</f>
        <v/>
      </c>
      <c r="GY49" s="381"/>
      <c r="HE49" s="268"/>
      <c r="HF49" s="268"/>
      <c r="HG49" s="381"/>
      <c r="HH49" s="381"/>
      <c r="HI49" s="381"/>
      <c r="HJ49" s="381"/>
    </row>
    <row r="50" spans="2:224" ht="12.75" hidden="1" customHeight="1" x14ac:dyDescent="0.25">
      <c r="B50" s="12" t="s">
        <v>1208</v>
      </c>
      <c r="C50" s="422">
        <v>8.9499999999999993</v>
      </c>
      <c r="D50" s="208"/>
      <c r="E50" s="39">
        <f>SnapshotTable[[#This Row],[Last Price]]*(1 -CrashDiscount)</f>
        <v>7.607499999999999</v>
      </c>
      <c r="F50" s="325" t="s">
        <v>840</v>
      </c>
      <c r="G50" s="325" t="s">
        <v>9</v>
      </c>
      <c r="H50" s="149"/>
      <c r="I50" s="194"/>
      <c r="J50" s="195"/>
      <c r="K50" s="196"/>
      <c r="L50" s="326"/>
      <c r="M50" s="140"/>
      <c r="N50" s="140"/>
      <c r="O50" s="140"/>
      <c r="P50" s="22"/>
      <c r="Q50" s="25"/>
      <c r="R50" s="4" t="str">
        <f>IF(SnapshotTable[[#This Row],[Equity Basis Total]] &gt; 0, SnapshotTable[[#This Row],[Equity Basis Total]] / SnapshotTable[[#This Row],[Equity Shares]], "")</f>
        <v/>
      </c>
      <c r="S50" s="269">
        <f>SnapshotTable[[#This Row],[Last Price]] * SnapshotTable[[#This Row],[Equity Shares]]</f>
        <v>0</v>
      </c>
      <c r="T50" s="269">
        <f>SnapshotTable[[#This Row],[Equity Value]] - SnapshotTable[[#This Row],[Equity Basis Total]]</f>
        <v>0</v>
      </c>
      <c r="U50" s="270" t="str">
        <f>IF(SnapshotTable[[#This Row],[Equity Basis Total]] &gt; 0, SnapshotTable[[#This Row],[Equity G/L]] / SnapshotTable[[#This Row],[Equity Basis Total]], "")</f>
        <v/>
      </c>
      <c r="V50" s="268"/>
      <c r="W50" s="26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7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0"/>
      <c r="AD50" s="151"/>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1"/>
      <c r="AI50" s="5"/>
      <c r="AJ50" s="138">
        <v>4.75</v>
      </c>
      <c r="AK50" s="152" t="str">
        <f>IF(ISNUMBER( SnapshotTable[[#This Row],[EBF Target]]),(SnapshotTable[[#This Row],[EBF Target]] - SnapshotTable[[#This Row],[Last Price]]) / SnapshotTable[[#This Row],[Last Price]], "")</f>
        <v/>
      </c>
      <c r="AL50" s="152"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2">
        <f>IF(AND(ISNUMBER( SnapshotTable[[#This Row],[Long Term Target]]), ISNUMBER(SnapshotTable[[#This Row],[Last Price]])),(SnapshotTable[[#This Row],[Long Term Target]] - SnapshotTable[[#This Row],[Last Price]]) / SnapshotTable[[#This Row],[Last Price]], "")</f>
        <v>-0.46927374301675973</v>
      </c>
      <c r="AP50" s="5">
        <v>4</v>
      </c>
      <c r="AQ50" s="38" t="s">
        <v>1082</v>
      </c>
      <c r="AR50" s="5">
        <v>2</v>
      </c>
      <c r="AS50" s="38" t="s">
        <v>1083</v>
      </c>
      <c r="AT50" s="146" t="s">
        <v>1185</v>
      </c>
      <c r="AU50" s="187" t="str">
        <f>IF(OR(SnapshotTable[[#This Row],[LP No Fill]]="Y",SnapshotTable[[#This Row],[SP Is Filled]],SnapshotTable[[#This Row],[LC Not Filled]]="Y",SnapshotTable[[#This Row],[SC Is Filled]]),"Y","")</f>
        <v/>
      </c>
      <c r="AV50" s="219"/>
      <c r="AW50" s="225"/>
      <c r="AX50" s="220"/>
      <c r="AY50" s="219" t="str">
        <f>IF(SnapshotTable[[#This Row],[Implied Move]]&gt;0, SnapshotTable[[#This Row],[Last Price]]-SnapshotTable[[#This Row],[Implied Move]],"")</f>
        <v/>
      </c>
      <c r="AZ50" s="219" t="str">
        <f>IF(SnapshotTable[[#This Row],[Implied Move]]&gt;0, SnapshotTable[[#This Row],[Last Price]] + SnapshotTable[[#This Row],[Implied Move]],"")</f>
        <v/>
      </c>
      <c r="BA50" s="331">
        <v>0.61</v>
      </c>
      <c r="BB50" s="347" t="s">
        <v>1165</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51"/>
      <c r="BE50" s="5"/>
      <c r="BF50" s="14"/>
      <c r="BG50" s="13"/>
      <c r="BH50" s="13"/>
      <c r="BI50" s="5"/>
      <c r="BJ50" s="136">
        <f>IF(SnapshotTable[[#This Row],[LP Qty]] &gt; 0, SnapshotTable[[#This Row],[LP Qty]] * SnapshotTable[[#This Row],[LP Book Price]] * 100,0)</f>
        <v>0</v>
      </c>
      <c r="BK50" s="136">
        <f>IF(SnapshotTable[[#This Row],[LP Premium]] &gt; 0, SnapshotTable[[#This Row],[LP Qty]] * SnapshotTable[[#This Row],[LP Strike Price]] * 100,0)</f>
        <v>0</v>
      </c>
      <c r="BL50" s="154"/>
      <c r="BM50" s="385" t="str">
        <f>IF(SnapshotTable[[#This Row],[LP Premium]] &gt; 0,SnapshotTable[[#This Row],[LP Exp Date]]-MAX(SnapshotTable[[#This Row],[LP Book Date]], SnapshotTable[[#This Row],[LP Fill Date]]),"")</f>
        <v/>
      </c>
      <c r="BN50" s="385" t="str">
        <f>IF(ISNUMBER( SnapshotTable[[#This Row],[LP Term]]), SnapshotTable[[#This Row],[LP Exp Date]] - MockToday,"")</f>
        <v/>
      </c>
      <c r="BO50" s="163"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7"/>
      <c r="BU50" s="13"/>
      <c r="BV50" s="5"/>
      <c r="BW50" s="419" t="b">
        <f>AND(ISNUMBER(SnapshotTable[[#This Row],[SP Exp Date]]), ISNUMBER(SnapshotTable[[#This Row],[SP Strike Price]]), ISNUMBER(SnapshotTable[[#This Row],[SP Qty]]), ISNUMBER(SnapshotTable[[#This Row],[SP Book Date]]), ISNUMBER(SnapshotTable[[#This Row],[SP Book Price]]))</f>
        <v>0</v>
      </c>
      <c r="BX50" s="419" t="b">
        <f>AND(SnapshotTable[[#This Row],[SP Is Booked]], NOT(ISBLANK(SnapshotTable[[#This Row],[SP Fill Date]])))</f>
        <v>0</v>
      </c>
      <c r="BY50" s="33">
        <f>IF(SnapshotTable[[#This Row],[SP Is Booked]], SnapshotTable[[#This Row],[SP Qty]] * SnapshotTable[[#This Row],[SP Book Price]] * 100, 0)</f>
        <v>0</v>
      </c>
      <c r="BZ50" s="369"/>
      <c r="CA50" s="368">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3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44">
        <v>0.1</v>
      </c>
      <c r="CK50" s="31">
        <f>IF(ISNUMBER(SnapshotTable[[#This Row],[SP Potential Spend]]),IF(ISNUMBER(SnapshotTable[[#This Row],[SP POW]]), SnapshotTable[[#This Row],[SP POW]] * SnapshotTable[[#This Row],[SP Potential Spend]], SnapshotTable[[#This Row],[SP Potential Spend]]), "")</f>
        <v>0</v>
      </c>
      <c r="CL50" s="164">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8"/>
      <c r="CO50" s="369"/>
      <c r="CP50" s="4" t="str">
        <f>IF(SnapshotTable[[#This Row],[SP Is Filled]], btc_max_buyback_amount(SnapshotTable[[#This Row],[SP Fill Date]],SnapshotTable[[#This Row],[SP Exp Date]], SnapshotTable[[#This Row],[SP Book Price]]),"")</f>
        <v/>
      </c>
      <c r="CQ50" s="78"/>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5" t="str">
        <f>IF(SnapshotTable[[#This Row],[SP Is Filled]], btc_next_cutoff_date(SnapshotTable[[#This Row],[SP Fill Date]],SnapshotTable[[#This Row],[SP Exp Date]]),"")</f>
        <v/>
      </c>
      <c r="CT50" s="23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3"/>
      <c r="CV50" s="235"/>
      <c r="CW50" s="378"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294" t="str">
        <f>IF(ISNUMBER((SnapshotTable[[#This Row],[SP Total Value]])), SnapshotTable[[#This Row],[SP Gain Loss]] / SnapshotTable[[#This Row],[SP Premium]], "")</f>
        <v/>
      </c>
      <c r="DI50" s="406"/>
      <c r="DJ50" s="138"/>
      <c r="DK50" s="148"/>
      <c r="DL50" s="147"/>
      <c r="DM50" s="147"/>
      <c r="DO50" s="31">
        <f>IF(SnapshotTable[[#This Row],[LC Symbol Count]]=1, SnapshotTable[[#This Row],[LC Qty]] * SnapshotTable[[#This Row],[LC Book Price]] * 100, 0)</f>
        <v>0</v>
      </c>
      <c r="DP50" s="163" t="str">
        <f>IF(AND(SnapshotTable[[#This Row],[LC Exp Date]]&gt;0, SnapshotTable[[#This Row],[LC Strike Price]]&gt;0,SnapshotTable[[#This Row],[LC Qty]]&gt;0,SnapshotTable[[#This Row],[LC Book Date]]&gt;0,SnapshotTable[[#This Row],[LC Book Price]]&gt;0,SnapshotTable[[#This Row],[LC Fill Date]]=0),"Y","")</f>
        <v/>
      </c>
      <c r="DQ50" s="386" t="str">
        <f>IF(SnapshotTable[[#This Row],[LC Premium]] &gt; 0,SnapshotTable[[#This Row],[LC Exp Date]]-MAX(SnapshotTable[[#This Row],[LC Book Date]], SnapshotTable[[#This Row],[LC Fill Date]]),"")</f>
        <v/>
      </c>
      <c r="DR50" s="386" t="str">
        <f>IF(ISNUMBER(SnapshotTable[[#This Row],[LC Term]]), SnapshotTable[[#This Row],[LC Exp Date]] - MockToday, "")</f>
        <v/>
      </c>
      <c r="DS50" s="234" t="str">
        <f>IF(SnapshotTable[[#This Row],[LC Premium]]&gt;0,SnapshotTable[[#This Row],[LC Strike Price]] + SnapshotTable[[#This Row],[LC Book Price]],"")</f>
        <v/>
      </c>
      <c r="DT50" s="138"/>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40" t="str">
        <f>IF(ISNUMBER(SnapshotTable[[#This Row],[LC Actual Gain Loss]]), SnapshotTable[[#This Row],[LC Actual Gain Loss]] / SnapshotTable[[#This Row],[LC Premium]],"")</f>
        <v/>
      </c>
      <c r="DX50" s="284" t="str">
        <f>IF(ISNUMBER(SnapshotTable[[#This Row],[LC Book Price]]),SnapshotTable[[#This Row],[LC Book Price]] * 1.5,"")</f>
        <v/>
      </c>
      <c r="DY50" s="265" t="str">
        <f>IF(SnapshotTable[[#This Row],[LC Premium]]&gt;0, SnapshotTable[[#This Row],[LC Next Target]] * SnapshotTable[[#This Row],[LC Qty]] * 100,"")</f>
        <v/>
      </c>
      <c r="DZ50" s="265" t="str">
        <f>IF(ISNUMBER(SnapshotTable[[#This Row],[LC Target Gross]]), SnapshotTable[[#This Row],[LC Target Gross]] - SnapshotTable[[#This Row],[LC Premium]], "")</f>
        <v/>
      </c>
      <c r="EA50" s="305" t="str">
        <f>IF(ISNUMBER(SnapshotTable[[#This Row],[LC Target Gain Loss]]), SnapshotTable[[#This Row],[LC Target Gain Loss]]/SnapshotTable[[#This Row],[LC Premium]], "")</f>
        <v/>
      </c>
      <c r="EB50" s="262"/>
      <c r="EC50" s="283" t="str">
        <f>IF(SnapshotTable[[#This Row],[LC Premium]]&gt;0, SnapshotTable[[#This Row],[LC Book Price]] * (1 - LC_StopLoss_Pct),"")</f>
        <v/>
      </c>
      <c r="ED50" s="284"/>
      <c r="EE50" s="28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4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7"/>
      <c r="EL50" s="138"/>
      <c r="EM50" s="148"/>
      <c r="EN50" s="147"/>
      <c r="EO50" s="147"/>
      <c r="EP50" s="138"/>
      <c r="EQ50" s="419" t="b">
        <f>AND(ISNUMBER(SnapshotTable[[#This Row],[SC Exp Date]]), ISNUMBER(SnapshotTable[[#This Row],[SC Strike Price]]), ISNUMBER(SnapshotTable[[#This Row],[SC Qty]]), ISNUMBER(SnapshotTable[[#This Row],[SC Book Date]]), ISNUMBER(SnapshotTable[[#This Row],[SC Book Price]]))</f>
        <v>0</v>
      </c>
      <c r="ER50" s="419" t="b">
        <f>AND(SnapshotTable[[#This Row],[SC Is Booked]], NOT(ISBLANK(SnapshotTable[[#This Row],[SC Fill Date]])))</f>
        <v>0</v>
      </c>
      <c r="ES50" s="370"/>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3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283"/>
      <c r="FA50" s="218"/>
      <c r="FB50" s="370"/>
      <c r="FC50" s="4">
        <f>IF(SnapshotTable[[#This Row],[SC Is Filled]], btc_max_buyback_amount(SnapshotTable[[#This Row],[SC Fill Date]],SnapshotTable[[#This Row],[SC Exp Date]], SnapshotTable[[#This Row],[SC Book Price]]),0)</f>
        <v>0</v>
      </c>
      <c r="FD50" s="5"/>
      <c r="FE50" s="144"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382">
        <f>IF(SnapshotTable[[#This Row],[SC Is Filled]], IF(ISNUMBER(SnapshotTable[[#This Row],[SC Current Ask]]), SnapshotTable[[#This Row],[SC Current Ask]], SnapshotTable[[#This Row],[SC Book Price]]) - SnapshotTable[[#This Row],[SC Intrinsic Value]], 0)</f>
        <v>0</v>
      </c>
      <c r="FI50" s="143"/>
      <c r="FJ50" s="32" t="str">
        <f>IF(SnapshotTable[[#This Row],[SC Is Filled]],100 * SnapshotTable[[#This Row],[SC Qty]] * IF(ISNUMBER(SnapshotTable[[#This Row],[SC Buyback Override]]), SnapshotTable[[#This Row],[SC Buyback Override]], SnapshotTable[[#This Row],[SC Current Ask]]), "")</f>
        <v/>
      </c>
      <c r="FK50" s="250" t="str">
        <f>IF(SnapshotTable[[#This Row],[SC Time Val]]&gt;0, SnapshotTable[[#This Row],[SC Time Val]] / SnapshotTable[[#This Row],[Last Price]],"")</f>
        <v/>
      </c>
      <c r="FL50" s="302" t="str">
        <f>IF(SnapshotTable[[#This Row],[SC Is Booked]], ((SnapshotTable[[#This Row],[Last Price]] -SnapshotTable[[#This Row],[SC Strike Price]]) / SnapshotTable[[#This Row],[Last Price]]) * -1, "")</f>
        <v/>
      </c>
      <c r="FM50" s="157"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33"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36" t="str">
        <f>IF(AND(ISNUMBER(SnapshotTable[[#This Row],[SC Simple ROO]]),SnapshotTable[[#This Row],[SC Simple ROO]] &gt; 0), SnapshotTable[[#This Row],[SC Premium]] + (SnapshotTable[[#This Row],[SC Qty]] * SnapshotTable[[#This Row],[SC Upside Potential]]), "")</f>
        <v/>
      </c>
      <c r="FX50" s="302" t="str" cm="1">
        <f t="array" ref="FX50">IF(ISNUMBER(SnapshotTable[[#This Row],[SC Max Dollars]]), annualize(SnapshotTable[[#This Row],[SC Term]],(SnapshotTable[[#This Row],[SC Max Dollars]]/SnapshotTable[[#This Row],[SC Basis]])),"")</f>
        <v/>
      </c>
      <c r="FY50" s="23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29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17.452499999999997</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31">
        <f>MAX(SnapshotTable[[#This Row],[Equity Basis Total]],SnapshotTable[[#This Row],[Equity Value]]) + (SnapshotTable[[#This Row],[SP Potential Spend]]- SnapshotTable[[#This Row],[SP Premium]] + SnapshotTable[[#This Row],[LP Premium]])+ (SnapshotTable[[#This Row],[LC Premium]] - SnapshotTable[[#This Row],[SC Premium]])</f>
        <v>0</v>
      </c>
      <c r="GW50" s="139" t="str">
        <f>IF(AND(SnapshotTable[[#This Row],[Exposure]] &lt;&gt; 0),SnapshotTable[[#This Row],[Exposure]] / SnapshotTable[[#Totals],[Exposure]], "")</f>
        <v/>
      </c>
      <c r="HE50" s="268"/>
      <c r="HF50" s="268"/>
      <c r="HK50" s="1"/>
      <c r="HL50" s="1"/>
      <c r="HM50" s="1"/>
      <c r="HN50" s="1"/>
      <c r="HO50" s="1"/>
      <c r="HP50" s="1"/>
    </row>
    <row r="51" spans="2:224" ht="12.75" hidden="1" customHeight="1" x14ac:dyDescent="0.25">
      <c r="B51" s="12" t="s">
        <v>147</v>
      </c>
      <c r="C51" s="422">
        <v>5.15</v>
      </c>
      <c r="D51" s="208"/>
      <c r="E51" s="39">
        <f>SnapshotTable[[#This Row],[Last Price]]*(1 -CrashDiscount)</f>
        <v>4.3775000000000004</v>
      </c>
      <c r="F51" s="26" t="s">
        <v>907</v>
      </c>
      <c r="G51" s="26" t="s">
        <v>610</v>
      </c>
      <c r="H51" s="149"/>
      <c r="I51" s="194">
        <v>44755.3125</v>
      </c>
      <c r="J51" s="195">
        <v>44755.3125</v>
      </c>
      <c r="K51" s="196"/>
      <c r="L51" s="326"/>
      <c r="M51" s="140"/>
      <c r="N51" s="140"/>
      <c r="O51" s="140">
        <v>4</v>
      </c>
      <c r="P51" s="22"/>
      <c r="Q51" s="25"/>
      <c r="R51" s="4" t="str">
        <f>IF(SnapshotTable[[#This Row],[Equity Basis Total]] &gt; 0, SnapshotTable[[#This Row],[Equity Basis Total]] / SnapshotTable[[#This Row],[Equity Shares]], "")</f>
        <v/>
      </c>
      <c r="S51" s="269">
        <f>SnapshotTable[[#This Row],[Last Price]] * SnapshotTable[[#This Row],[Equity Shares]]</f>
        <v>0</v>
      </c>
      <c r="T51" s="269">
        <f>SnapshotTable[[#This Row],[Equity Value]] - SnapshotTable[[#This Row],[Equity Basis Total]]</f>
        <v>0</v>
      </c>
      <c r="U51" s="270" t="str">
        <f>IF(SnapshotTable[[#This Row],[Equity Basis Total]] &gt; 0, SnapshotTable[[#This Row],[Equity G/L]] / SnapshotTable[[#This Row],[Equity Basis Total]], "")</f>
        <v/>
      </c>
      <c r="V51" s="268"/>
      <c r="W51" s="26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7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0">
        <v>0.6</v>
      </c>
      <c r="AD51" s="151">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0.11650485436893203</v>
      </c>
      <c r="AH51" s="151">
        <v>43266</v>
      </c>
      <c r="AI51" s="5"/>
      <c r="AJ51" s="138">
        <v>27.65</v>
      </c>
      <c r="AK51" s="152" t="str">
        <f>IF(ISNUMBER( SnapshotTable[[#This Row],[EBF Target]]),(SnapshotTable[[#This Row],[EBF Target]] - SnapshotTable[[#This Row],[Last Price]]) / SnapshotTable[[#This Row],[Last Price]], "")</f>
        <v/>
      </c>
      <c r="AL51" s="152"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2">
        <f>IF(AND(ISNUMBER( SnapshotTable[[#This Row],[Long Term Target]]), ISNUMBER(SnapshotTable[[#This Row],[Last Price]])),(SnapshotTable[[#This Row],[Long Term Target]] - SnapshotTable[[#This Row],[Last Price]]) / SnapshotTable[[#This Row],[Last Price]], "")</f>
        <v>4.3689320388349513</v>
      </c>
      <c r="AP51" s="5"/>
      <c r="AQ51" s="38"/>
      <c r="AR51" s="5"/>
      <c r="AS51" s="38"/>
      <c r="AT51" s="146"/>
      <c r="AU51" s="187" t="str">
        <f>IF(OR(SnapshotTable[[#This Row],[LP No Fill]]="Y",SnapshotTable[[#This Row],[SP Is Filled]],SnapshotTable[[#This Row],[LC Not Filled]]="Y",SnapshotTable[[#This Row],[SC Is Filled]]),"Y","")</f>
        <v/>
      </c>
      <c r="AV51" s="219"/>
      <c r="AW51" s="225"/>
      <c r="AX51" s="220"/>
      <c r="AY51" s="219" t="str">
        <f>IF(SnapshotTable[[#This Row],[Implied Move]]&gt;0, SnapshotTable[[#This Row],[Last Price]]-SnapshotTable[[#This Row],[Implied Move]],"")</f>
        <v/>
      </c>
      <c r="AZ51" s="219" t="str">
        <f>IF(SnapshotTable[[#This Row],[Implied Move]]&gt;0, SnapshotTable[[#This Row],[Last Price]] + SnapshotTable[[#This Row],[Implied Move]],"")</f>
        <v/>
      </c>
      <c r="BA51" s="331"/>
      <c r="BB51" s="347"/>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51"/>
      <c r="BE51" s="5"/>
      <c r="BF51" s="14"/>
      <c r="BG51" s="13"/>
      <c r="BH51" s="13"/>
      <c r="BI51" s="5"/>
      <c r="BJ51" s="136">
        <f>IF(SnapshotTable[[#This Row],[LP Qty]] &gt; 0, SnapshotTable[[#This Row],[LP Qty]] * SnapshotTable[[#This Row],[LP Book Price]] * 100,0)</f>
        <v>0</v>
      </c>
      <c r="BK51" s="136">
        <f>IF(SnapshotTable[[#This Row],[LP Premium]] &gt; 0, SnapshotTable[[#This Row],[LP Qty]] * SnapshotTable[[#This Row],[LP Strike Price]] * 100,0)</f>
        <v>0</v>
      </c>
      <c r="BL51" s="154"/>
      <c r="BM51" s="385" t="str">
        <f>IF(SnapshotTable[[#This Row],[LP Premium]] &gt; 0,SnapshotTable[[#This Row],[LP Exp Date]]-MAX(SnapshotTable[[#This Row],[LP Book Date]], SnapshotTable[[#This Row],[LP Fill Date]]),"")</f>
        <v/>
      </c>
      <c r="BN51" s="385" t="str">
        <f>IF(ISNUMBER( SnapshotTable[[#This Row],[LP Term]]), SnapshotTable[[#This Row],[LP Exp Date]] - MockToday,"")</f>
        <v/>
      </c>
      <c r="BO51" s="163"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7"/>
      <c r="BU51" s="13"/>
      <c r="BV51" s="5"/>
      <c r="BW51" s="419" t="b">
        <f>AND(ISNUMBER(SnapshotTable[[#This Row],[SP Exp Date]]), ISNUMBER(SnapshotTable[[#This Row],[SP Strike Price]]), ISNUMBER(SnapshotTable[[#This Row],[SP Qty]]), ISNUMBER(SnapshotTable[[#This Row],[SP Book Date]]), ISNUMBER(SnapshotTable[[#This Row],[SP Book Price]]))</f>
        <v>0</v>
      </c>
      <c r="BX51" s="419" t="b">
        <f>AND(SnapshotTable[[#This Row],[SP Is Booked]], NOT(ISBLANK(SnapshotTable[[#This Row],[SP Fill Date]])))</f>
        <v>0</v>
      </c>
      <c r="BY51" s="33">
        <f>IF(SnapshotTable[[#This Row],[SP Is Booked]], SnapshotTable[[#This Row],[SP Qty]] * SnapshotTable[[#This Row],[SP Book Price]] * 100, 0)</f>
        <v>0</v>
      </c>
      <c r="BZ51" s="369"/>
      <c r="CA51" s="368">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3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44"/>
      <c r="CK51" s="31">
        <f>IF(ISNUMBER(SnapshotTable[[#This Row],[SP Potential Spend]]),IF(ISNUMBER(SnapshotTable[[#This Row],[SP POW]]), SnapshotTable[[#This Row],[SP POW]] * SnapshotTable[[#This Row],[SP Potential Spend]], SnapshotTable[[#This Row],[SP Potential Spend]]), "")</f>
        <v>0</v>
      </c>
      <c r="CL51" s="164">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8"/>
      <c r="CO51" s="369"/>
      <c r="CP51" s="4" t="str">
        <f>IF(SnapshotTable[[#This Row],[SP Is Filled]], btc_max_buyback_amount(SnapshotTable[[#This Row],[SP Fill Date]],SnapshotTable[[#This Row],[SP Exp Date]], SnapshotTable[[#This Row],[SP Book Price]]),"")</f>
        <v/>
      </c>
      <c r="CQ51" s="78"/>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5" t="str">
        <f>IF(SnapshotTable[[#This Row],[SP Is Filled]], btc_next_cutoff_date(SnapshotTable[[#This Row],[SP Fill Date]],SnapshotTable[[#This Row],[SP Exp Date]]),"")</f>
        <v/>
      </c>
      <c r="CT51" s="23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3">
        <v>44883</v>
      </c>
      <c r="CV51" s="235"/>
      <c r="CW51" s="378"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294" t="str">
        <f>IF(ISNUMBER((SnapshotTable[[#This Row],[SP Total Value]])), SnapshotTable[[#This Row],[SP Gain Loss]] / SnapshotTable[[#This Row],[SP Premium]], "")</f>
        <v/>
      </c>
      <c r="DI51" s="406"/>
      <c r="DJ51" s="138"/>
      <c r="DK51" s="148"/>
      <c r="DL51" s="13"/>
      <c r="DM51" s="13"/>
      <c r="DO51" s="31">
        <f>IF(SnapshotTable[[#This Row],[LC Symbol Count]]=1, SnapshotTable[[#This Row],[LC Qty]] * SnapshotTable[[#This Row],[LC Book Price]] * 100, 0)</f>
        <v>0</v>
      </c>
      <c r="DP51" s="163" t="str">
        <f>IF(AND(SnapshotTable[[#This Row],[LC Exp Date]]&gt;0, SnapshotTable[[#This Row],[LC Strike Price]]&gt;0,SnapshotTable[[#This Row],[LC Qty]]&gt;0,SnapshotTable[[#This Row],[LC Book Date]]&gt;0,SnapshotTable[[#This Row],[LC Book Price]]&gt;0,SnapshotTable[[#This Row],[LC Fill Date]]=0),"Y","")</f>
        <v/>
      </c>
      <c r="DQ51" s="386" t="str">
        <f>IF(SnapshotTable[[#This Row],[LC Premium]] &gt; 0,SnapshotTable[[#This Row],[LC Exp Date]]-MAX(SnapshotTable[[#This Row],[LC Book Date]], SnapshotTable[[#This Row],[LC Fill Date]]),"")</f>
        <v/>
      </c>
      <c r="DR51" s="386" t="str">
        <f>IF(ISNUMBER(SnapshotTable[[#This Row],[LC Term]]), SnapshotTable[[#This Row],[LC Exp Date]] - MockToday, "")</f>
        <v/>
      </c>
      <c r="DS51" s="23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40" t="str">
        <f>IF(ISNUMBER(SnapshotTable[[#This Row],[LC Actual Gain Loss]]), SnapshotTable[[#This Row],[LC Actual Gain Loss]] / SnapshotTable[[#This Row],[LC Premium]],"")</f>
        <v/>
      </c>
      <c r="DX51" s="284" t="str">
        <f>IF(ISNUMBER(SnapshotTable[[#This Row],[LC Book Price]]),SnapshotTable[[#This Row],[LC Book Price]] * 1.5,"")</f>
        <v/>
      </c>
      <c r="DY51" s="265" t="str">
        <f>IF(SnapshotTable[[#This Row],[LC Premium]]&gt;0, SnapshotTable[[#This Row],[LC Next Target]] * SnapshotTable[[#This Row],[LC Qty]] * 100,"")</f>
        <v/>
      </c>
      <c r="DZ51" s="265" t="str">
        <f>IF(ISNUMBER(SnapshotTable[[#This Row],[LC Target Gross]]), SnapshotTable[[#This Row],[LC Target Gross]] - SnapshotTable[[#This Row],[LC Premium]], "")</f>
        <v/>
      </c>
      <c r="EA51" s="305" t="str">
        <f>IF(ISNUMBER(SnapshotTable[[#This Row],[LC Target Gain Loss]]), SnapshotTable[[#This Row],[LC Target Gain Loss]]/SnapshotTable[[#This Row],[LC Premium]], "")</f>
        <v/>
      </c>
      <c r="EB51" s="262"/>
      <c r="EC51" s="283" t="str">
        <f>IF(SnapshotTable[[#This Row],[LC Premium]]&gt;0, SnapshotTable[[#This Row],[LC Book Price]] * (1 - LC_StopLoss_Pct),"")</f>
        <v/>
      </c>
      <c r="ED51" s="284"/>
      <c r="EE51" s="28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4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7"/>
      <c r="EL51" s="138"/>
      <c r="EM51" s="148"/>
      <c r="EN51" s="147"/>
      <c r="EO51" s="147"/>
      <c r="EP51" s="138"/>
      <c r="EQ51" s="419" t="b">
        <f>AND(ISNUMBER(SnapshotTable[[#This Row],[SC Exp Date]]), ISNUMBER(SnapshotTable[[#This Row],[SC Strike Price]]), ISNUMBER(SnapshotTable[[#This Row],[SC Qty]]), ISNUMBER(SnapshotTable[[#This Row],[SC Book Date]]), ISNUMBER(SnapshotTable[[#This Row],[SC Book Price]]))</f>
        <v>0</v>
      </c>
      <c r="ER51" s="419" t="b">
        <f>AND(SnapshotTable[[#This Row],[SC Is Booked]], NOT(ISBLANK(SnapshotTable[[#This Row],[SC Fill Date]])))</f>
        <v>0</v>
      </c>
      <c r="ES51" s="370"/>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3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283"/>
      <c r="FA51" s="218"/>
      <c r="FB51" s="370"/>
      <c r="FC51" s="4">
        <f>IF(SnapshotTable[[#This Row],[SC Is Filled]], btc_max_buyback_amount(SnapshotTable[[#This Row],[SC Fill Date]],SnapshotTable[[#This Row],[SC Exp Date]], SnapshotTable[[#This Row],[SC Book Price]]),0)</f>
        <v>0</v>
      </c>
      <c r="FD51" s="5"/>
      <c r="FE51" s="144"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382">
        <f>IF(SnapshotTable[[#This Row],[SC Is Filled]], IF(ISNUMBER(SnapshotTable[[#This Row],[SC Current Ask]]), SnapshotTable[[#This Row],[SC Current Ask]], SnapshotTable[[#This Row],[SC Book Price]]) - SnapshotTable[[#This Row],[SC Intrinsic Value]], 0)</f>
        <v>0</v>
      </c>
      <c r="FI51" s="143"/>
      <c r="FJ51" s="32" t="str">
        <f>IF(SnapshotTable[[#This Row],[SC Is Filled]],100 * SnapshotTable[[#This Row],[SC Qty]] * IF(ISNUMBER(SnapshotTable[[#This Row],[SC Buyback Override]]), SnapshotTable[[#This Row],[SC Buyback Override]], SnapshotTable[[#This Row],[SC Current Ask]]), "")</f>
        <v/>
      </c>
      <c r="FK51" s="250" t="str">
        <f>IF(SnapshotTable[[#This Row],[SC Time Val]]&gt;0, SnapshotTable[[#This Row],[SC Time Val]] / SnapshotTable[[#This Row],[Last Price]],"")</f>
        <v/>
      </c>
      <c r="FL51" s="302" t="str">
        <f>IF(SnapshotTable[[#This Row],[SC Is Booked]], ((SnapshotTable[[#This Row],[Last Price]] -SnapshotTable[[#This Row],[SC Strike Price]]) / SnapshotTable[[#This Row],[Last Price]]) * -1, "")</f>
        <v/>
      </c>
      <c r="FM51" s="157"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33"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36" t="str">
        <f>IF(AND(ISNUMBER(SnapshotTable[[#This Row],[SC Simple ROO]]),SnapshotTable[[#This Row],[SC Simple ROO]] &gt; 0), SnapshotTable[[#This Row],[SC Premium]] + (SnapshotTable[[#This Row],[SC Qty]] * SnapshotTable[[#This Row],[SC Upside Potential]]), "")</f>
        <v/>
      </c>
      <c r="FX51" s="302" t="str" cm="1">
        <f t="array" ref="FX51">IF(ISNUMBER(SnapshotTable[[#This Row],[SC Max Dollars]]), annualize(SnapshotTable[[#This Row],[SC Term]],(SnapshotTable[[#This Row],[SC Max Dollars]]/SnapshotTable[[#This Row],[SC Basis]])),"")</f>
        <v/>
      </c>
      <c r="FY51" s="23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29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10.0425</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644</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31">
        <f>MAX(SnapshotTable[[#This Row],[Equity Basis Total]],SnapshotTable[[#This Row],[Equity Value]]) + (SnapshotTable[[#This Row],[SP Potential Spend]]- SnapshotTable[[#This Row],[SP Premium]] + SnapshotTable[[#This Row],[LP Premium]])+ (SnapshotTable[[#This Row],[LC Premium]] - SnapshotTable[[#This Row],[SC Premium]])</f>
        <v>0</v>
      </c>
      <c r="GW51" s="139" t="str">
        <f>IF(AND(SnapshotTable[[#This Row],[Exposure]] &lt;&gt; 0),SnapshotTable[[#This Row],[Exposure]] / SnapshotTable[[#Totals],[Exposure]], "")</f>
        <v/>
      </c>
      <c r="HE51" s="268"/>
      <c r="HF51" s="268"/>
      <c r="HK51" s="1"/>
      <c r="HL51" s="1"/>
      <c r="HM51" s="1"/>
      <c r="HN51" s="1"/>
      <c r="HO51" s="1"/>
      <c r="HP51" s="1"/>
    </row>
    <row r="52" spans="2:224" s="47" customFormat="1" ht="12.75" hidden="1" customHeight="1" x14ac:dyDescent="0.25">
      <c r="B52" s="12" t="s">
        <v>175</v>
      </c>
      <c r="C52" s="422">
        <v>87.11</v>
      </c>
      <c r="D52" s="208"/>
      <c r="E52" s="39">
        <f>SnapshotTable[[#This Row],[Last Price]]*(1 -CrashDiscount)</f>
        <v>74.043499999999995</v>
      </c>
      <c r="F52" s="26" t="s">
        <v>907</v>
      </c>
      <c r="G52" s="26" t="s">
        <v>610</v>
      </c>
      <c r="H52" s="149"/>
      <c r="I52" s="194">
        <v>44796.291666666664</v>
      </c>
      <c r="J52" s="195">
        <v>44796.291666666664</v>
      </c>
      <c r="K52" s="196"/>
      <c r="L52" s="326"/>
      <c r="M52" s="140"/>
      <c r="N52" s="140"/>
      <c r="O52" s="140"/>
      <c r="P52" s="22"/>
      <c r="Q52" s="25"/>
      <c r="R52" s="4" t="str">
        <f>IF(SnapshotTable[[#This Row],[Equity Basis Total]] &gt; 0, SnapshotTable[[#This Row],[Equity Basis Total]] / SnapshotTable[[#This Row],[Equity Shares]], "")</f>
        <v/>
      </c>
      <c r="S52" s="269">
        <f>SnapshotTable[[#This Row],[Last Price]] * SnapshotTable[[#This Row],[Equity Shares]]</f>
        <v>0</v>
      </c>
      <c r="T52" s="269">
        <f>SnapshotTable[[#This Row],[Equity Value]] - SnapshotTable[[#This Row],[Equity Basis Total]]</f>
        <v>0</v>
      </c>
      <c r="U52" s="270" t="str">
        <f>IF(SnapshotTable[[#This Row],[Equity Basis Total]] &gt; 0, SnapshotTable[[#This Row],[Equity G/L]] / SnapshotTable[[#This Row],[Equity Basis Total]], "")</f>
        <v/>
      </c>
      <c r="V52" s="268"/>
      <c r="W52" s="26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7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0">
        <v>0.92</v>
      </c>
      <c r="AD52" s="151">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1.0561359201010218E-2</v>
      </c>
      <c r="AH52" s="151">
        <v>43356</v>
      </c>
      <c r="AI52" s="5"/>
      <c r="AJ52" s="138">
        <v>123.02</v>
      </c>
      <c r="AK52" s="152" t="str">
        <f>IF(ISNUMBER( SnapshotTable[[#This Row],[EBF Target]]),(SnapshotTable[[#This Row],[EBF Target]] - SnapshotTable[[#This Row],[Last Price]]) / SnapshotTable[[#This Row],[Last Price]], "")</f>
        <v/>
      </c>
      <c r="AL52" s="152"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2">
        <f>IF(AND(ISNUMBER( SnapshotTable[[#This Row],[Long Term Target]]), ISNUMBER(SnapshotTable[[#This Row],[Last Price]])),(SnapshotTable[[#This Row],[Long Term Target]] - SnapshotTable[[#This Row],[Last Price]]) / SnapshotTable[[#This Row],[Last Price]], "")</f>
        <v>0.41223740098725747</v>
      </c>
      <c r="AP52" s="5">
        <v>78</v>
      </c>
      <c r="AQ52" s="38" t="s">
        <v>38</v>
      </c>
      <c r="AR52" s="5"/>
      <c r="AS52" s="38" t="s">
        <v>26</v>
      </c>
      <c r="AT52" s="146"/>
      <c r="AU52" s="187" t="str">
        <f>IF(OR(SnapshotTable[[#This Row],[LP No Fill]]="Y",SnapshotTable[[#This Row],[SP Is Filled]],SnapshotTable[[#This Row],[LC Not Filled]]="Y",SnapshotTable[[#This Row],[SC Is Filled]]),"Y","")</f>
        <v/>
      </c>
      <c r="AV52" s="219"/>
      <c r="AW52" s="225"/>
      <c r="AX52" s="220"/>
      <c r="AY52" s="219" t="str">
        <f>IF(SnapshotTable[[#This Row],[Implied Move]]&gt;0, SnapshotTable[[#This Row],[Last Price]]-SnapshotTable[[#This Row],[Implied Move]],"")</f>
        <v/>
      </c>
      <c r="AZ52" s="219" t="str">
        <f>IF(SnapshotTable[[#This Row],[Implied Move]]&gt;0, SnapshotTable[[#This Row],[Last Price]] + SnapshotTable[[#This Row],[Implied Move]],"")</f>
        <v/>
      </c>
      <c r="BA52" s="331">
        <v>78</v>
      </c>
      <c r="BB52" s="347"/>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51"/>
      <c r="BE52" s="5"/>
      <c r="BF52" s="14"/>
      <c r="BG52" s="13"/>
      <c r="BH52" s="13"/>
      <c r="BI52" s="5"/>
      <c r="BJ52" s="136">
        <f>IF(SnapshotTable[[#This Row],[LP Qty]] &gt; 0, SnapshotTable[[#This Row],[LP Qty]] * SnapshotTable[[#This Row],[LP Book Price]] * 100,0)</f>
        <v>0</v>
      </c>
      <c r="BK52" s="136">
        <f>IF(SnapshotTable[[#This Row],[LP Premium]] &gt; 0, SnapshotTable[[#This Row],[LP Qty]] * SnapshotTable[[#This Row],[LP Strike Price]] * 100,0)</f>
        <v>0</v>
      </c>
      <c r="BL52" s="154"/>
      <c r="BM52" s="385" t="str">
        <f>IF(SnapshotTable[[#This Row],[LP Premium]] &gt; 0,SnapshotTable[[#This Row],[LP Exp Date]]-MAX(SnapshotTable[[#This Row],[LP Book Date]], SnapshotTable[[#This Row],[LP Fill Date]]),"")</f>
        <v/>
      </c>
      <c r="BN52" s="385" t="str">
        <f>IF(ISNUMBER( SnapshotTable[[#This Row],[LP Term]]), SnapshotTable[[#This Row],[LP Exp Date]] - MockToday,"")</f>
        <v/>
      </c>
      <c r="BO52" s="163"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7"/>
      <c r="BU52" s="13"/>
      <c r="BV52" s="5"/>
      <c r="BW52" s="419" t="b">
        <f>AND(ISNUMBER(SnapshotTable[[#This Row],[SP Exp Date]]), ISNUMBER(SnapshotTable[[#This Row],[SP Strike Price]]), ISNUMBER(SnapshotTable[[#This Row],[SP Qty]]), ISNUMBER(SnapshotTable[[#This Row],[SP Book Date]]), ISNUMBER(SnapshotTable[[#This Row],[SP Book Price]]))</f>
        <v>0</v>
      </c>
      <c r="BX52" s="419" t="b">
        <f>AND(SnapshotTable[[#This Row],[SP Is Booked]], NOT(ISBLANK(SnapshotTable[[#This Row],[SP Fill Date]])))</f>
        <v>0</v>
      </c>
      <c r="BY52" s="33">
        <f>IF(SnapshotTable[[#This Row],[SP Is Booked]], SnapshotTable[[#This Row],[SP Qty]] * SnapshotTable[[#This Row],[SP Book Price]] * 100, 0)</f>
        <v>0</v>
      </c>
      <c r="BZ52" s="369"/>
      <c r="CA52" s="368">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3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44"/>
      <c r="CK52" s="31">
        <f>IF(ISNUMBER(SnapshotTable[[#This Row],[SP Potential Spend]]),IF(ISNUMBER(SnapshotTable[[#This Row],[SP POW]]), SnapshotTable[[#This Row],[SP POW]] * SnapshotTable[[#This Row],[SP Potential Spend]], SnapshotTable[[#This Row],[SP Potential Spend]]), "")</f>
        <v>0</v>
      </c>
      <c r="CL52" s="164">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8"/>
      <c r="CO52" s="369"/>
      <c r="CP52" s="4" t="str">
        <f>IF(SnapshotTable[[#This Row],[SP Is Filled]], btc_max_buyback_amount(SnapshotTable[[#This Row],[SP Fill Date]],SnapshotTable[[#This Row],[SP Exp Date]], SnapshotTable[[#This Row],[SP Book Price]]),"")</f>
        <v/>
      </c>
      <c r="CQ52" s="78"/>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5" t="str">
        <f>IF(SnapshotTable[[#This Row],[SP Is Filled]], btc_next_cutoff_date(SnapshotTable[[#This Row],[SP Fill Date]],SnapshotTable[[#This Row],[SP Exp Date]]),"")</f>
        <v/>
      </c>
      <c r="CT52" s="23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3">
        <v>44883</v>
      </c>
      <c r="CV52" s="235"/>
      <c r="CW52" s="378"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294" t="str">
        <f>IF(ISNUMBER((SnapshotTable[[#This Row],[SP Total Value]])), SnapshotTable[[#This Row],[SP Gain Loss]] / SnapshotTable[[#This Row],[SP Premium]], "")</f>
        <v/>
      </c>
      <c r="DI52" s="406"/>
      <c r="DJ52" s="138"/>
      <c r="DK52" s="148"/>
      <c r="DL52" s="13"/>
      <c r="DM52" s="13"/>
      <c r="DN52" s="5"/>
      <c r="DO52" s="31">
        <f>IF(SnapshotTable[[#This Row],[LC Symbol Count]]=1, SnapshotTable[[#This Row],[LC Qty]] * SnapshotTable[[#This Row],[LC Book Price]] * 100, 0)</f>
        <v>0</v>
      </c>
      <c r="DP52" s="163" t="str">
        <f>IF(AND(SnapshotTable[[#This Row],[LC Exp Date]]&gt;0, SnapshotTable[[#This Row],[LC Strike Price]]&gt;0,SnapshotTable[[#This Row],[LC Qty]]&gt;0,SnapshotTable[[#This Row],[LC Book Date]]&gt;0,SnapshotTable[[#This Row],[LC Book Price]]&gt;0,SnapshotTable[[#This Row],[LC Fill Date]]=0),"Y","")</f>
        <v/>
      </c>
      <c r="DQ52" s="386" t="str">
        <f>IF(SnapshotTable[[#This Row],[LC Premium]] &gt; 0,SnapshotTable[[#This Row],[LC Exp Date]]-MAX(SnapshotTable[[#This Row],[LC Book Date]], SnapshotTable[[#This Row],[LC Fill Date]]),"")</f>
        <v/>
      </c>
      <c r="DR52" s="386" t="str">
        <f>IF(ISNUMBER(SnapshotTable[[#This Row],[LC Term]]), SnapshotTable[[#This Row],[LC Exp Date]] - MockToday, "")</f>
        <v/>
      </c>
      <c r="DS52" s="23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40" t="str">
        <f>IF(ISNUMBER(SnapshotTable[[#This Row],[LC Actual Gain Loss]]), SnapshotTable[[#This Row],[LC Actual Gain Loss]] / SnapshotTable[[#This Row],[LC Premium]],"")</f>
        <v/>
      </c>
      <c r="DX52" s="284" t="str">
        <f>IF(ISNUMBER(SnapshotTable[[#This Row],[LC Book Price]]),SnapshotTable[[#This Row],[LC Book Price]] * 1.5,"")</f>
        <v/>
      </c>
      <c r="DY52" s="265" t="str">
        <f>IF(SnapshotTable[[#This Row],[LC Premium]]&gt;0, SnapshotTable[[#This Row],[LC Next Target]] * SnapshotTable[[#This Row],[LC Qty]] * 100,"")</f>
        <v/>
      </c>
      <c r="DZ52" s="265" t="str">
        <f>IF(ISNUMBER(SnapshotTable[[#This Row],[LC Target Gross]]), SnapshotTable[[#This Row],[LC Target Gross]] - SnapshotTable[[#This Row],[LC Premium]], "")</f>
        <v/>
      </c>
      <c r="EA52" s="305" t="str">
        <f>IF(ISNUMBER(SnapshotTable[[#This Row],[LC Target Gain Loss]]), SnapshotTable[[#This Row],[LC Target Gain Loss]]/SnapshotTable[[#This Row],[LC Premium]], "")</f>
        <v/>
      </c>
      <c r="EB52" s="262"/>
      <c r="EC52" s="283" t="str">
        <f>IF(SnapshotTable[[#This Row],[LC Premium]]&gt;0, SnapshotTable[[#This Row],[LC Book Price]] * (1 - LC_StopLoss_Pct),"")</f>
        <v/>
      </c>
      <c r="ED52" s="284"/>
      <c r="EE52" s="28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4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7"/>
      <c r="EL52" s="138"/>
      <c r="EM52" s="148"/>
      <c r="EN52" s="147"/>
      <c r="EO52" s="147"/>
      <c r="EP52" s="138"/>
      <c r="EQ52" s="419" t="b">
        <f>AND(ISNUMBER(SnapshotTable[[#This Row],[SC Exp Date]]), ISNUMBER(SnapshotTable[[#This Row],[SC Strike Price]]), ISNUMBER(SnapshotTable[[#This Row],[SC Qty]]), ISNUMBER(SnapshotTable[[#This Row],[SC Book Date]]), ISNUMBER(SnapshotTable[[#This Row],[SC Book Price]]))</f>
        <v>0</v>
      </c>
      <c r="ER52" s="419" t="b">
        <f>AND(SnapshotTable[[#This Row],[SC Is Booked]], NOT(ISBLANK(SnapshotTable[[#This Row],[SC Fill Date]])))</f>
        <v>0</v>
      </c>
      <c r="ES52" s="370"/>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3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283"/>
      <c r="FA52" s="218"/>
      <c r="FB52" s="370"/>
      <c r="FC52" s="4">
        <f>IF(SnapshotTable[[#This Row],[SC Is Filled]], btc_max_buyback_amount(SnapshotTable[[#This Row],[SC Fill Date]],SnapshotTable[[#This Row],[SC Exp Date]], SnapshotTable[[#This Row],[SC Book Price]]),0)</f>
        <v>0</v>
      </c>
      <c r="FD52" s="5"/>
      <c r="FE52" s="144"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382">
        <f>IF(SnapshotTable[[#This Row],[SC Is Filled]], IF(ISNUMBER(SnapshotTable[[#This Row],[SC Current Ask]]), SnapshotTable[[#This Row],[SC Current Ask]], SnapshotTable[[#This Row],[SC Book Price]]) - SnapshotTable[[#This Row],[SC Intrinsic Value]], 0)</f>
        <v>0</v>
      </c>
      <c r="FI52" s="143"/>
      <c r="FJ52" s="32" t="str">
        <f>IF(SnapshotTable[[#This Row],[SC Is Filled]],100 * SnapshotTable[[#This Row],[SC Qty]] * IF(ISNUMBER(SnapshotTable[[#This Row],[SC Buyback Override]]), SnapshotTable[[#This Row],[SC Buyback Override]], SnapshotTable[[#This Row],[SC Current Ask]]), "")</f>
        <v/>
      </c>
      <c r="FK52" s="250" t="str">
        <f>IF(SnapshotTable[[#This Row],[SC Time Val]]&gt;0, SnapshotTable[[#This Row],[SC Time Val]] / SnapshotTable[[#This Row],[Last Price]],"")</f>
        <v/>
      </c>
      <c r="FL52" s="302" t="str">
        <f>IF(SnapshotTable[[#This Row],[SC Is Booked]], ((SnapshotTable[[#This Row],[Last Price]] -SnapshotTable[[#This Row],[SC Strike Price]]) / SnapshotTable[[#This Row],[Last Price]]) * -1, "")</f>
        <v/>
      </c>
      <c r="FM52" s="157"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33"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36" t="str">
        <f>IF(AND(ISNUMBER(SnapshotTable[[#This Row],[SC Simple ROO]]),SnapshotTable[[#This Row],[SC Simple ROO]] &gt; 0), SnapshotTable[[#This Row],[SC Premium]] + (SnapshotTable[[#This Row],[SC Qty]] * SnapshotTable[[#This Row],[SC Upside Potential]]), "")</f>
        <v/>
      </c>
      <c r="FX52" s="302" t="str" cm="1">
        <f t="array" ref="FX52">IF(ISNUMBER(SnapshotTable[[#This Row],[SC Max Dollars]]), annualize(SnapshotTable[[#This Row],[SC Term]],(SnapshotTable[[#This Row],[SC Max Dollars]]/SnapshotTable[[#This Row],[SC Basis]])),"")</f>
        <v/>
      </c>
      <c r="FY52" s="23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29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169.86449999999999</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645</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31">
        <f>MAX(SnapshotTable[[#This Row],[Equity Basis Total]],SnapshotTable[[#This Row],[Equity Value]]) + (SnapshotTable[[#This Row],[SP Potential Spend]]- SnapshotTable[[#This Row],[SP Premium]] + SnapshotTable[[#This Row],[LP Premium]])+ (SnapshotTable[[#This Row],[LC Premium]] - SnapshotTable[[#This Row],[SC Premium]])</f>
        <v>0</v>
      </c>
      <c r="GW52" s="139" t="str">
        <f>IF(AND(SnapshotTable[[#This Row],[Exposure]] &lt;&gt; 0),SnapshotTable[[#This Row],[Exposure]] / SnapshotTable[[#Totals],[Exposure]], "")</f>
        <v/>
      </c>
      <c r="GY52" s="381"/>
      <c r="HE52" s="268"/>
      <c r="HF52" s="268"/>
      <c r="HG52" s="381"/>
      <c r="HH52" s="381"/>
      <c r="HI52" s="381"/>
      <c r="HJ52" s="381"/>
    </row>
    <row r="53" spans="2:224" ht="12.75" hidden="1" customHeight="1" x14ac:dyDescent="0.25">
      <c r="B53" s="12" t="s">
        <v>548</v>
      </c>
      <c r="C53" s="422">
        <v>107.52</v>
      </c>
      <c r="D53" s="208"/>
      <c r="E53" s="39">
        <f>SnapshotTable[[#This Row],[Last Price]]*(1 -CrashDiscount)</f>
        <v>91.391999999999996</v>
      </c>
      <c r="F53" s="26" t="s">
        <v>607</v>
      </c>
      <c r="G53" s="26" t="s">
        <v>606</v>
      </c>
      <c r="H53" s="149"/>
      <c r="I53" s="194">
        <v>44798.1875</v>
      </c>
      <c r="J53" s="195">
        <v>44798.1875</v>
      </c>
      <c r="K53" s="196"/>
      <c r="L53" s="326"/>
      <c r="M53" s="140"/>
      <c r="N53" s="140"/>
      <c r="O53" s="140"/>
      <c r="P53" s="22"/>
      <c r="Q53" s="25"/>
      <c r="R53" s="4" t="str">
        <f>IF(SnapshotTable[[#This Row],[Equity Basis Total]] &gt; 0, SnapshotTable[[#This Row],[Equity Basis Total]] / SnapshotTable[[#This Row],[Equity Shares]], "")</f>
        <v/>
      </c>
      <c r="S53" s="269">
        <f>SnapshotTable[[#This Row],[Last Price]] * SnapshotTable[[#This Row],[Equity Shares]]</f>
        <v>0</v>
      </c>
      <c r="T53" s="269">
        <f>SnapshotTable[[#This Row],[Equity Value]] - SnapshotTable[[#This Row],[Equity Basis Total]]</f>
        <v>0</v>
      </c>
      <c r="U53" s="270" t="str">
        <f>IF(SnapshotTable[[#This Row],[Equity Basis Total]] &gt; 0, SnapshotTable[[#This Row],[Equity G/L]] / SnapshotTable[[#This Row],[Equity Basis Total]], "")</f>
        <v/>
      </c>
      <c r="V53" s="268"/>
      <c r="W53" s="26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7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0"/>
      <c r="AD53" s="151"/>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1"/>
      <c r="AI53" s="5"/>
      <c r="AJ53" s="138">
        <v>289.99</v>
      </c>
      <c r="AK53" s="152" t="str">
        <f>IF(ISNUMBER( SnapshotTable[[#This Row],[EBF Target]]),(SnapshotTable[[#This Row],[EBF Target]] - SnapshotTable[[#This Row],[Last Price]]) / SnapshotTable[[#This Row],[Last Price]], "")</f>
        <v/>
      </c>
      <c r="AL53" s="152"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2">
        <f>IF(AND(ISNUMBER( SnapshotTable[[#This Row],[Long Term Target]]), ISNUMBER(SnapshotTable[[#This Row],[Last Price]])),(SnapshotTable[[#This Row],[Long Term Target]] - SnapshotTable[[#This Row],[Last Price]]) / SnapshotTable[[#This Row],[Last Price]], "")</f>
        <v>1.6970796130952384</v>
      </c>
      <c r="AP53" s="5">
        <v>105</v>
      </c>
      <c r="AQ53" s="38" t="s">
        <v>45</v>
      </c>
      <c r="AR53" s="5"/>
      <c r="AS53" s="38" t="s">
        <v>38</v>
      </c>
      <c r="AT53" s="146" t="s">
        <v>549</v>
      </c>
      <c r="AU53" s="187" t="str">
        <f>IF(OR(SnapshotTable[[#This Row],[LP No Fill]]="Y",SnapshotTable[[#This Row],[SP Is Filled]],SnapshotTable[[#This Row],[LC Not Filled]]="Y",SnapshotTable[[#This Row],[SC Is Filled]]),"Y","")</f>
        <v/>
      </c>
      <c r="AV53" s="219"/>
      <c r="AW53" s="225"/>
      <c r="AX53" s="220"/>
      <c r="AY53" s="219" t="str">
        <f>IF(SnapshotTable[[#This Row],[Implied Move]]&gt;0, SnapshotTable[[#This Row],[Last Price]]-SnapshotTable[[#This Row],[Implied Move]],"")</f>
        <v/>
      </c>
      <c r="AZ53" s="219" t="str">
        <f>IF(SnapshotTable[[#This Row],[Implied Move]]&gt;0, SnapshotTable[[#This Row],[Last Price]] + SnapshotTable[[#This Row],[Implied Move]],"")</f>
        <v/>
      </c>
      <c r="BA53" s="331">
        <v>105</v>
      </c>
      <c r="BB53" s="347"/>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51"/>
      <c r="BE53" s="5"/>
      <c r="BF53" s="14"/>
      <c r="BG53" s="13"/>
      <c r="BH53" s="13"/>
      <c r="BI53" s="5"/>
      <c r="BJ53" s="136">
        <f>IF(SnapshotTable[[#This Row],[LP Qty]] &gt; 0, SnapshotTable[[#This Row],[LP Qty]] * SnapshotTable[[#This Row],[LP Book Price]] * 100,0)</f>
        <v>0</v>
      </c>
      <c r="BK53" s="136">
        <f>IF(SnapshotTable[[#This Row],[LP Premium]] &gt; 0, SnapshotTable[[#This Row],[LP Qty]] * SnapshotTable[[#This Row],[LP Strike Price]] * 100,0)</f>
        <v>0</v>
      </c>
      <c r="BL53" s="154"/>
      <c r="BM53" s="385" t="str">
        <f>IF(SnapshotTable[[#This Row],[LP Premium]] &gt; 0,SnapshotTable[[#This Row],[LP Exp Date]]-MAX(SnapshotTable[[#This Row],[LP Book Date]], SnapshotTable[[#This Row],[LP Fill Date]]),"")</f>
        <v/>
      </c>
      <c r="BN53" s="385" t="str">
        <f>IF(ISNUMBER( SnapshotTable[[#This Row],[LP Term]]), SnapshotTable[[#This Row],[LP Exp Date]] - MockToday,"")</f>
        <v/>
      </c>
      <c r="BO53" s="163"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7"/>
      <c r="BU53" s="13"/>
      <c r="BV53" s="5"/>
      <c r="BW53" s="419" t="b">
        <f>AND(ISNUMBER(SnapshotTable[[#This Row],[SP Exp Date]]), ISNUMBER(SnapshotTable[[#This Row],[SP Strike Price]]), ISNUMBER(SnapshotTable[[#This Row],[SP Qty]]), ISNUMBER(SnapshotTable[[#This Row],[SP Book Date]]), ISNUMBER(SnapshotTable[[#This Row],[SP Book Price]]))</f>
        <v>0</v>
      </c>
      <c r="BX53" s="419" t="b">
        <f>AND(SnapshotTable[[#This Row],[SP Is Booked]], NOT(ISBLANK(SnapshotTable[[#This Row],[SP Fill Date]])))</f>
        <v>0</v>
      </c>
      <c r="BY53" s="33">
        <f>IF(SnapshotTable[[#This Row],[SP Is Booked]], SnapshotTable[[#This Row],[SP Qty]] * SnapshotTable[[#This Row],[SP Book Price]] * 100, 0)</f>
        <v>0</v>
      </c>
      <c r="BZ53" s="369"/>
      <c r="CA53" s="368">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3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44"/>
      <c r="CK53" s="31">
        <f>IF(ISNUMBER(SnapshotTable[[#This Row],[SP Potential Spend]]),IF(ISNUMBER(SnapshotTable[[#This Row],[SP POW]]), SnapshotTable[[#This Row],[SP POW]] * SnapshotTable[[#This Row],[SP Potential Spend]], SnapshotTable[[#This Row],[SP Potential Spend]]), "")</f>
        <v>0</v>
      </c>
      <c r="CL53" s="164">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8"/>
      <c r="CO53" s="369"/>
      <c r="CP53" s="4" t="str">
        <f>IF(SnapshotTable[[#This Row],[SP Is Filled]], btc_max_buyback_amount(SnapshotTable[[#This Row],[SP Fill Date]],SnapshotTable[[#This Row],[SP Exp Date]], SnapshotTable[[#This Row],[SP Book Price]]),"")</f>
        <v/>
      </c>
      <c r="CQ53" s="78"/>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5" t="str">
        <f>IF(SnapshotTable[[#This Row],[SP Is Filled]], btc_next_cutoff_date(SnapshotTable[[#This Row],[SP Fill Date]],SnapshotTable[[#This Row],[SP Exp Date]]),"")</f>
        <v/>
      </c>
      <c r="CT53" s="23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3">
        <v>44883</v>
      </c>
      <c r="CV53" s="235"/>
      <c r="CW53" s="378"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294" t="str">
        <f>IF(ISNUMBER((SnapshotTable[[#This Row],[SP Total Value]])), SnapshotTable[[#This Row],[SP Gain Loss]] / SnapshotTable[[#This Row],[SP Premium]], "")</f>
        <v/>
      </c>
      <c r="DI53" s="406"/>
      <c r="DJ53" s="138"/>
      <c r="DK53" s="148"/>
      <c r="DL53" s="13"/>
      <c r="DM53" s="13"/>
      <c r="DO53" s="31">
        <f>IF(SnapshotTable[[#This Row],[LC Symbol Count]]=1, SnapshotTable[[#This Row],[LC Qty]] * SnapshotTable[[#This Row],[LC Book Price]] * 100, 0)</f>
        <v>0</v>
      </c>
      <c r="DP53" s="163" t="str">
        <f>IF(AND(SnapshotTable[[#This Row],[LC Exp Date]]&gt;0, SnapshotTable[[#This Row],[LC Strike Price]]&gt;0,SnapshotTable[[#This Row],[LC Qty]]&gt;0,SnapshotTable[[#This Row],[LC Book Date]]&gt;0,SnapshotTable[[#This Row],[LC Book Price]]&gt;0,SnapshotTable[[#This Row],[LC Fill Date]]=0),"Y","")</f>
        <v/>
      </c>
      <c r="DQ53" s="386" t="str">
        <f>IF(SnapshotTable[[#This Row],[LC Premium]] &gt; 0,SnapshotTable[[#This Row],[LC Exp Date]]-MAX(SnapshotTable[[#This Row],[LC Book Date]], SnapshotTable[[#This Row],[LC Fill Date]]),"")</f>
        <v/>
      </c>
      <c r="DR53" s="386" t="str">
        <f>IF(ISNUMBER(SnapshotTable[[#This Row],[LC Term]]), SnapshotTable[[#This Row],[LC Exp Date]] - MockToday, "")</f>
        <v/>
      </c>
      <c r="DS53" s="23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40" t="str">
        <f>IF(ISNUMBER(SnapshotTable[[#This Row],[LC Actual Gain Loss]]), SnapshotTable[[#This Row],[LC Actual Gain Loss]] / SnapshotTable[[#This Row],[LC Premium]],"")</f>
        <v/>
      </c>
      <c r="DX53" s="284" t="str">
        <f>IF(ISNUMBER(SnapshotTable[[#This Row],[LC Book Price]]),SnapshotTable[[#This Row],[LC Book Price]] * 1.5,"")</f>
        <v/>
      </c>
      <c r="DY53" s="265" t="str">
        <f>IF(SnapshotTable[[#This Row],[LC Premium]]&gt;0, SnapshotTable[[#This Row],[LC Next Target]] * SnapshotTable[[#This Row],[LC Qty]] * 100,"")</f>
        <v/>
      </c>
      <c r="DZ53" s="265" t="str">
        <f>IF(ISNUMBER(SnapshotTable[[#This Row],[LC Target Gross]]), SnapshotTable[[#This Row],[LC Target Gross]] - SnapshotTable[[#This Row],[LC Premium]], "")</f>
        <v/>
      </c>
      <c r="EA53" s="305" t="str">
        <f>IF(ISNUMBER(SnapshotTable[[#This Row],[LC Target Gain Loss]]), SnapshotTable[[#This Row],[LC Target Gain Loss]]/SnapshotTable[[#This Row],[LC Premium]], "")</f>
        <v/>
      </c>
      <c r="EB53" s="262"/>
      <c r="EC53" s="283" t="str">
        <f>IF(SnapshotTable[[#This Row],[LC Premium]]&gt;0, SnapshotTable[[#This Row],[LC Book Price]] * (1 - LC_StopLoss_Pct),"")</f>
        <v/>
      </c>
      <c r="ED53" s="284"/>
      <c r="EE53" s="28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4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7"/>
      <c r="EL53" s="138"/>
      <c r="EM53" s="148"/>
      <c r="EN53" s="147"/>
      <c r="EO53" s="147"/>
      <c r="EP53" s="138"/>
      <c r="EQ53" s="419" t="b">
        <f>AND(ISNUMBER(SnapshotTable[[#This Row],[SC Exp Date]]), ISNUMBER(SnapshotTable[[#This Row],[SC Strike Price]]), ISNUMBER(SnapshotTable[[#This Row],[SC Qty]]), ISNUMBER(SnapshotTable[[#This Row],[SC Book Date]]), ISNUMBER(SnapshotTable[[#This Row],[SC Book Price]]))</f>
        <v>0</v>
      </c>
      <c r="ER53" s="419" t="b">
        <f>AND(SnapshotTable[[#This Row],[SC Is Booked]], NOT(ISBLANK(SnapshotTable[[#This Row],[SC Fill Date]])))</f>
        <v>0</v>
      </c>
      <c r="ES53" s="370"/>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3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283"/>
      <c r="FA53" s="218"/>
      <c r="FB53" s="370"/>
      <c r="FC53" s="4">
        <f>IF(SnapshotTable[[#This Row],[SC Is Filled]], btc_max_buyback_amount(SnapshotTable[[#This Row],[SC Fill Date]],SnapshotTable[[#This Row],[SC Exp Date]], SnapshotTable[[#This Row],[SC Book Price]]),0)</f>
        <v>0</v>
      </c>
      <c r="FD53" s="5"/>
      <c r="FE53" s="144"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382">
        <f>IF(SnapshotTable[[#This Row],[SC Is Filled]], IF(ISNUMBER(SnapshotTable[[#This Row],[SC Current Ask]]), SnapshotTable[[#This Row],[SC Current Ask]], SnapshotTable[[#This Row],[SC Book Price]]) - SnapshotTable[[#This Row],[SC Intrinsic Value]], 0)</f>
        <v>0</v>
      </c>
      <c r="FI53" s="143"/>
      <c r="FJ53" s="32" t="str">
        <f>IF(SnapshotTable[[#This Row],[SC Is Filled]],100 * SnapshotTable[[#This Row],[SC Qty]] * IF(ISNUMBER(SnapshotTable[[#This Row],[SC Buyback Override]]), SnapshotTable[[#This Row],[SC Buyback Override]], SnapshotTable[[#This Row],[SC Current Ask]]), "")</f>
        <v/>
      </c>
      <c r="FK53" s="250" t="str">
        <f>IF(SnapshotTable[[#This Row],[SC Time Val]]&gt;0, SnapshotTable[[#This Row],[SC Time Val]] / SnapshotTable[[#This Row],[Last Price]],"")</f>
        <v/>
      </c>
      <c r="FL53" s="302" t="str">
        <f>IF(SnapshotTable[[#This Row],[SC Is Booked]], ((SnapshotTable[[#This Row],[Last Price]] -SnapshotTable[[#This Row],[SC Strike Price]]) / SnapshotTable[[#This Row],[Last Price]]) * -1, "")</f>
        <v/>
      </c>
      <c r="FM53" s="157"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33"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36" t="str">
        <f>IF(AND(ISNUMBER(SnapshotTable[[#This Row],[SC Simple ROO]]),SnapshotTable[[#This Row],[SC Simple ROO]] &gt; 0), SnapshotTable[[#This Row],[SC Premium]] + (SnapshotTable[[#This Row],[SC Qty]] * SnapshotTable[[#This Row],[SC Upside Potential]]), "")</f>
        <v/>
      </c>
      <c r="FX53" s="302" t="str" cm="1">
        <f t="array" ref="FX53">IF(ISNUMBER(SnapshotTable[[#This Row],[SC Max Dollars]]), annualize(SnapshotTable[[#This Row],[SC Term]],(SnapshotTable[[#This Row],[SC Max Dollars]]/SnapshotTable[[#This Row],[SC Basis]])),"")</f>
        <v/>
      </c>
      <c r="FY53" s="23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29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209.66399999999999</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646</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31">
        <f>MAX(SnapshotTable[[#This Row],[Equity Basis Total]],SnapshotTable[[#This Row],[Equity Value]]) + (SnapshotTable[[#This Row],[SP Potential Spend]]- SnapshotTable[[#This Row],[SP Premium]] + SnapshotTable[[#This Row],[LP Premium]])+ (SnapshotTable[[#This Row],[LC Premium]] - SnapshotTable[[#This Row],[SC Premium]])</f>
        <v>0</v>
      </c>
      <c r="GW53" s="139" t="str">
        <f>IF(AND(SnapshotTable[[#This Row],[Exposure]] &lt;&gt; 0),SnapshotTable[[#This Row],[Exposure]] / SnapshotTable[[#Totals],[Exposure]], "")</f>
        <v/>
      </c>
      <c r="HE53" s="268"/>
      <c r="HF53" s="268"/>
      <c r="HK53" s="1"/>
      <c r="HL53" s="1"/>
      <c r="HM53" s="1"/>
      <c r="HN53" s="1"/>
      <c r="HO53" s="1"/>
      <c r="HP53" s="1"/>
    </row>
    <row r="54" spans="2:224" ht="12.75" hidden="1" customHeight="1" x14ac:dyDescent="0.25">
      <c r="B54" s="12" t="s">
        <v>226</v>
      </c>
      <c r="C54" s="422">
        <v>197.74</v>
      </c>
      <c r="D54" s="208"/>
      <c r="E54" s="39">
        <f>SnapshotTable[[#This Row],[Last Price]]*(1 -CrashDiscount)</f>
        <v>168.07900000000001</v>
      </c>
      <c r="F54" s="26" t="s">
        <v>941</v>
      </c>
      <c r="G54" s="26" t="s">
        <v>49</v>
      </c>
      <c r="H54" s="149"/>
      <c r="I54" s="194">
        <v>44775.305555555555</v>
      </c>
      <c r="J54" s="195">
        <v>44775.305555555555</v>
      </c>
      <c r="K54" s="196"/>
      <c r="L54" s="326"/>
      <c r="M54" s="140"/>
      <c r="N54" s="140"/>
      <c r="O54" s="140"/>
      <c r="P54" s="22"/>
      <c r="Q54" s="25"/>
      <c r="R54" s="4" t="str">
        <f>IF(SnapshotTable[[#This Row],[Equity Basis Total]] &gt; 0, SnapshotTable[[#This Row],[Equity Basis Total]] / SnapshotTable[[#This Row],[Equity Shares]], "")</f>
        <v/>
      </c>
      <c r="S54" s="269">
        <f>SnapshotTable[[#This Row],[Last Price]] * SnapshotTable[[#This Row],[Equity Shares]]</f>
        <v>0</v>
      </c>
      <c r="T54" s="269">
        <f>SnapshotTable[[#This Row],[Equity Value]] - SnapshotTable[[#This Row],[Equity Basis Total]]</f>
        <v>0</v>
      </c>
      <c r="U54" s="270" t="str">
        <f>IF(SnapshotTable[[#This Row],[Equity Basis Total]] &gt; 0, SnapshotTable[[#This Row],[Equity G/L]] / SnapshotTable[[#This Row],[Equity Basis Total]], "")</f>
        <v/>
      </c>
      <c r="V54" s="268">
        <v>275</v>
      </c>
      <c r="W54" s="26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7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0">
        <v>0</v>
      </c>
      <c r="AD54" s="151"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1" t="s">
        <v>2</v>
      </c>
      <c r="AI54" s="5"/>
      <c r="AJ54" s="138">
        <v>324.5</v>
      </c>
      <c r="AK54" s="152" t="str">
        <f>IF(ISNUMBER( SnapshotTable[[#This Row],[EBF Target]]),(SnapshotTable[[#This Row],[EBF Target]] - SnapshotTable[[#This Row],[Last Price]]) / SnapshotTable[[#This Row],[Last Price]], "")</f>
        <v/>
      </c>
      <c r="AL54" s="152"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2">
        <f>IF(AND(ISNUMBER( SnapshotTable[[#This Row],[Long Term Target]]), ISNUMBER(SnapshotTable[[#This Row],[Last Price]])),(SnapshotTable[[#This Row],[Long Term Target]] - SnapshotTable[[#This Row],[Last Price]]) / SnapshotTable[[#This Row],[Last Price]], "")</f>
        <v>0.64104379488216845</v>
      </c>
      <c r="AP54" s="5"/>
      <c r="AQ54" s="38"/>
      <c r="AR54" s="5"/>
      <c r="AS54" s="38"/>
      <c r="AT54" s="146"/>
      <c r="AU54" s="187" t="str">
        <f>IF(OR(SnapshotTable[[#This Row],[LP No Fill]]="Y",SnapshotTable[[#This Row],[SP Is Filled]],SnapshotTable[[#This Row],[LC Not Filled]]="Y",SnapshotTable[[#This Row],[SC Is Filled]]),"Y","")</f>
        <v/>
      </c>
      <c r="AV54" s="219"/>
      <c r="AW54" s="225"/>
      <c r="AX54" s="220"/>
      <c r="AY54" s="219" t="str">
        <f>IF(SnapshotTable[[#This Row],[Implied Move]]&gt;0, SnapshotTable[[#This Row],[Last Price]]-SnapshotTable[[#This Row],[Implied Move]],"")</f>
        <v/>
      </c>
      <c r="AZ54" s="219" t="str">
        <f>IF(SnapshotTable[[#This Row],[Implied Move]]&gt;0, SnapshotTable[[#This Row],[Last Price]] + SnapshotTable[[#This Row],[Implied Move]],"")</f>
        <v/>
      </c>
      <c r="BA54" s="331"/>
      <c r="BB54" s="347"/>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51"/>
      <c r="BE54" s="5"/>
      <c r="BF54" s="14"/>
      <c r="BG54" s="13"/>
      <c r="BH54" s="13"/>
      <c r="BI54" s="5"/>
      <c r="BJ54" s="136">
        <f>IF(SnapshotTable[[#This Row],[LP Qty]] &gt; 0, SnapshotTable[[#This Row],[LP Qty]] * SnapshotTable[[#This Row],[LP Book Price]] * 100,0)</f>
        <v>0</v>
      </c>
      <c r="BK54" s="136">
        <f>IF(SnapshotTable[[#This Row],[LP Premium]] &gt; 0, SnapshotTable[[#This Row],[LP Qty]] * SnapshotTable[[#This Row],[LP Strike Price]] * 100,0)</f>
        <v>0</v>
      </c>
      <c r="BL54" s="154"/>
      <c r="BM54" s="385" t="str">
        <f>IF(SnapshotTable[[#This Row],[LP Premium]] &gt; 0,SnapshotTable[[#This Row],[LP Exp Date]]-MAX(SnapshotTable[[#This Row],[LP Book Date]], SnapshotTable[[#This Row],[LP Fill Date]]),"")</f>
        <v/>
      </c>
      <c r="BN54" s="385" t="str">
        <f>IF(ISNUMBER( SnapshotTable[[#This Row],[LP Term]]), SnapshotTable[[#This Row],[LP Exp Date]] - MockToday,"")</f>
        <v/>
      </c>
      <c r="BO54" s="163"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7"/>
      <c r="BU54" s="13"/>
      <c r="BV54" s="5"/>
      <c r="BW54" s="419" t="b">
        <f>AND(ISNUMBER(SnapshotTable[[#This Row],[SP Exp Date]]), ISNUMBER(SnapshotTable[[#This Row],[SP Strike Price]]), ISNUMBER(SnapshotTable[[#This Row],[SP Qty]]), ISNUMBER(SnapshotTable[[#This Row],[SP Book Date]]), ISNUMBER(SnapshotTable[[#This Row],[SP Book Price]]))</f>
        <v>0</v>
      </c>
      <c r="BX54" s="419" t="b">
        <f>AND(SnapshotTable[[#This Row],[SP Is Booked]], NOT(ISBLANK(SnapshotTable[[#This Row],[SP Fill Date]])))</f>
        <v>0</v>
      </c>
      <c r="BY54" s="33">
        <f>IF(SnapshotTable[[#This Row],[SP Is Booked]], SnapshotTable[[#This Row],[SP Qty]] * SnapshotTable[[#This Row],[SP Book Price]] * 100, 0)</f>
        <v>0</v>
      </c>
      <c r="BZ54" s="369"/>
      <c r="CA54" s="368">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3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44"/>
      <c r="CK54" s="31">
        <f>IF(ISNUMBER(SnapshotTable[[#This Row],[SP Potential Spend]]),IF(ISNUMBER(SnapshotTable[[#This Row],[SP POW]]), SnapshotTable[[#This Row],[SP POW]] * SnapshotTable[[#This Row],[SP Potential Spend]], SnapshotTable[[#This Row],[SP Potential Spend]]), "")</f>
        <v>0</v>
      </c>
      <c r="CL54" s="164">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8"/>
      <c r="CO54" s="369"/>
      <c r="CP54" s="4" t="str">
        <f>IF(SnapshotTable[[#This Row],[SP Is Filled]], btc_max_buyback_amount(SnapshotTable[[#This Row],[SP Fill Date]],SnapshotTable[[#This Row],[SP Exp Date]], SnapshotTable[[#This Row],[SP Book Price]]),"")</f>
        <v/>
      </c>
      <c r="CQ54" s="78"/>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5" t="str">
        <f>IF(SnapshotTable[[#This Row],[SP Is Filled]], btc_next_cutoff_date(SnapshotTable[[#This Row],[SP Fill Date]],SnapshotTable[[#This Row],[SP Exp Date]]),"")</f>
        <v/>
      </c>
      <c r="CT54" s="23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3">
        <v>44883</v>
      </c>
      <c r="CV54" s="235"/>
      <c r="CW54" s="378"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294" t="str">
        <f>IF(ISNUMBER((SnapshotTable[[#This Row],[SP Total Value]])), SnapshotTable[[#This Row],[SP Gain Loss]] / SnapshotTable[[#This Row],[SP Premium]], "")</f>
        <v/>
      </c>
      <c r="DI54" s="406"/>
      <c r="DJ54" s="138"/>
      <c r="DK54" s="148"/>
      <c r="DL54" s="13"/>
      <c r="DM54" s="13"/>
      <c r="DO54" s="31">
        <f>IF(SnapshotTable[[#This Row],[LC Symbol Count]]=1, SnapshotTable[[#This Row],[LC Qty]] * SnapshotTable[[#This Row],[LC Book Price]] * 100, 0)</f>
        <v>0</v>
      </c>
      <c r="DP54" s="163" t="str">
        <f>IF(AND(SnapshotTable[[#This Row],[LC Exp Date]]&gt;0, SnapshotTable[[#This Row],[LC Strike Price]]&gt;0,SnapshotTable[[#This Row],[LC Qty]]&gt;0,SnapshotTable[[#This Row],[LC Book Date]]&gt;0,SnapshotTable[[#This Row],[LC Book Price]]&gt;0,SnapshotTable[[#This Row],[LC Fill Date]]=0),"Y","")</f>
        <v/>
      </c>
      <c r="DQ54" s="386" t="str">
        <f>IF(SnapshotTable[[#This Row],[LC Premium]] &gt; 0,SnapshotTable[[#This Row],[LC Exp Date]]-MAX(SnapshotTable[[#This Row],[LC Book Date]], SnapshotTable[[#This Row],[LC Fill Date]]),"")</f>
        <v/>
      </c>
      <c r="DR54" s="386" t="str">
        <f>IF(ISNUMBER(SnapshotTable[[#This Row],[LC Term]]), SnapshotTable[[#This Row],[LC Exp Date]] - MockToday, "")</f>
        <v/>
      </c>
      <c r="DS54" s="23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40" t="str">
        <f>IF(ISNUMBER(SnapshotTable[[#This Row],[LC Actual Gain Loss]]), SnapshotTable[[#This Row],[LC Actual Gain Loss]] / SnapshotTable[[#This Row],[LC Premium]],"")</f>
        <v/>
      </c>
      <c r="DX54" s="284" t="str">
        <f>IF(ISNUMBER(SnapshotTable[[#This Row],[LC Book Price]]),SnapshotTable[[#This Row],[LC Book Price]] * 1.5,"")</f>
        <v/>
      </c>
      <c r="DY54" s="265" t="str">
        <f>IF(SnapshotTable[[#This Row],[LC Premium]]&gt;0, SnapshotTable[[#This Row],[LC Next Target]] * SnapshotTable[[#This Row],[LC Qty]] * 100,"")</f>
        <v/>
      </c>
      <c r="DZ54" s="265" t="str">
        <f>IF(ISNUMBER(SnapshotTable[[#This Row],[LC Target Gross]]), SnapshotTable[[#This Row],[LC Target Gross]] - SnapshotTable[[#This Row],[LC Premium]], "")</f>
        <v/>
      </c>
      <c r="EA54" s="305" t="str">
        <f>IF(ISNUMBER(SnapshotTable[[#This Row],[LC Target Gain Loss]]), SnapshotTable[[#This Row],[LC Target Gain Loss]]/SnapshotTable[[#This Row],[LC Premium]], "")</f>
        <v/>
      </c>
      <c r="EB54" s="262"/>
      <c r="EC54" s="283" t="str">
        <f>IF(SnapshotTable[[#This Row],[LC Premium]]&gt;0, SnapshotTable[[#This Row],[LC Book Price]] * (1 - LC_StopLoss_Pct),"")</f>
        <v/>
      </c>
      <c r="ED54" s="284"/>
      <c r="EE54" s="28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4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7"/>
      <c r="EL54" s="138"/>
      <c r="EM54" s="148"/>
      <c r="EN54" s="147"/>
      <c r="EO54" s="147"/>
      <c r="EP54" s="138"/>
      <c r="EQ54" s="419" t="b">
        <f>AND(ISNUMBER(SnapshotTable[[#This Row],[SC Exp Date]]), ISNUMBER(SnapshotTable[[#This Row],[SC Strike Price]]), ISNUMBER(SnapshotTable[[#This Row],[SC Qty]]), ISNUMBER(SnapshotTable[[#This Row],[SC Book Date]]), ISNUMBER(SnapshotTable[[#This Row],[SC Book Price]]))</f>
        <v>0</v>
      </c>
      <c r="ER54" s="419" t="b">
        <f>AND(SnapshotTable[[#This Row],[SC Is Booked]], NOT(ISBLANK(SnapshotTable[[#This Row],[SC Fill Date]])))</f>
        <v>0</v>
      </c>
      <c r="ES54" s="370"/>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3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283"/>
      <c r="FA54" s="218"/>
      <c r="FB54" s="370"/>
      <c r="FC54" s="4">
        <f>IF(SnapshotTable[[#This Row],[SC Is Filled]], btc_max_buyback_amount(SnapshotTable[[#This Row],[SC Fill Date]],SnapshotTable[[#This Row],[SC Exp Date]], SnapshotTable[[#This Row],[SC Book Price]]),0)</f>
        <v>0</v>
      </c>
      <c r="FD54" s="5"/>
      <c r="FE54" s="144"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382">
        <f>IF(SnapshotTable[[#This Row],[SC Is Filled]], IF(ISNUMBER(SnapshotTable[[#This Row],[SC Current Ask]]), SnapshotTable[[#This Row],[SC Current Ask]], SnapshotTable[[#This Row],[SC Book Price]]) - SnapshotTable[[#This Row],[SC Intrinsic Value]], 0)</f>
        <v>0</v>
      </c>
      <c r="FI54" s="143"/>
      <c r="FJ54" s="32" t="str">
        <f>IF(SnapshotTable[[#This Row],[SC Is Filled]],100 * SnapshotTable[[#This Row],[SC Qty]] * IF(ISNUMBER(SnapshotTable[[#This Row],[SC Buyback Override]]), SnapshotTable[[#This Row],[SC Buyback Override]], SnapshotTable[[#This Row],[SC Current Ask]]), "")</f>
        <v/>
      </c>
      <c r="FK54" s="250" t="str">
        <f>IF(SnapshotTable[[#This Row],[SC Time Val]]&gt;0, SnapshotTable[[#This Row],[SC Time Val]] / SnapshotTable[[#This Row],[Last Price]],"")</f>
        <v/>
      </c>
      <c r="FL54" s="302" t="str">
        <f>IF(SnapshotTable[[#This Row],[SC Is Booked]], ((SnapshotTable[[#This Row],[Last Price]] -SnapshotTable[[#This Row],[SC Strike Price]]) / SnapshotTable[[#This Row],[Last Price]]) * -1, "")</f>
        <v/>
      </c>
      <c r="FM54" s="157"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33"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36" t="str">
        <f>IF(AND(ISNUMBER(SnapshotTable[[#This Row],[SC Simple ROO]]),SnapshotTable[[#This Row],[SC Simple ROO]] &gt; 0), SnapshotTable[[#This Row],[SC Premium]] + (SnapshotTable[[#This Row],[SC Qty]] * SnapshotTable[[#This Row],[SC Upside Potential]]), "")</f>
        <v/>
      </c>
      <c r="FX54" s="302" t="str" cm="1">
        <f t="array" ref="FX54">IF(ISNUMBER(SnapshotTable[[#This Row],[SC Max Dollars]]), annualize(SnapshotTable[[#This Row],[SC Term]],(SnapshotTable[[#This Row],[SC Max Dollars]]/SnapshotTable[[#This Row],[SC Basis]])),"")</f>
        <v/>
      </c>
      <c r="FY54" s="23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29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385.59300000000002</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647</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31">
        <f>MAX(SnapshotTable[[#This Row],[Equity Basis Total]],SnapshotTable[[#This Row],[Equity Value]]) + (SnapshotTable[[#This Row],[SP Potential Spend]]- SnapshotTable[[#This Row],[SP Premium]] + SnapshotTable[[#This Row],[LP Premium]])+ (SnapshotTable[[#This Row],[LC Premium]] - SnapshotTable[[#This Row],[SC Premium]])</f>
        <v>0</v>
      </c>
      <c r="GW54" s="139" t="str">
        <f>IF(AND(SnapshotTable[[#This Row],[Exposure]] &lt;&gt; 0),SnapshotTable[[#This Row],[Exposure]] / SnapshotTable[[#Totals],[Exposure]], "")</f>
        <v/>
      </c>
      <c r="HE54" s="268"/>
      <c r="HF54" s="268"/>
      <c r="HK54" s="1"/>
      <c r="HL54" s="1"/>
      <c r="HM54" s="1"/>
      <c r="HN54" s="1"/>
      <c r="HO54" s="1"/>
      <c r="HP54" s="1"/>
    </row>
    <row r="55" spans="2:224" s="47" customFormat="1" ht="12.75" hidden="1" customHeight="1" x14ac:dyDescent="0.25">
      <c r="B55" s="12" t="s">
        <v>1065</v>
      </c>
      <c r="C55" s="422">
        <v>8.9499999999999993</v>
      </c>
      <c r="D55" s="208" t="s">
        <v>578</v>
      </c>
      <c r="E55" s="39">
        <f>SnapshotTable[[#This Row],[Last Price]]*(1 -CrashDiscount)</f>
        <v>7.607499999999999</v>
      </c>
      <c r="F55" s="26" t="s">
        <v>5</v>
      </c>
      <c r="G55" s="26" t="s">
        <v>4</v>
      </c>
      <c r="H55" s="149"/>
      <c r="I55" s="194" t="s">
        <v>2</v>
      </c>
      <c r="J55" s="195"/>
      <c r="K55" s="196"/>
      <c r="L55" s="327"/>
      <c r="M55" s="140"/>
      <c r="N55" s="140"/>
      <c r="O55" s="140"/>
      <c r="P55" s="22"/>
      <c r="Q55" s="25"/>
      <c r="R55" s="4" t="str">
        <f>IF(SnapshotTable[[#This Row],[Equity Basis Total]] &gt; 0, SnapshotTable[[#This Row],[Equity Basis Total]] / SnapshotTable[[#This Row],[Equity Shares]], "")</f>
        <v/>
      </c>
      <c r="S55" s="329">
        <f>SnapshotTable[[#This Row],[Last Price]] * SnapshotTable[[#This Row],[Equity Shares]]</f>
        <v>0</v>
      </c>
      <c r="T55" s="269">
        <f>SnapshotTable[[#This Row],[Equity Value]] - SnapshotTable[[#This Row],[Equity Basis Total]]</f>
        <v>0</v>
      </c>
      <c r="U55" s="270" t="str">
        <f>IF(SnapshotTable[[#This Row],[Equity Basis Total]] &gt; 0, SnapshotTable[[#This Row],[Equity G/L]] / SnapshotTable[[#This Row],[Equity Basis Total]], "")</f>
        <v/>
      </c>
      <c r="V55" s="268"/>
      <c r="W55" s="26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7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0"/>
      <c r="AD55" s="151"/>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1"/>
      <c r="AI55" s="330"/>
      <c r="AJ55" s="138"/>
      <c r="AK55" s="152" t="str">
        <f>IF(ISNUMBER( SnapshotTable[[#This Row],[EBF Target]]),(SnapshotTable[[#This Row],[EBF Target]] - SnapshotTable[[#This Row],[Last Price]]) / SnapshotTable[[#This Row],[Last Price]], "")</f>
        <v/>
      </c>
      <c r="AL55" s="152"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2" t="str">
        <f>IF(AND(ISNUMBER( SnapshotTable[[#This Row],[Long Term Target]]), ISNUMBER(SnapshotTable[[#This Row],[Last Price]])),(SnapshotTable[[#This Row],[Long Term Target]] - SnapshotTable[[#This Row],[Last Price]]) / SnapshotTable[[#This Row],[Last Price]], "")</f>
        <v/>
      </c>
      <c r="AP55" s="5"/>
      <c r="AQ55" s="38"/>
      <c r="AR55" s="5"/>
      <c r="AS55" s="38"/>
      <c r="AT55" s="146"/>
      <c r="AU55" s="187" t="str">
        <f>IF(OR(SnapshotTable[[#This Row],[LP No Fill]]="Y",SnapshotTable[[#This Row],[SP Is Filled]],SnapshotTable[[#This Row],[LC Not Filled]]="Y",SnapshotTable[[#This Row],[SC Is Filled]]),"Y","")</f>
        <v/>
      </c>
      <c r="AV55" s="338"/>
      <c r="AW55" s="339"/>
      <c r="AX55" s="220"/>
      <c r="AY55" s="219" t="str">
        <f>IF(SnapshotTable[[#This Row],[Implied Move]]&gt;0, SnapshotTable[[#This Row],[Last Price]]-SnapshotTable[[#This Row],[Implied Move]],"")</f>
        <v/>
      </c>
      <c r="AZ55" s="219" t="str">
        <f>IF(SnapshotTable[[#This Row],[Implied Move]]&gt;0, SnapshotTable[[#This Row],[Last Price]] + SnapshotTable[[#This Row],[Implied Move]],"")</f>
        <v/>
      </c>
      <c r="BA55" s="331">
        <v>3.09</v>
      </c>
      <c r="BB55" s="347"/>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51"/>
      <c r="BE55" s="138"/>
      <c r="BF55" s="166"/>
      <c r="BG55" s="167"/>
      <c r="BH55" s="167"/>
      <c r="BI55" s="221"/>
      <c r="BJ55" s="153">
        <f>IF(SnapshotTable[[#This Row],[LP Qty]] &gt; 0, SnapshotTable[[#This Row],[LP Qty]] * SnapshotTable[[#This Row],[LP Book Price]] * 100,0)</f>
        <v>0</v>
      </c>
      <c r="BK55" s="136">
        <f>IF(SnapshotTable[[#This Row],[LP Premium]] &gt; 0, SnapshotTable[[#This Row],[LP Qty]] * SnapshotTable[[#This Row],[LP Strike Price]] * 100,0)</f>
        <v>0</v>
      </c>
      <c r="BL55" s="154"/>
      <c r="BM55" s="385" t="str">
        <f>IF(SnapshotTable[[#This Row],[LP Premium]] &gt; 0,SnapshotTable[[#This Row],[LP Exp Date]]-MAX(SnapshotTable[[#This Row],[LP Book Date]], SnapshotTable[[#This Row],[LP Fill Date]]),"")</f>
        <v/>
      </c>
      <c r="BN55" s="385" t="str">
        <f>IF(ISNUMBER( SnapshotTable[[#This Row],[LP Term]]), SnapshotTable[[#This Row],[LP Exp Date]] - MockToday,"")</f>
        <v/>
      </c>
      <c r="BO55" s="163"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7"/>
      <c r="BU55" s="13"/>
      <c r="BV55" s="5"/>
      <c r="BW55" s="419" t="b">
        <f>AND(ISNUMBER(SnapshotTable[[#This Row],[SP Exp Date]]), ISNUMBER(SnapshotTable[[#This Row],[SP Strike Price]]), ISNUMBER(SnapshotTable[[#This Row],[SP Qty]]), ISNUMBER(SnapshotTable[[#This Row],[SP Book Date]]), ISNUMBER(SnapshotTable[[#This Row],[SP Book Price]]))</f>
        <v>0</v>
      </c>
      <c r="BX55" s="419" t="b">
        <f>AND(SnapshotTable[[#This Row],[SP Is Booked]], NOT(ISBLANK(SnapshotTable[[#This Row],[SP Fill Date]])))</f>
        <v>0</v>
      </c>
      <c r="BY55" s="33">
        <f>IF(SnapshotTable[[#This Row],[SP Is Booked]], SnapshotTable[[#This Row],[SP Qty]] * SnapshotTable[[#This Row],[SP Book Price]] * 100, 0)</f>
        <v>0</v>
      </c>
      <c r="BZ55" s="369"/>
      <c r="CA55" s="368">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3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44"/>
      <c r="CK55" s="31">
        <f>IF(ISNUMBER(SnapshotTable[[#This Row],[SP Potential Spend]]),IF(ISNUMBER(SnapshotTable[[#This Row],[SP POW]]), SnapshotTable[[#This Row],[SP POW]] * SnapshotTable[[#This Row],[SP Potential Spend]], SnapshotTable[[#This Row],[SP Potential Spend]]), "")</f>
        <v>0</v>
      </c>
      <c r="CL55" s="164">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4"/>
      <c r="CO55" s="369"/>
      <c r="CP55" s="320" t="str">
        <f>IF(SnapshotTable[[#This Row],[SP Is Filled]], btc_max_buyback_amount(SnapshotTable[[#This Row],[SP Fill Date]],SnapshotTable[[#This Row],[SP Exp Date]], SnapshotTable[[#This Row],[SP Book Price]]),"")</f>
        <v/>
      </c>
      <c r="CQ55" s="78"/>
      <c r="CR55"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5" t="str">
        <f>IF(SnapshotTable[[#This Row],[SP Is Filled]], btc_next_cutoff_date(SnapshotTable[[#This Row],[SP Fill Date]],SnapshotTable[[#This Row],[SP Exp Date]]),"")</f>
        <v/>
      </c>
      <c r="CT55" s="23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6"/>
      <c r="CV55" s="235"/>
      <c r="CW55" s="378"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294" t="str">
        <f>IF(ISNUMBER((SnapshotTable[[#This Row],[SP Total Value]])), SnapshotTable[[#This Row],[SP Gain Loss]] / SnapshotTable[[#This Row],[SP Premium]], "")</f>
        <v/>
      </c>
      <c r="DI55" s="406"/>
      <c r="DJ55" s="138"/>
      <c r="DK55" s="148"/>
      <c r="DL55" s="147"/>
      <c r="DM55" s="147"/>
      <c r="DN55" s="5"/>
      <c r="DO55" s="31">
        <f>IF(SnapshotTable[[#This Row],[LC Symbol Count]]=1, SnapshotTable[[#This Row],[LC Qty]] * SnapshotTable[[#This Row],[LC Book Price]] * 100, 0)</f>
        <v>0</v>
      </c>
      <c r="DP55" s="289" t="str">
        <f>IF(AND(SnapshotTable[[#This Row],[LC Exp Date]]&gt;0, SnapshotTable[[#This Row],[LC Strike Price]]&gt;0,SnapshotTable[[#This Row],[LC Qty]]&gt;0,SnapshotTable[[#This Row],[LC Book Date]]&gt;0,SnapshotTable[[#This Row],[LC Book Price]]&gt;0,SnapshotTable[[#This Row],[LC Fill Date]]=0),"Y","")</f>
        <v/>
      </c>
      <c r="DQ55" s="386" t="str">
        <f>IF(SnapshotTable[[#This Row],[LC Premium]] &gt; 0,SnapshotTable[[#This Row],[LC Exp Date]]-MAX(SnapshotTable[[#This Row],[LC Book Date]], SnapshotTable[[#This Row],[LC Fill Date]]),"")</f>
        <v/>
      </c>
      <c r="DR55" s="386" t="str">
        <f>IF(ISNUMBER(SnapshotTable[[#This Row],[LC Term]]), SnapshotTable[[#This Row],[LC Exp Date]] - MockToday, "")</f>
        <v/>
      </c>
      <c r="DS55" s="23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40" t="str">
        <f>IF(ISNUMBER(SnapshotTable[[#This Row],[LC Actual Gain Loss]]), SnapshotTable[[#This Row],[LC Actual Gain Loss]] / SnapshotTable[[#This Row],[LC Premium]],"")</f>
        <v/>
      </c>
      <c r="DX55" s="284" t="str">
        <f>IF(ISNUMBER(SnapshotTable[[#This Row],[LC Book Price]]),SnapshotTable[[#This Row],[LC Book Price]] * 1.5,"")</f>
        <v/>
      </c>
      <c r="DY55" s="265" t="str">
        <f>IF(SnapshotTable[[#This Row],[LC Premium]]&gt;0, SnapshotTable[[#This Row],[LC Next Target]] * SnapshotTable[[#This Row],[LC Qty]] * 100,"")</f>
        <v/>
      </c>
      <c r="DZ55" s="265" t="str">
        <f>IF(ISNUMBER(SnapshotTable[[#This Row],[LC Target Gross]]), SnapshotTable[[#This Row],[LC Target Gross]] - SnapshotTable[[#This Row],[LC Premium]], "")</f>
        <v/>
      </c>
      <c r="EA55" s="305" t="str">
        <f>IF(ISNUMBER(SnapshotTable[[#This Row],[LC Target Gain Loss]]), SnapshotTable[[#This Row],[LC Target Gain Loss]]/SnapshotTable[[#This Row],[LC Premium]], "")</f>
        <v/>
      </c>
      <c r="EB55" s="262"/>
      <c r="EC55" s="290" t="str">
        <f>IF(SnapshotTable[[#This Row],[LC Premium]]&gt;0, SnapshotTable[[#This Row],[LC Book Price]] * (1 - LC_StopLoss_Pct),"")</f>
        <v/>
      </c>
      <c r="ED55" s="284"/>
      <c r="EE55" s="290" t="str">
        <f>IF(ISNUMBER(SnapshotTable[[#This Row],[LC Contract Value]]),IF(ISNUMBER(SnapshotTable[[#This Row],[LC Stop Loss Override]]), SnapshotTable[[#This Row],[LC Stop Loss Override]],SnapshotTable[[#This Row],[LC Stop Loss Calc Target]]),"")</f>
        <v/>
      </c>
      <c r="EF55" s="321"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4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7"/>
      <c r="EL55" s="138"/>
      <c r="EM55" s="148"/>
      <c r="EN55" s="147"/>
      <c r="EO55" s="147"/>
      <c r="EP55" s="138"/>
      <c r="EQ55" s="419" t="b">
        <f>AND(ISNUMBER(SnapshotTable[[#This Row],[SC Exp Date]]), ISNUMBER(SnapshotTable[[#This Row],[SC Strike Price]]), ISNUMBER(SnapshotTable[[#This Row],[SC Qty]]), ISNUMBER(SnapshotTable[[#This Row],[SC Book Date]]), ISNUMBER(SnapshotTable[[#This Row],[SC Book Price]]))</f>
        <v>0</v>
      </c>
      <c r="ER55" s="419" t="b">
        <f>AND(SnapshotTable[[#This Row],[SC Is Booked]], NOT(ISBLANK(SnapshotTable[[#This Row],[SC Fill Date]])))</f>
        <v>0</v>
      </c>
      <c r="ES55" s="370"/>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3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283"/>
      <c r="FA55" s="218"/>
      <c r="FB55" s="370"/>
      <c r="FC55" s="4">
        <f>IF(SnapshotTable[[#This Row],[SC Is Filled]], btc_max_buyback_amount(SnapshotTable[[#This Row],[SC Fill Date]],SnapshotTable[[#This Row],[SC Exp Date]], SnapshotTable[[#This Row],[SC Book Price]]),0)</f>
        <v>0</v>
      </c>
      <c r="FD55" s="5"/>
      <c r="FE55" s="144"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382">
        <f>IF(SnapshotTable[[#This Row],[SC Is Filled]], IF(ISNUMBER(SnapshotTable[[#This Row],[SC Current Ask]]), SnapshotTable[[#This Row],[SC Current Ask]], SnapshotTable[[#This Row],[SC Book Price]]) - SnapshotTable[[#This Row],[SC Intrinsic Value]], 0)</f>
        <v>0</v>
      </c>
      <c r="FI55" s="143"/>
      <c r="FJ55" s="32" t="str">
        <f>IF(SnapshotTable[[#This Row],[SC Is Filled]],100 * SnapshotTable[[#This Row],[SC Qty]] * IF(ISNUMBER(SnapshotTable[[#This Row],[SC Buyback Override]]), SnapshotTable[[#This Row],[SC Buyback Override]], SnapshotTable[[#This Row],[SC Current Ask]]), "")</f>
        <v/>
      </c>
      <c r="FK55" s="250" t="str">
        <f>IF(SnapshotTable[[#This Row],[SC Time Val]]&gt;0, SnapshotTable[[#This Row],[SC Time Val]] / SnapshotTable[[#This Row],[Last Price]],"")</f>
        <v/>
      </c>
      <c r="FL55" s="302" t="str">
        <f>IF(SnapshotTable[[#This Row],[SC Is Booked]], ((SnapshotTable[[#This Row],[Last Price]] -SnapshotTable[[#This Row],[SC Strike Price]]) / SnapshotTable[[#This Row],[Last Price]]) * -1, "")</f>
        <v/>
      </c>
      <c r="FM55" s="157" t="str">
        <f>IF(SnapshotTable[[#This Row],[SC Is Booked]],  (SnapshotTable[[#This Row],[SC Qty]] * 100 * SnapshotTable[[#This Row],[SC Strike Price]]) - SnapshotTable[[#This Row],[SC Current Ask]], "")</f>
        <v/>
      </c>
      <c r="FN5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7"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33"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36" t="str">
        <f>IF(AND(ISNUMBER(SnapshotTable[[#This Row],[SC Simple ROO]]),SnapshotTable[[#This Row],[SC Simple ROO]] &gt; 0), SnapshotTable[[#This Row],[SC Premium]] + (SnapshotTable[[#This Row],[SC Qty]] * SnapshotTable[[#This Row],[SC Upside Potential]]), "")</f>
        <v/>
      </c>
      <c r="FX55" s="302" t="str" cm="1">
        <f t="array" ref="FX55">IF(ISNUMBER(SnapshotTable[[#This Row],[SC Max Dollars]]), annualize(SnapshotTable[[#This Row],[SC Term]],(SnapshotTable[[#This Row],[SC Max Dollars]]/SnapshotTable[[#This Row],[SC Basis]])),"")</f>
        <v/>
      </c>
      <c r="FY55" s="236" t="str">
        <f>IF(AND(SnapshotTable[[#This Row],[SC Qty]]&gt;0,SnapshotTable[[#This Row],[SC Current Ask]]&gt;0), SnapshotTable[[#This Row],[SC Qty]] * SnapshotTable[[#This Row],[SC Current Ask]] * -100, "")</f>
        <v/>
      </c>
      <c r="FZ55" s="235" t="str">
        <f>IF(ISNUMBER((SnapshotTable[[#This Row],[SC Current Value]])), SnapshotTable[[#This Row],[SC Premium]] + SnapshotTable[[#This Row],[SC Current Value]], "")</f>
        <v/>
      </c>
      <c r="GA55" s="29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17.452499999999997</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8" t="str">
        <f>IF(SnapshotTable[[#This Row],[Sale G/L]]&gt;0, SnapshotTable[[#This Row],[Sale G/L]] / SnapshotTable[[#This Row],[Sale Basis]], IF(ISNUMBER(SnapshotTable[[#This Row],[SC Exercise P&amp;L (TAX)]]), SnapshotTable[[#This Row],[SC Exercise P&amp;L (TAX)]] / SnapshotTable[[#This Row],[SC Basis]], ""))</f>
        <v/>
      </c>
      <c r="GK55" s="27"/>
      <c r="GL55" s="159"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59" t="str">
        <f>IF(AND(SnapshotTable[[#This Row],[LC Exp Date]]&gt;0,SnapshotTable[[#This Row],[LC Strike Price]]&gt;0), [1]!ToOptionSymbol(SnapshotTable[[#This Row],[Symbol]], SnapshotTable[[#This Row],[LC Strike Price]],SnapshotTable[[#This Row],[LC Exp Date]],0), "")</f>
        <v/>
      </c>
      <c r="GQ55" s="160" t="str">
        <f>IF(LEN(SnapshotTable[[#This Row],[LC Symbol]])&gt;0, 1, "")</f>
        <v/>
      </c>
      <c r="GR55" s="159" t="str">
        <f>IF(AND(SnapshotTable[[#This Row],[SC Exp Date]]&gt;0,SnapshotTable[[#This Row],[SC Strike Price]]&gt;0), [1]!ToOptionSymbol(SnapshotTable[[#This Row],[Symbol]], SnapshotTable[[#This Row],[SC Strike Price]],SnapshotTable[[#This Row],[SC Exp Date]],0), "")</f>
        <v/>
      </c>
      <c r="GS55" s="160" t="str">
        <f>IF(LEN(SnapshotTable[[#This Row],[SC Symbol]])&gt;0, 1, "")</f>
        <v/>
      </c>
      <c r="GT55" s="161"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31">
        <f>MAX(SnapshotTable[[#This Row],[Equity Basis Total]],SnapshotTable[[#This Row],[Equity Value]]) + (SnapshotTable[[#This Row],[SP Potential Spend]]- SnapshotTable[[#This Row],[SP Premium]] + SnapshotTable[[#This Row],[LP Premium]])+ (SnapshotTable[[#This Row],[LC Premium]] - SnapshotTable[[#This Row],[SC Premium]])</f>
        <v>0</v>
      </c>
      <c r="GW55" s="139" t="str">
        <f>IF(AND(SnapshotTable[[#This Row],[Exposure]] &lt;&gt; 0),SnapshotTable[[#This Row],[Exposure]] / SnapshotTable[[#Totals],[Exposure]], "")</f>
        <v/>
      </c>
      <c r="GY55" s="381"/>
      <c r="HE55" s="268"/>
      <c r="HF55" s="268"/>
      <c r="HG55" s="381"/>
      <c r="HH55" s="381"/>
      <c r="HI55" s="381"/>
      <c r="HJ55" s="381"/>
    </row>
    <row r="56" spans="2:224" s="47" customFormat="1" ht="12.75" hidden="1" customHeight="1" x14ac:dyDescent="0.25">
      <c r="B56" s="12" t="s">
        <v>242</v>
      </c>
      <c r="C56" s="422">
        <v>137.16</v>
      </c>
      <c r="D56" s="208"/>
      <c r="E56" s="39">
        <f>SnapshotTable[[#This Row],[Last Price]]*(1 -CrashDiscount)</f>
        <v>116.586</v>
      </c>
      <c r="F56" s="26" t="s">
        <v>241</v>
      </c>
      <c r="G56" s="26" t="s">
        <v>4</v>
      </c>
      <c r="H56" s="149"/>
      <c r="I56" s="194">
        <v>44757.274305555555</v>
      </c>
      <c r="J56" s="195">
        <v>44757.274305555555</v>
      </c>
      <c r="K56" s="196" t="s">
        <v>3</v>
      </c>
      <c r="L56" s="326"/>
      <c r="M56" s="140"/>
      <c r="N56" s="140"/>
      <c r="O56" s="140">
        <v>4</v>
      </c>
      <c r="P56" s="22"/>
      <c r="Q56" s="25"/>
      <c r="R56" s="4" t="str">
        <f>IF(SnapshotTable[[#This Row],[Equity Basis Total]] &gt; 0, SnapshotTable[[#This Row],[Equity Basis Total]] / SnapshotTable[[#This Row],[Equity Shares]], "")</f>
        <v/>
      </c>
      <c r="S56" s="269">
        <f>SnapshotTable[[#This Row],[Last Price]] * SnapshotTable[[#This Row],[Equity Shares]]</f>
        <v>0</v>
      </c>
      <c r="T56" s="269">
        <f>SnapshotTable[[#This Row],[Equity Value]] - SnapshotTable[[#This Row],[Equity Basis Total]]</f>
        <v>0</v>
      </c>
      <c r="U56" s="270" t="str">
        <f>IF(SnapshotTable[[#This Row],[Equity Basis Total]] &gt; 0, SnapshotTable[[#This Row],[Equity G/L]] / SnapshotTable[[#This Row],[Equity Basis Total]], "")</f>
        <v/>
      </c>
      <c r="V56" s="268"/>
      <c r="W56" s="26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7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0">
        <v>0.76</v>
      </c>
      <c r="AD56" s="151">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5.5409740449110529E-3</v>
      </c>
      <c r="AH56" s="151">
        <v>42761</v>
      </c>
      <c r="AI56" s="5"/>
      <c r="AJ56" s="138">
        <v>48.81</v>
      </c>
      <c r="AK56" s="152" t="str">
        <f>IF(ISNUMBER( SnapshotTable[[#This Row],[EBF Target]]),(SnapshotTable[[#This Row],[EBF Target]] - SnapshotTable[[#This Row],[Last Price]]) / SnapshotTable[[#This Row],[Last Price]], "")</f>
        <v/>
      </c>
      <c r="AL56" s="152"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2">
        <f>IF(AND(ISNUMBER( SnapshotTable[[#This Row],[Long Term Target]]), ISNUMBER(SnapshotTable[[#This Row],[Last Price]])),(SnapshotTable[[#This Row],[Long Term Target]] - SnapshotTable[[#This Row],[Last Price]]) / SnapshotTable[[#This Row],[Last Price]], "")</f>
        <v>-0.64413823272090986</v>
      </c>
      <c r="AP56" s="5">
        <v>51.5</v>
      </c>
      <c r="AQ56" s="38" t="s">
        <v>89</v>
      </c>
      <c r="AR56" s="5"/>
      <c r="AS56" s="38" t="s">
        <v>45</v>
      </c>
      <c r="AT56" s="146"/>
      <c r="AU56" s="187" t="str">
        <f>IF(OR(SnapshotTable[[#This Row],[LP No Fill]]="Y",SnapshotTable[[#This Row],[SP Is Filled]],SnapshotTable[[#This Row],[LC Not Filled]]="Y",SnapshotTable[[#This Row],[SC Is Filled]]),"Y","")</f>
        <v/>
      </c>
      <c r="AV56" s="219"/>
      <c r="AW56" s="225"/>
      <c r="AX56" s="220"/>
      <c r="AY56" s="219" t="str">
        <f>IF(SnapshotTable[[#This Row],[Implied Move]]&gt;0, SnapshotTable[[#This Row],[Last Price]]-SnapshotTable[[#This Row],[Implied Move]],"")</f>
        <v/>
      </c>
      <c r="AZ56" s="219" t="str">
        <f>IF(SnapshotTable[[#This Row],[Implied Move]]&gt;0, SnapshotTable[[#This Row],[Last Price]] + SnapshotTable[[#This Row],[Implied Move]],"")</f>
        <v/>
      </c>
      <c r="BA56" s="331">
        <v>48</v>
      </c>
      <c r="BB56" s="347"/>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51"/>
      <c r="BE56" s="5"/>
      <c r="BF56" s="14"/>
      <c r="BG56" s="13"/>
      <c r="BH56" s="13"/>
      <c r="BI56" s="5"/>
      <c r="BJ56" s="136">
        <f>IF(SnapshotTable[[#This Row],[LP Qty]] &gt; 0, SnapshotTable[[#This Row],[LP Qty]] * SnapshotTable[[#This Row],[LP Book Price]] * 100,0)</f>
        <v>0</v>
      </c>
      <c r="BK56" s="136">
        <f>IF(SnapshotTable[[#This Row],[LP Premium]] &gt; 0, SnapshotTable[[#This Row],[LP Qty]] * SnapshotTable[[#This Row],[LP Strike Price]] * 100,0)</f>
        <v>0</v>
      </c>
      <c r="BL56" s="154"/>
      <c r="BM56" s="385" t="str">
        <f>IF(SnapshotTable[[#This Row],[LP Premium]] &gt; 0,SnapshotTable[[#This Row],[LP Exp Date]]-MAX(SnapshotTable[[#This Row],[LP Book Date]], SnapshotTable[[#This Row],[LP Fill Date]]),"")</f>
        <v/>
      </c>
      <c r="BN56" s="385" t="str">
        <f>IF(ISNUMBER( SnapshotTable[[#This Row],[LP Term]]), SnapshotTable[[#This Row],[LP Exp Date]] - MockToday,"")</f>
        <v/>
      </c>
      <c r="BO56" s="163"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7"/>
      <c r="BU56" s="13"/>
      <c r="BV56" s="5"/>
      <c r="BW56" s="419" t="b">
        <f>AND(ISNUMBER(SnapshotTable[[#This Row],[SP Exp Date]]), ISNUMBER(SnapshotTable[[#This Row],[SP Strike Price]]), ISNUMBER(SnapshotTable[[#This Row],[SP Qty]]), ISNUMBER(SnapshotTable[[#This Row],[SP Book Date]]), ISNUMBER(SnapshotTable[[#This Row],[SP Book Price]]))</f>
        <v>0</v>
      </c>
      <c r="BX56" s="419" t="b">
        <f>AND(SnapshotTable[[#This Row],[SP Is Booked]], NOT(ISBLANK(SnapshotTable[[#This Row],[SP Fill Date]])))</f>
        <v>0</v>
      </c>
      <c r="BY56" s="33">
        <f>IF(SnapshotTable[[#This Row],[SP Is Booked]], SnapshotTable[[#This Row],[SP Qty]] * SnapshotTable[[#This Row],[SP Book Price]] * 100, 0)</f>
        <v>0</v>
      </c>
      <c r="BZ56" s="369"/>
      <c r="CA56" s="368">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3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44"/>
      <c r="CK56" s="31">
        <f>IF(ISNUMBER(SnapshotTable[[#This Row],[SP Potential Spend]]),IF(ISNUMBER(SnapshotTable[[#This Row],[SP POW]]), SnapshotTable[[#This Row],[SP POW]] * SnapshotTable[[#This Row],[SP Potential Spend]], SnapshotTable[[#This Row],[SP Potential Spend]]), "")</f>
        <v>0</v>
      </c>
      <c r="CL56" s="164">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8"/>
      <c r="CO56" s="369"/>
      <c r="CP56" s="4" t="str">
        <f>IF(SnapshotTable[[#This Row],[SP Is Filled]], btc_max_buyback_amount(SnapshotTable[[#This Row],[SP Fill Date]],SnapshotTable[[#This Row],[SP Exp Date]], SnapshotTable[[#This Row],[SP Book Price]]),"")</f>
        <v/>
      </c>
      <c r="CQ56" s="78"/>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5" t="str">
        <f>IF(SnapshotTable[[#This Row],[SP Is Filled]], btc_next_cutoff_date(SnapshotTable[[#This Row],[SP Fill Date]],SnapshotTable[[#This Row],[SP Exp Date]]),"")</f>
        <v/>
      </c>
      <c r="CT56" s="23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3">
        <v>44883</v>
      </c>
      <c r="CV56" s="235"/>
      <c r="CW56" s="378"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294" t="str">
        <f>IF(ISNUMBER((SnapshotTable[[#This Row],[SP Total Value]])), SnapshotTable[[#This Row],[SP Gain Loss]] / SnapshotTable[[#This Row],[SP Premium]], "")</f>
        <v/>
      </c>
      <c r="DI56" s="406"/>
      <c r="DJ56" s="138"/>
      <c r="DK56" s="148"/>
      <c r="DL56" s="13"/>
      <c r="DM56" s="13"/>
      <c r="DN56" s="5"/>
      <c r="DO56" s="31">
        <f>IF(SnapshotTable[[#This Row],[LC Symbol Count]]=1, SnapshotTable[[#This Row],[LC Qty]] * SnapshotTable[[#This Row],[LC Book Price]] * 100, 0)</f>
        <v>0</v>
      </c>
      <c r="DP56" s="163" t="str">
        <f>IF(AND(SnapshotTable[[#This Row],[LC Exp Date]]&gt;0, SnapshotTable[[#This Row],[LC Strike Price]]&gt;0,SnapshotTable[[#This Row],[LC Qty]]&gt;0,SnapshotTable[[#This Row],[LC Book Date]]&gt;0,SnapshotTable[[#This Row],[LC Book Price]]&gt;0,SnapshotTable[[#This Row],[LC Fill Date]]=0),"Y","")</f>
        <v/>
      </c>
      <c r="DQ56" s="386" t="str">
        <f>IF(SnapshotTable[[#This Row],[LC Premium]] &gt; 0,SnapshotTable[[#This Row],[LC Exp Date]]-MAX(SnapshotTable[[#This Row],[LC Book Date]], SnapshotTable[[#This Row],[LC Fill Date]]),"")</f>
        <v/>
      </c>
      <c r="DR56" s="386" t="str">
        <f>IF(ISNUMBER(SnapshotTable[[#This Row],[LC Term]]), SnapshotTable[[#This Row],[LC Exp Date]] - MockToday, "")</f>
        <v/>
      </c>
      <c r="DS56" s="23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40" t="str">
        <f>IF(ISNUMBER(SnapshotTable[[#This Row],[LC Actual Gain Loss]]), SnapshotTable[[#This Row],[LC Actual Gain Loss]] / SnapshotTable[[#This Row],[LC Premium]],"")</f>
        <v/>
      </c>
      <c r="DX56" s="284" t="str">
        <f>IF(ISNUMBER(SnapshotTable[[#This Row],[LC Book Price]]),SnapshotTable[[#This Row],[LC Book Price]] * 1.5,"")</f>
        <v/>
      </c>
      <c r="DY56" s="265" t="str">
        <f>IF(SnapshotTable[[#This Row],[LC Premium]]&gt;0, SnapshotTable[[#This Row],[LC Next Target]] * SnapshotTable[[#This Row],[LC Qty]] * 100,"")</f>
        <v/>
      </c>
      <c r="DZ56" s="265" t="str">
        <f>IF(ISNUMBER(SnapshotTable[[#This Row],[LC Target Gross]]), SnapshotTable[[#This Row],[LC Target Gross]] - SnapshotTable[[#This Row],[LC Premium]], "")</f>
        <v/>
      </c>
      <c r="EA56" s="305" t="str">
        <f>IF(ISNUMBER(SnapshotTable[[#This Row],[LC Target Gain Loss]]), SnapshotTable[[#This Row],[LC Target Gain Loss]]/SnapshotTable[[#This Row],[LC Premium]], "")</f>
        <v/>
      </c>
      <c r="EB56" s="262"/>
      <c r="EC56" s="283" t="str">
        <f>IF(SnapshotTable[[#This Row],[LC Premium]]&gt;0, SnapshotTable[[#This Row],[LC Book Price]] * (1 - LC_StopLoss_Pct),"")</f>
        <v/>
      </c>
      <c r="ED56" s="284"/>
      <c r="EE56" s="28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4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7"/>
      <c r="EL56" s="138"/>
      <c r="EM56" s="148"/>
      <c r="EN56" s="147"/>
      <c r="EO56" s="147"/>
      <c r="EP56" s="138"/>
      <c r="EQ56" s="419" t="b">
        <f>AND(ISNUMBER(SnapshotTable[[#This Row],[SC Exp Date]]), ISNUMBER(SnapshotTable[[#This Row],[SC Strike Price]]), ISNUMBER(SnapshotTable[[#This Row],[SC Qty]]), ISNUMBER(SnapshotTable[[#This Row],[SC Book Date]]), ISNUMBER(SnapshotTable[[#This Row],[SC Book Price]]))</f>
        <v>0</v>
      </c>
      <c r="ER56" s="419" t="b">
        <f>AND(SnapshotTable[[#This Row],[SC Is Booked]], NOT(ISBLANK(SnapshotTable[[#This Row],[SC Fill Date]])))</f>
        <v>0</v>
      </c>
      <c r="ES56" s="370"/>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3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283"/>
      <c r="FA56" s="218"/>
      <c r="FB56" s="370"/>
      <c r="FC56" s="4">
        <f>IF(SnapshotTable[[#This Row],[SC Is Filled]], btc_max_buyback_amount(SnapshotTable[[#This Row],[SC Fill Date]],SnapshotTable[[#This Row],[SC Exp Date]], SnapshotTable[[#This Row],[SC Book Price]]),0)</f>
        <v>0</v>
      </c>
      <c r="FD56" s="5"/>
      <c r="FE56" s="144"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382">
        <f>IF(SnapshotTable[[#This Row],[SC Is Filled]], IF(ISNUMBER(SnapshotTable[[#This Row],[SC Current Ask]]), SnapshotTable[[#This Row],[SC Current Ask]], SnapshotTable[[#This Row],[SC Book Price]]) - SnapshotTable[[#This Row],[SC Intrinsic Value]], 0)</f>
        <v>0</v>
      </c>
      <c r="FI56" s="143"/>
      <c r="FJ56" s="32" t="str">
        <f>IF(SnapshotTable[[#This Row],[SC Is Filled]],100 * SnapshotTable[[#This Row],[SC Qty]] * IF(ISNUMBER(SnapshotTable[[#This Row],[SC Buyback Override]]), SnapshotTable[[#This Row],[SC Buyback Override]], SnapshotTable[[#This Row],[SC Current Ask]]), "")</f>
        <v/>
      </c>
      <c r="FK56" s="250" t="str">
        <f>IF(SnapshotTable[[#This Row],[SC Time Val]]&gt;0, SnapshotTable[[#This Row],[SC Time Val]] / SnapshotTable[[#This Row],[Last Price]],"")</f>
        <v/>
      </c>
      <c r="FL56" s="302" t="str">
        <f>IF(SnapshotTable[[#This Row],[SC Is Booked]], ((SnapshotTable[[#This Row],[Last Price]] -SnapshotTable[[#This Row],[SC Strike Price]]) / SnapshotTable[[#This Row],[Last Price]]) * -1, "")</f>
        <v/>
      </c>
      <c r="FM56" s="157"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33"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36" t="str">
        <f>IF(AND(ISNUMBER(SnapshotTable[[#This Row],[SC Simple ROO]]),SnapshotTable[[#This Row],[SC Simple ROO]] &gt; 0), SnapshotTable[[#This Row],[SC Premium]] + (SnapshotTable[[#This Row],[SC Qty]] * SnapshotTable[[#This Row],[SC Upside Potential]]), "")</f>
        <v/>
      </c>
      <c r="FX56" s="302" t="str" cm="1">
        <f t="array" ref="FX56">IF(ISNUMBER(SnapshotTable[[#This Row],[SC Max Dollars]]), annualize(SnapshotTable[[#This Row],[SC Term]],(SnapshotTable[[#This Row],[SC Max Dollars]]/SnapshotTable[[#This Row],[SC Basis]])),"")</f>
        <v/>
      </c>
      <c r="FY56" s="23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29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267.46199999999999</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648</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31">
        <f>MAX(SnapshotTable[[#This Row],[Equity Basis Total]],SnapshotTable[[#This Row],[Equity Value]]) + (SnapshotTable[[#This Row],[SP Potential Spend]]- SnapshotTable[[#This Row],[SP Premium]] + SnapshotTable[[#This Row],[LP Premium]])+ (SnapshotTable[[#This Row],[LC Premium]] - SnapshotTable[[#This Row],[SC Premium]])</f>
        <v>0</v>
      </c>
      <c r="GW56" s="139" t="str">
        <f>IF(AND(SnapshotTable[[#This Row],[Exposure]] &lt;&gt; 0),SnapshotTable[[#This Row],[Exposure]] / SnapshotTable[[#Totals],[Exposure]], "")</f>
        <v/>
      </c>
      <c r="GY56" s="381"/>
      <c r="HE56" s="268"/>
      <c r="HF56" s="268"/>
      <c r="HG56" s="381"/>
      <c r="HH56" s="381"/>
      <c r="HI56" s="381"/>
      <c r="HJ56" s="381"/>
    </row>
    <row r="57" spans="2:224" s="47" customFormat="1" ht="12.75" hidden="1" customHeight="1" x14ac:dyDescent="0.25">
      <c r="B57" s="12" t="s">
        <v>1073</v>
      </c>
      <c r="C57" s="422">
        <v>177.86</v>
      </c>
      <c r="D57" s="208" t="s">
        <v>578</v>
      </c>
      <c r="E57" s="39">
        <f>SnapshotTable[[#This Row],[Last Price]]*(1 -CrashDiscount)</f>
        <v>151.18100000000001</v>
      </c>
      <c r="F57" s="26" t="s">
        <v>611</v>
      </c>
      <c r="G57" s="26" t="s">
        <v>610</v>
      </c>
      <c r="H57" s="149"/>
      <c r="I57" s="194">
        <v>45141.6875</v>
      </c>
      <c r="J57" s="195">
        <v>45141.6875</v>
      </c>
      <c r="K57" s="196"/>
      <c r="L57" s="326"/>
      <c r="M57" s="140"/>
      <c r="N57" s="140"/>
      <c r="O57" s="140"/>
      <c r="P57" s="22"/>
      <c r="Q57" s="25"/>
      <c r="R57" s="4" t="str">
        <f>IF(SnapshotTable[[#This Row],[Equity Basis Total]] &gt; 0, SnapshotTable[[#This Row],[Equity Basis Total]] / SnapshotTable[[#This Row],[Equity Shares]], "")</f>
        <v/>
      </c>
      <c r="S57" s="269">
        <f>SnapshotTable[[#This Row],[Last Price]] * SnapshotTable[[#This Row],[Equity Shares]]</f>
        <v>0</v>
      </c>
      <c r="T57" s="269">
        <f>SnapshotTable[[#This Row],[Equity Value]] - SnapshotTable[[#This Row],[Equity Basis Total]]</f>
        <v>0</v>
      </c>
      <c r="U57" s="270" t="str">
        <f>IF(SnapshotTable[[#This Row],[Equity Basis Total]] &gt; 0, SnapshotTable[[#This Row],[Equity G/L]] / SnapshotTable[[#This Row],[Equity Basis Total]], "")</f>
        <v/>
      </c>
      <c r="V57" s="268"/>
      <c r="W57" s="26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7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0"/>
      <c r="AD57" s="151"/>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1"/>
      <c r="AI57" s="5"/>
      <c r="AJ57" s="138">
        <v>2321.4299999999998</v>
      </c>
      <c r="AK57" s="152" t="str">
        <f>IF(ISNUMBER( SnapshotTable[[#This Row],[EBF Target]]),(SnapshotTable[[#This Row],[EBF Target]] - SnapshotTable[[#This Row],[Last Price]]) / SnapshotTable[[#This Row],[Last Price]], "")</f>
        <v/>
      </c>
      <c r="AL57" s="152"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2">
        <f>IF(AND(ISNUMBER( SnapshotTable[[#This Row],[Long Term Target]]), ISNUMBER(SnapshotTable[[#This Row],[Last Price]])),(SnapshotTable[[#This Row],[Long Term Target]] - SnapshotTable[[#This Row],[Last Price]]) / SnapshotTable[[#This Row],[Last Price]], "")</f>
        <v>12.052007196671537</v>
      </c>
      <c r="AP57" s="5">
        <v>2800</v>
      </c>
      <c r="AQ57" s="38" t="s">
        <v>1082</v>
      </c>
      <c r="AR57" s="5">
        <v>2400</v>
      </c>
      <c r="AS57" s="38" t="s">
        <v>1083</v>
      </c>
      <c r="AT57" s="146" t="s">
        <v>509</v>
      </c>
      <c r="AU57" s="187" t="str">
        <f>IF(OR(SnapshotTable[[#This Row],[LP No Fill]]="Y",SnapshotTable[[#This Row],[SP Is Filled]],SnapshotTable[[#This Row],[LC Not Filled]]="Y",SnapshotTable[[#This Row],[SC Is Filled]]),"Y","")</f>
        <v/>
      </c>
      <c r="AV57" s="219"/>
      <c r="AW57" s="225"/>
      <c r="AX57" s="220"/>
      <c r="AY57" s="219" t="str">
        <f>IF(SnapshotTable[[#This Row],[Implied Move]]&gt;0, SnapshotTable[[#This Row],[Last Price]]-SnapshotTable[[#This Row],[Implied Move]],"")</f>
        <v/>
      </c>
      <c r="AZ57" s="219" t="str">
        <f>IF(SnapshotTable[[#This Row],[Implied Move]]&gt;0, SnapshotTable[[#This Row],[Last Price]] + SnapshotTable[[#This Row],[Implied Move]],"")</f>
        <v/>
      </c>
      <c r="BA57" s="331">
        <v>-19.21</v>
      </c>
      <c r="BB57" s="347" t="s">
        <v>1144</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51"/>
      <c r="BE57" s="138"/>
      <c r="BF57" s="166"/>
      <c r="BG57" s="167"/>
      <c r="BH57" s="167"/>
      <c r="BI57" s="221"/>
      <c r="BJ57" s="153">
        <f>IF(SnapshotTable[[#This Row],[LP Qty]] &gt; 0, SnapshotTable[[#This Row],[LP Qty]] * SnapshotTable[[#This Row],[LP Book Price]] * 100,0)</f>
        <v>0</v>
      </c>
      <c r="BK57" s="136">
        <f>IF(SnapshotTable[[#This Row],[LP Premium]] &gt; 0, SnapshotTable[[#This Row],[LP Qty]] * SnapshotTable[[#This Row],[LP Strike Price]] * 100,0)</f>
        <v>0</v>
      </c>
      <c r="BL57" s="154"/>
      <c r="BM57" s="385" t="str">
        <f>IF(SnapshotTable[[#This Row],[LP Premium]] &gt; 0,SnapshotTable[[#This Row],[LP Exp Date]]-MAX(SnapshotTable[[#This Row],[LP Book Date]], SnapshotTable[[#This Row],[LP Fill Date]]),"")</f>
        <v/>
      </c>
      <c r="BN57" s="385" t="str">
        <f>IF(ISNUMBER( SnapshotTable[[#This Row],[LP Term]]), SnapshotTable[[#This Row],[LP Exp Date]] - MockToday,"")</f>
        <v/>
      </c>
      <c r="BO57" s="163"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7"/>
      <c r="BU57" s="13"/>
      <c r="BV57" s="5"/>
      <c r="BW57" s="419" t="b">
        <f>AND(ISNUMBER(SnapshotTable[[#This Row],[SP Exp Date]]), ISNUMBER(SnapshotTable[[#This Row],[SP Strike Price]]), ISNUMBER(SnapshotTable[[#This Row],[SP Qty]]), ISNUMBER(SnapshotTable[[#This Row],[SP Book Date]]), ISNUMBER(SnapshotTable[[#This Row],[SP Book Price]]))</f>
        <v>0</v>
      </c>
      <c r="BX57" s="419" t="b">
        <f>AND(SnapshotTable[[#This Row],[SP Is Booked]], NOT(ISBLANK(SnapshotTable[[#This Row],[SP Fill Date]])))</f>
        <v>0</v>
      </c>
      <c r="BY57" s="33">
        <f>IF(SnapshotTable[[#This Row],[SP Is Booked]], SnapshotTable[[#This Row],[SP Qty]] * SnapshotTable[[#This Row],[SP Book Price]] * 100, 0)</f>
        <v>0</v>
      </c>
      <c r="BZ57" s="369"/>
      <c r="CA57" s="368">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3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44">
        <v>0.5</v>
      </c>
      <c r="CK57" s="31">
        <f>IF(ISNUMBER(SnapshotTable[[#This Row],[SP Potential Spend]]),IF(ISNUMBER(SnapshotTable[[#This Row],[SP POW]]), SnapshotTable[[#This Row],[SP POW]] * SnapshotTable[[#This Row],[SP Potential Spend]], SnapshotTable[[#This Row],[SP Potential Spend]]), "")</f>
        <v>0</v>
      </c>
      <c r="CL57" s="164">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4"/>
      <c r="CO57" s="369"/>
      <c r="CP57" s="4" t="str">
        <f>IF(SnapshotTable[[#This Row],[SP Is Filled]], btc_max_buyback_amount(SnapshotTable[[#This Row],[SP Fill Date]],SnapshotTable[[#This Row],[SP Exp Date]], SnapshotTable[[#This Row],[SP Book Price]]),"")</f>
        <v/>
      </c>
      <c r="CQ57" s="78"/>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5" t="str">
        <f>IF(SnapshotTable[[#This Row],[SP Is Filled]], btc_next_cutoff_date(SnapshotTable[[#This Row],[SP Fill Date]],SnapshotTable[[#This Row],[SP Exp Date]]),"")</f>
        <v/>
      </c>
      <c r="CT57" s="23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6"/>
      <c r="CV57" s="235"/>
      <c r="CW57" s="378"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294" t="str">
        <f>IF(ISNUMBER((SnapshotTable[[#This Row],[SP Total Value]])), SnapshotTable[[#This Row],[SP Gain Loss]] / SnapshotTable[[#This Row],[SP Premium]], "")</f>
        <v/>
      </c>
      <c r="DI57" s="406"/>
      <c r="DJ57" s="138"/>
      <c r="DK57" s="148"/>
      <c r="DL57" s="147"/>
      <c r="DM57" s="147"/>
      <c r="DN57" s="5"/>
      <c r="DO57" s="31">
        <f>IF(SnapshotTable[[#This Row],[LC Symbol Count]]=1, SnapshotTable[[#This Row],[LC Qty]] * SnapshotTable[[#This Row],[LC Book Price]] * 100, 0)</f>
        <v>0</v>
      </c>
      <c r="DP57" s="289" t="str">
        <f>IF(AND(SnapshotTable[[#This Row],[LC Exp Date]]&gt;0, SnapshotTable[[#This Row],[LC Strike Price]]&gt;0,SnapshotTable[[#This Row],[LC Qty]]&gt;0,SnapshotTable[[#This Row],[LC Book Date]]&gt;0,SnapshotTable[[#This Row],[LC Book Price]]&gt;0,SnapshotTable[[#This Row],[LC Fill Date]]=0),"Y","")</f>
        <v/>
      </c>
      <c r="DQ57" s="386" t="str">
        <f>IF(SnapshotTable[[#This Row],[LC Premium]] &gt; 0,SnapshotTable[[#This Row],[LC Exp Date]]-MAX(SnapshotTable[[#This Row],[LC Book Date]], SnapshotTable[[#This Row],[LC Fill Date]]),"")</f>
        <v/>
      </c>
      <c r="DR57" s="386" t="str">
        <f>IF(ISNUMBER(SnapshotTable[[#This Row],[LC Term]]), SnapshotTable[[#This Row],[LC Exp Date]] - MockToday, "")</f>
        <v/>
      </c>
      <c r="DS57" s="23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40" t="str">
        <f>IF(ISNUMBER(SnapshotTable[[#This Row],[LC Actual Gain Loss]]), SnapshotTable[[#This Row],[LC Actual Gain Loss]] / SnapshotTable[[#This Row],[LC Premium]],"")</f>
        <v/>
      </c>
      <c r="DX57" s="284"/>
      <c r="DY57" s="265" t="str">
        <f>IF(SnapshotTable[[#This Row],[LC Premium]]&gt;0, SnapshotTable[[#This Row],[LC Next Target]] * SnapshotTable[[#This Row],[LC Qty]] * 100,"")</f>
        <v/>
      </c>
      <c r="DZ57" s="265" t="str">
        <f>IF(ISNUMBER(SnapshotTable[[#This Row],[LC Target Gross]]), SnapshotTable[[#This Row],[LC Target Gross]] - SnapshotTable[[#This Row],[LC Premium]], "")</f>
        <v/>
      </c>
      <c r="EA57" s="305" t="str">
        <f>IF(ISNUMBER(SnapshotTable[[#This Row],[LC Target Gain Loss]]), SnapshotTable[[#This Row],[LC Target Gain Loss]]/SnapshotTable[[#This Row],[LC Premium]], "")</f>
        <v/>
      </c>
      <c r="EB57" s="262"/>
      <c r="EC57" s="283" t="str">
        <f>IF(SnapshotTable[[#This Row],[LC Premium]]&gt;0, SnapshotTable[[#This Row],[LC Book Price]] * (1 - LC_StopLoss_Pct),"")</f>
        <v/>
      </c>
      <c r="ED57" s="284"/>
      <c r="EE57" s="28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4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7"/>
      <c r="EL57" s="138"/>
      <c r="EM57" s="148"/>
      <c r="EN57" s="147"/>
      <c r="EO57" s="147"/>
      <c r="EP57" s="138"/>
      <c r="EQ57" s="419" t="b">
        <f>AND(ISNUMBER(SnapshotTable[[#This Row],[SC Exp Date]]), ISNUMBER(SnapshotTable[[#This Row],[SC Strike Price]]), ISNUMBER(SnapshotTable[[#This Row],[SC Qty]]), ISNUMBER(SnapshotTable[[#This Row],[SC Book Date]]), ISNUMBER(SnapshotTable[[#This Row],[SC Book Price]]))</f>
        <v>0</v>
      </c>
      <c r="ER57" s="419" t="b">
        <f>AND(SnapshotTable[[#This Row],[SC Is Booked]], NOT(ISBLANK(SnapshotTable[[#This Row],[SC Fill Date]])))</f>
        <v>0</v>
      </c>
      <c r="ES57" s="370"/>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3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283"/>
      <c r="FA57" s="218"/>
      <c r="FB57" s="370"/>
      <c r="FC57" s="4">
        <f>IF(SnapshotTable[[#This Row],[SC Is Filled]], btc_max_buyback_amount(SnapshotTable[[#This Row],[SC Fill Date]],SnapshotTable[[#This Row],[SC Exp Date]], SnapshotTable[[#This Row],[SC Book Price]]),0)</f>
        <v>0</v>
      </c>
      <c r="FD57" s="5"/>
      <c r="FE57" s="144"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382">
        <f>IF(SnapshotTable[[#This Row],[SC Is Filled]], IF(ISNUMBER(SnapshotTable[[#This Row],[SC Current Ask]]), SnapshotTable[[#This Row],[SC Current Ask]], SnapshotTable[[#This Row],[SC Book Price]]) - SnapshotTable[[#This Row],[SC Intrinsic Value]], 0)</f>
        <v>0</v>
      </c>
      <c r="FI57" s="143"/>
      <c r="FJ57" s="32" t="str">
        <f>IF(SnapshotTable[[#This Row],[SC Is Filled]],100 * SnapshotTable[[#This Row],[SC Qty]] * IF(ISNUMBER(SnapshotTable[[#This Row],[SC Buyback Override]]), SnapshotTable[[#This Row],[SC Buyback Override]], SnapshotTable[[#This Row],[SC Current Ask]]), "")</f>
        <v/>
      </c>
      <c r="FK57" s="250" t="str">
        <f>IF(SnapshotTable[[#This Row],[SC Time Val]]&gt;0, SnapshotTable[[#This Row],[SC Time Val]] / SnapshotTable[[#This Row],[Last Price]],"")</f>
        <v/>
      </c>
      <c r="FL57" s="302" t="str">
        <f>IF(SnapshotTable[[#This Row],[SC Is Booked]], ((SnapshotTable[[#This Row],[Last Price]] -SnapshotTable[[#This Row],[SC Strike Price]]) / SnapshotTable[[#This Row],[Last Price]]) * -1, "")</f>
        <v/>
      </c>
      <c r="FM57" s="157" t="str">
        <f>IF(SnapshotTable[[#This Row],[SC Is Booked]],  (SnapshotTable[[#This Row],[SC Qty]] * 100 * SnapshotTable[[#This Row],[SC Strike Price]]) - SnapshotTable[[#This Row],[SC Current Ask]], "")</f>
        <v/>
      </c>
      <c r="FN5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7"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33"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36" t="str">
        <f>IF(AND(ISNUMBER(SnapshotTable[[#This Row],[SC Simple ROO]]),SnapshotTable[[#This Row],[SC Simple ROO]] &gt; 0), SnapshotTable[[#This Row],[SC Premium]] + (SnapshotTable[[#This Row],[SC Qty]] * SnapshotTable[[#This Row],[SC Upside Potential]]), "")</f>
        <v/>
      </c>
      <c r="FX57" s="302" t="str" cm="1">
        <f t="array" ref="FX57">IF(ISNUMBER(SnapshotTable[[#This Row],[SC Max Dollars]]), annualize(SnapshotTable[[#This Row],[SC Term]],(SnapshotTable[[#This Row],[SC Max Dollars]]/SnapshotTable[[#This Row],[SC Basis]])),"")</f>
        <v/>
      </c>
      <c r="FY57" s="236" t="str">
        <f>IF(AND(SnapshotTable[[#This Row],[SC Qty]]&gt;0,SnapshotTable[[#This Row],[SC Current Ask]]&gt;0), SnapshotTable[[#This Row],[SC Qty]] * SnapshotTable[[#This Row],[SC Current Ask]] * -100, "")</f>
        <v/>
      </c>
      <c r="FZ57" s="235" t="str">
        <f>IF(ISNUMBER((SnapshotTable[[#This Row],[SC Current Value]])), SnapshotTable[[#This Row],[SC Premium]] + SnapshotTable[[#This Row],[SC Current Value]], "")</f>
        <v/>
      </c>
      <c r="GA57" s="29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346.827</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8" t="str">
        <f>IF(SnapshotTable[[#This Row],[Sale G/L]]&gt;0, SnapshotTable[[#This Row],[Sale G/L]] / SnapshotTable[[#This Row],[Sale Basis]], IF(ISNUMBER(SnapshotTable[[#This Row],[SC Exercise P&amp;L (TAX)]]), SnapshotTable[[#This Row],[SC Exercise P&amp;L (TAX)]] / SnapshotTable[[#This Row],[SC Basis]], ""))</f>
        <v/>
      </c>
      <c r="GK57" s="27" t="s">
        <v>1111</v>
      </c>
      <c r="GL57" s="159"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59" t="str">
        <f>IF(AND(SnapshotTable[[#This Row],[LC Exp Date]]&gt;0,SnapshotTable[[#This Row],[LC Strike Price]]&gt;0), [1]!ToOptionSymbol(SnapshotTable[[#This Row],[Symbol]], SnapshotTable[[#This Row],[LC Strike Price]],SnapshotTable[[#This Row],[LC Exp Date]],0), "")</f>
        <v/>
      </c>
      <c r="GQ57" s="160" t="str">
        <f>IF(LEN(SnapshotTable[[#This Row],[LC Symbol]])&gt;0, 1, "")</f>
        <v/>
      </c>
      <c r="GR57" s="159" t="str">
        <f>IF(AND(SnapshotTable[[#This Row],[SC Exp Date]]&gt;0,SnapshotTable[[#This Row],[SC Strike Price]]&gt;0), [1]!ToOptionSymbol(SnapshotTable[[#This Row],[Symbol]], SnapshotTable[[#This Row],[SC Strike Price]],SnapshotTable[[#This Row],[SC Exp Date]],0), "")</f>
        <v/>
      </c>
      <c r="GS57" s="160" t="str">
        <f>IF(LEN(SnapshotTable[[#This Row],[SC Symbol]])&gt;0, 1, "")</f>
        <v/>
      </c>
      <c r="GT57" s="161"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31">
        <f>MAX(SnapshotTable[[#This Row],[Equity Basis Total]],SnapshotTable[[#This Row],[Equity Value]]) + (SnapshotTable[[#This Row],[SP Potential Spend]]- SnapshotTable[[#This Row],[SP Premium]] + SnapshotTable[[#This Row],[LP Premium]])+ (SnapshotTable[[#This Row],[LC Premium]] - SnapshotTable[[#This Row],[SC Premium]])</f>
        <v>0</v>
      </c>
      <c r="GW57" s="139" t="str">
        <f>IF(AND(SnapshotTable[[#This Row],[Exposure]] &lt;&gt; 0),SnapshotTable[[#This Row],[Exposure]] / SnapshotTable[[#Totals],[Exposure]], "")</f>
        <v/>
      </c>
      <c r="GY57" s="381"/>
      <c r="HE57" s="268"/>
      <c r="HF57" s="268"/>
      <c r="HG57" s="381"/>
      <c r="HH57" s="381"/>
      <c r="HI57" s="381"/>
      <c r="HJ57" s="381"/>
    </row>
    <row r="58" spans="2:224" s="47" customFormat="1" ht="12.75" hidden="1" customHeight="1" x14ac:dyDescent="0.25">
      <c r="B58" s="12" t="s">
        <v>902</v>
      </c>
      <c r="C58" s="422">
        <v>71.03</v>
      </c>
      <c r="D58" s="208"/>
      <c r="E58" s="39">
        <f>SnapshotTable[[#This Row],[Last Price]]*(1 -CrashDiscount)</f>
        <v>60.375500000000002</v>
      </c>
      <c r="F58" s="26" t="s">
        <v>908</v>
      </c>
      <c r="G58" s="26" t="s">
        <v>872</v>
      </c>
      <c r="H58" s="149"/>
      <c r="I58" s="194">
        <v>44782.291666666664</v>
      </c>
      <c r="J58" s="195">
        <v>44782.291666666664</v>
      </c>
      <c r="K58" s="196"/>
      <c r="L58" s="326"/>
      <c r="M58" s="140"/>
      <c r="N58" s="140"/>
      <c r="O58" s="140"/>
      <c r="P58" s="22"/>
      <c r="Q58" s="25"/>
      <c r="R58" s="4" t="str">
        <f>IF(SnapshotTable[[#This Row],[Equity Basis Total]] &gt; 0, SnapshotTable[[#This Row],[Equity Basis Total]] / SnapshotTable[[#This Row],[Equity Shares]], "")</f>
        <v/>
      </c>
      <c r="S58" s="269">
        <f>SnapshotTable[[#This Row],[Last Price]] * SnapshotTable[[#This Row],[Equity Shares]]</f>
        <v>0</v>
      </c>
      <c r="T58" s="269">
        <f>SnapshotTable[[#This Row],[Equity Value]] - SnapshotTable[[#This Row],[Equity Basis Total]]</f>
        <v>0</v>
      </c>
      <c r="U58" s="270" t="str">
        <f>IF(SnapshotTable[[#This Row],[Equity Basis Total]] &gt; 0, SnapshotTable[[#This Row],[Equity G/L]] / SnapshotTable[[#This Row],[Equity Basis Total]], "")</f>
        <v/>
      </c>
      <c r="V58" s="268"/>
      <c r="W58" s="26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7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0"/>
      <c r="AD58" s="151"/>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1"/>
      <c r="AI58" s="5"/>
      <c r="AJ58" s="138">
        <v>47.15</v>
      </c>
      <c r="AK58" s="152" t="str">
        <f>IF(ISNUMBER( SnapshotTable[[#This Row],[EBF Target]]),(SnapshotTable[[#This Row],[EBF Target]] - SnapshotTable[[#This Row],[Last Price]]) / SnapshotTable[[#This Row],[Last Price]], "")</f>
        <v/>
      </c>
      <c r="AL58" s="152"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2">
        <f>IF(AND(ISNUMBER( SnapshotTable[[#This Row],[Long Term Target]]), ISNUMBER(SnapshotTable[[#This Row],[Last Price]])),(SnapshotTable[[#This Row],[Long Term Target]] - SnapshotTable[[#This Row],[Last Price]]) / SnapshotTable[[#This Row],[Last Price]], "")</f>
        <v>-0.33619597353231034</v>
      </c>
      <c r="AP58" s="5"/>
      <c r="AQ58" s="38"/>
      <c r="AR58" s="5"/>
      <c r="AS58" s="38"/>
      <c r="AT58" s="146"/>
      <c r="AU58" s="187" t="str">
        <f>IF(OR(SnapshotTable[[#This Row],[LP No Fill]]="Y",SnapshotTable[[#This Row],[SP Is Filled]],SnapshotTable[[#This Row],[LC Not Filled]]="Y",SnapshotTable[[#This Row],[SC Is Filled]]),"Y","")</f>
        <v/>
      </c>
      <c r="AV58" s="219"/>
      <c r="AW58" s="225"/>
      <c r="AX58" s="220"/>
      <c r="AY58" s="219" t="str">
        <f>IF(SnapshotTable[[#This Row],[Implied Move]]&gt;0, SnapshotTable[[#This Row],[Last Price]]-SnapshotTable[[#This Row],[Implied Move]],"")</f>
        <v/>
      </c>
      <c r="AZ58" s="219" t="str">
        <f>IF(SnapshotTable[[#This Row],[Implied Move]]&gt;0, SnapshotTable[[#This Row],[Last Price]] + SnapshotTable[[#This Row],[Implied Move]],"")</f>
        <v/>
      </c>
      <c r="BA58" s="331"/>
      <c r="BB58" s="347"/>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51"/>
      <c r="BE58" s="138"/>
      <c r="BF58" s="166"/>
      <c r="BG58" s="167"/>
      <c r="BH58" s="167"/>
      <c r="BI58" s="221"/>
      <c r="BJ58" s="153">
        <f>IF(SnapshotTable[[#This Row],[LP Qty]] &gt; 0, SnapshotTable[[#This Row],[LP Qty]] * SnapshotTable[[#This Row],[LP Book Price]] * 100,0)</f>
        <v>0</v>
      </c>
      <c r="BK58" s="136">
        <f>IF(SnapshotTable[[#This Row],[LP Premium]] &gt; 0, SnapshotTable[[#This Row],[LP Qty]] * SnapshotTable[[#This Row],[LP Strike Price]] * 100,0)</f>
        <v>0</v>
      </c>
      <c r="BL58" s="154"/>
      <c r="BM58" s="385" t="str">
        <f>IF(SnapshotTable[[#This Row],[LP Premium]] &gt; 0,SnapshotTable[[#This Row],[LP Exp Date]]-MAX(SnapshotTable[[#This Row],[LP Book Date]], SnapshotTable[[#This Row],[LP Fill Date]]),"")</f>
        <v/>
      </c>
      <c r="BN58" s="385" t="str">
        <f>IF(ISNUMBER( SnapshotTable[[#This Row],[LP Term]]), SnapshotTable[[#This Row],[LP Exp Date]] - MockToday,"")</f>
        <v/>
      </c>
      <c r="BO58" s="163"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7"/>
      <c r="BU58" s="13"/>
      <c r="BV58" s="5"/>
      <c r="BW58" s="419" t="b">
        <f>AND(ISNUMBER(SnapshotTable[[#This Row],[SP Exp Date]]), ISNUMBER(SnapshotTable[[#This Row],[SP Strike Price]]), ISNUMBER(SnapshotTable[[#This Row],[SP Qty]]), ISNUMBER(SnapshotTable[[#This Row],[SP Book Date]]), ISNUMBER(SnapshotTable[[#This Row],[SP Book Price]]))</f>
        <v>0</v>
      </c>
      <c r="BX58" s="419" t="b">
        <f>AND(SnapshotTable[[#This Row],[SP Is Booked]], NOT(ISBLANK(SnapshotTable[[#This Row],[SP Fill Date]])))</f>
        <v>0</v>
      </c>
      <c r="BY58" s="33">
        <f>IF(SnapshotTable[[#This Row],[SP Is Booked]], SnapshotTable[[#This Row],[SP Qty]] * SnapshotTable[[#This Row],[SP Book Price]] * 100, 0)</f>
        <v>0</v>
      </c>
      <c r="BZ58" s="369"/>
      <c r="CA58" s="368">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3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44"/>
      <c r="CK58" s="31">
        <f>IF(ISNUMBER(SnapshotTable[[#This Row],[SP Potential Spend]]),IF(ISNUMBER(SnapshotTable[[#This Row],[SP POW]]), SnapshotTable[[#This Row],[SP POW]] * SnapshotTable[[#This Row],[SP Potential Spend]], SnapshotTable[[#This Row],[SP Potential Spend]]), "")</f>
        <v>0</v>
      </c>
      <c r="CL58" s="164">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4"/>
      <c r="CO58" s="369"/>
      <c r="CP58" s="4" t="str">
        <f>IF(SnapshotTable[[#This Row],[SP Is Filled]], btc_max_buyback_amount(SnapshotTable[[#This Row],[SP Fill Date]],SnapshotTable[[#This Row],[SP Exp Date]], SnapshotTable[[#This Row],[SP Book Price]]),"")</f>
        <v/>
      </c>
      <c r="CQ58" s="78"/>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5" t="str">
        <f>IF(SnapshotTable[[#This Row],[SP Is Filled]], btc_next_cutoff_date(SnapshotTable[[#This Row],[SP Fill Date]],SnapshotTable[[#This Row],[SP Exp Date]]),"")</f>
        <v/>
      </c>
      <c r="CT58" s="23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6">
        <v>44883</v>
      </c>
      <c r="CV58" s="235"/>
      <c r="CW58" s="378"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294" t="str">
        <f>IF(ISNUMBER((SnapshotTable[[#This Row],[SP Total Value]])), SnapshotTable[[#This Row],[SP Gain Loss]] / SnapshotTable[[#This Row],[SP Premium]], "")</f>
        <v/>
      </c>
      <c r="DI58" s="406"/>
      <c r="DJ58" s="138"/>
      <c r="DK58" s="148"/>
      <c r="DL58" s="147"/>
      <c r="DM58" s="147"/>
      <c r="DN58" s="5"/>
      <c r="DO58" s="31">
        <f>IF(SnapshotTable[[#This Row],[LC Symbol Count]]=1, SnapshotTable[[#This Row],[LC Qty]] * SnapshotTable[[#This Row],[LC Book Price]] * 100, 0)</f>
        <v>0</v>
      </c>
      <c r="DP58" s="289" t="str">
        <f>IF(AND(SnapshotTable[[#This Row],[LC Exp Date]]&gt;0, SnapshotTable[[#This Row],[LC Strike Price]]&gt;0,SnapshotTable[[#This Row],[LC Qty]]&gt;0,SnapshotTable[[#This Row],[LC Book Date]]&gt;0,SnapshotTable[[#This Row],[LC Book Price]]&gt;0,SnapshotTable[[#This Row],[LC Fill Date]]=0),"Y","")</f>
        <v/>
      </c>
      <c r="DQ58" s="386" t="str">
        <f>IF(SnapshotTable[[#This Row],[LC Premium]] &gt; 0,SnapshotTable[[#This Row],[LC Exp Date]]-MAX(SnapshotTable[[#This Row],[LC Book Date]], SnapshotTable[[#This Row],[LC Fill Date]]),"")</f>
        <v/>
      </c>
      <c r="DR58" s="386" t="str">
        <f>IF(ISNUMBER(SnapshotTable[[#This Row],[LC Term]]), SnapshotTable[[#This Row],[LC Exp Date]] - MockToday, "")</f>
        <v/>
      </c>
      <c r="DS58" s="23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40" t="str">
        <f>IF(ISNUMBER(SnapshotTable[[#This Row],[LC Actual Gain Loss]]), SnapshotTable[[#This Row],[LC Actual Gain Loss]] / SnapshotTable[[#This Row],[LC Premium]],"")</f>
        <v/>
      </c>
      <c r="DX58" s="284" t="str">
        <f>IF(ISNUMBER(SnapshotTable[[#This Row],[LC Book Price]]),SnapshotTable[[#This Row],[LC Book Price]] * 1.5,"")</f>
        <v/>
      </c>
      <c r="DY58" s="265" t="str">
        <f>IF(SnapshotTable[[#This Row],[LC Premium]]&gt;0, SnapshotTable[[#This Row],[LC Next Target]] * SnapshotTable[[#This Row],[LC Qty]] * 100,"")</f>
        <v/>
      </c>
      <c r="DZ58" s="265" t="str">
        <f>IF(ISNUMBER(SnapshotTable[[#This Row],[LC Target Gross]]), SnapshotTable[[#This Row],[LC Target Gross]] - SnapshotTable[[#This Row],[LC Premium]], "")</f>
        <v/>
      </c>
      <c r="EA58" s="305" t="str">
        <f>IF(ISNUMBER(SnapshotTable[[#This Row],[LC Target Gain Loss]]), SnapshotTable[[#This Row],[LC Target Gain Loss]]/SnapshotTable[[#This Row],[LC Premium]], "")</f>
        <v/>
      </c>
      <c r="EB58" s="262"/>
      <c r="EC58" s="283" t="str">
        <f>IF(SnapshotTable[[#This Row],[LC Premium]]&gt;0, SnapshotTable[[#This Row],[LC Book Price]] * (1 - LC_StopLoss_Pct),"")</f>
        <v/>
      </c>
      <c r="ED58" s="284"/>
      <c r="EE58" s="28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4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7"/>
      <c r="EL58" s="138"/>
      <c r="EM58" s="148"/>
      <c r="EN58" s="147"/>
      <c r="EO58" s="147"/>
      <c r="EP58" s="138"/>
      <c r="EQ58" s="419" t="b">
        <f>AND(ISNUMBER(SnapshotTable[[#This Row],[SC Exp Date]]), ISNUMBER(SnapshotTable[[#This Row],[SC Strike Price]]), ISNUMBER(SnapshotTable[[#This Row],[SC Qty]]), ISNUMBER(SnapshotTable[[#This Row],[SC Book Date]]), ISNUMBER(SnapshotTable[[#This Row],[SC Book Price]]))</f>
        <v>0</v>
      </c>
      <c r="ER58" s="419" t="b">
        <f>AND(SnapshotTable[[#This Row],[SC Is Booked]], NOT(ISBLANK(SnapshotTable[[#This Row],[SC Fill Date]])))</f>
        <v>0</v>
      </c>
      <c r="ES58" s="370"/>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3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283"/>
      <c r="FA58" s="218"/>
      <c r="FB58" s="370"/>
      <c r="FC58" s="4">
        <f>IF(SnapshotTable[[#This Row],[SC Is Filled]], btc_max_buyback_amount(SnapshotTable[[#This Row],[SC Fill Date]],SnapshotTable[[#This Row],[SC Exp Date]], SnapshotTable[[#This Row],[SC Book Price]]),0)</f>
        <v>0</v>
      </c>
      <c r="FD58" s="5"/>
      <c r="FE58" s="144"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382">
        <f>IF(SnapshotTable[[#This Row],[SC Is Filled]], IF(ISNUMBER(SnapshotTable[[#This Row],[SC Current Ask]]), SnapshotTable[[#This Row],[SC Current Ask]], SnapshotTable[[#This Row],[SC Book Price]]) - SnapshotTable[[#This Row],[SC Intrinsic Value]], 0)</f>
        <v>0</v>
      </c>
      <c r="FI58" s="143"/>
      <c r="FJ58" s="32" t="str">
        <f>IF(SnapshotTable[[#This Row],[SC Is Filled]],100 * SnapshotTable[[#This Row],[SC Qty]] * IF(ISNUMBER(SnapshotTable[[#This Row],[SC Buyback Override]]), SnapshotTable[[#This Row],[SC Buyback Override]], SnapshotTable[[#This Row],[SC Current Ask]]), "")</f>
        <v/>
      </c>
      <c r="FK58" s="250" t="str">
        <f>IF(SnapshotTable[[#This Row],[SC Time Val]]&gt;0, SnapshotTable[[#This Row],[SC Time Val]] / SnapshotTable[[#This Row],[Last Price]],"")</f>
        <v/>
      </c>
      <c r="FL58" s="302" t="str">
        <f>IF(SnapshotTable[[#This Row],[SC Is Booked]], ((SnapshotTable[[#This Row],[Last Price]] -SnapshotTable[[#This Row],[SC Strike Price]]) / SnapshotTable[[#This Row],[Last Price]]) * -1, "")</f>
        <v/>
      </c>
      <c r="FM58" s="157" t="str">
        <f>IF(SnapshotTable[[#This Row],[SC Is Booked]],  (SnapshotTable[[#This Row],[SC Qty]] * 100 * SnapshotTable[[#This Row],[SC Strike Price]]) - SnapshotTable[[#This Row],[SC Current Ask]], "")</f>
        <v/>
      </c>
      <c r="FN5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7"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33"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36" t="str">
        <f>IF(AND(ISNUMBER(SnapshotTable[[#This Row],[SC Simple ROO]]),SnapshotTable[[#This Row],[SC Simple ROO]] &gt; 0), SnapshotTable[[#This Row],[SC Premium]] + (SnapshotTable[[#This Row],[SC Qty]] * SnapshotTable[[#This Row],[SC Upside Potential]]), "")</f>
        <v/>
      </c>
      <c r="FX58" s="302" t="str" cm="1">
        <f t="array" ref="FX58">IF(ISNUMBER(SnapshotTable[[#This Row],[SC Max Dollars]]), annualize(SnapshotTable[[#This Row],[SC Term]],(SnapshotTable[[#This Row],[SC Max Dollars]]/SnapshotTable[[#This Row],[SC Basis]])),"")</f>
        <v/>
      </c>
      <c r="FY58" s="236" t="str">
        <f>IF(AND(SnapshotTable[[#This Row],[SC Qty]]&gt;0,SnapshotTable[[#This Row],[SC Current Ask]]&gt;0), SnapshotTable[[#This Row],[SC Qty]] * SnapshotTable[[#This Row],[SC Current Ask]] * -100, "")</f>
        <v/>
      </c>
      <c r="FZ58" s="235" t="str">
        <f>IF(ISNUMBER((SnapshotTable[[#This Row],[SC Current Value]])), SnapshotTable[[#This Row],[SC Premium]] + SnapshotTable[[#This Row],[SC Current Value]], "")</f>
        <v/>
      </c>
      <c r="GA58" s="29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138.5085</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8" t="str">
        <f>IF(SnapshotTable[[#This Row],[Sale G/L]]&gt;0, SnapshotTable[[#This Row],[Sale G/L]] / SnapshotTable[[#This Row],[Sale Basis]], IF(ISNUMBER(SnapshotTable[[#This Row],[SC Exercise P&amp;L (TAX)]]), SnapshotTable[[#This Row],[SC Exercise P&amp;L (TAX)]] / SnapshotTable[[#This Row],[SC Basis]], ""))</f>
        <v/>
      </c>
      <c r="GK58" s="158"/>
      <c r="GL58" s="159"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59" t="str">
        <f>IF(AND(SnapshotTable[[#This Row],[LC Exp Date]]&gt;0,SnapshotTable[[#This Row],[LC Strike Price]]&gt;0), [1]!ToOptionSymbol(SnapshotTable[[#This Row],[Symbol]], SnapshotTable[[#This Row],[LC Strike Price]],SnapshotTable[[#This Row],[LC Exp Date]],0), "")</f>
        <v/>
      </c>
      <c r="GQ58" s="160" t="str">
        <f>IF(LEN(SnapshotTable[[#This Row],[LC Symbol]])&gt;0, 1, "")</f>
        <v/>
      </c>
      <c r="GR58" s="159" t="str">
        <f>IF(AND(SnapshotTable[[#This Row],[SC Exp Date]]&gt;0,SnapshotTable[[#This Row],[SC Strike Price]]&gt;0), [1]!ToOptionSymbol(SnapshotTable[[#This Row],[Symbol]], SnapshotTable[[#This Row],[SC Strike Price]],SnapshotTable[[#This Row],[SC Exp Date]],0), "")</f>
        <v/>
      </c>
      <c r="GS58" s="160" t="str">
        <f>IF(LEN(SnapshotTable[[#This Row],[SC Symbol]])&gt;0, 1, "")</f>
        <v/>
      </c>
      <c r="GT58" s="161"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31">
        <f>MAX(SnapshotTable[[#This Row],[Equity Basis Total]],SnapshotTable[[#This Row],[Equity Value]]) + (SnapshotTable[[#This Row],[SP Potential Spend]]- SnapshotTable[[#This Row],[SP Premium]] + SnapshotTable[[#This Row],[LP Premium]])+ (SnapshotTable[[#This Row],[LC Premium]] - SnapshotTable[[#This Row],[SC Premium]])</f>
        <v>0</v>
      </c>
      <c r="GW58" s="139" t="str">
        <f>IF(AND(SnapshotTable[[#This Row],[Exposure]] &lt;&gt; 0),SnapshotTable[[#This Row],[Exposure]] / SnapshotTable[[#Totals],[Exposure]], "")</f>
        <v/>
      </c>
      <c r="GY58" s="381"/>
      <c r="HE58" s="268"/>
      <c r="HF58" s="268"/>
      <c r="HG58" s="381"/>
      <c r="HH58" s="381"/>
      <c r="HI58" s="381"/>
      <c r="HJ58" s="381"/>
    </row>
    <row r="59" spans="2:224" s="47" customFormat="1" ht="12.75" hidden="1" customHeight="1" x14ac:dyDescent="0.25">
      <c r="B59" s="12" t="s">
        <v>962</v>
      </c>
      <c r="C59" s="422">
        <v>0.55000000000000004</v>
      </c>
      <c r="D59" s="208" t="s">
        <v>885</v>
      </c>
      <c r="E59" s="39">
        <f>SnapshotTable[[#This Row],[Last Price]]*(1 -CrashDiscount)</f>
        <v>0.46750000000000003</v>
      </c>
      <c r="F59" s="26" t="s">
        <v>907</v>
      </c>
      <c r="G59" s="26" t="s">
        <v>610</v>
      </c>
      <c r="H59" s="149"/>
      <c r="I59" s="194">
        <v>44781.666666666664</v>
      </c>
      <c r="J59" s="195">
        <v>44781.666666666664</v>
      </c>
      <c r="K59" s="196"/>
      <c r="L59" s="326" t="s">
        <v>152</v>
      </c>
      <c r="M59" s="140"/>
      <c r="N59" s="140"/>
      <c r="O59" s="140"/>
      <c r="P59" s="22"/>
      <c r="Q59" s="25"/>
      <c r="R59" s="4" t="str">
        <f>IF(SnapshotTable[[#This Row],[Equity Basis Total]] &gt; 0, SnapshotTable[[#This Row],[Equity Basis Total]] / SnapshotTable[[#This Row],[Equity Shares]], "")</f>
        <v/>
      </c>
      <c r="S59" s="269">
        <f>SnapshotTable[[#This Row],[Last Price]] * SnapshotTable[[#This Row],[Equity Shares]]</f>
        <v>0</v>
      </c>
      <c r="T59" s="269">
        <f>SnapshotTable[[#This Row],[Equity Value]] - SnapshotTable[[#This Row],[Equity Basis Total]]</f>
        <v>0</v>
      </c>
      <c r="U59" s="270" t="str">
        <f>IF(SnapshotTable[[#This Row],[Equity Basis Total]] &gt; 0, SnapshotTable[[#This Row],[Equity G/L]] / SnapshotTable[[#This Row],[Equity Basis Total]], "")</f>
        <v/>
      </c>
      <c r="V59" s="268"/>
      <c r="W59" s="26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7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0"/>
      <c r="AD59" s="151"/>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1"/>
      <c r="AI59" s="5"/>
      <c r="AJ59" s="138">
        <v>34.6</v>
      </c>
      <c r="AK59" s="152" t="str">
        <f>IF(ISNUMBER( SnapshotTable[[#This Row],[EBF Target]]),(SnapshotTable[[#This Row],[EBF Target]] - SnapshotTable[[#This Row],[Last Price]]) / SnapshotTable[[#This Row],[Last Price]], "")</f>
        <v/>
      </c>
      <c r="AL59" s="152"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2">
        <f>IF(AND(ISNUMBER( SnapshotTable[[#This Row],[Long Term Target]]), ISNUMBER(SnapshotTable[[#This Row],[Last Price]])),(SnapshotTable[[#This Row],[Long Term Target]] - SnapshotTable[[#This Row],[Last Price]]) / SnapshotTable[[#This Row],[Last Price]], "")</f>
        <v>61.909090909090914</v>
      </c>
      <c r="AP59" s="5">
        <v>37</v>
      </c>
      <c r="AQ59" s="38" t="s">
        <v>27</v>
      </c>
      <c r="AR59" s="5">
        <v>37</v>
      </c>
      <c r="AS59" s="38" t="s">
        <v>38</v>
      </c>
      <c r="AT59" s="146" t="s">
        <v>542</v>
      </c>
      <c r="AU59" s="187" t="str">
        <f>IF(OR(SnapshotTable[[#This Row],[LP No Fill]]="Y",SnapshotTable[[#This Row],[SP Is Filled]],SnapshotTable[[#This Row],[LC Not Filled]]="Y",SnapshotTable[[#This Row],[SC Is Filled]]),"Y","")</f>
        <v/>
      </c>
      <c r="AV59" s="219"/>
      <c r="AW59" s="225"/>
      <c r="AX59" s="220"/>
      <c r="AY59" s="219" t="str">
        <f>IF(SnapshotTable[[#This Row],[Implied Move]]&gt;0, SnapshotTable[[#This Row],[Last Price]]-SnapshotTable[[#This Row],[Implied Move]],"")</f>
        <v/>
      </c>
      <c r="AZ59" s="219" t="str">
        <f>IF(SnapshotTable[[#This Row],[Implied Move]]&gt;0, SnapshotTable[[#This Row],[Last Price]] + SnapshotTable[[#This Row],[Implied Move]],"")</f>
        <v/>
      </c>
      <c r="BA59" s="331">
        <v>43.41</v>
      </c>
      <c r="BB59" s="347" t="s">
        <v>988</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51"/>
      <c r="BE59" s="174"/>
      <c r="BF59" s="175"/>
      <c r="BG59" s="176"/>
      <c r="BH59" s="176"/>
      <c r="BI59" s="5"/>
      <c r="BJ59" s="153">
        <f>IF(SnapshotTable[[#This Row],[LP Qty]] &gt; 0, SnapshotTable[[#This Row],[LP Qty]] * SnapshotTable[[#This Row],[LP Book Price]] * 100,0)</f>
        <v>0</v>
      </c>
      <c r="BK59" s="136">
        <f>IF(SnapshotTable[[#This Row],[LP Premium]] &gt; 0, SnapshotTable[[#This Row],[LP Qty]] * SnapshotTable[[#This Row],[LP Strike Price]] * 100,0)</f>
        <v>0</v>
      </c>
      <c r="BL59" s="154"/>
      <c r="BM59" s="385" t="str">
        <f>IF(SnapshotTable[[#This Row],[LP Premium]] &gt; 0,SnapshotTable[[#This Row],[LP Exp Date]]-MAX(SnapshotTable[[#This Row],[LP Book Date]], SnapshotTable[[#This Row],[LP Fill Date]]),"")</f>
        <v/>
      </c>
      <c r="BN59" s="385" t="str">
        <f>IF(ISNUMBER( SnapshotTable[[#This Row],[LP Term]]), SnapshotTable[[#This Row],[LP Exp Date]] - MockToday,"")</f>
        <v/>
      </c>
      <c r="BO59" s="163"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7"/>
      <c r="BU59" s="13"/>
      <c r="BV59" s="5"/>
      <c r="BW59" s="419" t="b">
        <f>AND(ISNUMBER(SnapshotTable[[#This Row],[SP Exp Date]]), ISNUMBER(SnapshotTable[[#This Row],[SP Strike Price]]), ISNUMBER(SnapshotTable[[#This Row],[SP Qty]]), ISNUMBER(SnapshotTable[[#This Row],[SP Book Date]]), ISNUMBER(SnapshotTable[[#This Row],[SP Book Price]]))</f>
        <v>0</v>
      </c>
      <c r="BX59" s="419" t="b">
        <f>AND(SnapshotTable[[#This Row],[SP Is Booked]], NOT(ISBLANK(SnapshotTable[[#This Row],[SP Fill Date]])))</f>
        <v>0</v>
      </c>
      <c r="BY59" s="33">
        <f>IF(SnapshotTable[[#This Row],[SP Is Booked]], SnapshotTable[[#This Row],[SP Qty]] * SnapshotTable[[#This Row],[SP Book Price]] * 100, 0)</f>
        <v>0</v>
      </c>
      <c r="BZ59" s="369"/>
      <c r="CA59" s="368">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3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44"/>
      <c r="CK59" s="31">
        <f>IF(ISNUMBER(SnapshotTable[[#This Row],[SP Potential Spend]]),IF(ISNUMBER(SnapshotTable[[#This Row],[SP POW]]), SnapshotTable[[#This Row],[SP POW]] * SnapshotTable[[#This Row],[SP Potential Spend]], SnapshotTable[[#This Row],[SP Potential Spend]]), "")</f>
        <v>0</v>
      </c>
      <c r="CL59" s="164">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4"/>
      <c r="CO59" s="369"/>
      <c r="CP59" s="4" t="str">
        <f>IF(SnapshotTable[[#This Row],[SP Is Filled]], btc_max_buyback_amount(SnapshotTable[[#This Row],[SP Fill Date]],SnapshotTable[[#This Row],[SP Exp Date]], SnapshotTable[[#This Row],[SP Book Price]]),"")</f>
        <v/>
      </c>
      <c r="CQ59" s="78"/>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5" t="str">
        <f>IF(SnapshotTable[[#This Row],[SP Is Filled]], btc_next_cutoff_date(SnapshotTable[[#This Row],[SP Fill Date]],SnapshotTable[[#This Row],[SP Exp Date]]),"")</f>
        <v/>
      </c>
      <c r="CT59" s="23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6">
        <v>44883</v>
      </c>
      <c r="CV59" s="235"/>
      <c r="CW59" s="378"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294" t="str">
        <f>IF(ISNUMBER((SnapshotTable[[#This Row],[SP Total Value]])), SnapshotTable[[#This Row],[SP Gain Loss]] / SnapshotTable[[#This Row],[SP Premium]], "")</f>
        <v/>
      </c>
      <c r="DI59" s="406"/>
      <c r="DJ59" s="138"/>
      <c r="DK59" s="148"/>
      <c r="DL59" s="13"/>
      <c r="DM59" s="13"/>
      <c r="DN59" s="5"/>
      <c r="DO59" s="31">
        <f>IF(SnapshotTable[[#This Row],[LC Symbol Count]]=1, SnapshotTable[[#This Row],[LC Qty]] * SnapshotTable[[#This Row],[LC Book Price]] * 100, 0)</f>
        <v>0</v>
      </c>
      <c r="DP59" s="163" t="str">
        <f>IF(AND(SnapshotTable[[#This Row],[LC Exp Date]]&gt;0, SnapshotTable[[#This Row],[LC Strike Price]]&gt;0,SnapshotTable[[#This Row],[LC Qty]]&gt;0,SnapshotTable[[#This Row],[LC Book Date]]&gt;0,SnapshotTable[[#This Row],[LC Book Price]]&gt;0,SnapshotTable[[#This Row],[LC Fill Date]]=0),"Y","")</f>
        <v/>
      </c>
      <c r="DQ59" s="386" t="str">
        <f>IF(SnapshotTable[[#This Row],[LC Premium]] &gt; 0,SnapshotTable[[#This Row],[LC Exp Date]]-MAX(SnapshotTable[[#This Row],[LC Book Date]], SnapshotTable[[#This Row],[LC Fill Date]]),"")</f>
        <v/>
      </c>
      <c r="DR59" s="386" t="str">
        <f>IF(ISNUMBER(SnapshotTable[[#This Row],[LC Term]]), SnapshotTable[[#This Row],[LC Exp Date]] - MockToday, "")</f>
        <v/>
      </c>
      <c r="DS59" s="23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40" t="str">
        <f>IF(ISNUMBER(SnapshotTable[[#This Row],[LC Actual Gain Loss]]), SnapshotTable[[#This Row],[LC Actual Gain Loss]] / SnapshotTable[[#This Row],[LC Premium]],"")</f>
        <v/>
      </c>
      <c r="DX59" s="284" t="str">
        <f>IF(ISNUMBER(SnapshotTable[[#This Row],[LC Book Price]]),SnapshotTable[[#This Row],[LC Book Price]] * 1.5,"")</f>
        <v/>
      </c>
      <c r="DY59" s="265" t="str">
        <f>IF(SnapshotTable[[#This Row],[LC Premium]]&gt;0, SnapshotTable[[#This Row],[LC Next Target]] * SnapshotTable[[#This Row],[LC Qty]] * 100,"")</f>
        <v/>
      </c>
      <c r="DZ59" s="265" t="str">
        <f>IF(ISNUMBER(SnapshotTable[[#This Row],[LC Target Gross]]), SnapshotTable[[#This Row],[LC Target Gross]] - SnapshotTable[[#This Row],[LC Premium]], "")</f>
        <v/>
      </c>
      <c r="EA59" s="305" t="str">
        <f>IF(ISNUMBER(SnapshotTable[[#This Row],[LC Target Gain Loss]]), SnapshotTable[[#This Row],[LC Target Gain Loss]]/SnapshotTable[[#This Row],[LC Premium]], "")</f>
        <v/>
      </c>
      <c r="EB59" s="262"/>
      <c r="EC59" s="283" t="str">
        <f>IF(SnapshotTable[[#This Row],[LC Premium]]&gt;0, SnapshotTable[[#This Row],[LC Book Price]] * (1 - LC_StopLoss_Pct),"")</f>
        <v/>
      </c>
      <c r="ED59" s="284"/>
      <c r="EE59" s="28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4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7"/>
      <c r="EL59" s="138"/>
      <c r="EM59" s="148"/>
      <c r="EN59" s="147"/>
      <c r="EO59" s="147"/>
      <c r="EP59" s="138"/>
      <c r="EQ59" s="419" t="b">
        <f>AND(ISNUMBER(SnapshotTable[[#This Row],[SC Exp Date]]), ISNUMBER(SnapshotTable[[#This Row],[SC Strike Price]]), ISNUMBER(SnapshotTable[[#This Row],[SC Qty]]), ISNUMBER(SnapshotTable[[#This Row],[SC Book Date]]), ISNUMBER(SnapshotTable[[#This Row],[SC Book Price]]))</f>
        <v>0</v>
      </c>
      <c r="ER59" s="419" t="b">
        <f>AND(SnapshotTable[[#This Row],[SC Is Booked]], NOT(ISBLANK(SnapshotTable[[#This Row],[SC Fill Date]])))</f>
        <v>0</v>
      </c>
      <c r="ES59" s="370"/>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3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283"/>
      <c r="FA59" s="218"/>
      <c r="FB59" s="370"/>
      <c r="FC59" s="4">
        <f>IF(SnapshotTable[[#This Row],[SC Is Filled]], btc_max_buyback_amount(SnapshotTable[[#This Row],[SC Fill Date]],SnapshotTable[[#This Row],[SC Exp Date]], SnapshotTable[[#This Row],[SC Book Price]]),0)</f>
        <v>0</v>
      </c>
      <c r="FD59" s="5"/>
      <c r="FE59" s="144"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382">
        <f>IF(SnapshotTable[[#This Row],[SC Is Filled]], IF(ISNUMBER(SnapshotTable[[#This Row],[SC Current Ask]]), SnapshotTable[[#This Row],[SC Current Ask]], SnapshotTable[[#This Row],[SC Book Price]]) - SnapshotTable[[#This Row],[SC Intrinsic Value]], 0)</f>
        <v>0</v>
      </c>
      <c r="FI59" s="143"/>
      <c r="FJ59" s="32" t="str">
        <f>IF(SnapshotTable[[#This Row],[SC Is Filled]],100 * SnapshotTable[[#This Row],[SC Qty]] * IF(ISNUMBER(SnapshotTable[[#This Row],[SC Buyback Override]]), SnapshotTable[[#This Row],[SC Buyback Override]], SnapshotTable[[#This Row],[SC Current Ask]]), "")</f>
        <v/>
      </c>
      <c r="FK59" s="250" t="str">
        <f>IF(SnapshotTable[[#This Row],[SC Time Val]]&gt;0, SnapshotTable[[#This Row],[SC Time Val]] / SnapshotTable[[#This Row],[Last Price]],"")</f>
        <v/>
      </c>
      <c r="FL59" s="302" t="str">
        <f>IF(SnapshotTable[[#This Row],[SC Is Booked]], ((SnapshotTable[[#This Row],[Last Price]] -SnapshotTable[[#This Row],[SC Strike Price]]) / SnapshotTable[[#This Row],[Last Price]]) * -1, "")</f>
        <v/>
      </c>
      <c r="FM59" s="157" t="str">
        <f>IF(SnapshotTable[[#This Row],[SC Is Booked]],  (SnapshotTable[[#This Row],[SC Qty]] * 100 * SnapshotTable[[#This Row],[SC Strike Price]]) - SnapshotTable[[#This Row],[SC Current Ask]], "")</f>
        <v/>
      </c>
      <c r="FN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7"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33"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36" t="str">
        <f>IF(AND(ISNUMBER(SnapshotTable[[#This Row],[SC Simple ROO]]),SnapshotTable[[#This Row],[SC Simple ROO]] &gt; 0), SnapshotTable[[#This Row],[SC Premium]] + (SnapshotTable[[#This Row],[SC Qty]] * SnapshotTable[[#This Row],[SC Upside Potential]]), "")</f>
        <v/>
      </c>
      <c r="FX59" s="302" t="str" cm="1">
        <f t="array" ref="FX59">IF(ISNUMBER(SnapshotTable[[#This Row],[SC Max Dollars]]), annualize(SnapshotTable[[#This Row],[SC Term]],(SnapshotTable[[#This Row],[SC Max Dollars]]/SnapshotTable[[#This Row],[SC Basis]])),"")</f>
        <v/>
      </c>
      <c r="FY59" s="23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294" t="str">
        <f>IFERROR( IF(ISNUMBER((SnapshotTable[[#This Row],[SC Current Value]])), SnapshotTable[[#This Row],[SC Gain Loss]] / SnapshotTable[[#This Row],[SC Premium]], ""), "")</f>
        <v/>
      </c>
      <c r="GB59" s="177">
        <f>SnapshotTable[[#This Row],[Equity Shares]] * SaleSharesToConsiderPercentage</f>
        <v>0</v>
      </c>
      <c r="GC59" s="178">
        <f>SnapshotTable[[#This Row],[Long Term Target]] * SellingPriceToConsiderBasedOnTargetPercentage</f>
        <v>32.869999999999997</v>
      </c>
      <c r="GD59" s="178">
        <f>SnapshotTable[[#This Row],[Last Price]] * (1+ SellingPriceToConsiderBasedOnTargetPercentage)</f>
        <v>1.0725</v>
      </c>
      <c r="GE59" s="179"/>
      <c r="GF59" s="178"/>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8" t="str">
        <f>IF(SnapshotTable[[#This Row],[Sale G/L]]&gt;0, SnapshotTable[[#This Row],[Sale G/L]] / SnapshotTable[[#This Row],[Sale Basis]], IF(ISNUMBER(SnapshotTable[[#This Row],[SC Exercise P&amp;L (TAX)]]), SnapshotTable[[#This Row],[SC Exercise P&amp;L (TAX)]] / SnapshotTable[[#This Row],[SC Basis]], ""))</f>
        <v/>
      </c>
      <c r="GK59" s="158"/>
      <c r="GL59" s="159"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59" t="str">
        <f>IF(AND(SnapshotTable[[#This Row],[LC Exp Date]]&gt;0,SnapshotTable[[#This Row],[LC Strike Price]]&gt;0), [1]!ToOptionSymbol(SnapshotTable[[#This Row],[Symbol]], SnapshotTable[[#This Row],[LC Strike Price]],SnapshotTable[[#This Row],[LC Exp Date]],0), "")</f>
        <v/>
      </c>
      <c r="GQ59" s="160" t="str">
        <f>IF(LEN(SnapshotTable[[#This Row],[LC Symbol]])&gt;0, 1, "")</f>
        <v/>
      </c>
      <c r="GR59" s="159" t="str">
        <f>IF(AND(SnapshotTable[[#This Row],[SC Exp Date]]&gt;0,SnapshotTable[[#This Row],[SC Strike Price]]&gt;0), [1]!ToOptionSymbol(SnapshotTable[[#This Row],[Symbol]], SnapshotTable[[#This Row],[SC Strike Price]],SnapshotTable[[#This Row],[SC Exp Date]],0), "")</f>
        <v/>
      </c>
      <c r="GS59" s="160" t="str">
        <f>IF(LEN(SnapshotTable[[#This Row],[SC Symbol]])&gt;0, 1, "")</f>
        <v/>
      </c>
      <c r="GT59" s="161"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31">
        <f>MAX(SnapshotTable[[#This Row],[Equity Basis Total]],SnapshotTable[[#This Row],[Equity Value]]) + (SnapshotTable[[#This Row],[SP Potential Spend]]- SnapshotTable[[#This Row],[SP Premium]] + SnapshotTable[[#This Row],[LP Premium]])+ (SnapshotTable[[#This Row],[LC Premium]] - SnapshotTable[[#This Row],[SC Premium]])</f>
        <v>0</v>
      </c>
      <c r="GW59" s="139" t="str">
        <f>IF(AND(SnapshotTable[[#This Row],[Exposure]] &lt;&gt; 0),SnapshotTable[[#This Row],[Exposure]] / SnapshotTable[[#Totals],[Exposure]], "")</f>
        <v/>
      </c>
      <c r="GY59" s="381"/>
      <c r="HE59" s="268"/>
      <c r="HF59" s="268"/>
      <c r="HG59" s="381"/>
      <c r="HH59" s="381"/>
      <c r="HI59" s="381"/>
      <c r="HJ59" s="381"/>
    </row>
    <row r="60" spans="2:224" ht="12.75" hidden="1" customHeight="1" x14ac:dyDescent="0.25">
      <c r="B60" s="12" t="s">
        <v>573</v>
      </c>
      <c r="C60" s="422">
        <v>60.76</v>
      </c>
      <c r="D60" s="208"/>
      <c r="E60" s="39">
        <f>SnapshotTable[[#This Row],[Last Price]]*(1 -CrashDiscount)</f>
        <v>51.645999999999994</v>
      </c>
      <c r="F60" s="26" t="s">
        <v>941</v>
      </c>
      <c r="G60" s="26" t="s">
        <v>49</v>
      </c>
      <c r="H60" s="149"/>
      <c r="I60" s="194">
        <v>44771.291666666664</v>
      </c>
      <c r="J60" s="195">
        <v>44771.291666666664</v>
      </c>
      <c r="K60" s="196"/>
      <c r="L60" s="326" t="s">
        <v>837</v>
      </c>
      <c r="M60" s="140">
        <v>1</v>
      </c>
      <c r="N60" s="140"/>
      <c r="O60" s="140"/>
      <c r="P60" s="22"/>
      <c r="Q60" s="25"/>
      <c r="R60" s="4" t="str">
        <f>IF(SnapshotTable[[#This Row],[Equity Basis Total]] &gt; 0, SnapshotTable[[#This Row],[Equity Basis Total]] / SnapshotTable[[#This Row],[Equity Shares]], "")</f>
        <v/>
      </c>
      <c r="S60" s="269">
        <f>SnapshotTable[[#This Row],[Last Price]] * SnapshotTable[[#This Row],[Equity Shares]]</f>
        <v>0</v>
      </c>
      <c r="T60" s="269">
        <f>SnapshotTable[[#This Row],[Equity Value]] - SnapshotTable[[#This Row],[Equity Basis Total]]</f>
        <v>0</v>
      </c>
      <c r="U60" s="270" t="str">
        <f>IF(SnapshotTable[[#This Row],[Equity Basis Total]] &gt; 0, SnapshotTable[[#This Row],[Equity G/L]] / SnapshotTable[[#This Row],[Equity Basis Total]], "")</f>
        <v/>
      </c>
      <c r="V60" s="268"/>
      <c r="W60" s="26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7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0"/>
      <c r="AD60" s="151"/>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1"/>
      <c r="AI60" s="5">
        <v>74</v>
      </c>
      <c r="AJ60" s="138">
        <v>72.680000000000007</v>
      </c>
      <c r="AK60" s="152">
        <f>IF(ISNUMBER( SnapshotTable[[#This Row],[EBF Target]]),(SnapshotTable[[#This Row],[EBF Target]] - SnapshotTable[[#This Row],[Last Price]]) / SnapshotTable[[#This Row],[Last Price]], "")</f>
        <v>0.21790651744568798</v>
      </c>
      <c r="AL60" s="152"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2">
        <f>IF(AND(ISNUMBER( SnapshotTable[[#This Row],[Long Term Target]]), ISNUMBER(SnapshotTable[[#This Row],[Last Price]])),(SnapshotTable[[#This Row],[Long Term Target]] - SnapshotTable[[#This Row],[Last Price]]) / SnapshotTable[[#This Row],[Last Price]], "")</f>
        <v>0.1961816984858461</v>
      </c>
      <c r="AP60" s="5"/>
      <c r="AQ60" s="38"/>
      <c r="AR60" s="5"/>
      <c r="AS60" s="38"/>
      <c r="AT60" s="146"/>
      <c r="AU60" s="187" t="str">
        <f>IF(OR(SnapshotTable[[#This Row],[LP No Fill]]="Y",SnapshotTable[[#This Row],[SP Is Filled]],SnapshotTable[[#This Row],[LC Not Filled]]="Y",SnapshotTable[[#This Row],[SC Is Filled]]),"Y","")</f>
        <v/>
      </c>
      <c r="AV60" s="219"/>
      <c r="AW60" s="225"/>
      <c r="AX60" s="220"/>
      <c r="AY60" s="219" t="str">
        <f>IF(SnapshotTable[[#This Row],[Implied Move]]&gt;0, SnapshotTable[[#This Row],[Last Price]]-SnapshotTable[[#This Row],[Implied Move]],"")</f>
        <v/>
      </c>
      <c r="AZ60" s="219" t="str">
        <f>IF(SnapshotTable[[#This Row],[Implied Move]]&gt;0, SnapshotTable[[#This Row],[Last Price]] + SnapshotTable[[#This Row],[Implied Move]],"")</f>
        <v/>
      </c>
      <c r="BA60" s="331"/>
      <c r="BB60" s="347"/>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51"/>
      <c r="BE60" s="180"/>
      <c r="BF60" s="181"/>
      <c r="BG60" s="182"/>
      <c r="BH60" s="182"/>
      <c r="BI60" s="5"/>
      <c r="BJ60" s="153">
        <f>IF(SnapshotTable[[#This Row],[LP Qty]] &gt; 0, SnapshotTable[[#This Row],[LP Qty]] * SnapshotTable[[#This Row],[LP Book Price]] * 100,0)</f>
        <v>0</v>
      </c>
      <c r="BK60" s="136">
        <f>IF(SnapshotTable[[#This Row],[LP Premium]] &gt; 0, SnapshotTable[[#This Row],[LP Qty]] * SnapshotTable[[#This Row],[LP Strike Price]] * 100,0)</f>
        <v>0</v>
      </c>
      <c r="BL60" s="154"/>
      <c r="BM60" s="385" t="str">
        <f>IF(SnapshotTable[[#This Row],[LP Premium]] &gt; 0,SnapshotTable[[#This Row],[LP Exp Date]]-MAX(SnapshotTable[[#This Row],[LP Book Date]], SnapshotTable[[#This Row],[LP Fill Date]]),"")</f>
        <v/>
      </c>
      <c r="BN60" s="385" t="str">
        <f>IF(ISNUMBER( SnapshotTable[[#This Row],[LP Term]]), SnapshotTable[[#This Row],[LP Exp Date]] - MockToday,"")</f>
        <v/>
      </c>
      <c r="BO60" s="163"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7"/>
      <c r="BU60" s="13"/>
      <c r="BV60" s="5"/>
      <c r="BW60" s="419" t="b">
        <f>AND(ISNUMBER(SnapshotTable[[#This Row],[SP Exp Date]]), ISNUMBER(SnapshotTable[[#This Row],[SP Strike Price]]), ISNUMBER(SnapshotTable[[#This Row],[SP Qty]]), ISNUMBER(SnapshotTable[[#This Row],[SP Book Date]]), ISNUMBER(SnapshotTable[[#This Row],[SP Book Price]]))</f>
        <v>0</v>
      </c>
      <c r="BX60" s="419" t="b">
        <f>AND(SnapshotTable[[#This Row],[SP Is Booked]], NOT(ISBLANK(SnapshotTable[[#This Row],[SP Fill Date]])))</f>
        <v>0</v>
      </c>
      <c r="BY60" s="33">
        <f>IF(SnapshotTable[[#This Row],[SP Is Booked]], SnapshotTable[[#This Row],[SP Qty]] * SnapshotTable[[#This Row],[SP Book Price]] * 100, 0)</f>
        <v>0</v>
      </c>
      <c r="BZ60" s="369"/>
      <c r="CA60" s="368">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3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44"/>
      <c r="CK60" s="31">
        <f>IF(ISNUMBER(SnapshotTable[[#This Row],[SP Potential Spend]]),IF(ISNUMBER(SnapshotTable[[#This Row],[SP POW]]), SnapshotTable[[#This Row],[SP POW]] * SnapshotTable[[#This Row],[SP Potential Spend]], SnapshotTable[[#This Row],[SP Potential Spend]]), "")</f>
        <v>0</v>
      </c>
      <c r="CL60" s="164">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4"/>
      <c r="CO60" s="369"/>
      <c r="CP60" s="4" t="str">
        <f>IF(SnapshotTable[[#This Row],[SP Is Filled]], btc_max_buyback_amount(SnapshotTable[[#This Row],[SP Fill Date]],SnapshotTable[[#This Row],[SP Exp Date]], SnapshotTable[[#This Row],[SP Book Price]]),"")</f>
        <v/>
      </c>
      <c r="CQ60" s="78"/>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5" t="str">
        <f>IF(SnapshotTable[[#This Row],[SP Is Filled]], btc_next_cutoff_date(SnapshotTable[[#This Row],[SP Fill Date]],SnapshotTable[[#This Row],[SP Exp Date]]),"")</f>
        <v/>
      </c>
      <c r="CT60" s="23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6"/>
      <c r="CV60" s="235"/>
      <c r="CW60" s="378"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294" t="str">
        <f>IF(ISNUMBER((SnapshotTable[[#This Row],[SP Total Value]])), SnapshotTable[[#This Row],[SP Gain Loss]] / SnapshotTable[[#This Row],[SP Premium]], "")</f>
        <v/>
      </c>
      <c r="DI60" s="406"/>
      <c r="DJ60" s="138"/>
      <c r="DK60" s="148"/>
      <c r="DL60" s="13"/>
      <c r="DM60" s="13"/>
      <c r="DO60" s="31">
        <f>IF(SnapshotTable[[#This Row],[LC Symbol Count]]=1, SnapshotTable[[#This Row],[LC Qty]] * SnapshotTable[[#This Row],[LC Book Price]] * 100, 0)</f>
        <v>0</v>
      </c>
      <c r="DP60" s="163" t="str">
        <f>IF(AND(SnapshotTable[[#This Row],[LC Exp Date]]&gt;0, SnapshotTable[[#This Row],[LC Strike Price]]&gt;0,SnapshotTable[[#This Row],[LC Qty]]&gt;0,SnapshotTable[[#This Row],[LC Book Date]]&gt;0,SnapshotTable[[#This Row],[LC Book Price]]&gt;0,SnapshotTable[[#This Row],[LC Fill Date]]=0),"Y","")</f>
        <v/>
      </c>
      <c r="DQ60" s="386" t="str">
        <f>IF(SnapshotTable[[#This Row],[LC Premium]] &gt; 0,SnapshotTable[[#This Row],[LC Exp Date]]-MAX(SnapshotTable[[#This Row],[LC Book Date]], SnapshotTable[[#This Row],[LC Fill Date]]),"")</f>
        <v/>
      </c>
      <c r="DR60" s="386" t="str">
        <f>IF(ISNUMBER(SnapshotTable[[#This Row],[LC Term]]), SnapshotTable[[#This Row],[LC Exp Date]] - MockToday, "")</f>
        <v/>
      </c>
      <c r="DS60" s="23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40" t="str">
        <f>IF(ISNUMBER(SnapshotTable[[#This Row],[LC Actual Gain Loss]]), SnapshotTable[[#This Row],[LC Actual Gain Loss]] / SnapshotTable[[#This Row],[LC Premium]],"")</f>
        <v/>
      </c>
      <c r="DX60" s="284" t="str">
        <f>IF(ISNUMBER(SnapshotTable[[#This Row],[LC Book Price]]),SnapshotTable[[#This Row],[LC Book Price]] * 1.5,"")</f>
        <v/>
      </c>
      <c r="DY60" s="265" t="str">
        <f>IF(SnapshotTable[[#This Row],[LC Premium]]&gt;0, SnapshotTable[[#This Row],[LC Next Target]] * SnapshotTable[[#This Row],[LC Qty]] * 100,"")</f>
        <v/>
      </c>
      <c r="DZ60" s="265" t="str">
        <f>IF(ISNUMBER(SnapshotTable[[#This Row],[LC Target Gross]]), SnapshotTable[[#This Row],[LC Target Gross]] - SnapshotTable[[#This Row],[LC Premium]], "")</f>
        <v/>
      </c>
      <c r="EA60" s="305" t="str">
        <f>IF(ISNUMBER(SnapshotTable[[#This Row],[LC Target Gain Loss]]), SnapshotTable[[#This Row],[LC Target Gain Loss]]/SnapshotTable[[#This Row],[LC Premium]], "")</f>
        <v/>
      </c>
      <c r="EB60" s="262"/>
      <c r="EC60" s="283" t="str">
        <f>IF(SnapshotTable[[#This Row],[LC Premium]]&gt;0, SnapshotTable[[#This Row],[LC Book Price]] * (1 - LC_StopLoss_Pct),"")</f>
        <v/>
      </c>
      <c r="ED60" s="284"/>
      <c r="EE60" s="28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4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7"/>
      <c r="EL60" s="138"/>
      <c r="EM60" s="148"/>
      <c r="EN60" s="147"/>
      <c r="EO60" s="147"/>
      <c r="EP60" s="138"/>
      <c r="EQ60" s="419" t="b">
        <f>AND(ISNUMBER(SnapshotTable[[#This Row],[SC Exp Date]]), ISNUMBER(SnapshotTable[[#This Row],[SC Strike Price]]), ISNUMBER(SnapshotTable[[#This Row],[SC Qty]]), ISNUMBER(SnapshotTable[[#This Row],[SC Book Date]]), ISNUMBER(SnapshotTable[[#This Row],[SC Book Price]]))</f>
        <v>0</v>
      </c>
      <c r="ER60" s="419" t="b">
        <f>AND(SnapshotTable[[#This Row],[SC Is Booked]], NOT(ISBLANK(SnapshotTable[[#This Row],[SC Fill Date]])))</f>
        <v>0</v>
      </c>
      <c r="ES60" s="370"/>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3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283"/>
      <c r="FA60" s="218"/>
      <c r="FB60" s="370"/>
      <c r="FC60" s="4">
        <f>IF(SnapshotTable[[#This Row],[SC Is Filled]], btc_max_buyback_amount(SnapshotTable[[#This Row],[SC Fill Date]],SnapshotTable[[#This Row],[SC Exp Date]], SnapshotTable[[#This Row],[SC Book Price]]),0)</f>
        <v>0</v>
      </c>
      <c r="FD60" s="5"/>
      <c r="FE60" s="144"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382">
        <f>IF(SnapshotTable[[#This Row],[SC Is Filled]], IF(ISNUMBER(SnapshotTable[[#This Row],[SC Current Ask]]), SnapshotTable[[#This Row],[SC Current Ask]], SnapshotTable[[#This Row],[SC Book Price]]) - SnapshotTable[[#This Row],[SC Intrinsic Value]], 0)</f>
        <v>0</v>
      </c>
      <c r="FI60" s="143">
        <v>45786</v>
      </c>
      <c r="FJ60" s="32" t="str">
        <f>IF(SnapshotTable[[#This Row],[SC Is Filled]],100 * SnapshotTable[[#This Row],[SC Qty]] * IF(ISNUMBER(SnapshotTable[[#This Row],[SC Buyback Override]]), SnapshotTable[[#This Row],[SC Buyback Override]], SnapshotTable[[#This Row],[SC Current Ask]]), "")</f>
        <v/>
      </c>
      <c r="FK60" s="250" t="str">
        <f>IF(SnapshotTable[[#This Row],[SC Time Val]]&gt;0, SnapshotTable[[#This Row],[SC Time Val]] / SnapshotTable[[#This Row],[Last Price]],"")</f>
        <v/>
      </c>
      <c r="FL60" s="302" t="str">
        <f>IF(SnapshotTable[[#This Row],[SC Is Booked]], ((SnapshotTable[[#This Row],[Last Price]] -SnapshotTable[[#This Row],[SC Strike Price]]) / SnapshotTable[[#This Row],[Last Price]]) * -1, "")</f>
        <v/>
      </c>
      <c r="FM60" s="157" t="str">
        <f>IF(SnapshotTable[[#This Row],[SC Is Booked]],  (SnapshotTable[[#This Row],[SC Qty]] * 100 * SnapshotTable[[#This Row],[SC Strike Price]]) - SnapshotTable[[#This Row],[SC Current Ask]], "")</f>
        <v/>
      </c>
      <c r="FN6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7"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33"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36" t="str">
        <f>IF(AND(ISNUMBER(SnapshotTable[[#This Row],[SC Simple ROO]]),SnapshotTable[[#This Row],[SC Simple ROO]] &gt; 0), SnapshotTable[[#This Row],[SC Premium]] + (SnapshotTable[[#This Row],[SC Qty]] * SnapshotTable[[#This Row],[SC Upside Potential]]), "")</f>
        <v/>
      </c>
      <c r="FX60" s="302" t="str" cm="1">
        <f t="array" ref="FX60">IF(ISNUMBER(SnapshotTable[[#This Row],[SC Max Dollars]]), annualize(SnapshotTable[[#This Row],[SC Term]],(SnapshotTable[[#This Row],[SC Max Dollars]]/SnapshotTable[[#This Row],[SC Basis]])),"")</f>
        <v/>
      </c>
      <c r="FY60" s="23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294" t="str">
        <f>IFERROR( IF(ISNUMBER((SnapshotTable[[#This Row],[SC Current Value]])), SnapshotTable[[#This Row],[SC Gain Loss]] / SnapshotTable[[#This Row],[SC Premium]], ""), "")</f>
        <v/>
      </c>
      <c r="GB60" s="183">
        <f>SnapshotTable[[#This Row],[Equity Shares]] * SaleSharesToConsiderPercentage</f>
        <v>0</v>
      </c>
      <c r="GC60" s="184">
        <f>SnapshotTable[[#This Row],[Long Term Target]] * SellingPriceToConsiderBasedOnTargetPercentage</f>
        <v>69.046000000000006</v>
      </c>
      <c r="GD60" s="184">
        <f>SnapshotTable[[#This Row],[Last Price]] * (1+ SellingPriceToConsiderBasedOnTargetPercentage)</f>
        <v>118.482</v>
      </c>
      <c r="GE60" s="185"/>
      <c r="GF60" s="184"/>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8" t="str">
        <f>IF(SnapshotTable[[#This Row],[Sale G/L]]&gt;0, SnapshotTable[[#This Row],[Sale G/L]] / SnapshotTable[[#This Row],[Sale Basis]], IF(ISNUMBER(SnapshotTable[[#This Row],[SC Exercise P&amp;L (TAX)]]), SnapshotTable[[#This Row],[SC Exercise P&amp;L (TAX)]] / SnapshotTable[[#This Row],[SC Basis]], ""))</f>
        <v/>
      </c>
      <c r="GK60" s="158" t="s">
        <v>649</v>
      </c>
      <c r="GL60" s="159"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59" t="str">
        <f>IF(AND(SnapshotTable[[#This Row],[LC Exp Date]]&gt;0,SnapshotTable[[#This Row],[LC Strike Price]]&gt;0), [1]!ToOptionSymbol(SnapshotTable[[#This Row],[Symbol]], SnapshotTable[[#This Row],[LC Strike Price]],SnapshotTable[[#This Row],[LC Exp Date]],0), "")</f>
        <v/>
      </c>
      <c r="GQ60" s="160" t="str">
        <f>IF(LEN(SnapshotTable[[#This Row],[LC Symbol]])&gt;0, 1, "")</f>
        <v/>
      </c>
      <c r="GR60" s="159" t="str">
        <f>IF(AND(SnapshotTable[[#This Row],[SC Exp Date]]&gt;0,SnapshotTable[[#This Row],[SC Strike Price]]&gt;0), [1]!ToOptionSymbol(SnapshotTable[[#This Row],[Symbol]], SnapshotTable[[#This Row],[SC Strike Price]],SnapshotTable[[#This Row],[SC Exp Date]],0), "")</f>
        <v/>
      </c>
      <c r="GS60" s="160" t="str">
        <f>IF(LEN(SnapshotTable[[#This Row],[SC Symbol]])&gt;0, 1, "")</f>
        <v/>
      </c>
      <c r="GT60" s="161"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31">
        <f>MAX(SnapshotTable[[#This Row],[Equity Basis Total]],SnapshotTable[[#This Row],[Equity Value]]) + (SnapshotTable[[#This Row],[SP Potential Spend]]- SnapshotTable[[#This Row],[SP Premium]] + SnapshotTable[[#This Row],[LP Premium]])+ (SnapshotTable[[#This Row],[LC Premium]] - SnapshotTable[[#This Row],[SC Premium]])</f>
        <v>0</v>
      </c>
      <c r="GW60" s="139" t="str">
        <f>IF(AND(SnapshotTable[[#This Row],[Exposure]] &lt;&gt; 0),SnapshotTable[[#This Row],[Exposure]] / SnapshotTable[[#Totals],[Exposure]], "")</f>
        <v/>
      </c>
      <c r="HE60" s="268"/>
      <c r="HF60" s="268"/>
      <c r="HK60" s="1"/>
      <c r="HL60" s="1"/>
      <c r="HM60" s="1"/>
      <c r="HN60" s="1"/>
      <c r="HO60" s="1"/>
      <c r="HP60" s="1"/>
    </row>
    <row r="61" spans="2:224" s="47" customFormat="1" ht="12.75" hidden="1" customHeight="1" x14ac:dyDescent="0.25">
      <c r="B61" s="12" t="s">
        <v>116</v>
      </c>
      <c r="C61" s="422">
        <v>43.32</v>
      </c>
      <c r="D61" s="208" t="s">
        <v>586</v>
      </c>
      <c r="E61" s="39">
        <f>SnapshotTable[[#This Row],[Last Price]]*(1 -CrashDiscount)</f>
        <v>36.822000000000003</v>
      </c>
      <c r="F61" s="26" t="s">
        <v>1037</v>
      </c>
      <c r="G61" s="26" t="s">
        <v>822</v>
      </c>
      <c r="H61" s="149"/>
      <c r="I61" s="194">
        <v>44775.208333333336</v>
      </c>
      <c r="J61" s="195">
        <v>44775.208333333336</v>
      </c>
      <c r="K61" s="196"/>
      <c r="L61" s="326"/>
      <c r="M61" s="140"/>
      <c r="N61" s="140"/>
      <c r="O61" s="140"/>
      <c r="P61" s="22"/>
      <c r="Q61" s="25"/>
      <c r="R61" s="4" t="str">
        <f>IF(SnapshotTable[[#This Row],[Equity Basis Total]] &gt; 0, SnapshotTable[[#This Row],[Equity Basis Total]] / SnapshotTable[[#This Row],[Equity Shares]], "")</f>
        <v/>
      </c>
      <c r="S61" s="269">
        <f>SnapshotTable[[#This Row],[Last Price]] * SnapshotTable[[#This Row],[Equity Shares]]</f>
        <v>0</v>
      </c>
      <c r="T61" s="269">
        <f>SnapshotTable[[#This Row],[Equity Value]] - SnapshotTable[[#This Row],[Equity Basis Total]]</f>
        <v>0</v>
      </c>
      <c r="U61" s="270" t="str">
        <f>IF(SnapshotTable[[#This Row],[Equity Basis Total]] &gt; 0, SnapshotTable[[#This Row],[Equity G/L]] / SnapshotTable[[#This Row],[Equity Basis Total]], "")</f>
        <v/>
      </c>
      <c r="V61" s="268"/>
      <c r="W61" s="26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7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0">
        <v>2.3199999999999998</v>
      </c>
      <c r="AD61" s="151">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5.3554939981532775E-2</v>
      </c>
      <c r="AH61" s="151">
        <v>43964</v>
      </c>
      <c r="AI61" s="5"/>
      <c r="AJ61" s="138">
        <v>27.98</v>
      </c>
      <c r="AK61" s="152" t="str">
        <f>IF(ISNUMBER( SnapshotTable[[#This Row],[EBF Target]]),(SnapshotTable[[#This Row],[EBF Target]] - SnapshotTable[[#This Row],[Last Price]]) / SnapshotTable[[#This Row],[Last Price]], "")</f>
        <v/>
      </c>
      <c r="AL61" s="152"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2">
        <f>IF(AND(ISNUMBER( SnapshotTable[[#This Row],[Long Term Target]]), ISNUMBER(SnapshotTable[[#This Row],[Last Price]])),(SnapshotTable[[#This Row],[Long Term Target]] - SnapshotTable[[#This Row],[Last Price]]) / SnapshotTable[[#This Row],[Last Price]], "")</f>
        <v>-0.3541089566020314</v>
      </c>
      <c r="AP61" s="5"/>
      <c r="AQ61" s="38"/>
      <c r="AR61" s="5"/>
      <c r="AS61" s="38"/>
      <c r="AT61" s="146"/>
      <c r="AU61" s="187" t="str">
        <f>IF(OR(SnapshotTable[[#This Row],[LP No Fill]]="Y",SnapshotTable[[#This Row],[SP Is Filled]],SnapshotTable[[#This Row],[LC Not Filled]]="Y",SnapshotTable[[#This Row],[SC Is Filled]]),"Y","")</f>
        <v/>
      </c>
      <c r="AV61" s="219"/>
      <c r="AW61" s="225">
        <v>2.3839999999999999</v>
      </c>
      <c r="AX61" s="220">
        <v>43952</v>
      </c>
      <c r="AY61" s="219">
        <f>IF(SnapshotTable[[#This Row],[Implied Move]]&gt;0, SnapshotTable[[#This Row],[Last Price]]-SnapshotTable[[#This Row],[Implied Move]],"")</f>
        <v>40.936</v>
      </c>
      <c r="AZ61" s="219">
        <f>IF(SnapshotTable[[#This Row],[Implied Move]]&gt;0, SnapshotTable[[#This Row],[Last Price]] + SnapshotTable[[#This Row],[Implied Move]],"")</f>
        <v>45.704000000000001</v>
      </c>
      <c r="BA61" s="331"/>
      <c r="BB61" s="347"/>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51"/>
      <c r="BE61" s="5"/>
      <c r="BF61" s="14"/>
      <c r="BG61" s="13"/>
      <c r="BH61" s="13"/>
      <c r="BI61" s="5"/>
      <c r="BJ61" s="136">
        <f>IF(SnapshotTable[[#This Row],[LP Qty]] &gt; 0, SnapshotTable[[#This Row],[LP Qty]] * SnapshotTable[[#This Row],[LP Book Price]] * 100,0)</f>
        <v>0</v>
      </c>
      <c r="BK61" s="136">
        <f>IF(SnapshotTable[[#This Row],[LP Premium]] &gt; 0, SnapshotTable[[#This Row],[LP Qty]] * SnapshotTable[[#This Row],[LP Strike Price]] * 100,0)</f>
        <v>0</v>
      </c>
      <c r="BL61" s="154"/>
      <c r="BM61" s="385" t="str">
        <f>IF(SnapshotTable[[#This Row],[LP Premium]] &gt; 0,SnapshotTable[[#This Row],[LP Exp Date]]-MAX(SnapshotTable[[#This Row],[LP Book Date]], SnapshotTable[[#This Row],[LP Fill Date]]),"")</f>
        <v/>
      </c>
      <c r="BN61" s="385" t="str">
        <f>IF(ISNUMBER( SnapshotTable[[#This Row],[LP Term]]), SnapshotTable[[#This Row],[LP Exp Date]] - MockToday,"")</f>
        <v/>
      </c>
      <c r="BO61" s="163"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7"/>
      <c r="BU61" s="13"/>
      <c r="BV61" s="5"/>
      <c r="BW61" s="419" t="b">
        <f>AND(ISNUMBER(SnapshotTable[[#This Row],[SP Exp Date]]), ISNUMBER(SnapshotTable[[#This Row],[SP Strike Price]]), ISNUMBER(SnapshotTable[[#This Row],[SP Qty]]), ISNUMBER(SnapshotTable[[#This Row],[SP Book Date]]), ISNUMBER(SnapshotTable[[#This Row],[SP Book Price]]))</f>
        <v>0</v>
      </c>
      <c r="BX61" s="419" t="b">
        <f>AND(SnapshotTable[[#This Row],[SP Is Booked]], NOT(ISBLANK(SnapshotTable[[#This Row],[SP Fill Date]])))</f>
        <v>0</v>
      </c>
      <c r="BY61" s="33">
        <f>IF(SnapshotTable[[#This Row],[SP Is Booked]], SnapshotTable[[#This Row],[SP Qty]] * SnapshotTable[[#This Row],[SP Book Price]] * 100, 0)</f>
        <v>0</v>
      </c>
      <c r="BZ61" s="369"/>
      <c r="CA61" s="368">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3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44"/>
      <c r="CK61" s="31">
        <f>IF(ISNUMBER(SnapshotTable[[#This Row],[SP Potential Spend]]),IF(ISNUMBER(SnapshotTable[[#This Row],[SP POW]]), SnapshotTable[[#This Row],[SP POW]] * SnapshotTable[[#This Row],[SP Potential Spend]], SnapshotTable[[#This Row],[SP Potential Spend]]), "")</f>
        <v>0</v>
      </c>
      <c r="CL61" s="164">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8"/>
      <c r="CO61" s="369"/>
      <c r="CP61" s="4" t="str">
        <f>IF(SnapshotTable[[#This Row],[SP Is Filled]], btc_max_buyback_amount(SnapshotTable[[#This Row],[SP Fill Date]],SnapshotTable[[#This Row],[SP Exp Date]], SnapshotTable[[#This Row],[SP Book Price]]),"")</f>
        <v/>
      </c>
      <c r="CQ61" s="78"/>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5" t="str">
        <f>IF(SnapshotTable[[#This Row],[SP Is Filled]], btc_next_cutoff_date(SnapshotTable[[#This Row],[SP Fill Date]],SnapshotTable[[#This Row],[SP Exp Date]]),"")</f>
        <v/>
      </c>
      <c r="CT61" s="23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3"/>
      <c r="CV61" s="235"/>
      <c r="CW61" s="378"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294" t="str">
        <f>IF(ISNUMBER((SnapshotTable[[#This Row],[SP Total Value]])), SnapshotTable[[#This Row],[SP Gain Loss]] / SnapshotTable[[#This Row],[SP Premium]], "")</f>
        <v/>
      </c>
      <c r="DI61" s="406"/>
      <c r="DJ61" s="138"/>
      <c r="DK61" s="148"/>
      <c r="DL61" s="13"/>
      <c r="DM61" s="13"/>
      <c r="DN61" s="5"/>
      <c r="DO61" s="31">
        <f>IF(SnapshotTable[[#This Row],[LC Symbol Count]]=1, SnapshotTable[[#This Row],[LC Qty]] * SnapshotTable[[#This Row],[LC Book Price]] * 100, 0)</f>
        <v>0</v>
      </c>
      <c r="DP61" s="163" t="str">
        <f>IF(AND(SnapshotTable[[#This Row],[LC Exp Date]]&gt;0, SnapshotTable[[#This Row],[LC Strike Price]]&gt;0,SnapshotTable[[#This Row],[LC Qty]]&gt;0,SnapshotTable[[#This Row],[LC Book Date]]&gt;0,SnapshotTable[[#This Row],[LC Book Price]]&gt;0,SnapshotTable[[#This Row],[LC Fill Date]]=0),"Y","")</f>
        <v/>
      </c>
      <c r="DQ61" s="386" t="str">
        <f>IF(SnapshotTable[[#This Row],[LC Premium]] &gt; 0,SnapshotTable[[#This Row],[LC Exp Date]]-MAX(SnapshotTable[[#This Row],[LC Book Date]], SnapshotTable[[#This Row],[LC Fill Date]]),"")</f>
        <v/>
      </c>
      <c r="DR61" s="386" t="str">
        <f>IF(ISNUMBER(SnapshotTable[[#This Row],[LC Term]]), SnapshotTable[[#This Row],[LC Exp Date]] - MockToday, "")</f>
        <v/>
      </c>
      <c r="DS61" s="23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40" t="str">
        <f>IF(ISNUMBER(SnapshotTable[[#This Row],[LC Actual Gain Loss]]), SnapshotTable[[#This Row],[LC Actual Gain Loss]] / SnapshotTable[[#This Row],[LC Premium]],"")</f>
        <v/>
      </c>
      <c r="DX61" s="284" t="str">
        <f>IF(ISNUMBER(SnapshotTable[[#This Row],[LC Book Price]]),SnapshotTable[[#This Row],[LC Book Price]] * 1.5,"")</f>
        <v/>
      </c>
      <c r="DY61" s="265" t="str">
        <f>IF(SnapshotTable[[#This Row],[LC Premium]]&gt;0, SnapshotTable[[#This Row],[LC Next Target]] * SnapshotTable[[#This Row],[LC Qty]] * 100,"")</f>
        <v/>
      </c>
      <c r="DZ61" s="265" t="str">
        <f>IF(ISNUMBER(SnapshotTable[[#This Row],[LC Target Gross]]), SnapshotTable[[#This Row],[LC Target Gross]] - SnapshotTable[[#This Row],[LC Premium]], "")</f>
        <v/>
      </c>
      <c r="EA61" s="305" t="str">
        <f>IF(ISNUMBER(SnapshotTable[[#This Row],[LC Target Gain Loss]]), SnapshotTable[[#This Row],[LC Target Gain Loss]]/SnapshotTable[[#This Row],[LC Premium]], "")</f>
        <v/>
      </c>
      <c r="EB61" s="262"/>
      <c r="EC61" s="283" t="str">
        <f>IF(SnapshotTable[[#This Row],[LC Premium]]&gt;0, SnapshotTable[[#This Row],[LC Book Price]] * (1 - LC_StopLoss_Pct),"")</f>
        <v/>
      </c>
      <c r="ED61" s="284"/>
      <c r="EE61" s="28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4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7"/>
      <c r="EL61" s="138"/>
      <c r="EM61" s="148"/>
      <c r="EN61" s="147"/>
      <c r="EO61" s="147"/>
      <c r="EP61" s="138"/>
      <c r="EQ61" s="419" t="b">
        <f>AND(ISNUMBER(SnapshotTable[[#This Row],[SC Exp Date]]), ISNUMBER(SnapshotTable[[#This Row],[SC Strike Price]]), ISNUMBER(SnapshotTable[[#This Row],[SC Qty]]), ISNUMBER(SnapshotTable[[#This Row],[SC Book Date]]), ISNUMBER(SnapshotTable[[#This Row],[SC Book Price]]))</f>
        <v>0</v>
      </c>
      <c r="ER61" s="419" t="b">
        <f>AND(SnapshotTable[[#This Row],[SC Is Booked]], NOT(ISBLANK(SnapshotTable[[#This Row],[SC Fill Date]])))</f>
        <v>0</v>
      </c>
      <c r="ES61" s="370"/>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3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283"/>
      <c r="FA61" s="218"/>
      <c r="FB61" s="370"/>
      <c r="FC61" s="4">
        <f>IF(SnapshotTable[[#This Row],[SC Is Filled]], btc_max_buyback_amount(SnapshotTable[[#This Row],[SC Fill Date]],SnapshotTable[[#This Row],[SC Exp Date]], SnapshotTable[[#This Row],[SC Book Price]]),0)</f>
        <v>0</v>
      </c>
      <c r="FD61" s="5"/>
      <c r="FE61" s="144"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382">
        <f>IF(SnapshotTable[[#This Row],[SC Is Filled]], IF(ISNUMBER(SnapshotTable[[#This Row],[SC Current Ask]]), SnapshotTable[[#This Row],[SC Current Ask]], SnapshotTable[[#This Row],[SC Book Price]]) - SnapshotTable[[#This Row],[SC Intrinsic Value]], 0)</f>
        <v>0</v>
      </c>
      <c r="FI61" s="143"/>
      <c r="FJ61" s="32" t="str">
        <f>IF(SnapshotTable[[#This Row],[SC Is Filled]],100 * SnapshotTable[[#This Row],[SC Qty]] * IF(ISNUMBER(SnapshotTable[[#This Row],[SC Buyback Override]]), SnapshotTable[[#This Row],[SC Buyback Override]], SnapshotTable[[#This Row],[SC Current Ask]]), "")</f>
        <v/>
      </c>
      <c r="FK61" s="250" t="str">
        <f>IF(SnapshotTable[[#This Row],[SC Time Val]]&gt;0, SnapshotTable[[#This Row],[SC Time Val]] / SnapshotTable[[#This Row],[Last Price]],"")</f>
        <v/>
      </c>
      <c r="FL61" s="302" t="str">
        <f>IF(SnapshotTable[[#This Row],[SC Is Booked]], ((SnapshotTable[[#This Row],[Last Price]] -SnapshotTable[[#This Row],[SC Strike Price]]) / SnapshotTable[[#This Row],[Last Price]]) * -1, "")</f>
        <v/>
      </c>
      <c r="FM61" s="157"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33"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36" t="str">
        <f>IF(AND(ISNUMBER(SnapshotTable[[#This Row],[SC Simple ROO]]),SnapshotTable[[#This Row],[SC Simple ROO]] &gt; 0), SnapshotTable[[#This Row],[SC Premium]] + (SnapshotTable[[#This Row],[SC Qty]] * SnapshotTable[[#This Row],[SC Upside Potential]]), "")</f>
        <v/>
      </c>
      <c r="FX61" s="302" t="str" cm="1">
        <f t="array" ref="FX61">IF(ISNUMBER(SnapshotTable[[#This Row],[SC Max Dollars]]), annualize(SnapshotTable[[#This Row],[SC Term]],(SnapshotTable[[#This Row],[SC Max Dollars]]/SnapshotTable[[#This Row],[SC Basis]])),"")</f>
        <v/>
      </c>
      <c r="FY61" s="23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29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84.474000000000004</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672</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31">
        <f>MAX(SnapshotTable[[#This Row],[Equity Basis Total]],SnapshotTable[[#This Row],[Equity Value]]) + (SnapshotTable[[#This Row],[SP Potential Spend]]- SnapshotTable[[#This Row],[SP Premium]] + SnapshotTable[[#This Row],[LP Premium]])+ (SnapshotTable[[#This Row],[LC Premium]] - SnapshotTable[[#This Row],[SC Premium]])</f>
        <v>0</v>
      </c>
      <c r="GW61" s="139" t="str">
        <f>IF(AND(SnapshotTable[[#This Row],[Exposure]] &lt;&gt; 0),SnapshotTable[[#This Row],[Exposure]] / SnapshotTable[[#Totals],[Exposure]], "")</f>
        <v/>
      </c>
      <c r="GY61" s="381"/>
      <c r="HE61" s="268"/>
      <c r="HF61" s="268"/>
      <c r="HG61" s="381"/>
      <c r="HH61" s="381"/>
      <c r="HI61" s="381"/>
      <c r="HJ61" s="381"/>
    </row>
    <row r="62" spans="2:224" ht="12.75" hidden="1" customHeight="1" x14ac:dyDescent="0.25">
      <c r="B62" s="12" t="s">
        <v>952</v>
      </c>
      <c r="C62" s="422">
        <v>260.02</v>
      </c>
      <c r="D62" s="208" t="s">
        <v>586</v>
      </c>
      <c r="E62" s="39">
        <f>SnapshotTable[[#This Row],[Last Price]]*(1 -CrashDiscount)</f>
        <v>221.01699999999997</v>
      </c>
      <c r="F62" s="26" t="s">
        <v>953</v>
      </c>
      <c r="G62" s="325" t="s">
        <v>4</v>
      </c>
      <c r="H62" s="149"/>
      <c r="I62" s="194">
        <v>44774.333333333336</v>
      </c>
      <c r="J62" s="195">
        <v>44774.333333333336</v>
      </c>
      <c r="K62" s="196"/>
      <c r="L62" s="326"/>
      <c r="M62" s="140"/>
      <c r="N62" s="140"/>
      <c r="O62" s="140"/>
      <c r="P62" s="22"/>
      <c r="Q62" s="25"/>
      <c r="R62" s="4" t="str">
        <f>IF(SnapshotTable[[#This Row],[Equity Basis Total]] &gt; 0, SnapshotTable[[#This Row],[Equity Basis Total]] / SnapshotTable[[#This Row],[Equity Shares]], "")</f>
        <v/>
      </c>
      <c r="S62" s="269">
        <f>SnapshotTable[[#This Row],[Last Price]] * SnapshotTable[[#This Row],[Equity Shares]]</f>
        <v>0</v>
      </c>
      <c r="T62" s="269">
        <f>SnapshotTable[[#This Row],[Equity Value]] - SnapshotTable[[#This Row],[Equity Basis Total]]</f>
        <v>0</v>
      </c>
      <c r="U62" s="270" t="str">
        <f>IF(SnapshotTable[[#This Row],[Equity Basis Total]] &gt; 0, SnapshotTable[[#This Row],[Equity G/L]] / SnapshotTable[[#This Row],[Equity Basis Total]], "")</f>
        <v/>
      </c>
      <c r="V62" s="268"/>
      <c r="W62" s="26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7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0"/>
      <c r="AD62" s="151"/>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1"/>
      <c r="AI62" s="5"/>
      <c r="AJ62" s="138">
        <v>260</v>
      </c>
      <c r="AK62" s="152" t="str">
        <f>IF(ISNUMBER( SnapshotTable[[#This Row],[EBF Target]]),(SnapshotTable[[#This Row],[EBF Target]] - SnapshotTable[[#This Row],[Last Price]]) / SnapshotTable[[#This Row],[Last Price]], "")</f>
        <v/>
      </c>
      <c r="AL62" s="152"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2">
        <f>IF(AND(ISNUMBER( SnapshotTable[[#This Row],[Long Term Target]]), ISNUMBER(SnapshotTable[[#This Row],[Last Price]])),(SnapshotTable[[#This Row],[Long Term Target]] - SnapshotTable[[#This Row],[Last Price]]) / SnapshotTable[[#This Row],[Last Price]], "")</f>
        <v>-7.6917160218374791E-5</v>
      </c>
      <c r="AP62" s="5">
        <v>257.5</v>
      </c>
      <c r="AQ62" s="38" t="s">
        <v>27</v>
      </c>
      <c r="AR62" s="5">
        <v>257.5</v>
      </c>
      <c r="AS62" s="38" t="s">
        <v>38</v>
      </c>
      <c r="AT62" s="146" t="s">
        <v>542</v>
      </c>
      <c r="AU62" s="187" t="str">
        <f>IF(OR(SnapshotTable[[#This Row],[LP No Fill]]="Y",SnapshotTable[[#This Row],[SP Is Filled]],SnapshotTable[[#This Row],[LC Not Filled]]="Y",SnapshotTable[[#This Row],[SC Is Filled]]),"Y","")</f>
        <v/>
      </c>
      <c r="AV62" s="219"/>
      <c r="AW62" s="225"/>
      <c r="AX62" s="220"/>
      <c r="AY62" s="219" t="str">
        <f>IF(SnapshotTable[[#This Row],[Implied Move]]&gt;0, SnapshotTable[[#This Row],[Last Price]]-SnapshotTable[[#This Row],[Implied Move]],"")</f>
        <v/>
      </c>
      <c r="AZ62" s="219" t="str">
        <f>IF(SnapshotTable[[#This Row],[Implied Move]]&gt;0, SnapshotTable[[#This Row],[Last Price]] + SnapshotTable[[#This Row],[Implied Move]],"")</f>
        <v/>
      </c>
      <c r="BA62" s="331">
        <v>222.71</v>
      </c>
      <c r="BB62" s="347"/>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51"/>
      <c r="BE62" s="5"/>
      <c r="BF62" s="14"/>
      <c r="BG62" s="13"/>
      <c r="BH62" s="13"/>
      <c r="BI62" s="5"/>
      <c r="BJ62" s="136">
        <f>IF(SnapshotTable[[#This Row],[LP Qty]] &gt; 0, SnapshotTable[[#This Row],[LP Qty]] * SnapshotTable[[#This Row],[LP Book Price]] * 100,0)</f>
        <v>0</v>
      </c>
      <c r="BK62" s="136">
        <f>IF(SnapshotTable[[#This Row],[LP Premium]] &gt; 0, SnapshotTable[[#This Row],[LP Qty]] * SnapshotTable[[#This Row],[LP Strike Price]] * 100,0)</f>
        <v>0</v>
      </c>
      <c r="BL62" s="154"/>
      <c r="BM62" s="385" t="str">
        <f>IF(SnapshotTable[[#This Row],[LP Premium]] &gt; 0,SnapshotTable[[#This Row],[LP Exp Date]]-MAX(SnapshotTable[[#This Row],[LP Book Date]], SnapshotTable[[#This Row],[LP Fill Date]]),"")</f>
        <v/>
      </c>
      <c r="BN62" s="385" t="str">
        <f>IF(ISNUMBER( SnapshotTable[[#This Row],[LP Term]]), SnapshotTable[[#This Row],[LP Exp Date]] - MockToday,"")</f>
        <v/>
      </c>
      <c r="BO62" s="163"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7"/>
      <c r="BU62" s="13"/>
      <c r="BV62" s="5"/>
      <c r="BW62" s="419" t="b">
        <f>AND(ISNUMBER(SnapshotTable[[#This Row],[SP Exp Date]]), ISNUMBER(SnapshotTable[[#This Row],[SP Strike Price]]), ISNUMBER(SnapshotTable[[#This Row],[SP Qty]]), ISNUMBER(SnapshotTable[[#This Row],[SP Book Date]]), ISNUMBER(SnapshotTable[[#This Row],[SP Book Price]]))</f>
        <v>0</v>
      </c>
      <c r="BX62" s="419" t="b">
        <f>AND(SnapshotTable[[#This Row],[SP Is Booked]], NOT(ISBLANK(SnapshotTable[[#This Row],[SP Fill Date]])))</f>
        <v>0</v>
      </c>
      <c r="BY62" s="33">
        <f>IF(SnapshotTable[[#This Row],[SP Is Booked]], SnapshotTable[[#This Row],[SP Qty]] * SnapshotTable[[#This Row],[SP Book Price]] * 100, 0)</f>
        <v>0</v>
      </c>
      <c r="BZ62" s="369"/>
      <c r="CA62" s="368">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3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44"/>
      <c r="CK62" s="31">
        <f>IF(ISNUMBER(SnapshotTable[[#This Row],[SP Potential Spend]]),IF(ISNUMBER(SnapshotTable[[#This Row],[SP POW]]), SnapshotTable[[#This Row],[SP POW]] * SnapshotTable[[#This Row],[SP Potential Spend]], SnapshotTable[[#This Row],[SP Potential Spend]]), "")</f>
        <v>0</v>
      </c>
      <c r="CL62" s="164">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18"/>
      <c r="CO62" s="369"/>
      <c r="CP62" s="4" t="str">
        <f>IF(SnapshotTable[[#This Row],[SP Is Filled]], btc_max_buyback_amount(SnapshotTable[[#This Row],[SP Fill Date]],SnapshotTable[[#This Row],[SP Exp Date]], SnapshotTable[[#This Row],[SP Book Price]]),"")</f>
        <v/>
      </c>
      <c r="CQ62" s="78"/>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5" t="str">
        <f>IF(SnapshotTable[[#This Row],[SP Is Filled]], btc_next_cutoff_date(SnapshotTable[[#This Row],[SP Fill Date]],SnapshotTable[[#This Row],[SP Exp Date]]),"")</f>
        <v/>
      </c>
      <c r="CT62" s="23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3">
        <v>44205</v>
      </c>
      <c r="CV62" s="235"/>
      <c r="CW62" s="378"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294" t="str">
        <f>IF(ISNUMBER((SnapshotTable[[#This Row],[SP Total Value]])), SnapshotTable[[#This Row],[SP Gain Loss]] / SnapshotTable[[#This Row],[SP Premium]], "")</f>
        <v/>
      </c>
      <c r="DI62" s="406"/>
      <c r="DJ62" s="138"/>
      <c r="DK62" s="148"/>
      <c r="DL62" s="13"/>
      <c r="DM62" s="13"/>
      <c r="DO62" s="31">
        <f>IF(SnapshotTable[[#This Row],[LC Symbol Count]]=1, SnapshotTable[[#This Row],[LC Qty]] * SnapshotTable[[#This Row],[LC Book Price]] * 100, 0)</f>
        <v>0</v>
      </c>
      <c r="DP62" s="163" t="str">
        <f>IF(AND(SnapshotTable[[#This Row],[LC Exp Date]]&gt;0, SnapshotTable[[#This Row],[LC Strike Price]]&gt;0,SnapshotTable[[#This Row],[LC Qty]]&gt;0,SnapshotTable[[#This Row],[LC Book Date]]&gt;0,SnapshotTable[[#This Row],[LC Book Price]]&gt;0,SnapshotTable[[#This Row],[LC Fill Date]]=0),"Y","")</f>
        <v/>
      </c>
      <c r="DQ62" s="386" t="str">
        <f>IF(SnapshotTable[[#This Row],[LC Premium]] &gt; 0,SnapshotTable[[#This Row],[LC Exp Date]]-MAX(SnapshotTable[[#This Row],[LC Book Date]], SnapshotTable[[#This Row],[LC Fill Date]]),"")</f>
        <v/>
      </c>
      <c r="DR62" s="386" t="str">
        <f>IF(ISNUMBER(SnapshotTable[[#This Row],[LC Term]]), SnapshotTable[[#This Row],[LC Exp Date]] - MockToday, "")</f>
        <v/>
      </c>
      <c r="DS62" s="23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40" t="str">
        <f>IF(ISNUMBER(SnapshotTable[[#This Row],[LC Actual Gain Loss]]), SnapshotTable[[#This Row],[LC Actual Gain Loss]] / SnapshotTable[[#This Row],[LC Premium]],"")</f>
        <v/>
      </c>
      <c r="DX62" s="284" t="str">
        <f>IF(ISNUMBER(SnapshotTable[[#This Row],[LC Book Price]]),SnapshotTable[[#This Row],[LC Book Price]] * 1.5,"")</f>
        <v/>
      </c>
      <c r="DY62" s="265" t="str">
        <f>IF(SnapshotTable[[#This Row],[LC Premium]]&gt;0, SnapshotTable[[#This Row],[LC Next Target]] * SnapshotTable[[#This Row],[LC Qty]] * 100,"")</f>
        <v/>
      </c>
      <c r="DZ62" s="265" t="str">
        <f>IF(ISNUMBER(SnapshotTable[[#This Row],[LC Target Gross]]), SnapshotTable[[#This Row],[LC Target Gross]] - SnapshotTable[[#This Row],[LC Premium]], "")</f>
        <v/>
      </c>
      <c r="EA62" s="305" t="str">
        <f>IF(ISNUMBER(SnapshotTable[[#This Row],[LC Target Gain Loss]]), SnapshotTable[[#This Row],[LC Target Gain Loss]]/SnapshotTable[[#This Row],[LC Premium]], "")</f>
        <v/>
      </c>
      <c r="EB62" s="262"/>
      <c r="EC62" s="283" t="str">
        <f>IF(SnapshotTable[[#This Row],[LC Premium]]&gt;0, SnapshotTable[[#This Row],[LC Book Price]] * (1 - LC_StopLoss_Pct),"")</f>
        <v/>
      </c>
      <c r="ED62" s="284"/>
      <c r="EE62" s="28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4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7"/>
      <c r="EL62" s="138"/>
      <c r="EM62" s="148"/>
      <c r="EN62" s="147"/>
      <c r="EO62" s="147"/>
      <c r="EP62" s="138"/>
      <c r="EQ62" s="419" t="b">
        <f>AND(ISNUMBER(SnapshotTable[[#This Row],[SC Exp Date]]), ISNUMBER(SnapshotTable[[#This Row],[SC Strike Price]]), ISNUMBER(SnapshotTable[[#This Row],[SC Qty]]), ISNUMBER(SnapshotTable[[#This Row],[SC Book Date]]), ISNUMBER(SnapshotTable[[#This Row],[SC Book Price]]))</f>
        <v>0</v>
      </c>
      <c r="ER62" s="419" t="b">
        <f>AND(SnapshotTable[[#This Row],[SC Is Booked]], NOT(ISBLANK(SnapshotTable[[#This Row],[SC Fill Date]])))</f>
        <v>0</v>
      </c>
      <c r="ES62" s="370"/>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3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283"/>
      <c r="FA62" s="218"/>
      <c r="FB62" s="370"/>
      <c r="FC62" s="4">
        <f>IF(SnapshotTable[[#This Row],[SC Is Filled]], btc_max_buyback_amount(SnapshotTable[[#This Row],[SC Fill Date]],SnapshotTable[[#This Row],[SC Exp Date]], SnapshotTable[[#This Row],[SC Book Price]]),0)</f>
        <v>0</v>
      </c>
      <c r="FD62" s="5"/>
      <c r="FE62" s="144"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382">
        <f>IF(SnapshotTable[[#This Row],[SC Is Filled]], IF(ISNUMBER(SnapshotTable[[#This Row],[SC Current Ask]]), SnapshotTable[[#This Row],[SC Current Ask]], SnapshotTable[[#This Row],[SC Book Price]]) - SnapshotTable[[#This Row],[SC Intrinsic Value]], 0)</f>
        <v>0</v>
      </c>
      <c r="FI62" s="143"/>
      <c r="FJ62" s="32" t="str">
        <f>IF(SnapshotTable[[#This Row],[SC Is Filled]],100 * SnapshotTable[[#This Row],[SC Qty]] * IF(ISNUMBER(SnapshotTable[[#This Row],[SC Buyback Override]]), SnapshotTable[[#This Row],[SC Buyback Override]], SnapshotTable[[#This Row],[SC Current Ask]]), "")</f>
        <v/>
      </c>
      <c r="FK62" s="250" t="str">
        <f>IF(SnapshotTable[[#This Row],[SC Time Val]]&gt;0, SnapshotTable[[#This Row],[SC Time Val]] / SnapshotTable[[#This Row],[Last Price]],"")</f>
        <v/>
      </c>
      <c r="FL62" s="302" t="str">
        <f>IF(SnapshotTable[[#This Row],[SC Is Booked]], ((SnapshotTable[[#This Row],[Last Price]] -SnapshotTable[[#This Row],[SC Strike Price]]) / SnapshotTable[[#This Row],[Last Price]]) * -1, "")</f>
        <v/>
      </c>
      <c r="FM62" s="157"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33"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36" t="str">
        <f>IF(AND(ISNUMBER(SnapshotTable[[#This Row],[SC Simple ROO]]),SnapshotTable[[#This Row],[SC Simple ROO]] &gt; 0), SnapshotTable[[#This Row],[SC Premium]] + (SnapshotTable[[#This Row],[SC Qty]] * SnapshotTable[[#This Row],[SC Upside Potential]]), "")</f>
        <v/>
      </c>
      <c r="FX62" s="302" t="str" cm="1">
        <f t="array" ref="FX62">IF(ISNUMBER(SnapshotTable[[#This Row],[SC Max Dollars]]), annualize(SnapshotTable[[#This Row],[SC Term]],(SnapshotTable[[#This Row],[SC Max Dollars]]/SnapshotTable[[#This Row],[SC Basis]])),"")</f>
        <v/>
      </c>
      <c r="FY62" s="23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29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31">
        <f>MAX(SnapshotTable[[#This Row],[Equity Basis Total]],SnapshotTable[[#This Row],[Equity Value]]) + (SnapshotTable[[#This Row],[SP Potential Spend]]- SnapshotTable[[#This Row],[SP Premium]] + SnapshotTable[[#This Row],[LP Premium]])+ (SnapshotTable[[#This Row],[LC Premium]] - SnapshotTable[[#This Row],[SC Premium]])</f>
        <v>0</v>
      </c>
      <c r="GW62" s="139" t="str">
        <f>IF(AND(SnapshotTable[[#This Row],[Exposure]] &lt;&gt; 0),SnapshotTable[[#This Row],[Exposure]] / SnapshotTable[[#Totals],[Exposure]], "")</f>
        <v/>
      </c>
      <c r="HE62" s="268"/>
      <c r="HF62" s="268"/>
      <c r="HK62" s="1"/>
      <c r="HL62" s="1"/>
      <c r="HM62" s="1"/>
      <c r="HN62" s="1"/>
      <c r="HO62" s="1"/>
      <c r="HP62" s="1"/>
    </row>
    <row r="63" spans="2:224" s="47" customFormat="1" ht="12.75" hidden="1" customHeight="1" x14ac:dyDescent="0.25">
      <c r="B63" s="12" t="s">
        <v>537</v>
      </c>
      <c r="C63" s="422">
        <v>31.59</v>
      </c>
      <c r="D63" s="208"/>
      <c r="E63" s="39">
        <f>SnapshotTable[[#This Row],[Last Price]]*(1 -CrashDiscount)</f>
        <v>26.851499999999998</v>
      </c>
      <c r="F63" s="26" t="s">
        <v>243</v>
      </c>
      <c r="G63" s="26" t="s">
        <v>9</v>
      </c>
      <c r="H63" s="149"/>
      <c r="I63" s="194">
        <v>44774.333333333336</v>
      </c>
      <c r="J63" s="195">
        <v>44774.333333333336</v>
      </c>
      <c r="K63" s="196"/>
      <c r="L63" s="326"/>
      <c r="M63" s="140"/>
      <c r="N63" s="140"/>
      <c r="O63" s="140"/>
      <c r="P63" s="22"/>
      <c r="Q63" s="25"/>
      <c r="R63" s="4" t="str">
        <f>IF(SnapshotTable[[#This Row],[Equity Basis Total]] &gt; 0, SnapshotTable[[#This Row],[Equity Basis Total]] / SnapshotTable[[#This Row],[Equity Shares]], "")</f>
        <v/>
      </c>
      <c r="S63" s="269">
        <f>SnapshotTable[[#This Row],[Last Price]] * SnapshotTable[[#This Row],[Equity Shares]]</f>
        <v>0</v>
      </c>
      <c r="T63" s="269">
        <f>SnapshotTable[[#This Row],[Equity Value]] - SnapshotTable[[#This Row],[Equity Basis Total]]</f>
        <v>0</v>
      </c>
      <c r="U63" s="270" t="str">
        <f>IF(SnapshotTable[[#This Row],[Equity Basis Total]] &gt; 0, SnapshotTable[[#This Row],[Equity G/L]] / SnapshotTable[[#This Row],[Equity Basis Total]], "")</f>
        <v/>
      </c>
      <c r="V63" s="268"/>
      <c r="W63" s="26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7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0"/>
      <c r="AD63" s="151"/>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1"/>
      <c r="AI63" s="5"/>
      <c r="AJ63" s="138">
        <v>95.17</v>
      </c>
      <c r="AK63" s="152" t="str">
        <f>IF(ISNUMBER( SnapshotTable[[#This Row],[EBF Target]]),(SnapshotTable[[#This Row],[EBF Target]] - SnapshotTable[[#This Row],[Last Price]]) / SnapshotTable[[#This Row],[Last Price]], "")</f>
        <v/>
      </c>
      <c r="AL63" s="152"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2">
        <f>IF(AND(ISNUMBER( SnapshotTable[[#This Row],[Long Term Target]]), ISNUMBER(SnapshotTable[[#This Row],[Last Price]])),(SnapshotTable[[#This Row],[Long Term Target]] - SnapshotTable[[#This Row],[Last Price]]) / SnapshotTable[[#This Row],[Last Price]], "")</f>
        <v>2.0126622348844569</v>
      </c>
      <c r="AP63" s="5"/>
      <c r="AQ63" s="38"/>
      <c r="AR63" s="5"/>
      <c r="AS63" s="38"/>
      <c r="AT63" s="146"/>
      <c r="AU63" s="187" t="str">
        <f>IF(OR(SnapshotTable[[#This Row],[LP No Fill]]="Y",SnapshotTable[[#This Row],[SP Is Filled]],SnapshotTable[[#This Row],[LC Not Filled]]="Y",SnapshotTable[[#This Row],[SC Is Filled]]),"Y","")</f>
        <v/>
      </c>
      <c r="AV63" s="219"/>
      <c r="AW63" s="225"/>
      <c r="AX63" s="220"/>
      <c r="AY63" s="219" t="str">
        <f>IF(SnapshotTable[[#This Row],[Implied Move]]&gt;0, SnapshotTable[[#This Row],[Last Price]]-SnapshotTable[[#This Row],[Implied Move]],"")</f>
        <v/>
      </c>
      <c r="AZ63" s="219" t="str">
        <f>IF(SnapshotTable[[#This Row],[Implied Move]]&gt;0, SnapshotTable[[#This Row],[Last Price]] + SnapshotTable[[#This Row],[Implied Move]],"")</f>
        <v/>
      </c>
      <c r="BA63" s="331"/>
      <c r="BB63" s="347"/>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51"/>
      <c r="BE63" s="5"/>
      <c r="BF63" s="14"/>
      <c r="BG63" s="13"/>
      <c r="BH63" s="13"/>
      <c r="BI63" s="5"/>
      <c r="BJ63" s="136">
        <f>IF(SnapshotTable[[#This Row],[LP Qty]] &gt; 0, SnapshotTable[[#This Row],[LP Qty]] * SnapshotTable[[#This Row],[LP Book Price]] * 100,0)</f>
        <v>0</v>
      </c>
      <c r="BK63" s="136">
        <f>IF(SnapshotTable[[#This Row],[LP Premium]] &gt; 0, SnapshotTable[[#This Row],[LP Qty]] * SnapshotTable[[#This Row],[LP Strike Price]] * 100,0)</f>
        <v>0</v>
      </c>
      <c r="BL63" s="154"/>
      <c r="BM63" s="385" t="str">
        <f>IF(SnapshotTable[[#This Row],[LP Premium]] &gt; 0,SnapshotTable[[#This Row],[LP Exp Date]]-MAX(SnapshotTable[[#This Row],[LP Book Date]], SnapshotTable[[#This Row],[LP Fill Date]]),"")</f>
        <v/>
      </c>
      <c r="BN63" s="385" t="str">
        <f>IF(ISNUMBER( SnapshotTable[[#This Row],[LP Term]]), SnapshotTable[[#This Row],[LP Exp Date]] - MockToday,"")</f>
        <v/>
      </c>
      <c r="BO63" s="163"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7"/>
      <c r="BU63" s="13"/>
      <c r="BV63" s="5"/>
      <c r="BW63" s="419" t="b">
        <f>AND(ISNUMBER(SnapshotTable[[#This Row],[SP Exp Date]]), ISNUMBER(SnapshotTable[[#This Row],[SP Strike Price]]), ISNUMBER(SnapshotTable[[#This Row],[SP Qty]]), ISNUMBER(SnapshotTable[[#This Row],[SP Book Date]]), ISNUMBER(SnapshotTable[[#This Row],[SP Book Price]]))</f>
        <v>0</v>
      </c>
      <c r="BX63" s="419" t="b">
        <f>AND(SnapshotTable[[#This Row],[SP Is Booked]], NOT(ISBLANK(SnapshotTable[[#This Row],[SP Fill Date]])))</f>
        <v>0</v>
      </c>
      <c r="BY63" s="33">
        <f>IF(SnapshotTable[[#This Row],[SP Is Booked]], SnapshotTable[[#This Row],[SP Qty]] * SnapshotTable[[#This Row],[SP Book Price]] * 100, 0)</f>
        <v>0</v>
      </c>
      <c r="BZ63" s="369"/>
      <c r="CA63" s="368">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3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44"/>
      <c r="CK63" s="31">
        <f>IF(ISNUMBER(SnapshotTable[[#This Row],[SP Potential Spend]]),IF(ISNUMBER(SnapshotTable[[#This Row],[SP POW]]), SnapshotTable[[#This Row],[SP POW]] * SnapshotTable[[#This Row],[SP Potential Spend]], SnapshotTable[[#This Row],[SP Potential Spend]]), "")</f>
        <v>0</v>
      </c>
      <c r="CL63" s="164">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8"/>
      <c r="CO63" s="369"/>
      <c r="CP63" s="4" t="str">
        <f>IF(SnapshotTable[[#This Row],[SP Is Filled]], btc_max_buyback_amount(SnapshotTable[[#This Row],[SP Fill Date]],SnapshotTable[[#This Row],[SP Exp Date]], SnapshotTable[[#This Row],[SP Book Price]]),"")</f>
        <v/>
      </c>
      <c r="CQ63" s="78"/>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5" t="str">
        <f>IF(SnapshotTable[[#This Row],[SP Is Filled]], btc_next_cutoff_date(SnapshotTable[[#This Row],[SP Fill Date]],SnapshotTable[[#This Row],[SP Exp Date]]),"")</f>
        <v/>
      </c>
      <c r="CT63" s="23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3"/>
      <c r="CV63" s="235"/>
      <c r="CW63" s="378"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294" t="str">
        <f>IF(ISNUMBER((SnapshotTable[[#This Row],[SP Total Value]])), SnapshotTable[[#This Row],[SP Gain Loss]] / SnapshotTable[[#This Row],[SP Premium]], "")</f>
        <v/>
      </c>
      <c r="DI63" s="406"/>
      <c r="DJ63" s="138"/>
      <c r="DK63" s="148"/>
      <c r="DL63" s="13"/>
      <c r="DM63" s="13"/>
      <c r="DN63" s="5"/>
      <c r="DO63" s="31">
        <f>IF(SnapshotTable[[#This Row],[LC Symbol Count]]=1, SnapshotTable[[#This Row],[LC Qty]] * SnapshotTable[[#This Row],[LC Book Price]] * 100, 0)</f>
        <v>0</v>
      </c>
      <c r="DP63" s="163" t="str">
        <f>IF(AND(SnapshotTable[[#This Row],[LC Exp Date]]&gt;0, SnapshotTable[[#This Row],[LC Strike Price]]&gt;0,SnapshotTable[[#This Row],[LC Qty]]&gt;0,SnapshotTable[[#This Row],[LC Book Date]]&gt;0,SnapshotTable[[#This Row],[LC Book Price]]&gt;0,SnapshotTable[[#This Row],[LC Fill Date]]=0),"Y","")</f>
        <v/>
      </c>
      <c r="DQ63" s="386" t="str">
        <f>IF(SnapshotTable[[#This Row],[LC Premium]] &gt; 0,SnapshotTable[[#This Row],[LC Exp Date]]-MAX(SnapshotTable[[#This Row],[LC Book Date]], SnapshotTable[[#This Row],[LC Fill Date]]),"")</f>
        <v/>
      </c>
      <c r="DR63" s="386" t="str">
        <f>IF(ISNUMBER(SnapshotTable[[#This Row],[LC Term]]), SnapshotTable[[#This Row],[LC Exp Date]] - MockToday, "")</f>
        <v/>
      </c>
      <c r="DS63" s="23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40" t="str">
        <f>IF(ISNUMBER(SnapshotTable[[#This Row],[LC Actual Gain Loss]]), SnapshotTable[[#This Row],[LC Actual Gain Loss]] / SnapshotTable[[#This Row],[LC Premium]],"")</f>
        <v/>
      </c>
      <c r="DX63" s="284" t="str">
        <f>IF(ISNUMBER(SnapshotTable[[#This Row],[LC Book Price]]),SnapshotTable[[#This Row],[LC Book Price]] * 1.5,"")</f>
        <v/>
      </c>
      <c r="DY63" s="265" t="str">
        <f>IF(SnapshotTable[[#This Row],[LC Premium]]&gt;0, SnapshotTable[[#This Row],[LC Next Target]] * SnapshotTable[[#This Row],[LC Qty]] * 100,"")</f>
        <v/>
      </c>
      <c r="DZ63" s="265" t="str">
        <f>IF(ISNUMBER(SnapshotTable[[#This Row],[LC Target Gross]]), SnapshotTable[[#This Row],[LC Target Gross]] - SnapshotTable[[#This Row],[LC Premium]], "")</f>
        <v/>
      </c>
      <c r="EA63" s="305" t="str">
        <f>IF(ISNUMBER(SnapshotTable[[#This Row],[LC Target Gain Loss]]), SnapshotTable[[#This Row],[LC Target Gain Loss]]/SnapshotTable[[#This Row],[LC Premium]], "")</f>
        <v/>
      </c>
      <c r="EB63" s="262"/>
      <c r="EC63" s="283" t="str">
        <f>IF(SnapshotTable[[#This Row],[LC Premium]]&gt;0, SnapshotTable[[#This Row],[LC Book Price]] * (1 - LC_StopLoss_Pct),"")</f>
        <v/>
      </c>
      <c r="ED63" s="284"/>
      <c r="EE63" s="28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4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7"/>
      <c r="EL63" s="138"/>
      <c r="EM63" s="148"/>
      <c r="EN63" s="147"/>
      <c r="EO63" s="147"/>
      <c r="EP63" s="138"/>
      <c r="EQ63" s="419" t="b">
        <f>AND(ISNUMBER(SnapshotTable[[#This Row],[SC Exp Date]]), ISNUMBER(SnapshotTable[[#This Row],[SC Strike Price]]), ISNUMBER(SnapshotTable[[#This Row],[SC Qty]]), ISNUMBER(SnapshotTable[[#This Row],[SC Book Date]]), ISNUMBER(SnapshotTable[[#This Row],[SC Book Price]]))</f>
        <v>0</v>
      </c>
      <c r="ER63" s="419" t="b">
        <f>AND(SnapshotTable[[#This Row],[SC Is Booked]], NOT(ISBLANK(SnapshotTable[[#This Row],[SC Fill Date]])))</f>
        <v>0</v>
      </c>
      <c r="ES63" s="370"/>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3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283"/>
      <c r="FA63" s="218"/>
      <c r="FB63" s="370"/>
      <c r="FC63" s="4">
        <f>IF(SnapshotTable[[#This Row],[SC Is Filled]], btc_max_buyback_amount(SnapshotTable[[#This Row],[SC Fill Date]],SnapshotTable[[#This Row],[SC Exp Date]], SnapshotTable[[#This Row],[SC Book Price]]),0)</f>
        <v>0</v>
      </c>
      <c r="FD63" s="5"/>
      <c r="FE63" s="144"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382">
        <f>IF(SnapshotTable[[#This Row],[SC Is Filled]], IF(ISNUMBER(SnapshotTable[[#This Row],[SC Current Ask]]), SnapshotTable[[#This Row],[SC Current Ask]], SnapshotTable[[#This Row],[SC Book Price]]) - SnapshotTable[[#This Row],[SC Intrinsic Value]], 0)</f>
        <v>0</v>
      </c>
      <c r="FI63" s="143"/>
      <c r="FJ63" s="32" t="str">
        <f>IF(SnapshotTable[[#This Row],[SC Is Filled]],100 * SnapshotTable[[#This Row],[SC Qty]] * IF(ISNUMBER(SnapshotTable[[#This Row],[SC Buyback Override]]), SnapshotTable[[#This Row],[SC Buyback Override]], SnapshotTable[[#This Row],[SC Current Ask]]), "")</f>
        <v/>
      </c>
      <c r="FK63" s="250" t="str">
        <f>IF(SnapshotTable[[#This Row],[SC Time Val]]&gt;0, SnapshotTable[[#This Row],[SC Time Val]] / SnapshotTable[[#This Row],[Last Price]],"")</f>
        <v/>
      </c>
      <c r="FL63" s="302" t="str">
        <f>IF(SnapshotTable[[#This Row],[SC Is Booked]], ((SnapshotTable[[#This Row],[Last Price]] -SnapshotTable[[#This Row],[SC Strike Price]]) / SnapshotTable[[#This Row],[Last Price]]) * -1, "")</f>
        <v/>
      </c>
      <c r="FM63" s="157"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33"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36" t="str">
        <f>IF(AND(ISNUMBER(SnapshotTable[[#This Row],[SC Simple ROO]]),SnapshotTable[[#This Row],[SC Simple ROO]] &gt; 0), SnapshotTable[[#This Row],[SC Premium]] + (SnapshotTable[[#This Row],[SC Qty]] * SnapshotTable[[#This Row],[SC Upside Potential]]), "")</f>
        <v/>
      </c>
      <c r="FX63" s="302" t="str" cm="1">
        <f t="array" ref="FX63">IF(ISNUMBER(SnapshotTable[[#This Row],[SC Max Dollars]]), annualize(SnapshotTable[[#This Row],[SC Term]],(SnapshotTable[[#This Row],[SC Max Dollars]]/SnapshotTable[[#This Row],[SC Basis]])),"")</f>
        <v/>
      </c>
      <c r="FY63" s="23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29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650</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31">
        <f>MAX(SnapshotTable[[#This Row],[Equity Basis Total]],SnapshotTable[[#This Row],[Equity Value]]) + (SnapshotTable[[#This Row],[SP Potential Spend]]- SnapshotTable[[#This Row],[SP Premium]] + SnapshotTable[[#This Row],[LP Premium]])+ (SnapshotTable[[#This Row],[LC Premium]] - SnapshotTable[[#This Row],[SC Premium]])</f>
        <v>0</v>
      </c>
      <c r="GW63" s="139" t="str">
        <f>IF(AND(SnapshotTable[[#This Row],[Exposure]] &lt;&gt; 0),SnapshotTable[[#This Row],[Exposure]] / SnapshotTable[[#Totals],[Exposure]], "")</f>
        <v/>
      </c>
      <c r="GY63" s="381"/>
      <c r="HE63" s="268"/>
      <c r="HF63" s="268"/>
      <c r="HG63" s="381"/>
      <c r="HH63" s="381"/>
      <c r="HI63" s="381"/>
      <c r="HJ63" s="381"/>
    </row>
    <row r="64" spans="2:224" ht="12.75" hidden="1" customHeight="1" x14ac:dyDescent="0.25">
      <c r="B64" s="12" t="s">
        <v>951</v>
      </c>
      <c r="C64" s="422">
        <v>21.26</v>
      </c>
      <c r="D64" s="208" t="s">
        <v>1025</v>
      </c>
      <c r="E64" s="39">
        <f>SnapshotTable[[#This Row],[Last Price]]*(1 -CrashDiscount)</f>
        <v>18.071000000000002</v>
      </c>
      <c r="F64" s="26" t="s">
        <v>917</v>
      </c>
      <c r="G64" s="26" t="s">
        <v>872</v>
      </c>
      <c r="H64" s="149"/>
      <c r="I64" s="194">
        <v>44721.3125</v>
      </c>
      <c r="J64" s="195">
        <v>44721.3125</v>
      </c>
      <c r="K64" s="196" t="s">
        <v>3</v>
      </c>
      <c r="L64" s="326"/>
      <c r="M64" s="140"/>
      <c r="N64" s="140"/>
      <c r="O64" s="140"/>
      <c r="P64" s="22"/>
      <c r="Q64" s="25"/>
      <c r="R64" s="4" t="str">
        <f>IF(SnapshotTable[[#This Row],[Equity Basis Total]] &gt; 0, SnapshotTable[[#This Row],[Equity Basis Total]] / SnapshotTable[[#This Row],[Equity Shares]], "")</f>
        <v/>
      </c>
      <c r="S64" s="269">
        <f>SnapshotTable[[#This Row],[Last Price]] * SnapshotTable[[#This Row],[Equity Shares]]</f>
        <v>0</v>
      </c>
      <c r="T64" s="269">
        <f>SnapshotTable[[#This Row],[Equity Value]] - SnapshotTable[[#This Row],[Equity Basis Total]]</f>
        <v>0</v>
      </c>
      <c r="U64" s="270" t="str">
        <f>IF(SnapshotTable[[#This Row],[Equity Basis Total]] &gt; 0, SnapshotTable[[#This Row],[Equity G/L]] / SnapshotTable[[#This Row],[Equity Basis Total]], "")</f>
        <v/>
      </c>
      <c r="V64" s="268">
        <v>20</v>
      </c>
      <c r="W64" s="26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7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0"/>
      <c r="AD64" s="151"/>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1"/>
      <c r="AI64" s="5">
        <f>SnapshotTable[[#This Row],[Equity Target]]</f>
        <v>20</v>
      </c>
      <c r="AJ64" s="138">
        <v>5.61</v>
      </c>
      <c r="AK64" s="152">
        <f>IF(ISNUMBER( SnapshotTable[[#This Row],[EBF Target]]),(SnapshotTable[[#This Row],[EBF Target]] - SnapshotTable[[#This Row],[Last Price]]) / SnapshotTable[[#This Row],[Last Price]], "")</f>
        <v>-5.9266227657572973E-2</v>
      </c>
      <c r="AL64" s="152"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2">
        <f>IF(AND(ISNUMBER( SnapshotTable[[#This Row],[Long Term Target]]), ISNUMBER(SnapshotTable[[#This Row],[Last Price]])),(SnapshotTable[[#This Row],[Long Term Target]] - SnapshotTable[[#This Row],[Last Price]]) / SnapshotTable[[#This Row],[Last Price]], "")</f>
        <v>-0.73612417685794929</v>
      </c>
      <c r="AP64" s="5"/>
      <c r="AQ64" s="38"/>
      <c r="AR64" s="5"/>
      <c r="AS64" s="38"/>
      <c r="AT64" s="146"/>
      <c r="AU64" s="187" t="str">
        <f>IF(OR(SnapshotTable[[#This Row],[LP No Fill]]="Y",SnapshotTable[[#This Row],[SP Is Filled]],SnapshotTable[[#This Row],[LC Not Filled]]="Y",SnapshotTable[[#This Row],[SC Is Filled]]),"Y","")</f>
        <v>Y</v>
      </c>
      <c r="AV64" s="219"/>
      <c r="AW64" s="225"/>
      <c r="AX64" s="220"/>
      <c r="AY64" s="219" t="str">
        <f>IF(SnapshotTable[[#This Row],[Implied Move]]&gt;0, SnapshotTable[[#This Row],[Last Price]]-SnapshotTable[[#This Row],[Implied Move]],"")</f>
        <v/>
      </c>
      <c r="AZ64" s="219" t="str">
        <f>IF(SnapshotTable[[#This Row],[Implied Move]]&gt;0, SnapshotTable[[#This Row],[Last Price]] + SnapshotTable[[#This Row],[Implied Move]],"")</f>
        <v/>
      </c>
      <c r="BA64" s="331">
        <v>28.52</v>
      </c>
      <c r="BB64" s="347"/>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51"/>
      <c r="BE64" s="5"/>
      <c r="BF64" s="14"/>
      <c r="BG64" s="13"/>
      <c r="BH64" s="13"/>
      <c r="BI64" s="5"/>
      <c r="BJ64" s="136">
        <f>IF(SnapshotTable[[#This Row],[LP Qty]] &gt; 0, SnapshotTable[[#This Row],[LP Qty]] * SnapshotTable[[#This Row],[LP Book Price]] * 100,0)</f>
        <v>0</v>
      </c>
      <c r="BK64" s="136">
        <f>IF(SnapshotTable[[#This Row],[LP Premium]] &gt; 0, SnapshotTable[[#This Row],[LP Qty]] * SnapshotTable[[#This Row],[LP Strike Price]] * 100,0)</f>
        <v>0</v>
      </c>
      <c r="BL64" s="154"/>
      <c r="BM64" s="385" t="str">
        <f>IF(SnapshotTable[[#This Row],[LP Premium]] &gt; 0,SnapshotTable[[#This Row],[LP Exp Date]]-MAX(SnapshotTable[[#This Row],[LP Book Date]], SnapshotTable[[#This Row],[LP Fill Date]]),"")</f>
        <v/>
      </c>
      <c r="BN64" s="385" t="str">
        <f>IF(ISNUMBER( SnapshotTable[[#This Row],[LP Term]]), SnapshotTable[[#This Row],[LP Exp Date]] - MockToday,"")</f>
        <v/>
      </c>
      <c r="BO64" s="163"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7">
        <v>46203</v>
      </c>
      <c r="BU64" s="13">
        <v>46203</v>
      </c>
      <c r="BV64" s="5">
        <v>1.49</v>
      </c>
      <c r="BW64" s="419" t="b">
        <f>AND(ISNUMBER(SnapshotTable[[#This Row],[SP Exp Date]]), ISNUMBER(SnapshotTable[[#This Row],[SP Strike Price]]), ISNUMBER(SnapshotTable[[#This Row],[SP Qty]]), ISNUMBER(SnapshotTable[[#This Row],[SP Book Date]]), ISNUMBER(SnapshotTable[[#This Row],[SP Book Price]]))</f>
        <v>1</v>
      </c>
      <c r="BX64" s="419" t="b">
        <f>AND(SnapshotTable[[#This Row],[SP Is Booked]], NOT(ISBLANK(SnapshotTable[[#This Row],[SP Fill Date]])))</f>
        <v>1</v>
      </c>
      <c r="BY64" s="33">
        <f>IF(SnapshotTable[[#This Row],[SP Is Booked]], SnapshotTable[[#This Row],[SP Qty]] * SnapshotTable[[#This Row],[SP Book Price]] * 100, 0)</f>
        <v>1490</v>
      </c>
      <c r="BZ64" s="369">
        <v>0.19</v>
      </c>
      <c r="CA64" s="368">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3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-0.34101599247412978</v>
      </c>
      <c r="CI64" s="31">
        <f>IF(AND(ISNUMBER((SnapshotTable[[#This Row],[SP Potential Spend]])), SnapshotTable[[#This Row],[SP Strike Price]] &gt; SnapshotTable[[#This Row],[Last Price]], SnapshotTable[[#This Row],[SP Is Filled]]), SnapshotTable[[#This Row],[SP Potential Spend]] -  SnapshotTable[[#This Row],[LP Max Value]], 0)</f>
        <v>30000</v>
      </c>
      <c r="CJ64" s="244"/>
      <c r="CK64" s="31">
        <f>IF(ISNUMBER(SnapshotTable[[#This Row],[SP Potential Spend]]),IF(ISNUMBER(SnapshotTable[[#This Row],[SP POW]]), SnapshotTable[[#This Row],[SP POW]] * SnapshotTable[[#This Row],[SP Potential Spend]], SnapshotTable[[#This Row],[SP Potential Spend]]), "")</f>
        <v>30000</v>
      </c>
      <c r="CL64" s="164"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-7249.9999999999982</v>
      </c>
      <c r="CN64" s="218">
        <v>1.6</v>
      </c>
      <c r="CO64" s="369">
        <v>0.19</v>
      </c>
      <c r="CP64" s="4" t="e">
        <f ca="1">IF(SnapshotTable[[#This Row],[SP Is Filled]], btc_max_buyback_amount(SnapshotTable[[#This Row],[SP Fill Date]],SnapshotTable[[#This Row],[SP Exp Date]], SnapshotTable[[#This Row],[SP Book Price]]),"")</f>
        <v>#NAME?</v>
      </c>
      <c r="CQ64" s="78"/>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5" t="e">
        <f ca="1">IF(SnapshotTable[[#This Row],[SP Is Filled]], btc_next_cutoff_date(SnapshotTable[[#This Row],[SP Fill Date]],SnapshotTable[[#This Row],[SP Exp Date]]),"")</f>
        <v>#NAME?</v>
      </c>
      <c r="CT64" s="23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3">
        <v>46210</v>
      </c>
      <c r="CV64" s="235"/>
      <c r="CW64" s="378">
        <f ca="1">IF(ISNUMBER( SnapshotTable[[#This Row],[SP Term]]), SnapshotTable[[#This Row],[SP Exp Date]] - MockToday,"")</f>
        <v>-20</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294">
        <f>IF(ISNUMBER((SnapshotTable[[#This Row],[SP Total Value]])), SnapshotTable[[#This Row],[SP Gain Loss]] / SnapshotTable[[#This Row],[SP Premium]], "")</f>
        <v>-7.3825503355704702E-2</v>
      </c>
      <c r="DI64" s="406"/>
      <c r="DJ64" s="138"/>
      <c r="DK64" s="148"/>
      <c r="DL64" s="13"/>
      <c r="DM64" s="13"/>
      <c r="DO64" s="31">
        <f>IF(SnapshotTable[[#This Row],[LC Symbol Count]]=1, SnapshotTable[[#This Row],[LC Qty]] * SnapshotTable[[#This Row],[LC Book Price]] * 100, 0)</f>
        <v>0</v>
      </c>
      <c r="DP64" s="163" t="str">
        <f>IF(AND(SnapshotTable[[#This Row],[LC Exp Date]]&gt;0, SnapshotTable[[#This Row],[LC Strike Price]]&gt;0,SnapshotTable[[#This Row],[LC Qty]]&gt;0,SnapshotTable[[#This Row],[LC Book Date]]&gt;0,SnapshotTable[[#This Row],[LC Book Price]]&gt;0,SnapshotTable[[#This Row],[LC Fill Date]]=0),"Y","")</f>
        <v/>
      </c>
      <c r="DQ64" s="386" t="str">
        <f>IF(SnapshotTable[[#This Row],[LC Premium]] &gt; 0,SnapshotTable[[#This Row],[LC Exp Date]]-MAX(SnapshotTable[[#This Row],[LC Book Date]], SnapshotTable[[#This Row],[LC Fill Date]]),"")</f>
        <v/>
      </c>
      <c r="DR64" s="386" t="str">
        <f>IF(ISNUMBER(SnapshotTable[[#This Row],[LC Term]]), SnapshotTable[[#This Row],[LC Exp Date]] - MockToday, "")</f>
        <v/>
      </c>
      <c r="DS64" s="23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40" t="str">
        <f>IF(ISNUMBER(SnapshotTable[[#This Row],[LC Actual Gain Loss]]), SnapshotTable[[#This Row],[LC Actual Gain Loss]] / SnapshotTable[[#This Row],[LC Premium]],"")</f>
        <v/>
      </c>
      <c r="DX64" s="284" t="str">
        <f>IF(ISNUMBER(SnapshotTable[[#This Row],[LC Book Price]]),SnapshotTable[[#This Row],[LC Book Price]] * 1.5,"")</f>
        <v/>
      </c>
      <c r="DY64" s="265" t="str">
        <f>IF(SnapshotTable[[#This Row],[LC Premium]]&gt;0, SnapshotTable[[#This Row],[LC Next Target]] * SnapshotTable[[#This Row],[LC Qty]] * 100,"")</f>
        <v/>
      </c>
      <c r="DZ64" s="265" t="str">
        <f>IF(ISNUMBER(SnapshotTable[[#This Row],[LC Target Gross]]), SnapshotTable[[#This Row],[LC Target Gross]] - SnapshotTable[[#This Row],[LC Premium]], "")</f>
        <v/>
      </c>
      <c r="EA64" s="305" t="str">
        <f>IF(ISNUMBER(SnapshotTable[[#This Row],[LC Target Gain Loss]]), SnapshotTable[[#This Row],[LC Target Gain Loss]]/SnapshotTable[[#This Row],[LC Premium]], "")</f>
        <v/>
      </c>
      <c r="EB64" s="262"/>
      <c r="EC64" s="283" t="str">
        <f>IF(SnapshotTable[[#This Row],[LC Premium]]&gt;0, SnapshotTable[[#This Row],[LC Book Price]] * (1 - LC_StopLoss_Pct),"")</f>
        <v/>
      </c>
      <c r="ED64" s="284"/>
      <c r="EE64" s="28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4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7"/>
      <c r="EL64" s="138"/>
      <c r="EM64" s="148"/>
      <c r="EN64" s="147"/>
      <c r="EO64" s="147"/>
      <c r="EP64" s="138"/>
      <c r="EQ64" s="419" t="b">
        <f>AND(ISNUMBER(SnapshotTable[[#This Row],[SC Exp Date]]), ISNUMBER(SnapshotTable[[#This Row],[SC Strike Price]]), ISNUMBER(SnapshotTable[[#This Row],[SC Qty]]), ISNUMBER(SnapshotTable[[#This Row],[SC Book Date]]), ISNUMBER(SnapshotTable[[#This Row],[SC Book Price]]))</f>
        <v>0</v>
      </c>
      <c r="ER64" s="419" t="b">
        <f>AND(SnapshotTable[[#This Row],[SC Is Booked]], NOT(ISBLANK(SnapshotTable[[#This Row],[SC Fill Date]])))</f>
        <v>0</v>
      </c>
      <c r="ES64" s="370"/>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3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283"/>
      <c r="FA64" s="218"/>
      <c r="FB64" s="370"/>
      <c r="FC64" s="4">
        <f>IF(SnapshotTable[[#This Row],[SC Is Filled]], btc_max_buyback_amount(SnapshotTable[[#This Row],[SC Fill Date]],SnapshotTable[[#This Row],[SC Exp Date]], SnapshotTable[[#This Row],[SC Book Price]]),0)</f>
        <v>0</v>
      </c>
      <c r="FD64" s="5"/>
      <c r="FE64" s="144"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382">
        <f>IF(SnapshotTable[[#This Row],[SC Is Filled]], IF(ISNUMBER(SnapshotTable[[#This Row],[SC Current Ask]]), SnapshotTable[[#This Row],[SC Current Ask]], SnapshotTable[[#This Row],[SC Book Price]]) - SnapshotTable[[#This Row],[SC Intrinsic Value]], 0)</f>
        <v>0</v>
      </c>
      <c r="FI64" s="143"/>
      <c r="FJ64" s="32" t="str">
        <f>IF(SnapshotTable[[#This Row],[SC Is Filled]],100 * SnapshotTable[[#This Row],[SC Qty]] * IF(ISNUMBER(SnapshotTable[[#This Row],[SC Buyback Override]]), SnapshotTable[[#This Row],[SC Buyback Override]], SnapshotTable[[#This Row],[SC Current Ask]]), "")</f>
        <v/>
      </c>
      <c r="FK64" s="250" t="str">
        <f>IF(SnapshotTable[[#This Row],[SC Time Val]]&gt;0, SnapshotTable[[#This Row],[SC Time Val]] / SnapshotTable[[#This Row],[Last Price]],"")</f>
        <v/>
      </c>
      <c r="FL64" s="302" t="str">
        <f>IF(SnapshotTable[[#This Row],[SC Is Booked]], ((SnapshotTable[[#This Row],[Last Price]] -SnapshotTable[[#This Row],[SC Strike Price]]) / SnapshotTable[[#This Row],[Last Price]]) * -1, "")</f>
        <v/>
      </c>
      <c r="FM64" s="157"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33"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36" t="str">
        <f>IF(AND(ISNUMBER(SnapshotTable[[#This Row],[SC Simple ROO]]),SnapshotTable[[#This Row],[SC Simple ROO]] &gt; 0), SnapshotTable[[#This Row],[SC Premium]] + (SnapshotTable[[#This Row],[SC Qty]] * SnapshotTable[[#This Row],[SC Upside Potential]]), "")</f>
        <v/>
      </c>
      <c r="FX64" s="302" t="str" cm="1">
        <f t="array" ref="FX64">IF(ISNUMBER(SnapshotTable[[#This Row],[SC Max Dollars]]), annualize(SnapshotTable[[#This Row],[SC Term]],(SnapshotTable[[#This Row],[SC Max Dollars]]/SnapshotTable[[#This Row],[SC Basis]])),"")</f>
        <v/>
      </c>
      <c r="FY64" s="23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29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41.457000000000001</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1016</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31">
        <f>MAX(SnapshotTable[[#This Row],[Equity Basis Total]],SnapshotTable[[#This Row],[Equity Value]]) + (SnapshotTable[[#This Row],[SP Potential Spend]]- SnapshotTable[[#This Row],[SP Premium]] + SnapshotTable[[#This Row],[LP Premium]])+ (SnapshotTable[[#This Row],[LC Premium]] - SnapshotTable[[#This Row],[SC Premium]])</f>
        <v>28510</v>
      </c>
      <c r="GW64" s="139">
        <f ca="1">IF(AND(SnapshotTable[[#This Row],[Exposure]] &lt;&gt; 0),SnapshotTable[[#This Row],[Exposure]] / SnapshotTable[[#Totals],[Exposure]], "")</f>
        <v>0.13419794908253979</v>
      </c>
      <c r="HE64" s="268"/>
      <c r="HF64" s="268"/>
      <c r="HK64" s="1"/>
      <c r="HL64" s="1"/>
      <c r="HM64" s="1"/>
      <c r="HN64" s="1"/>
      <c r="HO64" s="1"/>
      <c r="HP64" s="1"/>
    </row>
    <row r="65" spans="2:224" ht="12.75" hidden="1" customHeight="1" x14ac:dyDescent="0.25">
      <c r="B65" s="12" t="s">
        <v>1247</v>
      </c>
      <c r="C65" s="422">
        <v>41.28</v>
      </c>
      <c r="D65" s="208"/>
      <c r="E65" s="39">
        <f>SnapshotTable[[#This Row],[Last Price]]*(1 -CrashDiscount)</f>
        <v>35.088000000000001</v>
      </c>
      <c r="F65" s="325" t="s">
        <v>937</v>
      </c>
      <c r="G65" s="325" t="s">
        <v>4</v>
      </c>
      <c r="H65" s="149"/>
      <c r="I65" s="194"/>
      <c r="J65" s="195"/>
      <c r="K65" s="196"/>
      <c r="L65" s="326"/>
      <c r="M65" s="140"/>
      <c r="N65" s="140"/>
      <c r="O65" s="140"/>
      <c r="P65" s="22"/>
      <c r="Q65" s="25"/>
      <c r="R65" s="4" t="str">
        <f>IF(SnapshotTable[[#This Row],[Equity Basis Total]] &gt; 0, SnapshotTable[[#This Row],[Equity Basis Total]] / SnapshotTable[[#This Row],[Equity Shares]], "")</f>
        <v/>
      </c>
      <c r="S65" s="269">
        <f>SnapshotTable[[#This Row],[Last Price]] * SnapshotTable[[#This Row],[Equity Shares]]</f>
        <v>0</v>
      </c>
      <c r="T65" s="269">
        <f>SnapshotTable[[#This Row],[Equity Value]] - SnapshotTable[[#This Row],[Equity Basis Total]]</f>
        <v>0</v>
      </c>
      <c r="U65" s="270" t="str">
        <f>IF(SnapshotTable[[#This Row],[Equity Basis Total]] &gt; 0, SnapshotTable[[#This Row],[Equity G/L]] / SnapshotTable[[#This Row],[Equity Basis Total]], "")</f>
        <v/>
      </c>
      <c r="V65" s="268"/>
      <c r="W65" s="26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7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0"/>
      <c r="AD65" s="151"/>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1"/>
      <c r="AI65" s="5"/>
      <c r="AJ65" s="138"/>
      <c r="AK65" s="152" t="str">
        <f>IF(ISNUMBER( SnapshotTable[[#This Row],[EBF Target]]),(SnapshotTable[[#This Row],[EBF Target]] - SnapshotTable[[#This Row],[Last Price]]) / SnapshotTable[[#This Row],[Last Price]], "")</f>
        <v/>
      </c>
      <c r="AL65" s="152"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2" t="str">
        <f>IF(AND(ISNUMBER( SnapshotTable[[#This Row],[Long Term Target]]), ISNUMBER(SnapshotTable[[#This Row],[Last Price]])),(SnapshotTable[[#This Row],[Long Term Target]] - SnapshotTable[[#This Row],[Last Price]]) / SnapshotTable[[#This Row],[Last Price]], "")</f>
        <v/>
      </c>
      <c r="AP65" s="5"/>
      <c r="AQ65" s="38"/>
      <c r="AR65" s="5"/>
      <c r="AS65" s="38"/>
      <c r="AT65" s="146"/>
      <c r="AU65" s="187" t="str">
        <f>IF(OR(SnapshotTable[[#This Row],[LP No Fill]]="Y",SnapshotTable[[#This Row],[SP Is Filled]],SnapshotTable[[#This Row],[LC Not Filled]]="Y",SnapshotTable[[#This Row],[SC Is Filled]]),"Y","")</f>
        <v/>
      </c>
      <c r="AV65" s="219"/>
      <c r="AW65" s="225"/>
      <c r="AX65" s="220"/>
      <c r="AY65" s="219" t="str">
        <f>IF(SnapshotTable[[#This Row],[Implied Move]]&gt;0, SnapshotTable[[#This Row],[Last Price]]-SnapshotTable[[#This Row],[Implied Move]],"")</f>
        <v/>
      </c>
      <c r="AZ65" s="219" t="str">
        <f>IF(SnapshotTable[[#This Row],[Implied Move]]&gt;0, SnapshotTable[[#This Row],[Last Price]] + SnapshotTable[[#This Row],[Implied Move]],"")</f>
        <v/>
      </c>
      <c r="BA65" s="331">
        <v>2.76</v>
      </c>
      <c r="BB65" s="347"/>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51">
        <v>45968</v>
      </c>
      <c r="BE65" s="5"/>
      <c r="BF65" s="14"/>
      <c r="BG65" s="13"/>
      <c r="BH65" s="13"/>
      <c r="BI65" s="5"/>
      <c r="BJ65" s="136">
        <f>IF(SnapshotTable[[#This Row],[LP Qty]] &gt; 0, SnapshotTable[[#This Row],[LP Qty]] * SnapshotTable[[#This Row],[LP Book Price]] * 100,0)</f>
        <v>0</v>
      </c>
      <c r="BK65" s="136">
        <f>IF(SnapshotTable[[#This Row],[LP Premium]] &gt; 0, SnapshotTable[[#This Row],[LP Qty]] * SnapshotTable[[#This Row],[LP Strike Price]] * 100,0)</f>
        <v>0</v>
      </c>
      <c r="BL65" s="154"/>
      <c r="BM65" s="385" t="str">
        <f>IF(SnapshotTable[[#This Row],[LP Premium]] &gt; 0,SnapshotTable[[#This Row],[LP Exp Date]]-MAX(SnapshotTable[[#This Row],[LP Book Date]], SnapshotTable[[#This Row],[LP Fill Date]]),"")</f>
        <v/>
      </c>
      <c r="BN65" s="385" t="str">
        <f>IF(ISNUMBER( SnapshotTable[[#This Row],[LP Term]]), SnapshotTable[[#This Row],[LP Exp Date]] - MockToday,"")</f>
        <v/>
      </c>
      <c r="BO65" s="163"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7"/>
      <c r="BU65" s="13"/>
      <c r="BV65" s="5">
        <v>2.2200000000000002</v>
      </c>
      <c r="BW65" s="419" t="b">
        <f>AND(ISNUMBER(SnapshotTable[[#This Row],[SP Exp Date]]), ISNUMBER(SnapshotTable[[#This Row],[SP Strike Price]]), ISNUMBER(SnapshotTable[[#This Row],[SP Qty]]), ISNUMBER(SnapshotTable[[#This Row],[SP Book Date]]), ISNUMBER(SnapshotTable[[#This Row],[SP Book Price]]))</f>
        <v>0</v>
      </c>
      <c r="BX65" s="419" t="b">
        <f>AND(SnapshotTable[[#This Row],[SP Is Booked]], NOT(ISBLANK(SnapshotTable[[#This Row],[SP Fill Date]])))</f>
        <v>0</v>
      </c>
      <c r="BY65" s="33">
        <f>IF(SnapshotTable[[#This Row],[SP Is Booked]], SnapshotTable[[#This Row],[SP Qty]] * SnapshotTable[[#This Row],[SP Book Price]] * 100, 0)</f>
        <v>0</v>
      </c>
      <c r="BZ65" s="369"/>
      <c r="CA65" s="368">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3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44"/>
      <c r="CK65" s="31">
        <f>IF(ISNUMBER(SnapshotTable[[#This Row],[SP Potential Spend]]),IF(ISNUMBER(SnapshotTable[[#This Row],[SP POW]]), SnapshotTable[[#This Row],[SP POW]] * SnapshotTable[[#This Row],[SP Potential Spend]], SnapshotTable[[#This Row],[SP Potential Spend]]), "")</f>
        <v>0</v>
      </c>
      <c r="CL65" s="164">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8"/>
      <c r="CO65" s="369"/>
      <c r="CP65" s="4" t="str">
        <f>IF(SnapshotTable[[#This Row],[SP Is Filled]], btc_max_buyback_amount(SnapshotTable[[#This Row],[SP Fill Date]],SnapshotTable[[#This Row],[SP Exp Date]], SnapshotTable[[#This Row],[SP Book Price]]),"")</f>
        <v/>
      </c>
      <c r="CQ65" s="78"/>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5" t="str">
        <f>IF(SnapshotTable[[#This Row],[SP Is Filled]], btc_next_cutoff_date(SnapshotTable[[#This Row],[SP Fill Date]],SnapshotTable[[#This Row],[SP Exp Date]]),"")</f>
        <v/>
      </c>
      <c r="CT65" s="23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3"/>
      <c r="CV65" s="235"/>
      <c r="CW65" s="378"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294" t="str">
        <f>IF(ISNUMBER((SnapshotTable[[#This Row],[SP Total Value]])), SnapshotTable[[#This Row],[SP Gain Loss]] / SnapshotTable[[#This Row],[SP Premium]], "")</f>
        <v/>
      </c>
      <c r="DI65" s="406"/>
      <c r="DJ65" s="138"/>
      <c r="DK65" s="148"/>
      <c r="DL65" s="13"/>
      <c r="DM65" s="13"/>
      <c r="DO65" s="31">
        <f>IF(SnapshotTable[[#This Row],[LC Symbol Count]]=1, SnapshotTable[[#This Row],[LC Qty]] * SnapshotTable[[#This Row],[LC Book Price]] * 100, 0)</f>
        <v>0</v>
      </c>
      <c r="DP65" s="163" t="str">
        <f>IF(AND(SnapshotTable[[#This Row],[LC Exp Date]]&gt;0, SnapshotTable[[#This Row],[LC Strike Price]]&gt;0,SnapshotTable[[#This Row],[LC Qty]]&gt;0,SnapshotTable[[#This Row],[LC Book Date]]&gt;0,SnapshotTable[[#This Row],[LC Book Price]]&gt;0,SnapshotTable[[#This Row],[LC Fill Date]]=0),"Y","")</f>
        <v/>
      </c>
      <c r="DQ65" s="386" t="str">
        <f>IF(SnapshotTable[[#This Row],[LC Premium]] &gt; 0,SnapshotTable[[#This Row],[LC Exp Date]]-MAX(SnapshotTable[[#This Row],[LC Book Date]], SnapshotTable[[#This Row],[LC Fill Date]]),"")</f>
        <v/>
      </c>
      <c r="DR65" s="386" t="str">
        <f>IF(ISNUMBER(SnapshotTable[[#This Row],[LC Term]]), SnapshotTable[[#This Row],[LC Exp Date]] - MockToday, "")</f>
        <v/>
      </c>
      <c r="DS65" s="23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40" t="str">
        <f>IF(ISNUMBER(SnapshotTable[[#This Row],[LC Actual Gain Loss]]), SnapshotTable[[#This Row],[LC Actual Gain Loss]] / SnapshotTable[[#This Row],[LC Premium]],"")</f>
        <v/>
      </c>
      <c r="DX65" s="284" t="str">
        <f>IF(ISNUMBER(SnapshotTable[[#This Row],[LC Book Price]]),SnapshotTable[[#This Row],[LC Book Price]] * 1.5,"")</f>
        <v/>
      </c>
      <c r="DY65" s="265" t="str">
        <f>IF(SnapshotTable[[#This Row],[LC Premium]]&gt;0, SnapshotTable[[#This Row],[LC Next Target]] * SnapshotTable[[#This Row],[LC Qty]] * 100,"")</f>
        <v/>
      </c>
      <c r="DZ65" s="265" t="str">
        <f>IF(ISNUMBER(SnapshotTable[[#This Row],[LC Target Gross]]), SnapshotTable[[#This Row],[LC Target Gross]] - SnapshotTable[[#This Row],[LC Premium]], "")</f>
        <v/>
      </c>
      <c r="EA65" s="305" t="str">
        <f>IF(ISNUMBER(SnapshotTable[[#This Row],[LC Target Gain Loss]]), SnapshotTable[[#This Row],[LC Target Gain Loss]]/SnapshotTable[[#This Row],[LC Premium]], "")</f>
        <v/>
      </c>
      <c r="EB65" s="262"/>
      <c r="EC65" s="283" t="str">
        <f>IF(SnapshotTable[[#This Row],[LC Premium]]&gt;0, SnapshotTable[[#This Row],[LC Book Price]] * (1 - LC_StopLoss_Pct),"")</f>
        <v/>
      </c>
      <c r="ED65" s="284"/>
      <c r="EE65" s="28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4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7"/>
      <c r="EL65" s="138"/>
      <c r="EM65" s="148"/>
      <c r="EN65" s="147"/>
      <c r="EO65" s="147"/>
      <c r="EP65" s="138"/>
      <c r="EQ65" s="419" t="b">
        <f>AND(ISNUMBER(SnapshotTable[[#This Row],[SC Exp Date]]), ISNUMBER(SnapshotTable[[#This Row],[SC Strike Price]]), ISNUMBER(SnapshotTable[[#This Row],[SC Qty]]), ISNUMBER(SnapshotTable[[#This Row],[SC Book Date]]), ISNUMBER(SnapshotTable[[#This Row],[SC Book Price]]))</f>
        <v>0</v>
      </c>
      <c r="ER65" s="419" t="b">
        <f>AND(SnapshotTable[[#This Row],[SC Is Booked]], NOT(ISBLANK(SnapshotTable[[#This Row],[SC Fill Date]])))</f>
        <v>0</v>
      </c>
      <c r="ES65" s="370"/>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3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283"/>
      <c r="FA65" s="218"/>
      <c r="FB65" s="370"/>
      <c r="FC65" s="4">
        <f>IF(SnapshotTable[[#This Row],[SC Is Filled]], btc_max_buyback_amount(SnapshotTable[[#This Row],[SC Fill Date]],SnapshotTable[[#This Row],[SC Exp Date]], SnapshotTable[[#This Row],[SC Book Price]]),0)</f>
        <v>0</v>
      </c>
      <c r="FD65" s="5"/>
      <c r="FE65" s="144"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382">
        <f>IF(SnapshotTable[[#This Row],[SC Is Filled]], IF(ISNUMBER(SnapshotTable[[#This Row],[SC Current Ask]]), SnapshotTable[[#This Row],[SC Current Ask]], SnapshotTable[[#This Row],[SC Book Price]]) - SnapshotTable[[#This Row],[SC Intrinsic Value]], 0)</f>
        <v>0</v>
      </c>
      <c r="FI65" s="143"/>
      <c r="FJ65" s="32" t="str">
        <f>IF(SnapshotTable[[#This Row],[SC Is Filled]],100 * SnapshotTable[[#This Row],[SC Qty]] * IF(ISNUMBER(SnapshotTable[[#This Row],[SC Buyback Override]]), SnapshotTable[[#This Row],[SC Buyback Override]], SnapshotTable[[#This Row],[SC Current Ask]]), "")</f>
        <v/>
      </c>
      <c r="FK65" s="250" t="str">
        <f>IF(SnapshotTable[[#This Row],[SC Time Val]]&gt;0, SnapshotTable[[#This Row],[SC Time Val]] / SnapshotTable[[#This Row],[Last Price]],"")</f>
        <v/>
      </c>
      <c r="FL65" s="302" t="str">
        <f>IF(SnapshotTable[[#This Row],[SC Is Booked]], ((SnapshotTable[[#This Row],[Last Price]] -SnapshotTable[[#This Row],[SC Strike Price]]) / SnapshotTable[[#This Row],[Last Price]]) * -1, "")</f>
        <v/>
      </c>
      <c r="FM65" s="157"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33"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36" t="str">
        <f>IF(AND(ISNUMBER(SnapshotTable[[#This Row],[SC Simple ROO]]),SnapshotTable[[#This Row],[SC Simple ROO]] &gt; 0), SnapshotTable[[#This Row],[SC Premium]] + (SnapshotTable[[#This Row],[SC Qty]] * SnapshotTable[[#This Row],[SC Upside Potential]]), "")</f>
        <v/>
      </c>
      <c r="FX65" s="302" t="str" cm="1">
        <f t="array" ref="FX65">IF(ISNUMBER(SnapshotTable[[#This Row],[SC Max Dollars]]), annualize(SnapshotTable[[#This Row],[SC Term]],(SnapshotTable[[#This Row],[SC Max Dollars]]/SnapshotTable[[#This Row],[SC Basis]])),"")</f>
        <v/>
      </c>
      <c r="FY65" s="23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29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80.495999999999995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31">
        <f>MAX(SnapshotTable[[#This Row],[Equity Basis Total]],SnapshotTable[[#This Row],[Equity Value]]) + (SnapshotTable[[#This Row],[SP Potential Spend]]- SnapshotTable[[#This Row],[SP Premium]] + SnapshotTable[[#This Row],[LP Premium]])+ (SnapshotTable[[#This Row],[LC Premium]] - SnapshotTable[[#This Row],[SC Premium]])</f>
        <v>0</v>
      </c>
      <c r="GW65" s="139" t="str">
        <f>IF(AND(SnapshotTable[[#This Row],[Exposure]] &lt;&gt; 0),SnapshotTable[[#This Row],[Exposure]] / SnapshotTable[[#Totals],[Exposure]], "")</f>
        <v/>
      </c>
      <c r="HE65" s="268"/>
      <c r="HF65" s="268"/>
      <c r="HK65" s="1"/>
      <c r="HL65" s="1"/>
      <c r="HM65" s="1"/>
      <c r="HN65" s="1"/>
      <c r="HO65" s="1"/>
      <c r="HP65" s="1"/>
    </row>
    <row r="66" spans="2:224" ht="12.75" hidden="1" customHeight="1" x14ac:dyDescent="0.25">
      <c r="B66" s="12" t="s">
        <v>95</v>
      </c>
      <c r="C66" s="422">
        <v>33.03</v>
      </c>
      <c r="D66" s="208" t="s">
        <v>578</v>
      </c>
      <c r="E66" s="39">
        <f>SnapshotTable[[#This Row],[Last Price]]*(1 -CrashDiscount)</f>
        <v>28.075500000000002</v>
      </c>
      <c r="F66" s="26" t="s">
        <v>42</v>
      </c>
      <c r="G66" s="26" t="s">
        <v>822</v>
      </c>
      <c r="H66" s="149"/>
      <c r="I66" s="194">
        <v>45041.28125</v>
      </c>
      <c r="J66" s="195">
        <v>45041.28125</v>
      </c>
      <c r="K66" s="196"/>
      <c r="L66" s="326"/>
      <c r="M66" s="140"/>
      <c r="N66" s="140"/>
      <c r="O66" s="140"/>
      <c r="P66" s="22"/>
      <c r="Q66" s="25"/>
      <c r="R66" s="4" t="str">
        <f>IF(SnapshotTable[[#This Row],[Equity Basis Total]] &gt; 0, SnapshotTable[[#This Row],[Equity Basis Total]] / SnapshotTable[[#This Row],[Equity Shares]], "")</f>
        <v/>
      </c>
      <c r="S66" s="269">
        <f>SnapshotTable[[#This Row],[Last Price]] * SnapshotTable[[#This Row],[Equity Shares]]</f>
        <v>0</v>
      </c>
      <c r="T66" s="269">
        <f>SnapshotTable[[#This Row],[Equity Value]] - SnapshotTable[[#This Row],[Equity Basis Total]]</f>
        <v>0</v>
      </c>
      <c r="U66" s="270" t="str">
        <f>IF(SnapshotTable[[#This Row],[Equity Basis Total]] &gt; 0, SnapshotTable[[#This Row],[Equity G/L]] / SnapshotTable[[#This Row],[Equity Basis Total]], "")</f>
        <v/>
      </c>
      <c r="V66" s="268">
        <v>46</v>
      </c>
      <c r="W66" s="26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7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0"/>
      <c r="AD66" s="151"/>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1"/>
      <c r="AI66" s="5"/>
      <c r="AJ66" s="138">
        <v>45.68</v>
      </c>
      <c r="AK66" s="152" t="str">
        <f>IF(ISNUMBER( SnapshotTable[[#This Row],[EBF Target]]),(SnapshotTable[[#This Row],[EBF Target]] - SnapshotTable[[#This Row],[Last Price]]) / SnapshotTable[[#This Row],[Last Price]], "")</f>
        <v/>
      </c>
      <c r="AL66" s="152"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2">
        <f>IF(AND(ISNUMBER( SnapshotTable[[#This Row],[Long Term Target]]), ISNUMBER(SnapshotTable[[#This Row],[Last Price]])),(SnapshotTable[[#This Row],[Long Term Target]] - SnapshotTable[[#This Row],[Last Price]]) / SnapshotTable[[#This Row],[Last Price]], "")</f>
        <v>0.38298516500151369</v>
      </c>
      <c r="AP66" s="5">
        <v>38</v>
      </c>
      <c r="AQ66" s="38" t="s">
        <v>38</v>
      </c>
      <c r="AR66" s="5">
        <v>38</v>
      </c>
      <c r="AS66" s="38" t="s">
        <v>26</v>
      </c>
      <c r="AT66" s="146" t="s">
        <v>538</v>
      </c>
      <c r="AU66" s="187" t="str">
        <f>IF(OR(SnapshotTable[[#This Row],[LP No Fill]]="Y",SnapshotTable[[#This Row],[SP Is Filled]],SnapshotTable[[#This Row],[LC Not Filled]]="Y",SnapshotTable[[#This Row],[SC Is Filled]]),"Y","")</f>
        <v/>
      </c>
      <c r="AV66" s="219"/>
      <c r="AW66" s="225"/>
      <c r="AX66" s="220"/>
      <c r="AY66" s="219" t="str">
        <f>IF(SnapshotTable[[#This Row],[Implied Move]]&gt;0, SnapshotTable[[#This Row],[Last Price]]-SnapshotTable[[#This Row],[Implied Move]],"")</f>
        <v/>
      </c>
      <c r="AZ66" s="219" t="str">
        <f>IF(SnapshotTable[[#This Row],[Implied Move]]&gt;0, SnapshotTable[[#This Row],[Last Price]] + SnapshotTable[[#This Row],[Implied Move]],"")</f>
        <v/>
      </c>
      <c r="BA66" s="331">
        <v>30.7</v>
      </c>
      <c r="BB66" s="347" t="s">
        <v>1143</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51"/>
      <c r="BE66" s="5"/>
      <c r="BF66" s="14"/>
      <c r="BG66" s="13"/>
      <c r="BH66" s="13"/>
      <c r="BI66" s="5"/>
      <c r="BJ66" s="136">
        <f>IF(SnapshotTable[[#This Row],[LP Qty]] &gt; 0, SnapshotTable[[#This Row],[LP Qty]] * SnapshotTable[[#This Row],[LP Book Price]] * 100,0)</f>
        <v>0</v>
      </c>
      <c r="BK66" s="136">
        <f>IF(SnapshotTable[[#This Row],[LP Premium]] &gt; 0, SnapshotTable[[#This Row],[LP Qty]] * SnapshotTable[[#This Row],[LP Strike Price]] * 100,0)</f>
        <v>0</v>
      </c>
      <c r="BL66" s="154"/>
      <c r="BM66" s="385" t="str">
        <f>IF(SnapshotTable[[#This Row],[LP Premium]] &gt; 0,SnapshotTable[[#This Row],[LP Exp Date]]-MAX(SnapshotTable[[#This Row],[LP Book Date]], SnapshotTable[[#This Row],[LP Fill Date]]),"")</f>
        <v/>
      </c>
      <c r="BN66" s="385" t="str">
        <f>IF(ISNUMBER( SnapshotTable[[#This Row],[LP Term]]), SnapshotTable[[#This Row],[LP Exp Date]] - MockToday,"")</f>
        <v/>
      </c>
      <c r="BO66" s="163"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7"/>
      <c r="BU66" s="13"/>
      <c r="BV66" s="5"/>
      <c r="BW66" s="419" t="b">
        <f>AND(ISNUMBER(SnapshotTable[[#This Row],[SP Exp Date]]), ISNUMBER(SnapshotTable[[#This Row],[SP Strike Price]]), ISNUMBER(SnapshotTable[[#This Row],[SP Qty]]), ISNUMBER(SnapshotTable[[#This Row],[SP Book Date]]), ISNUMBER(SnapshotTable[[#This Row],[SP Book Price]]))</f>
        <v>0</v>
      </c>
      <c r="BX66" s="419" t="b">
        <f>AND(SnapshotTable[[#This Row],[SP Is Booked]], NOT(ISBLANK(SnapshotTable[[#This Row],[SP Fill Date]])))</f>
        <v>0</v>
      </c>
      <c r="BY66" s="33">
        <f>IF(SnapshotTable[[#This Row],[SP Is Booked]], SnapshotTable[[#This Row],[SP Qty]] * SnapshotTable[[#This Row],[SP Book Price]] * 100, 0)</f>
        <v>0</v>
      </c>
      <c r="BZ66" s="369"/>
      <c r="CA66" s="368">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3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44"/>
      <c r="CK66" s="31">
        <f>IF(ISNUMBER(SnapshotTable[[#This Row],[SP Potential Spend]]),IF(ISNUMBER(SnapshotTable[[#This Row],[SP POW]]), SnapshotTable[[#This Row],[SP POW]] * SnapshotTable[[#This Row],[SP Potential Spend]], SnapshotTable[[#This Row],[SP Potential Spend]]), "")</f>
        <v>0</v>
      </c>
      <c r="CL66" s="164">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8"/>
      <c r="CO66" s="369"/>
      <c r="CP66" s="4" t="str">
        <f>IF(SnapshotTable[[#This Row],[SP Is Filled]], btc_max_buyback_amount(SnapshotTable[[#This Row],[SP Fill Date]],SnapshotTable[[#This Row],[SP Exp Date]], SnapshotTable[[#This Row],[SP Book Price]]),"")</f>
        <v/>
      </c>
      <c r="CQ66" s="78"/>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5" t="str">
        <f>IF(SnapshotTable[[#This Row],[SP Is Filled]], btc_next_cutoff_date(SnapshotTable[[#This Row],[SP Fill Date]],SnapshotTable[[#This Row],[SP Exp Date]]),"")</f>
        <v/>
      </c>
      <c r="CT66" s="23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3"/>
      <c r="CV66" s="235"/>
      <c r="CW66" s="378"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294" t="str">
        <f>IF(ISNUMBER((SnapshotTable[[#This Row],[SP Total Value]])), SnapshotTable[[#This Row],[SP Gain Loss]] / SnapshotTable[[#This Row],[SP Premium]], "")</f>
        <v/>
      </c>
      <c r="DI66" s="406"/>
      <c r="DJ66" s="138"/>
      <c r="DK66" s="148"/>
      <c r="DL66" s="13"/>
      <c r="DM66" s="13"/>
      <c r="DO66" s="31">
        <f>IF(SnapshotTable[[#This Row],[LC Symbol Count]]=1, SnapshotTable[[#This Row],[LC Qty]] * SnapshotTable[[#This Row],[LC Book Price]] * 100, 0)</f>
        <v>0</v>
      </c>
      <c r="DP66" s="163" t="str">
        <f>IF(AND(SnapshotTable[[#This Row],[LC Exp Date]]&gt;0, SnapshotTable[[#This Row],[LC Strike Price]]&gt;0,SnapshotTable[[#This Row],[LC Qty]]&gt;0,SnapshotTable[[#This Row],[LC Book Date]]&gt;0,SnapshotTable[[#This Row],[LC Book Price]]&gt;0,SnapshotTable[[#This Row],[LC Fill Date]]=0),"Y","")</f>
        <v/>
      </c>
      <c r="DQ66" s="386" t="str">
        <f>IF(SnapshotTable[[#This Row],[LC Premium]] &gt; 0,SnapshotTable[[#This Row],[LC Exp Date]]-MAX(SnapshotTable[[#This Row],[LC Book Date]], SnapshotTable[[#This Row],[LC Fill Date]]),"")</f>
        <v/>
      </c>
      <c r="DR66" s="386" t="str">
        <f>IF(ISNUMBER(SnapshotTable[[#This Row],[LC Term]]), SnapshotTable[[#This Row],[LC Exp Date]] - MockToday, "")</f>
        <v/>
      </c>
      <c r="DS66" s="23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40" t="str">
        <f>IF(ISNUMBER(SnapshotTable[[#This Row],[LC Actual Gain Loss]]), SnapshotTable[[#This Row],[LC Actual Gain Loss]] / SnapshotTable[[#This Row],[LC Premium]],"")</f>
        <v/>
      </c>
      <c r="DX66" s="284" t="str">
        <f>IF(ISNUMBER(SnapshotTable[[#This Row],[LC Book Price]]),SnapshotTable[[#This Row],[LC Book Price]] * 1.5,"")</f>
        <v/>
      </c>
      <c r="DY66" s="265" t="str">
        <f>IF(SnapshotTable[[#This Row],[LC Premium]]&gt;0, SnapshotTable[[#This Row],[LC Next Target]] * SnapshotTable[[#This Row],[LC Qty]] * 100,"")</f>
        <v/>
      </c>
      <c r="DZ66" s="265" t="str">
        <f>IF(ISNUMBER(SnapshotTable[[#This Row],[LC Target Gross]]), SnapshotTable[[#This Row],[LC Target Gross]] - SnapshotTable[[#This Row],[LC Premium]], "")</f>
        <v/>
      </c>
      <c r="EA66" s="305" t="str">
        <f>IF(ISNUMBER(SnapshotTable[[#This Row],[LC Target Gain Loss]]), SnapshotTable[[#This Row],[LC Target Gain Loss]]/SnapshotTable[[#This Row],[LC Premium]], "")</f>
        <v/>
      </c>
      <c r="EB66" s="262"/>
      <c r="EC66" s="283" t="str">
        <f>IF(SnapshotTable[[#This Row],[LC Premium]]&gt;0, SnapshotTable[[#This Row],[LC Book Price]] * (1 - LC_StopLoss_Pct),"")</f>
        <v/>
      </c>
      <c r="ED66" s="284"/>
      <c r="EE66" s="28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4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7"/>
      <c r="EL66" s="138"/>
      <c r="EM66" s="148"/>
      <c r="EN66" s="147"/>
      <c r="EO66" s="147"/>
      <c r="EP66" s="138"/>
      <c r="EQ66" s="419" t="b">
        <f>AND(ISNUMBER(SnapshotTable[[#This Row],[SC Exp Date]]), ISNUMBER(SnapshotTable[[#This Row],[SC Strike Price]]), ISNUMBER(SnapshotTable[[#This Row],[SC Qty]]), ISNUMBER(SnapshotTable[[#This Row],[SC Book Date]]), ISNUMBER(SnapshotTable[[#This Row],[SC Book Price]]))</f>
        <v>0</v>
      </c>
      <c r="ER66" s="419" t="b">
        <f>AND(SnapshotTable[[#This Row],[SC Is Booked]], NOT(ISBLANK(SnapshotTable[[#This Row],[SC Fill Date]])))</f>
        <v>0</v>
      </c>
      <c r="ES66" s="370"/>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3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283"/>
      <c r="FA66" s="218"/>
      <c r="FB66" s="370"/>
      <c r="FC66" s="4">
        <f>IF(SnapshotTable[[#This Row],[SC Is Filled]], btc_max_buyback_amount(SnapshotTable[[#This Row],[SC Fill Date]],SnapshotTable[[#This Row],[SC Exp Date]], SnapshotTable[[#This Row],[SC Book Price]]),0)</f>
        <v>0</v>
      </c>
      <c r="FD66" s="5"/>
      <c r="FE66" s="144"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382">
        <f>IF(SnapshotTable[[#This Row],[SC Is Filled]], IF(ISNUMBER(SnapshotTable[[#This Row],[SC Current Ask]]), SnapshotTable[[#This Row],[SC Current Ask]], SnapshotTable[[#This Row],[SC Book Price]]) - SnapshotTable[[#This Row],[SC Intrinsic Value]], 0)</f>
        <v>0</v>
      </c>
      <c r="FI66" s="143"/>
      <c r="FJ66" s="32" t="str">
        <f>IF(SnapshotTable[[#This Row],[SC Is Filled]],100 * SnapshotTable[[#This Row],[SC Qty]] * IF(ISNUMBER(SnapshotTable[[#This Row],[SC Buyback Override]]), SnapshotTable[[#This Row],[SC Buyback Override]], SnapshotTable[[#This Row],[SC Current Ask]]), "")</f>
        <v/>
      </c>
      <c r="FK66" s="250" t="str">
        <f>IF(SnapshotTable[[#This Row],[SC Time Val]]&gt;0, SnapshotTable[[#This Row],[SC Time Val]] / SnapshotTable[[#This Row],[Last Price]],"")</f>
        <v/>
      </c>
      <c r="FL66" s="302" t="str">
        <f>IF(SnapshotTable[[#This Row],[SC Is Booked]], ((SnapshotTable[[#This Row],[Last Price]] -SnapshotTable[[#This Row],[SC Strike Price]]) / SnapshotTable[[#This Row],[Last Price]]) * -1, "")</f>
        <v/>
      </c>
      <c r="FM66" s="157"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33"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36" t="str">
        <f>IF(AND(ISNUMBER(SnapshotTable[[#This Row],[SC Simple ROO]]),SnapshotTable[[#This Row],[SC Simple ROO]] &gt; 0), SnapshotTable[[#This Row],[SC Premium]] + (SnapshotTable[[#This Row],[SC Qty]] * SnapshotTable[[#This Row],[SC Upside Potential]]), "")</f>
        <v/>
      </c>
      <c r="FX66" s="302" t="str" cm="1">
        <f t="array" ref="FX66">IF(ISNUMBER(SnapshotTable[[#This Row],[SC Max Dollars]]), annualize(SnapshotTable[[#This Row],[SC Term]],(SnapshotTable[[#This Row],[SC Max Dollars]]/SnapshotTable[[#This Row],[SC Basis]])),"")</f>
        <v/>
      </c>
      <c r="FY66" s="23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29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64.408500000000004</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634</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31">
        <f>MAX(SnapshotTable[[#This Row],[Equity Basis Total]],SnapshotTable[[#This Row],[Equity Value]]) + (SnapshotTable[[#This Row],[SP Potential Spend]]- SnapshotTable[[#This Row],[SP Premium]] + SnapshotTable[[#This Row],[LP Premium]])+ (SnapshotTable[[#This Row],[LC Premium]] - SnapshotTable[[#This Row],[SC Premium]])</f>
        <v>0</v>
      </c>
      <c r="GW66" s="139" t="str">
        <f>IF(AND(SnapshotTable[[#This Row],[Exposure]] &lt;&gt; 0),SnapshotTable[[#This Row],[Exposure]] / SnapshotTable[[#Totals],[Exposure]], "")</f>
        <v/>
      </c>
      <c r="HE66" s="268"/>
      <c r="HF66" s="268"/>
      <c r="HK66" s="1"/>
      <c r="HL66" s="1"/>
      <c r="HM66" s="1"/>
      <c r="HN66" s="1"/>
      <c r="HO66" s="1"/>
      <c r="HP66" s="1"/>
    </row>
    <row r="67" spans="2:224" ht="12.75" hidden="1" customHeight="1" x14ac:dyDescent="0.25">
      <c r="B67" s="12" t="s">
        <v>1023</v>
      </c>
      <c r="C67" s="422">
        <v>23.88</v>
      </c>
      <c r="D67" s="208"/>
      <c r="E67" s="39">
        <f>SnapshotTable[[#This Row],[Last Price]]*(1 -CrashDiscount)</f>
        <v>20.297999999999998</v>
      </c>
      <c r="F67" s="26" t="s">
        <v>1024</v>
      </c>
      <c r="G67" s="325" t="s">
        <v>822</v>
      </c>
      <c r="H67" s="149"/>
      <c r="I67" s="194">
        <v>45062.333333333336</v>
      </c>
      <c r="J67" s="195">
        <v>45062.333333333336</v>
      </c>
      <c r="K67" s="196"/>
      <c r="L67" s="327"/>
      <c r="M67" s="140"/>
      <c r="N67" s="140"/>
      <c r="O67" s="140"/>
      <c r="P67" s="328"/>
      <c r="Q67" s="25"/>
      <c r="R67" s="4" t="str">
        <f>IF(SnapshotTable[[#This Row],[Equity Basis Total]] &gt; 0, SnapshotTable[[#This Row],[Equity Basis Total]] / SnapshotTable[[#This Row],[Equity Shares]], "")</f>
        <v/>
      </c>
      <c r="S67" s="329">
        <f>SnapshotTable[[#This Row],[Last Price]] * SnapshotTable[[#This Row],[Equity Shares]]</f>
        <v>0</v>
      </c>
      <c r="T67" s="269">
        <f>SnapshotTable[[#This Row],[Equity Value]] - SnapshotTable[[#This Row],[Equity Basis Total]]</f>
        <v>0</v>
      </c>
      <c r="U67" s="270" t="str">
        <f>IF(SnapshotTable[[#This Row],[Equity Basis Total]] &gt; 0, SnapshotTable[[#This Row],[Equity G/L]] / SnapshotTable[[#This Row],[Equity Basis Total]], "")</f>
        <v/>
      </c>
      <c r="V67" s="268"/>
      <c r="W67" s="26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7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0"/>
      <c r="AD67" s="151"/>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1"/>
      <c r="AI67" s="330"/>
      <c r="AJ67" s="138">
        <v>33.200000000000003</v>
      </c>
      <c r="AK67" s="152" t="str">
        <f>IF(ISNUMBER( SnapshotTable[[#This Row],[EBF Target]]),(SnapshotTable[[#This Row],[EBF Target]] - SnapshotTable[[#This Row],[Last Price]]) / SnapshotTable[[#This Row],[Last Price]], "")</f>
        <v/>
      </c>
      <c r="AL67" s="152"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2">
        <f>IF(AND(ISNUMBER( SnapshotTable[[#This Row],[Long Term Target]]), ISNUMBER(SnapshotTable[[#This Row],[Last Price]])),(SnapshotTable[[#This Row],[Long Term Target]] - SnapshotTable[[#This Row],[Last Price]]) / SnapshotTable[[#This Row],[Last Price]], "")</f>
        <v>0.39028475711892813</v>
      </c>
      <c r="AP67" s="5">
        <v>25</v>
      </c>
      <c r="AQ67" s="38" t="s">
        <v>38</v>
      </c>
      <c r="AR67" s="5">
        <v>25</v>
      </c>
      <c r="AS67" s="38" t="s">
        <v>26</v>
      </c>
      <c r="AT67" s="146" t="s">
        <v>538</v>
      </c>
      <c r="AU67" s="187" t="str">
        <f>IF(OR(SnapshotTable[[#This Row],[LP No Fill]]="Y",SnapshotTable[[#This Row],[SP Is Filled]],SnapshotTable[[#This Row],[LC Not Filled]]="Y",SnapshotTable[[#This Row],[SC Is Filled]]),"Y","")</f>
        <v/>
      </c>
      <c r="AV67" s="338"/>
      <c r="AW67" s="339"/>
      <c r="AX67" s="220"/>
      <c r="AY67" s="219" t="str">
        <f>IF(SnapshotTable[[#This Row],[Implied Move]]&gt;0, SnapshotTable[[#This Row],[Last Price]]-SnapshotTable[[#This Row],[Implied Move]],"")</f>
        <v/>
      </c>
      <c r="AZ67" s="219" t="str">
        <f>IF(SnapshotTable[[#This Row],[Implied Move]]&gt;0, SnapshotTable[[#This Row],[Last Price]] + SnapshotTable[[#This Row],[Implied Move]],"")</f>
        <v/>
      </c>
      <c r="BA67" s="331">
        <v>13.58</v>
      </c>
      <c r="BB67" s="347"/>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51"/>
      <c r="BE67" s="340"/>
      <c r="BF67" s="341"/>
      <c r="BG67" s="342"/>
      <c r="BH67" s="342"/>
      <c r="BI67" s="343"/>
      <c r="BJ67" s="153">
        <f>IF(SnapshotTable[[#This Row],[LP Qty]] &gt; 0, SnapshotTable[[#This Row],[LP Qty]] * SnapshotTable[[#This Row],[LP Book Price]] * 100,0)</f>
        <v>0</v>
      </c>
      <c r="BK67" s="136">
        <f>IF(SnapshotTable[[#This Row],[LP Premium]] &gt; 0, SnapshotTable[[#This Row],[LP Qty]] * SnapshotTable[[#This Row],[LP Strike Price]] * 100,0)</f>
        <v>0</v>
      </c>
      <c r="BL67" s="154"/>
      <c r="BM67" s="385" t="str">
        <f>IF(SnapshotTable[[#This Row],[LP Premium]] &gt; 0,SnapshotTable[[#This Row],[LP Exp Date]]-MAX(SnapshotTable[[#This Row],[LP Book Date]], SnapshotTable[[#This Row],[LP Fill Date]]),"")</f>
        <v/>
      </c>
      <c r="BN67" s="385" t="str">
        <f>IF(ISNUMBER( SnapshotTable[[#This Row],[LP Term]]), SnapshotTable[[#This Row],[LP Exp Date]] - MockToday,"")</f>
        <v/>
      </c>
      <c r="BO67" s="163"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7"/>
      <c r="BU67" s="13"/>
      <c r="BV67" s="5"/>
      <c r="BW67" s="419" t="b">
        <f>AND(ISNUMBER(SnapshotTable[[#This Row],[SP Exp Date]]), ISNUMBER(SnapshotTable[[#This Row],[SP Strike Price]]), ISNUMBER(SnapshotTable[[#This Row],[SP Qty]]), ISNUMBER(SnapshotTable[[#This Row],[SP Book Date]]), ISNUMBER(SnapshotTable[[#This Row],[SP Book Price]]))</f>
        <v>0</v>
      </c>
      <c r="BX67" s="419" t="b">
        <f>AND(SnapshotTable[[#This Row],[SP Is Booked]], NOT(ISBLANK(SnapshotTable[[#This Row],[SP Fill Date]])))</f>
        <v>0</v>
      </c>
      <c r="BY67" s="33">
        <f>IF(SnapshotTable[[#This Row],[SP Is Booked]], SnapshotTable[[#This Row],[SP Qty]] * SnapshotTable[[#This Row],[SP Book Price]] * 100, 0)</f>
        <v>0</v>
      </c>
      <c r="BZ67" s="369"/>
      <c r="CA67" s="368">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3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44"/>
      <c r="CK67" s="31">
        <f>IF(ISNUMBER(SnapshotTable[[#This Row],[SP Potential Spend]]),IF(ISNUMBER(SnapshotTable[[#This Row],[SP POW]]), SnapshotTable[[#This Row],[SP POW]] * SnapshotTable[[#This Row],[SP Potential Spend]], SnapshotTable[[#This Row],[SP Potential Spend]]), "")</f>
        <v>0</v>
      </c>
      <c r="CL67" s="164">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4"/>
      <c r="CO67" s="369"/>
      <c r="CP67" s="320" t="str">
        <f>IF(SnapshotTable[[#This Row],[SP Is Filled]], btc_max_buyback_amount(SnapshotTable[[#This Row],[SP Fill Date]],SnapshotTable[[#This Row],[SP Exp Date]], SnapshotTable[[#This Row],[SP Book Price]]),"")</f>
        <v/>
      </c>
      <c r="CQ67" s="78"/>
      <c r="CR6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5" t="str">
        <f>IF(SnapshotTable[[#This Row],[SP Is Filled]], btc_next_cutoff_date(SnapshotTable[[#This Row],[SP Fill Date]],SnapshotTable[[#This Row],[SP Exp Date]]),"")</f>
        <v/>
      </c>
      <c r="CT67" s="23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6"/>
      <c r="CV67" s="235"/>
      <c r="CW67" s="378"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294" t="str">
        <f>IF(ISNUMBER((SnapshotTable[[#This Row],[SP Total Value]])), SnapshotTable[[#This Row],[SP Gain Loss]] / SnapshotTable[[#This Row],[SP Premium]], "")</f>
        <v/>
      </c>
      <c r="DI67" s="406"/>
      <c r="DJ67" s="138"/>
      <c r="DK67" s="148"/>
      <c r="DL67" s="147"/>
      <c r="DM67" s="147"/>
      <c r="DO67" s="31">
        <f>IF(SnapshotTable[[#This Row],[LC Symbol Count]]=1, SnapshotTable[[#This Row],[LC Qty]] * SnapshotTable[[#This Row],[LC Book Price]] * 100, 0)</f>
        <v>0</v>
      </c>
      <c r="DP67" s="289" t="str">
        <f>IF(AND(SnapshotTable[[#This Row],[LC Exp Date]]&gt;0, SnapshotTable[[#This Row],[LC Strike Price]]&gt;0,SnapshotTable[[#This Row],[LC Qty]]&gt;0,SnapshotTable[[#This Row],[LC Book Date]]&gt;0,SnapshotTable[[#This Row],[LC Book Price]]&gt;0,SnapshotTable[[#This Row],[LC Fill Date]]=0),"Y","")</f>
        <v/>
      </c>
      <c r="DQ67" s="386" t="str">
        <f>IF(SnapshotTable[[#This Row],[LC Premium]] &gt; 0,SnapshotTable[[#This Row],[LC Exp Date]]-MAX(SnapshotTable[[#This Row],[LC Book Date]], SnapshotTable[[#This Row],[LC Fill Date]]),"")</f>
        <v/>
      </c>
      <c r="DR67" s="386" t="str">
        <f>IF(ISNUMBER(SnapshotTable[[#This Row],[LC Term]]), SnapshotTable[[#This Row],[LC Exp Date]] - MockToday, "")</f>
        <v/>
      </c>
      <c r="DS67" s="23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40" t="e">
        <f>IF(ISNUMBER(SnapshotTable[[#This Row],[LC Actual Gain Loss]]), SnapshotTable[[#This Row],[LC Actual Gain Loss]] / SnapshotTable[[#This Row],[LC Premium]],"")</f>
        <v>#DIV/0!</v>
      </c>
      <c r="DX67" s="284" t="str">
        <f>IF(ISNUMBER(SnapshotTable[[#This Row],[LC Book Price]]),SnapshotTable[[#This Row],[LC Book Price]] * 1.5,"")</f>
        <v/>
      </c>
      <c r="DY67" s="265" t="str">
        <f>IF(SnapshotTable[[#This Row],[LC Premium]]&gt;0, SnapshotTable[[#This Row],[LC Next Target]] * SnapshotTable[[#This Row],[LC Qty]] * 100,"")</f>
        <v/>
      </c>
      <c r="DZ67" s="265" t="str">
        <f>IF(ISNUMBER(SnapshotTable[[#This Row],[LC Target Gross]]), SnapshotTable[[#This Row],[LC Target Gross]] - SnapshotTable[[#This Row],[LC Premium]], "")</f>
        <v/>
      </c>
      <c r="EA67" s="305" t="str">
        <f>IF(ISNUMBER(SnapshotTable[[#This Row],[LC Target Gain Loss]]), SnapshotTable[[#This Row],[LC Target Gain Loss]]/SnapshotTable[[#This Row],[LC Premium]], "")</f>
        <v/>
      </c>
      <c r="EB67" s="262"/>
      <c r="EC67" s="290" t="str">
        <f>IF(SnapshotTable[[#This Row],[LC Premium]]&gt;0, SnapshotTable[[#This Row],[LC Book Price]] * (1 - LC_StopLoss_Pct),"")</f>
        <v/>
      </c>
      <c r="ED67" s="284"/>
      <c r="EE67" s="290" t="str">
        <f>IF(ISNUMBER(SnapshotTable[[#This Row],[LC Contract Value]]),IF(ISNUMBER(SnapshotTable[[#This Row],[LC Stop Loss Override]]), SnapshotTable[[#This Row],[LC Stop Loss Override]],SnapshotTable[[#This Row],[LC Stop Loss Calc Target]]),"")</f>
        <v/>
      </c>
      <c r="EF67" s="321"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4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7"/>
      <c r="EL67" s="138"/>
      <c r="EM67" s="148"/>
      <c r="EN67" s="147"/>
      <c r="EO67" s="147"/>
      <c r="EP67" s="138"/>
      <c r="EQ67" s="419" t="b">
        <f>AND(ISNUMBER(SnapshotTable[[#This Row],[SC Exp Date]]), ISNUMBER(SnapshotTable[[#This Row],[SC Strike Price]]), ISNUMBER(SnapshotTable[[#This Row],[SC Qty]]), ISNUMBER(SnapshotTable[[#This Row],[SC Book Date]]), ISNUMBER(SnapshotTable[[#This Row],[SC Book Price]]))</f>
        <v>0</v>
      </c>
      <c r="ER67" s="419" t="b">
        <f>AND(SnapshotTable[[#This Row],[SC Is Booked]], NOT(ISBLANK(SnapshotTable[[#This Row],[SC Fill Date]])))</f>
        <v>0</v>
      </c>
      <c r="ES67" s="370"/>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3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283"/>
      <c r="FA67" s="218"/>
      <c r="FB67" s="370"/>
      <c r="FC67" s="4">
        <f>IF(SnapshotTable[[#This Row],[SC Is Filled]], btc_max_buyback_amount(SnapshotTable[[#This Row],[SC Fill Date]],SnapshotTable[[#This Row],[SC Exp Date]], SnapshotTable[[#This Row],[SC Book Price]]),0)</f>
        <v>0</v>
      </c>
      <c r="FD67" s="5"/>
      <c r="FE67" s="144"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382">
        <f>IF(SnapshotTable[[#This Row],[SC Is Filled]], IF(ISNUMBER(SnapshotTable[[#This Row],[SC Current Ask]]), SnapshotTable[[#This Row],[SC Current Ask]], SnapshotTable[[#This Row],[SC Book Price]]) - SnapshotTable[[#This Row],[SC Intrinsic Value]], 0)</f>
        <v>0</v>
      </c>
      <c r="FI67" s="143"/>
      <c r="FJ67" s="32" t="str">
        <f>IF(SnapshotTable[[#This Row],[SC Is Filled]],100 * SnapshotTable[[#This Row],[SC Qty]] * IF(ISNUMBER(SnapshotTable[[#This Row],[SC Buyback Override]]), SnapshotTable[[#This Row],[SC Buyback Override]], SnapshotTable[[#This Row],[SC Current Ask]]), "")</f>
        <v/>
      </c>
      <c r="FK67" s="250" t="str">
        <f>IF(SnapshotTable[[#This Row],[SC Time Val]]&gt;0, SnapshotTable[[#This Row],[SC Time Val]] / SnapshotTable[[#This Row],[Last Price]],"")</f>
        <v/>
      </c>
      <c r="FL67" s="302" t="str">
        <f>IF(SnapshotTable[[#This Row],[SC Is Booked]], ((SnapshotTable[[#This Row],[Last Price]] -SnapshotTable[[#This Row],[SC Strike Price]]) / SnapshotTable[[#This Row],[Last Price]]) * -1, "")</f>
        <v/>
      </c>
      <c r="FM67" s="157" t="str">
        <f>IF(SnapshotTable[[#This Row],[SC Is Booked]],  (SnapshotTable[[#This Row],[SC Qty]] * 100 * SnapshotTable[[#This Row],[SC Strike Price]]) - SnapshotTable[[#This Row],[SC Current Ask]], "")</f>
        <v/>
      </c>
      <c r="FN6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7"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33"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36" t="str">
        <f>IF(AND(ISNUMBER(SnapshotTable[[#This Row],[SC Simple ROO]]),SnapshotTable[[#This Row],[SC Simple ROO]] &gt; 0), SnapshotTable[[#This Row],[SC Premium]] + (SnapshotTable[[#This Row],[SC Qty]] * SnapshotTable[[#This Row],[SC Upside Potential]]), "")</f>
        <v/>
      </c>
      <c r="FX67" s="302" t="str" cm="1">
        <f t="array" ref="FX67">IF(ISNUMBER(SnapshotTable[[#This Row],[SC Max Dollars]]), annualize(SnapshotTable[[#This Row],[SC Term]],(SnapshotTable[[#This Row],[SC Max Dollars]]/SnapshotTable[[#This Row],[SC Basis]])),"")</f>
        <v/>
      </c>
      <c r="FY67" s="236" t="str">
        <f>IF(AND(SnapshotTable[[#This Row],[SC Qty]]&gt;0,SnapshotTable[[#This Row],[SC Current Ask]]&gt;0), SnapshotTable[[#This Row],[SC Qty]] * SnapshotTable[[#This Row],[SC Current Ask]] * -100, "")</f>
        <v/>
      </c>
      <c r="FZ67" s="235" t="str">
        <f>IF(ISNUMBER((SnapshotTable[[#This Row],[SC Current Value]])), SnapshotTable[[#This Row],[SC Premium]] + SnapshotTable[[#This Row],[SC Current Value]], "")</f>
        <v/>
      </c>
      <c r="GA67" s="294" t="str">
        <f>IFERROR( IF(ISNUMBER((SnapshotTable[[#This Row],[SC Current Value]])), SnapshotTable[[#This Row],[SC Gain Loss]] / SnapshotTable[[#This Row],[SC Premium]], ""), "")</f>
        <v/>
      </c>
      <c r="GB67" s="344">
        <f>SnapshotTable[[#This Row],[Equity Shares]] * SaleSharesToConsiderPercentage</f>
        <v>0</v>
      </c>
      <c r="GC67" s="345">
        <f>SnapshotTable[[#This Row],[Long Term Target]] * SellingPriceToConsiderBasedOnTargetPercentage</f>
        <v>31.540000000000003</v>
      </c>
      <c r="GD67" s="345">
        <f>SnapshotTable[[#This Row],[Last Price]] * (1+ SellingPriceToConsiderBasedOnTargetPercentage)</f>
        <v>46.565999999999995</v>
      </c>
      <c r="GE67" s="346"/>
      <c r="GF67" s="345"/>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8" t="str">
        <f>IF(SnapshotTable[[#This Row],[Sale G/L]]&gt;0, SnapshotTable[[#This Row],[Sale G/L]] / SnapshotTable[[#This Row],[Sale Basis]], IF(ISNUMBER(SnapshotTable[[#This Row],[SC Exercise P&amp;L (TAX)]]), SnapshotTable[[#This Row],[SC Exercise P&amp;L (TAX)]] / SnapshotTable[[#This Row],[SC Basis]], ""))</f>
        <v/>
      </c>
      <c r="GK67" s="27"/>
      <c r="GL67" s="159"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59" t="str">
        <f>IF(AND(SnapshotTable[[#This Row],[LC Exp Date]]&gt;0,SnapshotTable[[#This Row],[LC Strike Price]]&gt;0), [1]!ToOptionSymbol(SnapshotTable[[#This Row],[Symbol]], SnapshotTable[[#This Row],[LC Strike Price]],SnapshotTable[[#This Row],[LC Exp Date]],0), "")</f>
        <v/>
      </c>
      <c r="GQ67" s="160" t="str">
        <f>IF(LEN(SnapshotTable[[#This Row],[LC Symbol]])&gt;0, 1, "")</f>
        <v/>
      </c>
      <c r="GR67" s="159" t="str">
        <f>IF(AND(SnapshotTable[[#This Row],[SC Exp Date]]&gt;0,SnapshotTable[[#This Row],[SC Strike Price]]&gt;0), [1]!ToOptionSymbol(SnapshotTable[[#This Row],[Symbol]], SnapshotTable[[#This Row],[SC Strike Price]],SnapshotTable[[#This Row],[SC Exp Date]],0), "")</f>
        <v/>
      </c>
      <c r="GS67" s="160" t="str">
        <f>IF(LEN(SnapshotTable[[#This Row],[SC Symbol]])&gt;0, 1, "")</f>
        <v/>
      </c>
      <c r="GT67" s="161"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31">
        <f>MAX(SnapshotTable[[#This Row],[Equity Basis Total]],SnapshotTable[[#This Row],[Equity Value]]) + (SnapshotTable[[#This Row],[SP Potential Spend]]- SnapshotTable[[#This Row],[SP Premium]] + SnapshotTable[[#This Row],[LP Premium]])+ (SnapshotTable[[#This Row],[LC Premium]] - SnapshotTable[[#This Row],[SC Premium]])</f>
        <v>0</v>
      </c>
      <c r="GW67" s="139" t="str">
        <f>IF(AND(SnapshotTable[[#This Row],[Exposure]] &lt;&gt; 0),SnapshotTable[[#This Row],[Exposure]] / SnapshotTable[[#Totals],[Exposure]], "")</f>
        <v/>
      </c>
      <c r="HE67" s="268"/>
      <c r="HF67" s="268"/>
      <c r="HK67" s="1"/>
      <c r="HL67" s="1"/>
      <c r="HM67" s="1"/>
      <c r="HN67" s="1"/>
      <c r="HO67" s="1"/>
      <c r="HP67" s="1"/>
    </row>
    <row r="68" spans="2:224" ht="12.75" hidden="1" customHeight="1" x14ac:dyDescent="0.25">
      <c r="B68" s="12" t="s">
        <v>233</v>
      </c>
      <c r="C68" s="422">
        <v>83.08</v>
      </c>
      <c r="D68" s="208"/>
      <c r="E68" s="39">
        <f>SnapshotTable[[#This Row],[Last Price]]*(1 -CrashDiscount)</f>
        <v>70.617999999999995</v>
      </c>
      <c r="F68" s="26" t="s">
        <v>232</v>
      </c>
      <c r="G68" s="26" t="s">
        <v>17</v>
      </c>
      <c r="H68" s="149"/>
      <c r="I68" s="194">
        <v>44777.392361111109</v>
      </c>
      <c r="J68" s="195">
        <v>44777.392361111109</v>
      </c>
      <c r="K68" s="196"/>
      <c r="L68" s="326"/>
      <c r="M68" s="140"/>
      <c r="N68" s="140"/>
      <c r="O68" s="140"/>
      <c r="P68" s="22"/>
      <c r="Q68" s="25"/>
      <c r="R68" s="4" t="str">
        <f>IF(SnapshotTable[[#This Row],[Equity Basis Total]] &gt; 0, SnapshotTable[[#This Row],[Equity Basis Total]] / SnapshotTable[[#This Row],[Equity Shares]], "")</f>
        <v/>
      </c>
      <c r="S68" s="269">
        <f>SnapshotTable[[#This Row],[Last Price]] * SnapshotTable[[#This Row],[Equity Shares]]</f>
        <v>0</v>
      </c>
      <c r="T68" s="269">
        <f>SnapshotTable[[#This Row],[Equity Value]] - SnapshotTable[[#This Row],[Equity Basis Total]]</f>
        <v>0</v>
      </c>
      <c r="U68" s="270" t="str">
        <f>IF(SnapshotTable[[#This Row],[Equity Basis Total]] &gt; 0, SnapshotTable[[#This Row],[Equity G/L]] / SnapshotTable[[#This Row],[Equity Basis Total]], "")</f>
        <v/>
      </c>
      <c r="V68" s="268"/>
      <c r="W68" s="26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7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0">
        <v>4.5999999999999996</v>
      </c>
      <c r="AD68" s="151">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5.536831969186326E-2</v>
      </c>
      <c r="AH68" s="151">
        <v>42577</v>
      </c>
      <c r="AI68" s="5"/>
      <c r="AJ68" s="138">
        <v>77.75</v>
      </c>
      <c r="AK68" s="152" t="str">
        <f>IF(ISNUMBER( SnapshotTable[[#This Row],[EBF Target]]),(SnapshotTable[[#This Row],[EBF Target]] - SnapshotTable[[#This Row],[Last Price]]) / SnapshotTable[[#This Row],[Last Price]], "")</f>
        <v/>
      </c>
      <c r="AL68" s="152"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2">
        <f>IF(AND(ISNUMBER( SnapshotTable[[#This Row],[Long Term Target]]), ISNUMBER(SnapshotTable[[#This Row],[Last Price]])),(SnapshotTable[[#This Row],[Long Term Target]] - SnapshotTable[[#This Row],[Last Price]]) / SnapshotTable[[#This Row],[Last Price]], "")</f>
        <v>-6.4155031295137194E-2</v>
      </c>
      <c r="AP68" s="5"/>
      <c r="AQ68" s="38"/>
      <c r="AR68" s="5"/>
      <c r="AS68" s="38"/>
      <c r="AT68" s="146"/>
      <c r="AU68" s="187" t="str">
        <f>IF(OR(SnapshotTable[[#This Row],[LP No Fill]]="Y",SnapshotTable[[#This Row],[SP Is Filled]],SnapshotTable[[#This Row],[LC Not Filled]]="Y",SnapshotTable[[#This Row],[SC Is Filled]]),"Y","")</f>
        <v/>
      </c>
      <c r="AV68" s="219"/>
      <c r="AW68" s="225"/>
      <c r="AX68" s="220"/>
      <c r="AY68" s="219" t="str">
        <f>IF(SnapshotTable[[#This Row],[Implied Move]]&gt;0, SnapshotTable[[#This Row],[Last Price]]-SnapshotTable[[#This Row],[Implied Move]],"")</f>
        <v/>
      </c>
      <c r="AZ68" s="219" t="str">
        <f>IF(SnapshotTable[[#This Row],[Implied Move]]&gt;0, SnapshotTable[[#This Row],[Last Price]] + SnapshotTable[[#This Row],[Implied Move]],"")</f>
        <v/>
      </c>
      <c r="BA68" s="331"/>
      <c r="BB68" s="347"/>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51"/>
      <c r="BE68" s="5"/>
      <c r="BF68" s="14"/>
      <c r="BG68" s="13"/>
      <c r="BH68" s="13"/>
      <c r="BI68" s="5"/>
      <c r="BJ68" s="136">
        <f>IF(SnapshotTable[[#This Row],[LP Qty]] &gt; 0, SnapshotTable[[#This Row],[LP Qty]] * SnapshotTable[[#This Row],[LP Book Price]] * 100,0)</f>
        <v>0</v>
      </c>
      <c r="BK68" s="136">
        <f>IF(SnapshotTable[[#This Row],[LP Premium]] &gt; 0, SnapshotTable[[#This Row],[LP Qty]] * SnapshotTable[[#This Row],[LP Strike Price]] * 100,0)</f>
        <v>0</v>
      </c>
      <c r="BL68" s="154"/>
      <c r="BM68" s="385" t="str">
        <f>IF(SnapshotTable[[#This Row],[LP Premium]] &gt; 0,SnapshotTable[[#This Row],[LP Exp Date]]-MAX(SnapshotTable[[#This Row],[LP Book Date]], SnapshotTable[[#This Row],[LP Fill Date]]),"")</f>
        <v/>
      </c>
      <c r="BN68" s="385" t="str">
        <f>IF(ISNUMBER( SnapshotTable[[#This Row],[LP Term]]), SnapshotTable[[#This Row],[LP Exp Date]] - MockToday,"")</f>
        <v/>
      </c>
      <c r="BO68" s="163"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7"/>
      <c r="BU68" s="13"/>
      <c r="BV68" s="5"/>
      <c r="BW68" s="419" t="b">
        <f>AND(ISNUMBER(SnapshotTable[[#This Row],[SP Exp Date]]), ISNUMBER(SnapshotTable[[#This Row],[SP Strike Price]]), ISNUMBER(SnapshotTable[[#This Row],[SP Qty]]), ISNUMBER(SnapshotTable[[#This Row],[SP Book Date]]), ISNUMBER(SnapshotTable[[#This Row],[SP Book Price]]))</f>
        <v>0</v>
      </c>
      <c r="BX68" s="419" t="b">
        <f>AND(SnapshotTable[[#This Row],[SP Is Booked]], NOT(ISBLANK(SnapshotTable[[#This Row],[SP Fill Date]])))</f>
        <v>0</v>
      </c>
      <c r="BY68" s="33">
        <f>IF(SnapshotTable[[#This Row],[SP Is Booked]], SnapshotTable[[#This Row],[SP Qty]] * SnapshotTable[[#This Row],[SP Book Price]] * 100, 0)</f>
        <v>0</v>
      </c>
      <c r="BZ68" s="369"/>
      <c r="CA68" s="368">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3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44"/>
      <c r="CK68" s="31">
        <f>IF(ISNUMBER(SnapshotTable[[#This Row],[SP Potential Spend]]),IF(ISNUMBER(SnapshotTable[[#This Row],[SP POW]]), SnapshotTable[[#This Row],[SP POW]] * SnapshotTable[[#This Row],[SP Potential Spend]], SnapshotTable[[#This Row],[SP Potential Spend]]), "")</f>
        <v>0</v>
      </c>
      <c r="CL68" s="164">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8"/>
      <c r="CO68" s="369"/>
      <c r="CP68" s="4" t="str">
        <f>IF(SnapshotTable[[#This Row],[SP Is Filled]], btc_max_buyback_amount(SnapshotTable[[#This Row],[SP Fill Date]],SnapshotTable[[#This Row],[SP Exp Date]], SnapshotTable[[#This Row],[SP Book Price]]),"")</f>
        <v/>
      </c>
      <c r="CQ68" s="78"/>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5" t="str">
        <f>IF(SnapshotTable[[#This Row],[SP Is Filled]], btc_next_cutoff_date(SnapshotTable[[#This Row],[SP Fill Date]],SnapshotTable[[#This Row],[SP Exp Date]]),"")</f>
        <v/>
      </c>
      <c r="CT68" s="23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3"/>
      <c r="CV68" s="235"/>
      <c r="CW68" s="378"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294" t="str">
        <f>IF(ISNUMBER((SnapshotTable[[#This Row],[SP Total Value]])), SnapshotTable[[#This Row],[SP Gain Loss]] / SnapshotTable[[#This Row],[SP Premium]], "")</f>
        <v/>
      </c>
      <c r="DI68" s="406"/>
      <c r="DJ68" s="138"/>
      <c r="DK68" s="148"/>
      <c r="DL68" s="13"/>
      <c r="DM68" s="13"/>
      <c r="DO68" s="31">
        <f>IF(SnapshotTable[[#This Row],[LC Symbol Count]]=1, SnapshotTable[[#This Row],[LC Qty]] * SnapshotTable[[#This Row],[LC Book Price]] * 100, 0)</f>
        <v>0</v>
      </c>
      <c r="DP68" s="163" t="str">
        <f>IF(AND(SnapshotTable[[#This Row],[LC Exp Date]]&gt;0, SnapshotTable[[#This Row],[LC Strike Price]]&gt;0,SnapshotTable[[#This Row],[LC Qty]]&gt;0,SnapshotTable[[#This Row],[LC Book Date]]&gt;0,SnapshotTable[[#This Row],[LC Book Price]]&gt;0,SnapshotTable[[#This Row],[LC Fill Date]]=0),"Y","")</f>
        <v/>
      </c>
      <c r="DQ68" s="386" t="str">
        <f>IF(SnapshotTable[[#This Row],[LC Premium]] &gt; 0,SnapshotTable[[#This Row],[LC Exp Date]]-MAX(SnapshotTable[[#This Row],[LC Book Date]], SnapshotTable[[#This Row],[LC Fill Date]]),"")</f>
        <v/>
      </c>
      <c r="DR68" s="386" t="str">
        <f>IF(ISNUMBER(SnapshotTable[[#This Row],[LC Term]]), SnapshotTable[[#This Row],[LC Exp Date]] - MockToday, "")</f>
        <v/>
      </c>
      <c r="DS68" s="23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40" t="str">
        <f>IF(ISNUMBER(SnapshotTable[[#This Row],[LC Actual Gain Loss]]), SnapshotTable[[#This Row],[LC Actual Gain Loss]] / SnapshotTable[[#This Row],[LC Premium]],"")</f>
        <v/>
      </c>
      <c r="DX68" s="284" t="str">
        <f>IF(ISNUMBER(SnapshotTable[[#This Row],[LC Book Price]]),SnapshotTable[[#This Row],[LC Book Price]] * 1.5,"")</f>
        <v/>
      </c>
      <c r="DY68" s="265" t="str">
        <f>IF(SnapshotTable[[#This Row],[LC Premium]]&gt;0, SnapshotTable[[#This Row],[LC Next Target]] * SnapshotTable[[#This Row],[LC Qty]] * 100,"")</f>
        <v/>
      </c>
      <c r="DZ68" s="265" t="str">
        <f>IF(ISNUMBER(SnapshotTable[[#This Row],[LC Target Gross]]), SnapshotTable[[#This Row],[LC Target Gross]] - SnapshotTable[[#This Row],[LC Premium]], "")</f>
        <v/>
      </c>
      <c r="EA68" s="305" t="str">
        <f>IF(ISNUMBER(SnapshotTable[[#This Row],[LC Target Gain Loss]]), SnapshotTable[[#This Row],[LC Target Gain Loss]]/SnapshotTable[[#This Row],[LC Premium]], "")</f>
        <v/>
      </c>
      <c r="EB68" s="262"/>
      <c r="EC68" s="283" t="str">
        <f>IF(SnapshotTable[[#This Row],[LC Premium]]&gt;0, SnapshotTable[[#This Row],[LC Book Price]] * (1 - LC_StopLoss_Pct),"")</f>
        <v/>
      </c>
      <c r="ED68" s="284"/>
      <c r="EE68" s="28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4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7"/>
      <c r="EL68" s="138"/>
      <c r="EM68" s="148"/>
      <c r="EN68" s="147"/>
      <c r="EO68" s="147"/>
      <c r="EP68" s="138"/>
      <c r="EQ68" s="419" t="b">
        <f>AND(ISNUMBER(SnapshotTable[[#This Row],[SC Exp Date]]), ISNUMBER(SnapshotTable[[#This Row],[SC Strike Price]]), ISNUMBER(SnapshotTable[[#This Row],[SC Qty]]), ISNUMBER(SnapshotTable[[#This Row],[SC Book Date]]), ISNUMBER(SnapshotTable[[#This Row],[SC Book Price]]))</f>
        <v>0</v>
      </c>
      <c r="ER68" s="419" t="b">
        <f>AND(SnapshotTable[[#This Row],[SC Is Booked]], NOT(ISBLANK(SnapshotTable[[#This Row],[SC Fill Date]])))</f>
        <v>0</v>
      </c>
      <c r="ES68" s="370"/>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3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283"/>
      <c r="FA68" s="218"/>
      <c r="FB68" s="370"/>
      <c r="FC68" s="4">
        <f>IF(SnapshotTable[[#This Row],[SC Is Filled]], btc_max_buyback_amount(SnapshotTable[[#This Row],[SC Fill Date]],SnapshotTable[[#This Row],[SC Exp Date]], SnapshotTable[[#This Row],[SC Book Price]]),0)</f>
        <v>0</v>
      </c>
      <c r="FD68" s="5"/>
      <c r="FE68" s="144"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382">
        <f>IF(SnapshotTable[[#This Row],[SC Is Filled]], IF(ISNUMBER(SnapshotTable[[#This Row],[SC Current Ask]]), SnapshotTable[[#This Row],[SC Current Ask]], SnapshotTable[[#This Row],[SC Book Price]]) - SnapshotTable[[#This Row],[SC Intrinsic Value]], 0)</f>
        <v>0</v>
      </c>
      <c r="FI68" s="143"/>
      <c r="FJ68" s="32" t="str">
        <f>IF(SnapshotTable[[#This Row],[SC Is Filled]],100 * SnapshotTable[[#This Row],[SC Qty]] * IF(ISNUMBER(SnapshotTable[[#This Row],[SC Buyback Override]]), SnapshotTable[[#This Row],[SC Buyback Override]], SnapshotTable[[#This Row],[SC Current Ask]]), "")</f>
        <v/>
      </c>
      <c r="FK68" s="250" t="str">
        <f>IF(SnapshotTable[[#This Row],[SC Time Val]]&gt;0, SnapshotTable[[#This Row],[SC Time Val]] / SnapshotTable[[#This Row],[Last Price]],"")</f>
        <v/>
      </c>
      <c r="FL68" s="302" t="str">
        <f>IF(SnapshotTable[[#This Row],[SC Is Booked]], ((SnapshotTable[[#This Row],[Last Price]] -SnapshotTable[[#This Row],[SC Strike Price]]) / SnapshotTable[[#This Row],[Last Price]]) * -1, "")</f>
        <v/>
      </c>
      <c r="FM68" s="157"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33"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36" t="str">
        <f>IF(AND(ISNUMBER(SnapshotTable[[#This Row],[SC Simple ROO]]),SnapshotTable[[#This Row],[SC Simple ROO]] &gt; 0), SnapshotTable[[#This Row],[SC Premium]] + (SnapshotTable[[#This Row],[SC Qty]] * SnapshotTable[[#This Row],[SC Upside Potential]]), "")</f>
        <v/>
      </c>
      <c r="FX68" s="302" t="str" cm="1">
        <f t="array" ref="FX68">IF(ISNUMBER(SnapshotTable[[#This Row],[SC Max Dollars]]), annualize(SnapshotTable[[#This Row],[SC Term]],(SnapshotTable[[#This Row],[SC Max Dollars]]/SnapshotTable[[#This Row],[SC Basis]])),"")</f>
        <v/>
      </c>
      <c r="FY68" s="23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29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162.006</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651</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31">
        <f>MAX(SnapshotTable[[#This Row],[Equity Basis Total]],SnapshotTable[[#This Row],[Equity Value]]) + (SnapshotTable[[#This Row],[SP Potential Spend]]- SnapshotTable[[#This Row],[SP Premium]] + SnapshotTable[[#This Row],[LP Premium]])+ (SnapshotTable[[#This Row],[LC Premium]] - SnapshotTable[[#This Row],[SC Premium]])</f>
        <v>0</v>
      </c>
      <c r="GW68" s="139" t="str">
        <f>IF(AND(SnapshotTable[[#This Row],[Exposure]] &lt;&gt; 0),SnapshotTable[[#This Row],[Exposure]] / SnapshotTable[[#Totals],[Exposure]], "")</f>
        <v/>
      </c>
      <c r="HE68" s="268"/>
      <c r="HF68" s="268"/>
      <c r="HK68" s="1"/>
      <c r="HL68" s="1"/>
      <c r="HM68" s="1"/>
      <c r="HN68" s="1"/>
      <c r="HO68" s="1"/>
      <c r="HP68" s="1"/>
    </row>
    <row r="69" spans="2:224" ht="12.75" hidden="1" customHeight="1" x14ac:dyDescent="0.25">
      <c r="B69" s="12" t="s">
        <v>540</v>
      </c>
      <c r="C69" s="422">
        <v>353.98</v>
      </c>
      <c r="D69" s="208"/>
      <c r="E69" s="39">
        <f>SnapshotTable[[#This Row],[Last Price]]*(1 -CrashDiscount)</f>
        <v>300.88299999999998</v>
      </c>
      <c r="F69" s="26" t="s">
        <v>124</v>
      </c>
      <c r="G69" s="26" t="s">
        <v>14</v>
      </c>
      <c r="H69" s="149"/>
      <c r="I69" s="194">
        <v>44798.28125</v>
      </c>
      <c r="J69" s="195">
        <v>44798.28125</v>
      </c>
      <c r="K69" s="196"/>
      <c r="L69" s="326"/>
      <c r="M69" s="140"/>
      <c r="N69" s="140"/>
      <c r="O69" s="140"/>
      <c r="P69" s="22"/>
      <c r="Q69" s="25"/>
      <c r="R69" s="4" t="str">
        <f>IF(SnapshotTable[[#This Row],[Equity Basis Total]] &gt; 0, SnapshotTable[[#This Row],[Equity Basis Total]] / SnapshotTable[[#This Row],[Equity Shares]], "")</f>
        <v/>
      </c>
      <c r="S69" s="269">
        <f>SnapshotTable[[#This Row],[Last Price]] * SnapshotTable[[#This Row],[Equity Shares]]</f>
        <v>0</v>
      </c>
      <c r="T69" s="269">
        <f>SnapshotTable[[#This Row],[Equity Value]] - SnapshotTable[[#This Row],[Equity Basis Total]]</f>
        <v>0</v>
      </c>
      <c r="U69" s="270" t="str">
        <f>IF(SnapshotTable[[#This Row],[Equity Basis Total]] &gt; 0, SnapshotTable[[#This Row],[Equity G/L]] / SnapshotTable[[#This Row],[Equity Basis Total]], "")</f>
        <v/>
      </c>
      <c r="V69" s="268"/>
      <c r="W69" s="26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7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0"/>
      <c r="AD69" s="151"/>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1"/>
      <c r="AI69" s="5">
        <v>220</v>
      </c>
      <c r="AJ69" s="138">
        <v>269.67</v>
      </c>
      <c r="AK69" s="152">
        <f>IF(ISNUMBER( SnapshotTable[[#This Row],[EBF Target]]),(SnapshotTable[[#This Row],[EBF Target]] - SnapshotTable[[#This Row],[Last Price]]) / SnapshotTable[[#This Row],[Last Price]], "")</f>
        <v>-0.37849596022374149</v>
      </c>
      <c r="AL69" s="152"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2">
        <f>IF(AND(ISNUMBER( SnapshotTable[[#This Row],[Long Term Target]]), ISNUMBER(SnapshotTable[[#This Row],[Last Price]])),(SnapshotTable[[#This Row],[Long Term Target]] - SnapshotTable[[#This Row],[Last Price]]) / SnapshotTable[[#This Row],[Last Price]], "")</f>
        <v>-0.23817729815243799</v>
      </c>
      <c r="AP69" s="5"/>
      <c r="AQ69" s="38"/>
      <c r="AR69" s="5">
        <v>306</v>
      </c>
      <c r="AS69" s="38"/>
      <c r="AT69" s="146"/>
      <c r="AU69" s="187" t="str">
        <f>IF(OR(SnapshotTable[[#This Row],[LP No Fill]]="Y",SnapshotTable[[#This Row],[SP Is Filled]],SnapshotTable[[#This Row],[LC Not Filled]]="Y",SnapshotTable[[#This Row],[SC Is Filled]]),"Y","")</f>
        <v/>
      </c>
      <c r="AV69" s="219"/>
      <c r="AW69" s="225"/>
      <c r="AX69" s="220"/>
      <c r="AY69" s="219" t="str">
        <f>IF(SnapshotTable[[#This Row],[Implied Move]]&gt;0, SnapshotTable[[#This Row],[Last Price]]-SnapshotTable[[#This Row],[Implied Move]],"")</f>
        <v/>
      </c>
      <c r="AZ69" s="219" t="str">
        <f>IF(SnapshotTable[[#This Row],[Implied Move]]&gt;0, SnapshotTable[[#This Row],[Last Price]] + SnapshotTable[[#This Row],[Implied Move]],"")</f>
        <v/>
      </c>
      <c r="BA69" s="331"/>
      <c r="BB69" s="347"/>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51"/>
      <c r="BE69" s="5"/>
      <c r="BF69" s="14"/>
      <c r="BG69" s="13"/>
      <c r="BH69" s="13"/>
      <c r="BI69" s="5"/>
      <c r="BJ69" s="136">
        <f>IF(SnapshotTable[[#This Row],[LP Qty]] &gt; 0, SnapshotTable[[#This Row],[LP Qty]] * SnapshotTable[[#This Row],[LP Book Price]] * 100,0)</f>
        <v>0</v>
      </c>
      <c r="BK69" s="136">
        <f>IF(SnapshotTable[[#This Row],[LP Premium]] &gt; 0, SnapshotTable[[#This Row],[LP Qty]] * SnapshotTable[[#This Row],[LP Strike Price]] * 100,0)</f>
        <v>0</v>
      </c>
      <c r="BL69" s="154"/>
      <c r="BM69" s="385" t="str">
        <f>IF(SnapshotTable[[#This Row],[LP Premium]] &gt; 0,SnapshotTable[[#This Row],[LP Exp Date]]-MAX(SnapshotTable[[#This Row],[LP Book Date]], SnapshotTable[[#This Row],[LP Fill Date]]),"")</f>
        <v/>
      </c>
      <c r="BN69" s="385" t="str">
        <f>IF(ISNUMBER( SnapshotTable[[#This Row],[LP Term]]), SnapshotTable[[#This Row],[LP Exp Date]] - MockToday,"")</f>
        <v/>
      </c>
      <c r="BO69" s="163"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7"/>
      <c r="BU69" s="13"/>
      <c r="BV69" s="5"/>
      <c r="BW69" s="419" t="b">
        <f>AND(ISNUMBER(SnapshotTable[[#This Row],[SP Exp Date]]), ISNUMBER(SnapshotTable[[#This Row],[SP Strike Price]]), ISNUMBER(SnapshotTable[[#This Row],[SP Qty]]), ISNUMBER(SnapshotTable[[#This Row],[SP Book Date]]), ISNUMBER(SnapshotTable[[#This Row],[SP Book Price]]))</f>
        <v>0</v>
      </c>
      <c r="BX69" s="419" t="b">
        <f>AND(SnapshotTable[[#This Row],[SP Is Booked]], NOT(ISBLANK(SnapshotTable[[#This Row],[SP Fill Date]])))</f>
        <v>0</v>
      </c>
      <c r="BY69" s="33">
        <f>IF(SnapshotTable[[#This Row],[SP Is Booked]], SnapshotTable[[#This Row],[SP Qty]] * SnapshotTable[[#This Row],[SP Book Price]] * 100, 0)</f>
        <v>0</v>
      </c>
      <c r="BZ69" s="369"/>
      <c r="CA69" s="368">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3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44"/>
      <c r="CK69" s="31">
        <f>IF(ISNUMBER(SnapshotTable[[#This Row],[SP Potential Spend]]),IF(ISNUMBER(SnapshotTable[[#This Row],[SP POW]]), SnapshotTable[[#This Row],[SP POW]] * SnapshotTable[[#This Row],[SP Potential Spend]], SnapshotTable[[#This Row],[SP Potential Spend]]), "")</f>
        <v>0</v>
      </c>
      <c r="CL69" s="164">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8"/>
      <c r="CO69" s="369"/>
      <c r="CP69" s="4" t="str">
        <f>IF(SnapshotTable[[#This Row],[SP Is Filled]], btc_max_buyback_amount(SnapshotTable[[#This Row],[SP Fill Date]],SnapshotTable[[#This Row],[SP Exp Date]], SnapshotTable[[#This Row],[SP Book Price]]),"")</f>
        <v/>
      </c>
      <c r="CQ69" s="78"/>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5" t="str">
        <f>IF(SnapshotTable[[#This Row],[SP Is Filled]], btc_next_cutoff_date(SnapshotTable[[#This Row],[SP Fill Date]],SnapshotTable[[#This Row],[SP Exp Date]]),"")</f>
        <v/>
      </c>
      <c r="CT69" s="23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3"/>
      <c r="CV69" s="235"/>
      <c r="CW69" s="378"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294" t="str">
        <f>IF(ISNUMBER((SnapshotTable[[#This Row],[SP Total Value]])), SnapshotTable[[#This Row],[SP Gain Loss]] / SnapshotTable[[#This Row],[SP Premium]], "")</f>
        <v/>
      </c>
      <c r="DI69" s="406"/>
      <c r="DJ69" s="138"/>
      <c r="DK69" s="148"/>
      <c r="DL69" s="13"/>
      <c r="DM69" s="13"/>
      <c r="DO69" s="31">
        <f>IF(SnapshotTable[[#This Row],[LC Symbol Count]]=1, SnapshotTable[[#This Row],[LC Qty]] * SnapshotTable[[#This Row],[LC Book Price]] * 100, 0)</f>
        <v>0</v>
      </c>
      <c r="DP69" s="163" t="str">
        <f>IF(AND(SnapshotTable[[#This Row],[LC Exp Date]]&gt;0, SnapshotTable[[#This Row],[LC Strike Price]]&gt;0,SnapshotTable[[#This Row],[LC Qty]]&gt;0,SnapshotTable[[#This Row],[LC Book Date]]&gt;0,SnapshotTable[[#This Row],[LC Book Price]]&gt;0,SnapshotTable[[#This Row],[LC Fill Date]]=0),"Y","")</f>
        <v/>
      </c>
      <c r="DQ69" s="386" t="str">
        <f>IF(SnapshotTable[[#This Row],[LC Premium]] &gt; 0,SnapshotTable[[#This Row],[LC Exp Date]]-MAX(SnapshotTable[[#This Row],[LC Book Date]], SnapshotTable[[#This Row],[LC Fill Date]]),"")</f>
        <v/>
      </c>
      <c r="DR69" s="386" t="str">
        <f>IF(ISNUMBER(SnapshotTable[[#This Row],[LC Term]]), SnapshotTable[[#This Row],[LC Exp Date]] - MockToday, "")</f>
        <v/>
      </c>
      <c r="DS69" s="23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40" t="str">
        <f>IF(ISNUMBER(SnapshotTable[[#This Row],[LC Actual Gain Loss]]), SnapshotTable[[#This Row],[LC Actual Gain Loss]] / SnapshotTable[[#This Row],[LC Premium]],"")</f>
        <v/>
      </c>
      <c r="DX69" s="284" t="str">
        <f>IF(ISNUMBER(SnapshotTable[[#This Row],[LC Book Price]]),SnapshotTable[[#This Row],[LC Book Price]] * 1.5,"")</f>
        <v/>
      </c>
      <c r="DY69" s="265" t="str">
        <f>IF(SnapshotTable[[#This Row],[LC Premium]]&gt;0, SnapshotTable[[#This Row],[LC Next Target]] * SnapshotTable[[#This Row],[LC Qty]] * 100,"")</f>
        <v/>
      </c>
      <c r="DZ69" s="265" t="str">
        <f>IF(ISNUMBER(SnapshotTable[[#This Row],[LC Target Gross]]), SnapshotTable[[#This Row],[LC Target Gross]] - SnapshotTable[[#This Row],[LC Premium]], "")</f>
        <v/>
      </c>
      <c r="EA69" s="305" t="str">
        <f>IF(ISNUMBER(SnapshotTable[[#This Row],[LC Target Gain Loss]]), SnapshotTable[[#This Row],[LC Target Gain Loss]]/SnapshotTable[[#This Row],[LC Premium]], "")</f>
        <v/>
      </c>
      <c r="EB69" s="262"/>
      <c r="EC69" s="283" t="str">
        <f>IF(SnapshotTable[[#This Row],[LC Premium]]&gt;0, SnapshotTable[[#This Row],[LC Book Price]] * (1 - LC_StopLoss_Pct),"")</f>
        <v/>
      </c>
      <c r="ED69" s="284"/>
      <c r="EE69" s="28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4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7"/>
      <c r="EL69" s="138"/>
      <c r="EM69" s="148"/>
      <c r="EN69" s="147"/>
      <c r="EO69" s="147"/>
      <c r="EP69" s="138"/>
      <c r="EQ69" s="419" t="b">
        <f>AND(ISNUMBER(SnapshotTable[[#This Row],[SC Exp Date]]), ISNUMBER(SnapshotTable[[#This Row],[SC Strike Price]]), ISNUMBER(SnapshotTable[[#This Row],[SC Qty]]), ISNUMBER(SnapshotTable[[#This Row],[SC Book Date]]), ISNUMBER(SnapshotTable[[#This Row],[SC Book Price]]))</f>
        <v>0</v>
      </c>
      <c r="ER69" s="419" t="b">
        <f>AND(SnapshotTable[[#This Row],[SC Is Booked]], NOT(ISBLANK(SnapshotTable[[#This Row],[SC Fill Date]])))</f>
        <v>0</v>
      </c>
      <c r="ES69" s="370"/>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3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283"/>
      <c r="FA69" s="218"/>
      <c r="FB69" s="370"/>
      <c r="FC69" s="4">
        <f>IF(SnapshotTable[[#This Row],[SC Is Filled]], btc_max_buyback_amount(SnapshotTable[[#This Row],[SC Fill Date]],SnapshotTable[[#This Row],[SC Exp Date]], SnapshotTable[[#This Row],[SC Book Price]]),0)</f>
        <v>0</v>
      </c>
      <c r="FD69" s="5"/>
      <c r="FE69" s="144"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382">
        <f>IF(SnapshotTable[[#This Row],[SC Is Filled]], IF(ISNUMBER(SnapshotTable[[#This Row],[SC Current Ask]]), SnapshotTable[[#This Row],[SC Current Ask]], SnapshotTable[[#This Row],[SC Book Price]]) - SnapshotTable[[#This Row],[SC Intrinsic Value]], 0)</f>
        <v>0</v>
      </c>
      <c r="FI69" s="143"/>
      <c r="FJ69" s="32" t="str">
        <f>IF(SnapshotTable[[#This Row],[SC Is Filled]],100 * SnapshotTable[[#This Row],[SC Qty]] * IF(ISNUMBER(SnapshotTable[[#This Row],[SC Buyback Override]]), SnapshotTable[[#This Row],[SC Buyback Override]], SnapshotTable[[#This Row],[SC Current Ask]]), "")</f>
        <v/>
      </c>
      <c r="FK69" s="250" t="str">
        <f>IF(SnapshotTable[[#This Row],[SC Time Val]]&gt;0, SnapshotTable[[#This Row],[SC Time Val]] / SnapshotTable[[#This Row],[Last Price]],"")</f>
        <v/>
      </c>
      <c r="FL69" s="302" t="str">
        <f>IF(SnapshotTable[[#This Row],[SC Is Booked]], ((SnapshotTable[[#This Row],[Last Price]] -SnapshotTable[[#This Row],[SC Strike Price]]) / SnapshotTable[[#This Row],[Last Price]]) * -1, "")</f>
        <v/>
      </c>
      <c r="FM69" s="157"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33"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36" t="str">
        <f>IF(AND(ISNUMBER(SnapshotTable[[#This Row],[SC Simple ROO]]),SnapshotTable[[#This Row],[SC Simple ROO]] &gt; 0), SnapshotTable[[#This Row],[SC Premium]] + (SnapshotTable[[#This Row],[SC Qty]] * SnapshotTable[[#This Row],[SC Upside Potential]]), "")</f>
        <v/>
      </c>
      <c r="FX69" s="302" t="str" cm="1">
        <f t="array" ref="FX69">IF(ISNUMBER(SnapshotTable[[#This Row],[SC Max Dollars]]), annualize(SnapshotTable[[#This Row],[SC Term]],(SnapshotTable[[#This Row],[SC Max Dollars]]/SnapshotTable[[#This Row],[SC Basis]])),"")</f>
        <v/>
      </c>
      <c r="FY69" s="23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29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690.26099999999997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652</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31">
        <f>MAX(SnapshotTable[[#This Row],[Equity Basis Total]],SnapshotTable[[#This Row],[Equity Value]]) + (SnapshotTable[[#This Row],[SP Potential Spend]]- SnapshotTable[[#This Row],[SP Premium]] + SnapshotTable[[#This Row],[LP Premium]])+ (SnapshotTable[[#This Row],[LC Premium]] - SnapshotTable[[#This Row],[SC Premium]])</f>
        <v>0</v>
      </c>
      <c r="GW69" s="139" t="str">
        <f>IF(AND(SnapshotTable[[#This Row],[Exposure]] &lt;&gt; 0),SnapshotTable[[#This Row],[Exposure]] / SnapshotTable[[#Totals],[Exposure]], "")</f>
        <v/>
      </c>
      <c r="HE69" s="268"/>
      <c r="HF69" s="268"/>
      <c r="HK69" s="1"/>
      <c r="HL69" s="1"/>
      <c r="HM69" s="1"/>
      <c r="HN69" s="1"/>
      <c r="HO69" s="1"/>
      <c r="HP69" s="1"/>
    </row>
    <row r="70" spans="2:224" s="47" customFormat="1" ht="12.75" hidden="1" customHeight="1" x14ac:dyDescent="0.25">
      <c r="B70" s="12" t="s">
        <v>579</v>
      </c>
      <c r="C70" s="422">
        <v>0.6</v>
      </c>
      <c r="D70" s="208"/>
      <c r="E70" s="39">
        <f>SnapshotTable[[#This Row],[Last Price]]*(1 -CrashDiscount)</f>
        <v>0.51</v>
      </c>
      <c r="F70" s="26" t="s">
        <v>552</v>
      </c>
      <c r="G70" s="26" t="s">
        <v>17</v>
      </c>
      <c r="H70" s="149"/>
      <c r="I70" s="194">
        <v>44783.670138888891</v>
      </c>
      <c r="J70" s="195">
        <v>44783.670138888891</v>
      </c>
      <c r="K70" s="196"/>
      <c r="L70" s="326"/>
      <c r="M70" s="140"/>
      <c r="N70" s="140"/>
      <c r="O70" s="140"/>
      <c r="P70" s="22"/>
      <c r="Q70" s="25"/>
      <c r="R70" s="4" t="str">
        <f>IF(SnapshotTable[[#This Row],[Equity Basis Total]] &gt; 0, SnapshotTable[[#This Row],[Equity Basis Total]] / SnapshotTable[[#This Row],[Equity Shares]], "")</f>
        <v/>
      </c>
      <c r="S70" s="269">
        <f>SnapshotTable[[#This Row],[Last Price]] * SnapshotTable[[#This Row],[Equity Shares]]</f>
        <v>0</v>
      </c>
      <c r="T70" s="269">
        <f>SnapshotTable[[#This Row],[Equity Value]] - SnapshotTable[[#This Row],[Equity Basis Total]]</f>
        <v>0</v>
      </c>
      <c r="U70" s="270" t="str">
        <f>IF(SnapshotTable[[#This Row],[Equity Basis Total]] &gt; 0, SnapshotTable[[#This Row],[Equity G/L]] / SnapshotTable[[#This Row],[Equity Basis Total]], "")</f>
        <v/>
      </c>
      <c r="V70" s="268"/>
      <c r="W70" s="26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7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0"/>
      <c r="AD70" s="151"/>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1"/>
      <c r="AI70" s="5"/>
      <c r="AJ70" s="138">
        <v>119.06</v>
      </c>
      <c r="AK70" s="152" t="str">
        <f>IF(ISNUMBER( SnapshotTable[[#This Row],[EBF Target]]),(SnapshotTable[[#This Row],[EBF Target]] - SnapshotTable[[#This Row],[Last Price]]) / SnapshotTable[[#This Row],[Last Price]], "")</f>
        <v/>
      </c>
      <c r="AL70" s="152"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2">
        <f>IF(AND(ISNUMBER( SnapshotTable[[#This Row],[Long Term Target]]), ISNUMBER(SnapshotTable[[#This Row],[Last Price]])),(SnapshotTable[[#This Row],[Long Term Target]] - SnapshotTable[[#This Row],[Last Price]]) / SnapshotTable[[#This Row],[Last Price]], "")</f>
        <v>197.43333333333337</v>
      </c>
      <c r="AP70" s="5">
        <v>155</v>
      </c>
      <c r="AQ70" s="38" t="s">
        <v>38</v>
      </c>
      <c r="AR70" s="5">
        <v>140</v>
      </c>
      <c r="AS70" s="38" t="s">
        <v>109</v>
      </c>
      <c r="AT70" s="146" t="s">
        <v>532</v>
      </c>
      <c r="AU70" s="187" t="str">
        <f>IF(OR(SnapshotTable[[#This Row],[LP No Fill]]="Y",SnapshotTable[[#This Row],[SP Is Filled]],SnapshotTable[[#This Row],[LC Not Filled]]="Y",SnapshotTable[[#This Row],[SC Is Filled]]),"Y","")</f>
        <v/>
      </c>
      <c r="AV70" s="219"/>
      <c r="AW70" s="225"/>
      <c r="AX70" s="220"/>
      <c r="AY70" s="219" t="str">
        <f>IF(SnapshotTable[[#This Row],[Implied Move]]&gt;0, SnapshotTable[[#This Row],[Last Price]]-SnapshotTable[[#This Row],[Implied Move]],"")</f>
        <v/>
      </c>
      <c r="AZ70" s="219" t="str">
        <f>IF(SnapshotTable[[#This Row],[Implied Move]]&gt;0, SnapshotTable[[#This Row],[Last Price]] + SnapshotTable[[#This Row],[Implied Move]],"")</f>
        <v/>
      </c>
      <c r="BA70" s="331"/>
      <c r="BB70" s="347"/>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51"/>
      <c r="BE70" s="138"/>
      <c r="BF70" s="166"/>
      <c r="BG70" s="167"/>
      <c r="BH70" s="167"/>
      <c r="BI70" s="5"/>
      <c r="BJ70" s="153">
        <f>IF(SnapshotTable[[#This Row],[LP Qty]] &gt; 0, SnapshotTable[[#This Row],[LP Qty]] * SnapshotTable[[#This Row],[LP Book Price]] * 100,0)</f>
        <v>0</v>
      </c>
      <c r="BK70" s="136">
        <f>IF(SnapshotTable[[#This Row],[LP Premium]] &gt; 0, SnapshotTable[[#This Row],[LP Qty]] * SnapshotTable[[#This Row],[LP Strike Price]] * 100,0)</f>
        <v>0</v>
      </c>
      <c r="BL70" s="154"/>
      <c r="BM70" s="385" t="str">
        <f>IF(SnapshotTable[[#This Row],[LP Premium]] &gt; 0,SnapshotTable[[#This Row],[LP Exp Date]]-MAX(SnapshotTable[[#This Row],[LP Book Date]], SnapshotTable[[#This Row],[LP Fill Date]]),"")</f>
        <v/>
      </c>
      <c r="BN70" s="385" t="str">
        <f>IF(ISNUMBER( SnapshotTable[[#This Row],[LP Term]]), SnapshotTable[[#This Row],[LP Exp Date]] - MockToday,"")</f>
        <v/>
      </c>
      <c r="BO70" s="163"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7"/>
      <c r="BU70" s="13"/>
      <c r="BV70" s="5"/>
      <c r="BW70" s="419" t="b">
        <f>AND(ISNUMBER(SnapshotTable[[#This Row],[SP Exp Date]]), ISNUMBER(SnapshotTable[[#This Row],[SP Strike Price]]), ISNUMBER(SnapshotTable[[#This Row],[SP Qty]]), ISNUMBER(SnapshotTable[[#This Row],[SP Book Date]]), ISNUMBER(SnapshotTable[[#This Row],[SP Book Price]]))</f>
        <v>0</v>
      </c>
      <c r="BX70" s="419" t="b">
        <f>AND(SnapshotTable[[#This Row],[SP Is Booked]], NOT(ISBLANK(SnapshotTable[[#This Row],[SP Fill Date]])))</f>
        <v>0</v>
      </c>
      <c r="BY70" s="33">
        <f>IF(SnapshotTable[[#This Row],[SP Is Booked]], SnapshotTable[[#This Row],[SP Qty]] * SnapshotTable[[#This Row],[SP Book Price]] * 100, 0)</f>
        <v>0</v>
      </c>
      <c r="BZ70" s="369"/>
      <c r="CA70" s="368">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3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44"/>
      <c r="CK70" s="31">
        <f>IF(ISNUMBER(SnapshotTable[[#This Row],[SP Potential Spend]]),IF(ISNUMBER(SnapshotTable[[#This Row],[SP POW]]), SnapshotTable[[#This Row],[SP POW]] * SnapshotTable[[#This Row],[SP Potential Spend]], SnapshotTable[[#This Row],[SP Potential Spend]]), "")</f>
        <v>0</v>
      </c>
      <c r="CL70" s="164">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4"/>
      <c r="CO70" s="369"/>
      <c r="CP70" s="4" t="str">
        <f>IF(SnapshotTable[[#This Row],[SP Is Filled]], btc_max_buyback_amount(SnapshotTable[[#This Row],[SP Fill Date]],SnapshotTable[[#This Row],[SP Exp Date]], SnapshotTable[[#This Row],[SP Book Price]]),"")</f>
        <v/>
      </c>
      <c r="CQ70" s="78"/>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5" t="str">
        <f>IF(SnapshotTable[[#This Row],[SP Is Filled]], btc_next_cutoff_date(SnapshotTable[[#This Row],[SP Fill Date]],SnapshotTable[[#This Row],[SP Exp Date]]),"")</f>
        <v/>
      </c>
      <c r="CT70" s="23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6"/>
      <c r="CV70" s="235"/>
      <c r="CW70" s="378"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294" t="str">
        <f>IF(ISNUMBER((SnapshotTable[[#This Row],[SP Total Value]])), SnapshotTable[[#This Row],[SP Gain Loss]] / SnapshotTable[[#This Row],[SP Premium]], "")</f>
        <v/>
      </c>
      <c r="DI70" s="406"/>
      <c r="DJ70" s="138"/>
      <c r="DK70" s="148"/>
      <c r="DL70" s="13"/>
      <c r="DM70" s="13"/>
      <c r="DN70" s="5"/>
      <c r="DO70" s="31">
        <f>IF(SnapshotTable[[#This Row],[LC Symbol Count]]=1, SnapshotTable[[#This Row],[LC Qty]] * SnapshotTable[[#This Row],[LC Book Price]] * 100, 0)</f>
        <v>0</v>
      </c>
      <c r="DP70" s="163" t="str">
        <f>IF(AND(SnapshotTable[[#This Row],[LC Exp Date]]&gt;0, SnapshotTable[[#This Row],[LC Strike Price]]&gt;0,SnapshotTable[[#This Row],[LC Qty]]&gt;0,SnapshotTable[[#This Row],[LC Book Date]]&gt;0,SnapshotTable[[#This Row],[LC Book Price]]&gt;0,SnapshotTable[[#This Row],[LC Fill Date]]=0),"Y","")</f>
        <v/>
      </c>
      <c r="DQ70" s="386" t="str">
        <f>IF(SnapshotTable[[#This Row],[LC Premium]] &gt; 0,SnapshotTable[[#This Row],[LC Exp Date]]-MAX(SnapshotTable[[#This Row],[LC Book Date]], SnapshotTable[[#This Row],[LC Fill Date]]),"")</f>
        <v/>
      </c>
      <c r="DR70" s="386" t="str">
        <f>IF(ISNUMBER(SnapshotTable[[#This Row],[LC Term]]), SnapshotTable[[#This Row],[LC Exp Date]] - MockToday, "")</f>
        <v/>
      </c>
      <c r="DS70" s="23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40" t="str">
        <f>IF(ISNUMBER(SnapshotTable[[#This Row],[LC Actual Gain Loss]]), SnapshotTable[[#This Row],[LC Actual Gain Loss]] / SnapshotTable[[#This Row],[LC Premium]],"")</f>
        <v/>
      </c>
      <c r="DX70" s="284" t="str">
        <f>IF(ISNUMBER(SnapshotTable[[#This Row],[LC Book Price]]),SnapshotTable[[#This Row],[LC Book Price]] * 1.5,"")</f>
        <v/>
      </c>
      <c r="DY70" s="265" t="str">
        <f>IF(SnapshotTable[[#This Row],[LC Premium]]&gt;0, SnapshotTable[[#This Row],[LC Next Target]] * SnapshotTable[[#This Row],[LC Qty]] * 100,"")</f>
        <v/>
      </c>
      <c r="DZ70" s="265" t="str">
        <f>IF(ISNUMBER(SnapshotTable[[#This Row],[LC Target Gross]]), SnapshotTable[[#This Row],[LC Target Gross]] - SnapshotTable[[#This Row],[LC Premium]], "")</f>
        <v/>
      </c>
      <c r="EA70" s="305" t="str">
        <f>IF(ISNUMBER(SnapshotTable[[#This Row],[LC Target Gain Loss]]), SnapshotTable[[#This Row],[LC Target Gain Loss]]/SnapshotTable[[#This Row],[LC Premium]], "")</f>
        <v/>
      </c>
      <c r="EB70" s="262"/>
      <c r="EC70" s="283" t="str">
        <f>IF(SnapshotTable[[#This Row],[LC Premium]]&gt;0, SnapshotTable[[#This Row],[LC Book Price]] * (1 - LC_StopLoss_Pct),"")</f>
        <v/>
      </c>
      <c r="ED70" s="284"/>
      <c r="EE70" s="28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4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7"/>
      <c r="EL70" s="138"/>
      <c r="EM70" s="148"/>
      <c r="EN70" s="147"/>
      <c r="EO70" s="147"/>
      <c r="EP70" s="138"/>
      <c r="EQ70" s="419" t="b">
        <f>AND(ISNUMBER(SnapshotTable[[#This Row],[SC Exp Date]]), ISNUMBER(SnapshotTable[[#This Row],[SC Strike Price]]), ISNUMBER(SnapshotTable[[#This Row],[SC Qty]]), ISNUMBER(SnapshotTable[[#This Row],[SC Book Date]]), ISNUMBER(SnapshotTable[[#This Row],[SC Book Price]]))</f>
        <v>0</v>
      </c>
      <c r="ER70" s="419" t="b">
        <f>AND(SnapshotTable[[#This Row],[SC Is Booked]], NOT(ISBLANK(SnapshotTable[[#This Row],[SC Fill Date]])))</f>
        <v>0</v>
      </c>
      <c r="ES70" s="370"/>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3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283"/>
      <c r="FA70" s="218"/>
      <c r="FB70" s="370"/>
      <c r="FC70" s="4">
        <f>IF(SnapshotTable[[#This Row],[SC Is Filled]], btc_max_buyback_amount(SnapshotTable[[#This Row],[SC Fill Date]],SnapshotTable[[#This Row],[SC Exp Date]], SnapshotTable[[#This Row],[SC Book Price]]),0)</f>
        <v>0</v>
      </c>
      <c r="FD70" s="5"/>
      <c r="FE70" s="144"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382">
        <f>IF(SnapshotTable[[#This Row],[SC Is Filled]], IF(ISNUMBER(SnapshotTable[[#This Row],[SC Current Ask]]), SnapshotTable[[#This Row],[SC Current Ask]], SnapshotTable[[#This Row],[SC Book Price]]) - SnapshotTable[[#This Row],[SC Intrinsic Value]], 0)</f>
        <v>0</v>
      </c>
      <c r="FI70" s="143"/>
      <c r="FJ70" s="32" t="str">
        <f>IF(SnapshotTable[[#This Row],[SC Is Filled]],100 * SnapshotTable[[#This Row],[SC Qty]] * IF(ISNUMBER(SnapshotTable[[#This Row],[SC Buyback Override]]), SnapshotTable[[#This Row],[SC Buyback Override]], SnapshotTable[[#This Row],[SC Current Ask]]), "")</f>
        <v/>
      </c>
      <c r="FK70" s="250" t="str">
        <f>IF(SnapshotTable[[#This Row],[SC Time Val]]&gt;0, SnapshotTable[[#This Row],[SC Time Val]] / SnapshotTable[[#This Row],[Last Price]],"")</f>
        <v/>
      </c>
      <c r="FL70" s="302" t="str">
        <f>IF(SnapshotTable[[#This Row],[SC Is Booked]], ((SnapshotTable[[#This Row],[Last Price]] -SnapshotTable[[#This Row],[SC Strike Price]]) / SnapshotTable[[#This Row],[Last Price]]) * -1, "")</f>
        <v/>
      </c>
      <c r="FM70" s="157" t="str">
        <f>IF(SnapshotTable[[#This Row],[SC Is Booked]],  (SnapshotTable[[#This Row],[SC Qty]] * 100 * SnapshotTable[[#This Row],[SC Strike Price]]) - SnapshotTable[[#This Row],[SC Current Ask]], "")</f>
        <v/>
      </c>
      <c r="FN7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7"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33"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36" t="str">
        <f>IF(AND(ISNUMBER(SnapshotTable[[#This Row],[SC Simple ROO]]),SnapshotTable[[#This Row],[SC Simple ROO]] &gt; 0), SnapshotTable[[#This Row],[SC Premium]] + (SnapshotTable[[#This Row],[SC Qty]] * SnapshotTable[[#This Row],[SC Upside Potential]]), "")</f>
        <v/>
      </c>
      <c r="FX70" s="302" t="str" cm="1">
        <f t="array" ref="FX70">IF(ISNUMBER(SnapshotTable[[#This Row],[SC Max Dollars]]), annualize(SnapshotTable[[#This Row],[SC Term]],(SnapshotTable[[#This Row],[SC Max Dollars]]/SnapshotTable[[#This Row],[SC Basis]])),"")</f>
        <v/>
      </c>
      <c r="FY70" s="23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29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1.17</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8" t="str">
        <f>IF(SnapshotTable[[#This Row],[Sale G/L]]&gt;0, SnapshotTable[[#This Row],[Sale G/L]] / SnapshotTable[[#This Row],[Sale Basis]], IF(ISNUMBER(SnapshotTable[[#This Row],[SC Exercise P&amp;L (TAX)]]), SnapshotTable[[#This Row],[SC Exercise P&amp;L (TAX)]] / SnapshotTable[[#This Row],[SC Basis]], ""))</f>
        <v/>
      </c>
      <c r="GK70" s="158" t="s">
        <v>653</v>
      </c>
      <c r="GL70" s="159"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59" t="str">
        <f>IF(AND(SnapshotTable[[#This Row],[LC Exp Date]]&gt;0,SnapshotTable[[#This Row],[LC Strike Price]]&gt;0), [1]!ToOptionSymbol(SnapshotTable[[#This Row],[Symbol]], SnapshotTable[[#This Row],[LC Strike Price]],SnapshotTable[[#This Row],[LC Exp Date]],0), "")</f>
        <v/>
      </c>
      <c r="GQ70" s="160" t="str">
        <f>IF(LEN(SnapshotTable[[#This Row],[LC Symbol]])&gt;0, 1, "")</f>
        <v/>
      </c>
      <c r="GR70" s="159" t="str">
        <f>IF(AND(SnapshotTable[[#This Row],[SC Exp Date]]&gt;0,SnapshotTable[[#This Row],[SC Strike Price]]&gt;0), [1]!ToOptionSymbol(SnapshotTable[[#This Row],[Symbol]], SnapshotTable[[#This Row],[SC Strike Price]],SnapshotTable[[#This Row],[SC Exp Date]],0), "")</f>
        <v/>
      </c>
      <c r="GS70" s="160" t="str">
        <f>IF(LEN(SnapshotTable[[#This Row],[SC Symbol]])&gt;0, 1, "")</f>
        <v/>
      </c>
      <c r="GT70" s="161"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31">
        <f>MAX(SnapshotTable[[#This Row],[Equity Basis Total]],SnapshotTable[[#This Row],[Equity Value]]) + (SnapshotTable[[#This Row],[SP Potential Spend]]- SnapshotTable[[#This Row],[SP Premium]] + SnapshotTable[[#This Row],[LP Premium]])+ (SnapshotTable[[#This Row],[LC Premium]] - SnapshotTable[[#This Row],[SC Premium]])</f>
        <v>0</v>
      </c>
      <c r="GW70" s="139" t="str">
        <f>IF(AND(SnapshotTable[[#This Row],[Exposure]] &lt;&gt; 0),SnapshotTable[[#This Row],[Exposure]] / SnapshotTable[[#Totals],[Exposure]], "")</f>
        <v/>
      </c>
      <c r="GY70" s="381"/>
      <c r="HE70" s="268"/>
      <c r="HF70" s="268"/>
      <c r="HG70" s="381"/>
      <c r="HH70" s="381"/>
      <c r="HI70" s="381"/>
      <c r="HJ70" s="381"/>
    </row>
    <row r="71" spans="2:224" ht="12.75" hidden="1" customHeight="1" x14ac:dyDescent="0.25">
      <c r="B71" s="12" t="s">
        <v>217</v>
      </c>
      <c r="C71" s="422">
        <v>132.25</v>
      </c>
      <c r="D71" s="208" t="s">
        <v>850</v>
      </c>
      <c r="E71" s="39">
        <f>SnapshotTable[[#This Row],[Last Price]]*(1 -CrashDiscount)</f>
        <v>112.41249999999999</v>
      </c>
      <c r="F71" s="26" t="s">
        <v>942</v>
      </c>
      <c r="G71" s="26" t="s">
        <v>4</v>
      </c>
      <c r="H71" s="149"/>
      <c r="I71" s="194">
        <v>44939</v>
      </c>
      <c r="J71" s="195">
        <v>44939</v>
      </c>
      <c r="K71" s="196" t="s">
        <v>3</v>
      </c>
      <c r="L71" s="326"/>
      <c r="M71" s="140"/>
      <c r="N71" s="140"/>
      <c r="O71" s="140"/>
      <c r="P71" s="22"/>
      <c r="Q71" s="25"/>
      <c r="R71" s="4" t="str">
        <f>IF(SnapshotTable[[#This Row],[Equity Basis Total]] &gt; 0, SnapshotTable[[#This Row],[Equity Basis Total]] / SnapshotTable[[#This Row],[Equity Shares]], "")</f>
        <v/>
      </c>
      <c r="S71" s="269">
        <f>SnapshotTable[[#This Row],[Last Price]] * SnapshotTable[[#This Row],[Equity Shares]]</f>
        <v>0</v>
      </c>
      <c r="T71" s="269">
        <f>SnapshotTable[[#This Row],[Equity Value]] - SnapshotTable[[#This Row],[Equity Basis Total]]</f>
        <v>0</v>
      </c>
      <c r="U71" s="270" t="str">
        <f>IF(SnapshotTable[[#This Row],[Equity Basis Total]] &gt; 0, SnapshotTable[[#This Row],[Equity G/L]] / SnapshotTable[[#This Row],[Equity Basis Total]], "")</f>
        <v/>
      </c>
      <c r="V71" s="268"/>
      <c r="W71" s="26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7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0">
        <v>0.95750000000000002</v>
      </c>
      <c r="AD71" s="151">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7.2400756143667297E-3</v>
      </c>
      <c r="AH71" s="151">
        <v>43772</v>
      </c>
      <c r="AI71" s="5">
        <v>92</v>
      </c>
      <c r="AJ71" s="138">
        <v>85.23</v>
      </c>
      <c r="AK71" s="152">
        <f>IF(ISNUMBER( SnapshotTable[[#This Row],[EBF Target]]),(SnapshotTable[[#This Row],[EBF Target]] - SnapshotTable[[#This Row],[Last Price]]) / SnapshotTable[[#This Row],[Last Price]], "")</f>
        <v>-0.30434782608695654</v>
      </c>
      <c r="AL71" s="152"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2">
        <f>IF(AND(ISNUMBER( SnapshotTable[[#This Row],[Long Term Target]]), ISNUMBER(SnapshotTable[[#This Row],[Last Price]])),(SnapshotTable[[#This Row],[Long Term Target]] - SnapshotTable[[#This Row],[Last Price]]) / SnapshotTable[[#This Row],[Last Price]], "")</f>
        <v>-0.35553875236294891</v>
      </c>
      <c r="AP71" s="5">
        <v>76.150000000000006</v>
      </c>
      <c r="AQ71" s="38" t="s">
        <v>46</v>
      </c>
      <c r="AR71" s="5">
        <v>76.150000000000006</v>
      </c>
      <c r="AS71" s="38" t="s">
        <v>45</v>
      </c>
      <c r="AT71" s="146" t="s">
        <v>575</v>
      </c>
      <c r="AU71" s="187" t="str">
        <f>IF(OR(SnapshotTable[[#This Row],[LP No Fill]]="Y",SnapshotTable[[#This Row],[SP Is Filled]],SnapshotTable[[#This Row],[LC Not Filled]]="Y",SnapshotTable[[#This Row],[SC Is Filled]]),"Y","")</f>
        <v/>
      </c>
      <c r="AV71" s="219">
        <f>72.5 + SnapshotTable[[#This Row],[ACB]]</f>
        <v>76.150000000000006</v>
      </c>
      <c r="AW71" s="225"/>
      <c r="AX71" s="220"/>
      <c r="AY71" s="219" t="str">
        <f>IF(SnapshotTable[[#This Row],[Implied Move]]&gt;0, SnapshotTable[[#This Row],[Last Price]]-SnapshotTable[[#This Row],[Implied Move]],"")</f>
        <v/>
      </c>
      <c r="AZ71" s="219" t="str">
        <f>IF(SnapshotTable[[#This Row],[Implied Move]]&gt;0, SnapshotTable[[#This Row],[Last Price]] + SnapshotTable[[#This Row],[Implied Move]],"")</f>
        <v/>
      </c>
      <c r="BA71" s="331">
        <v>3.65</v>
      </c>
      <c r="BB71" s="347"/>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51"/>
      <c r="BE71" s="5"/>
      <c r="BF71" s="14"/>
      <c r="BG71" s="13"/>
      <c r="BH71" s="13"/>
      <c r="BI71" s="5"/>
      <c r="BJ71" s="136">
        <f>IF(SnapshotTable[[#This Row],[LP Qty]] &gt; 0, SnapshotTable[[#This Row],[LP Qty]] * SnapshotTable[[#This Row],[LP Book Price]] * 100,0)</f>
        <v>0</v>
      </c>
      <c r="BK71" s="136">
        <f>IF(SnapshotTable[[#This Row],[LP Premium]] &gt; 0, SnapshotTable[[#This Row],[LP Qty]] * SnapshotTable[[#This Row],[LP Strike Price]] * 100,0)</f>
        <v>0</v>
      </c>
      <c r="BL71" s="154"/>
      <c r="BM71" s="385" t="str">
        <f>IF(SnapshotTable[[#This Row],[LP Premium]] &gt; 0,SnapshotTable[[#This Row],[LP Exp Date]]-MAX(SnapshotTable[[#This Row],[LP Book Date]], SnapshotTable[[#This Row],[LP Fill Date]]),"")</f>
        <v/>
      </c>
      <c r="BN71" s="385" t="str">
        <f>IF(ISNUMBER( SnapshotTable[[#This Row],[LP Term]]), SnapshotTable[[#This Row],[LP Exp Date]] - MockToday,"")</f>
        <v/>
      </c>
      <c r="BO71" s="163"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7"/>
      <c r="BU71" s="13"/>
      <c r="BV71" s="5"/>
      <c r="BW71" s="419" t="b">
        <f>AND(ISNUMBER(SnapshotTable[[#This Row],[SP Exp Date]]), ISNUMBER(SnapshotTable[[#This Row],[SP Strike Price]]), ISNUMBER(SnapshotTable[[#This Row],[SP Qty]]), ISNUMBER(SnapshotTable[[#This Row],[SP Book Date]]), ISNUMBER(SnapshotTable[[#This Row],[SP Book Price]]))</f>
        <v>0</v>
      </c>
      <c r="BX71" s="419" t="b">
        <f>AND(SnapshotTable[[#This Row],[SP Is Booked]], NOT(ISBLANK(SnapshotTable[[#This Row],[SP Fill Date]])))</f>
        <v>0</v>
      </c>
      <c r="BY71" s="33">
        <f>IF(SnapshotTable[[#This Row],[SP Is Booked]], SnapshotTable[[#This Row],[SP Qty]] * SnapshotTable[[#This Row],[SP Book Price]] * 100, 0)</f>
        <v>0</v>
      </c>
      <c r="BZ71" s="369"/>
      <c r="CA71" s="368">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3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44"/>
      <c r="CK71" s="31">
        <f>IF(ISNUMBER(SnapshotTable[[#This Row],[SP Potential Spend]]),IF(ISNUMBER(SnapshotTable[[#This Row],[SP POW]]), SnapshotTable[[#This Row],[SP POW]] * SnapshotTable[[#This Row],[SP Potential Spend]], SnapshotTable[[#This Row],[SP Potential Spend]]), "")</f>
        <v>0</v>
      </c>
      <c r="CL71" s="164">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8"/>
      <c r="CO71" s="369"/>
      <c r="CP71" s="4" t="str">
        <f>IF(SnapshotTable[[#This Row],[SP Is Filled]], btc_max_buyback_amount(SnapshotTable[[#This Row],[SP Fill Date]],SnapshotTable[[#This Row],[SP Exp Date]], SnapshotTable[[#This Row],[SP Book Price]]),"")</f>
        <v/>
      </c>
      <c r="CQ71" s="78"/>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5" t="str">
        <f>IF(SnapshotTable[[#This Row],[SP Is Filled]], btc_next_cutoff_date(SnapshotTable[[#This Row],[SP Fill Date]],SnapshotTable[[#This Row],[SP Exp Date]]),"")</f>
        <v/>
      </c>
      <c r="CT71" s="23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3"/>
      <c r="CV71" s="235"/>
      <c r="CW71" s="378"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294" t="str">
        <f>IF(ISNUMBER((SnapshotTable[[#This Row],[SP Total Value]])), SnapshotTable[[#This Row],[SP Gain Loss]] / SnapshotTable[[#This Row],[SP Premium]], "")</f>
        <v/>
      </c>
      <c r="DI71" s="406"/>
      <c r="DJ71" s="138"/>
      <c r="DK71" s="148"/>
      <c r="DL71" s="13"/>
      <c r="DM71" s="13"/>
      <c r="DO71" s="31">
        <f>IF(SnapshotTable[[#This Row],[LC Symbol Count]]=1, SnapshotTable[[#This Row],[LC Qty]] * SnapshotTable[[#This Row],[LC Book Price]] * 100, 0)</f>
        <v>0</v>
      </c>
      <c r="DP71" s="163" t="str">
        <f>IF(AND(SnapshotTable[[#This Row],[LC Exp Date]]&gt;0, SnapshotTable[[#This Row],[LC Strike Price]]&gt;0,SnapshotTable[[#This Row],[LC Qty]]&gt;0,SnapshotTable[[#This Row],[LC Book Date]]&gt;0,SnapshotTable[[#This Row],[LC Book Price]]&gt;0,SnapshotTable[[#This Row],[LC Fill Date]]=0),"Y","")</f>
        <v/>
      </c>
      <c r="DQ71" s="386" t="str">
        <f>IF(SnapshotTable[[#This Row],[LC Premium]] &gt; 0,SnapshotTable[[#This Row],[LC Exp Date]]-MAX(SnapshotTable[[#This Row],[LC Book Date]], SnapshotTable[[#This Row],[LC Fill Date]]),"")</f>
        <v/>
      </c>
      <c r="DR71" s="386" t="str">
        <f>IF(ISNUMBER(SnapshotTable[[#This Row],[LC Term]]), SnapshotTable[[#This Row],[LC Exp Date]] - MockToday, "")</f>
        <v/>
      </c>
      <c r="DS71" s="23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40" t="str">
        <f>IF(ISNUMBER(SnapshotTable[[#This Row],[LC Actual Gain Loss]]), SnapshotTable[[#This Row],[LC Actual Gain Loss]] / SnapshotTable[[#This Row],[LC Premium]],"")</f>
        <v/>
      </c>
      <c r="DX71" s="284" t="str">
        <f>IF(ISNUMBER(SnapshotTable[[#This Row],[LC Book Price]]),SnapshotTable[[#This Row],[LC Book Price]] * 1.5,"")</f>
        <v/>
      </c>
      <c r="DY71" s="265" t="str">
        <f>IF(SnapshotTable[[#This Row],[LC Premium]]&gt;0, SnapshotTable[[#This Row],[LC Next Target]] * SnapshotTable[[#This Row],[LC Qty]] * 100,"")</f>
        <v/>
      </c>
      <c r="DZ71" s="265" t="str">
        <f>IF(ISNUMBER(SnapshotTable[[#This Row],[LC Target Gross]]), SnapshotTable[[#This Row],[LC Target Gross]] - SnapshotTable[[#This Row],[LC Premium]], "")</f>
        <v/>
      </c>
      <c r="EA71" s="305" t="str">
        <f>IF(ISNUMBER(SnapshotTable[[#This Row],[LC Target Gain Loss]]), SnapshotTable[[#This Row],[LC Target Gain Loss]]/SnapshotTable[[#This Row],[LC Premium]], "")</f>
        <v/>
      </c>
      <c r="EB71" s="262"/>
      <c r="EC71" s="283" t="str">
        <f>IF(SnapshotTable[[#This Row],[LC Premium]]&gt;0, SnapshotTable[[#This Row],[LC Book Price]] * (1 - LC_StopLoss_Pct),"")</f>
        <v/>
      </c>
      <c r="ED71" s="284"/>
      <c r="EE71" s="28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4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7"/>
      <c r="EL71" s="138"/>
      <c r="EM71" s="148"/>
      <c r="EN71" s="147"/>
      <c r="EO71" s="147"/>
      <c r="EP71" s="138"/>
      <c r="EQ71" s="419" t="b">
        <f>AND(ISNUMBER(SnapshotTable[[#This Row],[SC Exp Date]]), ISNUMBER(SnapshotTable[[#This Row],[SC Strike Price]]), ISNUMBER(SnapshotTable[[#This Row],[SC Qty]]), ISNUMBER(SnapshotTable[[#This Row],[SC Book Date]]), ISNUMBER(SnapshotTable[[#This Row],[SC Book Price]]))</f>
        <v>0</v>
      </c>
      <c r="ER71" s="419" t="b">
        <f>AND(SnapshotTable[[#This Row],[SC Is Booked]], NOT(ISBLANK(SnapshotTable[[#This Row],[SC Fill Date]])))</f>
        <v>0</v>
      </c>
      <c r="ES71" s="370"/>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3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283"/>
      <c r="FA71" s="218"/>
      <c r="FB71" s="370"/>
      <c r="FC71" s="4">
        <f>IF(SnapshotTable[[#This Row],[SC Is Filled]], btc_max_buyback_amount(SnapshotTable[[#This Row],[SC Fill Date]],SnapshotTable[[#This Row],[SC Exp Date]], SnapshotTable[[#This Row],[SC Book Price]]),0)</f>
        <v>0</v>
      </c>
      <c r="FD71" s="5"/>
      <c r="FE71" s="144"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382">
        <f>IF(SnapshotTable[[#This Row],[SC Is Filled]], IF(ISNUMBER(SnapshotTable[[#This Row],[SC Current Ask]]), SnapshotTable[[#This Row],[SC Current Ask]], SnapshotTable[[#This Row],[SC Book Price]]) - SnapshotTable[[#This Row],[SC Intrinsic Value]], 0)</f>
        <v>0</v>
      </c>
      <c r="FI71" s="143"/>
      <c r="FJ71" s="32" t="str">
        <f>IF(SnapshotTable[[#This Row],[SC Is Filled]],100 * SnapshotTable[[#This Row],[SC Qty]] * IF(ISNUMBER(SnapshotTable[[#This Row],[SC Buyback Override]]), SnapshotTable[[#This Row],[SC Buyback Override]], SnapshotTable[[#This Row],[SC Current Ask]]), "")</f>
        <v/>
      </c>
      <c r="FK71" s="250" t="str">
        <f>IF(SnapshotTable[[#This Row],[SC Time Val]]&gt;0, SnapshotTable[[#This Row],[SC Time Val]] / SnapshotTable[[#This Row],[Last Price]],"")</f>
        <v/>
      </c>
      <c r="FL71" s="302" t="str">
        <f>IF(SnapshotTable[[#This Row],[SC Is Booked]], ((SnapshotTable[[#This Row],[Last Price]] -SnapshotTable[[#This Row],[SC Strike Price]]) / SnapshotTable[[#This Row],[Last Price]]) * -1, "")</f>
        <v/>
      </c>
      <c r="FM71" s="157"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33"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36" t="str">
        <f>IF(AND(ISNUMBER(SnapshotTable[[#This Row],[SC Simple ROO]]),SnapshotTable[[#This Row],[SC Simple ROO]] &gt; 0), SnapshotTable[[#This Row],[SC Premium]] + (SnapshotTable[[#This Row],[SC Qty]] * SnapshotTable[[#This Row],[SC Upside Potential]]), "")</f>
        <v/>
      </c>
      <c r="FX71" s="302" t="str" cm="1">
        <f t="array" ref="FX71">IF(ISNUMBER(SnapshotTable[[#This Row],[SC Max Dollars]]), annualize(SnapshotTable[[#This Row],[SC Term]],(SnapshotTable[[#This Row],[SC Max Dollars]]/SnapshotTable[[#This Row],[SC Basis]])),"")</f>
        <v/>
      </c>
      <c r="FY71" s="23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29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257.88749999999999</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617</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31">
        <f>MAX(SnapshotTable[[#This Row],[Equity Basis Total]],SnapshotTable[[#This Row],[Equity Value]]) + (SnapshotTable[[#This Row],[SP Potential Spend]]- SnapshotTable[[#This Row],[SP Premium]] + SnapshotTable[[#This Row],[LP Premium]])+ (SnapshotTable[[#This Row],[LC Premium]] - SnapshotTable[[#This Row],[SC Premium]])</f>
        <v>0</v>
      </c>
      <c r="GW71" s="139" t="str">
        <f>IF(AND(SnapshotTable[[#This Row],[Exposure]] &lt;&gt; 0),SnapshotTable[[#This Row],[Exposure]] / SnapshotTable[[#Totals],[Exposure]], "")</f>
        <v/>
      </c>
      <c r="HE71" s="268"/>
      <c r="HF71" s="268"/>
      <c r="HK71" s="1"/>
      <c r="HL71" s="1"/>
      <c r="HM71" s="1"/>
      <c r="HN71" s="1"/>
      <c r="HO71" s="1"/>
      <c r="HP71" s="1"/>
    </row>
    <row r="72" spans="2:224" ht="12.75" hidden="1" customHeight="1" x14ac:dyDescent="0.25">
      <c r="B72" s="12" t="s">
        <v>67</v>
      </c>
      <c r="C72" s="422">
        <v>164.36</v>
      </c>
      <c r="D72" s="208"/>
      <c r="E72" s="39">
        <f>SnapshotTable[[#This Row],[Last Price]]*(1 -CrashDiscount)</f>
        <v>139.70600000000002</v>
      </c>
      <c r="F72" s="26" t="s">
        <v>66</v>
      </c>
      <c r="G72" s="26" t="s">
        <v>14</v>
      </c>
      <c r="H72" s="149"/>
      <c r="I72" s="194">
        <v>44774.666666666664</v>
      </c>
      <c r="J72" s="195">
        <v>44774.666666666664</v>
      </c>
      <c r="K72" s="196"/>
      <c r="L72" s="326"/>
      <c r="M72" s="140"/>
      <c r="N72" s="140"/>
      <c r="O72" s="140"/>
      <c r="P72" s="22"/>
      <c r="Q72" s="25"/>
      <c r="R72" s="4" t="str">
        <f>IF(SnapshotTable[[#This Row],[Equity Basis Total]] &gt; 0, SnapshotTable[[#This Row],[Equity Basis Total]] / SnapshotTable[[#This Row],[Equity Shares]], "")</f>
        <v/>
      </c>
      <c r="S72" s="269">
        <f>SnapshotTable[[#This Row],[Last Price]] * SnapshotTable[[#This Row],[Equity Shares]]</f>
        <v>0</v>
      </c>
      <c r="T72" s="269">
        <f>SnapshotTable[[#This Row],[Equity Value]] - SnapshotTable[[#This Row],[Equity Basis Total]]</f>
        <v>0</v>
      </c>
      <c r="U72" s="270" t="str">
        <f>IF(SnapshotTable[[#This Row],[Equity Basis Total]] &gt; 0, SnapshotTable[[#This Row],[Equity G/L]] / SnapshotTable[[#This Row],[Equity Basis Total]], "")</f>
        <v/>
      </c>
      <c r="V72" s="268"/>
      <c r="W72" s="26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7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0">
        <v>0</v>
      </c>
      <c r="AD72" s="151"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1">
        <v>38769</v>
      </c>
      <c r="AI72" s="5"/>
      <c r="AJ72" s="138">
        <v>51.5</v>
      </c>
      <c r="AK72" s="152" t="str">
        <f>IF(ISNUMBER( SnapshotTable[[#This Row],[EBF Target]]),(SnapshotTable[[#This Row],[EBF Target]] - SnapshotTable[[#This Row],[Last Price]]) / SnapshotTable[[#This Row],[Last Price]], "")</f>
        <v/>
      </c>
      <c r="AL72" s="152"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2">
        <f>IF(AND(ISNUMBER( SnapshotTable[[#This Row],[Long Term Target]]), ISNUMBER(SnapshotTable[[#This Row],[Last Price]])),(SnapshotTable[[#This Row],[Long Term Target]] - SnapshotTable[[#This Row],[Last Price]]) / SnapshotTable[[#This Row],[Last Price]], "")</f>
        <v>-0.68666342175711859</v>
      </c>
      <c r="AP72" s="5"/>
      <c r="AQ72" s="38"/>
      <c r="AR72" s="5"/>
      <c r="AS72" s="38"/>
      <c r="AT72" s="146"/>
      <c r="AU72" s="187" t="str">
        <f>IF(OR(SnapshotTable[[#This Row],[LP No Fill]]="Y",SnapshotTable[[#This Row],[SP Is Filled]],SnapshotTable[[#This Row],[LC Not Filled]]="Y",SnapshotTable[[#This Row],[SC Is Filled]]),"Y","")</f>
        <v/>
      </c>
      <c r="AV72" s="219"/>
      <c r="AW72" s="225"/>
      <c r="AX72" s="220"/>
      <c r="AY72" s="219" t="str">
        <f>IF(SnapshotTable[[#This Row],[Implied Move]]&gt;0, SnapshotTable[[#This Row],[Last Price]]-SnapshotTable[[#This Row],[Implied Move]],"")</f>
        <v/>
      </c>
      <c r="AZ72" s="219" t="str">
        <f>IF(SnapshotTable[[#This Row],[Implied Move]]&gt;0, SnapshotTable[[#This Row],[Last Price]] + SnapshotTable[[#This Row],[Implied Move]],"")</f>
        <v/>
      </c>
      <c r="BA72" s="331"/>
      <c r="BB72" s="347"/>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51"/>
      <c r="BE72" s="5"/>
      <c r="BF72" s="14"/>
      <c r="BG72" s="13"/>
      <c r="BH72" s="13"/>
      <c r="BI72" s="5"/>
      <c r="BJ72" s="136">
        <f>IF(SnapshotTable[[#This Row],[LP Qty]] &gt; 0, SnapshotTable[[#This Row],[LP Qty]] * SnapshotTable[[#This Row],[LP Book Price]] * 100,0)</f>
        <v>0</v>
      </c>
      <c r="BK72" s="136">
        <f>IF(SnapshotTable[[#This Row],[LP Premium]] &gt; 0, SnapshotTable[[#This Row],[LP Qty]] * SnapshotTable[[#This Row],[LP Strike Price]] * 100,0)</f>
        <v>0</v>
      </c>
      <c r="BL72" s="154"/>
      <c r="BM72" s="385" t="str">
        <f>IF(SnapshotTable[[#This Row],[LP Premium]] &gt; 0,SnapshotTable[[#This Row],[LP Exp Date]]-MAX(SnapshotTable[[#This Row],[LP Book Date]], SnapshotTable[[#This Row],[LP Fill Date]]),"")</f>
        <v/>
      </c>
      <c r="BN72" s="385" t="str">
        <f>IF(ISNUMBER( SnapshotTable[[#This Row],[LP Term]]), SnapshotTable[[#This Row],[LP Exp Date]] - MockToday,"")</f>
        <v/>
      </c>
      <c r="BO72" s="163"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7"/>
      <c r="BU72" s="13"/>
      <c r="BV72" s="5"/>
      <c r="BW72" s="419" t="b">
        <f>AND(ISNUMBER(SnapshotTable[[#This Row],[SP Exp Date]]), ISNUMBER(SnapshotTable[[#This Row],[SP Strike Price]]), ISNUMBER(SnapshotTable[[#This Row],[SP Qty]]), ISNUMBER(SnapshotTable[[#This Row],[SP Book Date]]), ISNUMBER(SnapshotTable[[#This Row],[SP Book Price]]))</f>
        <v>0</v>
      </c>
      <c r="BX72" s="419" t="b">
        <f>AND(SnapshotTable[[#This Row],[SP Is Booked]], NOT(ISBLANK(SnapshotTable[[#This Row],[SP Fill Date]])))</f>
        <v>0</v>
      </c>
      <c r="BY72" s="33">
        <f>IF(SnapshotTable[[#This Row],[SP Is Booked]], SnapshotTable[[#This Row],[SP Qty]] * SnapshotTable[[#This Row],[SP Book Price]] * 100, 0)</f>
        <v>0</v>
      </c>
      <c r="BZ72" s="369"/>
      <c r="CA72" s="368">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3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44"/>
      <c r="CK72" s="31">
        <f>IF(ISNUMBER(SnapshotTable[[#This Row],[SP Potential Spend]]),IF(ISNUMBER(SnapshotTable[[#This Row],[SP POW]]), SnapshotTable[[#This Row],[SP POW]] * SnapshotTable[[#This Row],[SP Potential Spend]], SnapshotTable[[#This Row],[SP Potential Spend]]), "")</f>
        <v>0</v>
      </c>
      <c r="CL72" s="164">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8"/>
      <c r="CO72" s="369"/>
      <c r="CP72" s="4" t="str">
        <f>IF(SnapshotTable[[#This Row],[SP Is Filled]], btc_max_buyback_amount(SnapshotTable[[#This Row],[SP Fill Date]],SnapshotTable[[#This Row],[SP Exp Date]], SnapshotTable[[#This Row],[SP Book Price]]),"")</f>
        <v/>
      </c>
      <c r="CQ72" s="78"/>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5" t="str">
        <f>IF(SnapshotTable[[#This Row],[SP Is Filled]], btc_next_cutoff_date(SnapshotTable[[#This Row],[SP Fill Date]],SnapshotTable[[#This Row],[SP Exp Date]]),"")</f>
        <v/>
      </c>
      <c r="CT72" s="23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3"/>
      <c r="CV72" s="235"/>
      <c r="CW72" s="378"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294" t="str">
        <f>IF(ISNUMBER((SnapshotTable[[#This Row],[SP Total Value]])), SnapshotTable[[#This Row],[SP Gain Loss]] / SnapshotTable[[#This Row],[SP Premium]], "")</f>
        <v/>
      </c>
      <c r="DI72" s="406"/>
      <c r="DJ72" s="138"/>
      <c r="DK72" s="148"/>
      <c r="DL72" s="13"/>
      <c r="DM72" s="13"/>
      <c r="DO72" s="31">
        <f>IF(SnapshotTable[[#This Row],[LC Symbol Count]]=1, SnapshotTable[[#This Row],[LC Qty]] * SnapshotTable[[#This Row],[LC Book Price]] * 100, 0)</f>
        <v>0</v>
      </c>
      <c r="DP72" s="163" t="str">
        <f>IF(AND(SnapshotTable[[#This Row],[LC Exp Date]]&gt;0, SnapshotTable[[#This Row],[LC Strike Price]]&gt;0,SnapshotTable[[#This Row],[LC Qty]]&gt;0,SnapshotTable[[#This Row],[LC Book Date]]&gt;0,SnapshotTable[[#This Row],[LC Book Price]]&gt;0,SnapshotTable[[#This Row],[LC Fill Date]]=0),"Y","")</f>
        <v/>
      </c>
      <c r="DQ72" s="386" t="str">
        <f>IF(SnapshotTable[[#This Row],[LC Premium]] &gt; 0,SnapshotTable[[#This Row],[LC Exp Date]]-MAX(SnapshotTable[[#This Row],[LC Book Date]], SnapshotTable[[#This Row],[LC Fill Date]]),"")</f>
        <v/>
      </c>
      <c r="DR72" s="386" t="str">
        <f>IF(ISNUMBER(SnapshotTable[[#This Row],[LC Term]]), SnapshotTable[[#This Row],[LC Exp Date]] - MockToday, "")</f>
        <v/>
      </c>
      <c r="DS72" s="23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40" t="str">
        <f>IF(ISNUMBER(SnapshotTable[[#This Row],[LC Actual Gain Loss]]), SnapshotTable[[#This Row],[LC Actual Gain Loss]] / SnapshotTable[[#This Row],[LC Premium]],"")</f>
        <v/>
      </c>
      <c r="DX72" s="284" t="str">
        <f>IF(ISNUMBER(SnapshotTable[[#This Row],[LC Book Price]]),SnapshotTable[[#This Row],[LC Book Price]] * 1.5,"")</f>
        <v/>
      </c>
      <c r="DY72" s="265" t="str">
        <f>IF(SnapshotTable[[#This Row],[LC Premium]]&gt;0, SnapshotTable[[#This Row],[LC Next Target]] * SnapshotTable[[#This Row],[LC Qty]] * 100,"")</f>
        <v/>
      </c>
      <c r="DZ72" s="265" t="str">
        <f>IF(ISNUMBER(SnapshotTable[[#This Row],[LC Target Gross]]), SnapshotTable[[#This Row],[LC Target Gross]] - SnapshotTable[[#This Row],[LC Premium]], "")</f>
        <v/>
      </c>
      <c r="EA72" s="305" t="str">
        <f>IF(ISNUMBER(SnapshotTable[[#This Row],[LC Target Gain Loss]]), SnapshotTable[[#This Row],[LC Target Gain Loss]]/SnapshotTable[[#This Row],[LC Premium]], "")</f>
        <v/>
      </c>
      <c r="EB72" s="262"/>
      <c r="EC72" s="283" t="str">
        <f>IF(SnapshotTable[[#This Row],[LC Premium]]&gt;0, SnapshotTable[[#This Row],[LC Book Price]] * (1 - LC_StopLoss_Pct),"")</f>
        <v/>
      </c>
      <c r="ED72" s="284"/>
      <c r="EE72" s="28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4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7"/>
      <c r="EL72" s="138"/>
      <c r="EM72" s="148"/>
      <c r="EN72" s="147"/>
      <c r="EO72" s="147"/>
      <c r="EP72" s="138"/>
      <c r="EQ72" s="419" t="b">
        <f>AND(ISNUMBER(SnapshotTable[[#This Row],[SC Exp Date]]), ISNUMBER(SnapshotTable[[#This Row],[SC Strike Price]]), ISNUMBER(SnapshotTable[[#This Row],[SC Qty]]), ISNUMBER(SnapshotTable[[#This Row],[SC Book Date]]), ISNUMBER(SnapshotTable[[#This Row],[SC Book Price]]))</f>
        <v>0</v>
      </c>
      <c r="ER72" s="419" t="b">
        <f>AND(SnapshotTable[[#This Row],[SC Is Booked]], NOT(ISBLANK(SnapshotTable[[#This Row],[SC Fill Date]])))</f>
        <v>0</v>
      </c>
      <c r="ES72" s="370"/>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3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283"/>
      <c r="FA72" s="218"/>
      <c r="FB72" s="370"/>
      <c r="FC72" s="4">
        <f>IF(SnapshotTable[[#This Row],[SC Is Filled]], btc_max_buyback_amount(SnapshotTable[[#This Row],[SC Fill Date]],SnapshotTable[[#This Row],[SC Exp Date]], SnapshotTable[[#This Row],[SC Book Price]]),0)</f>
        <v>0</v>
      </c>
      <c r="FD72" s="5"/>
      <c r="FE72" s="144"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382">
        <f>IF(SnapshotTable[[#This Row],[SC Is Filled]], IF(ISNUMBER(SnapshotTable[[#This Row],[SC Current Ask]]), SnapshotTable[[#This Row],[SC Current Ask]], SnapshotTable[[#This Row],[SC Book Price]]) - SnapshotTable[[#This Row],[SC Intrinsic Value]], 0)</f>
        <v>0</v>
      </c>
      <c r="FI72" s="143"/>
      <c r="FJ72" s="32" t="str">
        <f>IF(SnapshotTable[[#This Row],[SC Is Filled]],100 * SnapshotTable[[#This Row],[SC Qty]] * IF(ISNUMBER(SnapshotTable[[#This Row],[SC Buyback Override]]), SnapshotTable[[#This Row],[SC Buyback Override]], SnapshotTable[[#This Row],[SC Current Ask]]), "")</f>
        <v/>
      </c>
      <c r="FK72" s="250" t="str">
        <f>IF(SnapshotTable[[#This Row],[SC Time Val]]&gt;0, SnapshotTable[[#This Row],[SC Time Val]] / SnapshotTable[[#This Row],[Last Price]],"")</f>
        <v/>
      </c>
      <c r="FL72" s="302" t="str">
        <f>IF(SnapshotTable[[#This Row],[SC Is Booked]], ((SnapshotTable[[#This Row],[Last Price]] -SnapshotTable[[#This Row],[SC Strike Price]]) / SnapshotTable[[#This Row],[Last Price]]) * -1, "")</f>
        <v/>
      </c>
      <c r="FM72" s="157"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33"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36" t="str">
        <f>IF(AND(ISNUMBER(SnapshotTable[[#This Row],[SC Simple ROO]]),SnapshotTable[[#This Row],[SC Simple ROO]] &gt; 0), SnapshotTable[[#This Row],[SC Premium]] + (SnapshotTable[[#This Row],[SC Qty]] * SnapshotTable[[#This Row],[SC Upside Potential]]), "")</f>
        <v/>
      </c>
      <c r="FX72" s="302" t="str" cm="1">
        <f t="array" ref="FX72">IF(ISNUMBER(SnapshotTable[[#This Row],[SC Max Dollars]]), annualize(SnapshotTable[[#This Row],[SC Term]],(SnapshotTable[[#This Row],[SC Max Dollars]]/SnapshotTable[[#This Row],[SC Basis]])),"")</f>
        <v/>
      </c>
      <c r="FY72" s="23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29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320.50200000000001</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654</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31">
        <f>MAX(SnapshotTable[[#This Row],[Equity Basis Total]],SnapshotTable[[#This Row],[Equity Value]]) + (SnapshotTable[[#This Row],[SP Potential Spend]]- SnapshotTable[[#This Row],[SP Premium]] + SnapshotTable[[#This Row],[LP Premium]])+ (SnapshotTable[[#This Row],[LC Premium]] - SnapshotTable[[#This Row],[SC Premium]])</f>
        <v>0</v>
      </c>
      <c r="GW72" s="139" t="str">
        <f>IF(AND(SnapshotTable[[#This Row],[Exposure]] &lt;&gt; 0),SnapshotTable[[#This Row],[Exposure]] / SnapshotTable[[#Totals],[Exposure]], "")</f>
        <v/>
      </c>
      <c r="HE72" s="268"/>
      <c r="HF72" s="268"/>
      <c r="HK72" s="1"/>
      <c r="HL72" s="1"/>
      <c r="HM72" s="1"/>
      <c r="HN72" s="1"/>
      <c r="HO72" s="1"/>
      <c r="HP72" s="1"/>
    </row>
    <row r="73" spans="2:224" ht="12.75" hidden="1" customHeight="1" x14ac:dyDescent="0.25">
      <c r="B73" s="12" t="s">
        <v>541</v>
      </c>
      <c r="C73" s="422">
        <v>889.31</v>
      </c>
      <c r="D73" s="208"/>
      <c r="E73" s="39">
        <f>SnapshotTable[[#This Row],[Last Price]]*(1 -CrashDiscount)</f>
        <v>755.91349999999989</v>
      </c>
      <c r="F73" s="26" t="s">
        <v>1136</v>
      </c>
      <c r="G73" s="26" t="s">
        <v>872</v>
      </c>
      <c r="H73" s="149"/>
      <c r="I73" s="194">
        <v>44770.270833333336</v>
      </c>
      <c r="J73" s="195">
        <v>44770.270833333336</v>
      </c>
      <c r="K73" s="196"/>
      <c r="L73" s="326"/>
      <c r="M73" s="140"/>
      <c r="N73" s="140"/>
      <c r="O73" s="140"/>
      <c r="P73" s="22"/>
      <c r="Q73" s="25"/>
      <c r="R73" s="4" t="str">
        <f>IF(SnapshotTable[[#This Row],[Equity Basis Total]] &gt; 0, SnapshotTable[[#This Row],[Equity Basis Total]] / SnapshotTable[[#This Row],[Equity Shares]], "")</f>
        <v/>
      </c>
      <c r="S73" s="269">
        <f>SnapshotTable[[#This Row],[Last Price]] * SnapshotTable[[#This Row],[Equity Shares]]</f>
        <v>0</v>
      </c>
      <c r="T73" s="269">
        <f>SnapshotTable[[#This Row],[Equity Value]] - SnapshotTable[[#This Row],[Equity Basis Total]]</f>
        <v>0</v>
      </c>
      <c r="U73" s="270" t="str">
        <f>IF(SnapshotTable[[#This Row],[Equity Basis Total]] &gt; 0, SnapshotTable[[#This Row],[Equity G/L]] / SnapshotTable[[#This Row],[Equity Basis Total]], "")</f>
        <v/>
      </c>
      <c r="V73" s="268"/>
      <c r="W73" s="26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7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0">
        <v>4.12</v>
      </c>
      <c r="AD73" s="151" t="s">
        <v>558</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4.6328052085324581E-3</v>
      </c>
      <c r="AH73" s="151">
        <v>43848</v>
      </c>
      <c r="AI73" s="5">
        <v>150</v>
      </c>
      <c r="AJ73" s="138">
        <v>201.25</v>
      </c>
      <c r="AK73" s="152">
        <f>IF(ISNUMBER( SnapshotTable[[#This Row],[EBF Target]]),(SnapshotTable[[#This Row],[EBF Target]] - SnapshotTable[[#This Row],[Last Price]]) / SnapshotTable[[#This Row],[Last Price]], "")</f>
        <v>-0.8313299074563425</v>
      </c>
      <c r="AL73" s="152"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2">
        <f>IF(AND(ISNUMBER( SnapshotTable[[#This Row],[Long Term Target]]), ISNUMBER(SnapshotTable[[#This Row],[Last Price]])),(SnapshotTable[[#This Row],[Long Term Target]] - SnapshotTable[[#This Row],[Last Price]]) / SnapshotTable[[#This Row],[Last Price]], "")</f>
        <v>-0.77370095917059289</v>
      </c>
      <c r="AP73" s="5">
        <v>260</v>
      </c>
      <c r="AQ73" s="38" t="s">
        <v>109</v>
      </c>
      <c r="AR73" s="5">
        <v>250</v>
      </c>
      <c r="AS73" s="38" t="s">
        <v>1083</v>
      </c>
      <c r="AT73" s="146" t="s">
        <v>549</v>
      </c>
      <c r="AU73" s="187" t="str">
        <f>IF(OR(SnapshotTable[[#This Row],[LP No Fill]]="Y",SnapshotTable[[#This Row],[SP Is Filled]],SnapshotTable[[#This Row],[LC Not Filled]]="Y",SnapshotTable[[#This Row],[SC Is Filled]]),"Y","")</f>
        <v/>
      </c>
      <c r="AV73" s="219"/>
      <c r="AW73" s="225"/>
      <c r="AX73" s="220"/>
      <c r="AY73" s="219" t="str">
        <f>IF(SnapshotTable[[#This Row],[Implied Move]]&gt;0, SnapshotTable[[#This Row],[Last Price]]-SnapshotTable[[#This Row],[Implied Move]],"")</f>
        <v/>
      </c>
      <c r="AZ73" s="219" t="str">
        <f>IF(SnapshotTable[[#This Row],[Implied Move]]&gt;0, SnapshotTable[[#This Row],[Last Price]] + SnapshotTable[[#This Row],[Implied Move]],"")</f>
        <v/>
      </c>
      <c r="BA73" s="331">
        <v>-2.5</v>
      </c>
      <c r="BB73" s="347"/>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51"/>
      <c r="BE73" s="5"/>
      <c r="BF73" s="14"/>
      <c r="BG73" s="13"/>
      <c r="BH73" s="13"/>
      <c r="BI73" s="5"/>
      <c r="BJ73" s="136">
        <f>IF(SnapshotTable[[#This Row],[LP Qty]] &gt; 0, SnapshotTable[[#This Row],[LP Qty]] * SnapshotTable[[#This Row],[LP Book Price]] * 100,0)</f>
        <v>0</v>
      </c>
      <c r="BK73" s="136">
        <f>IF(SnapshotTable[[#This Row],[LP Premium]] &gt; 0, SnapshotTable[[#This Row],[LP Qty]] * SnapshotTable[[#This Row],[LP Strike Price]] * 100,0)</f>
        <v>0</v>
      </c>
      <c r="BL73" s="154"/>
      <c r="BM73" s="385" t="str">
        <f>IF(SnapshotTable[[#This Row],[LP Premium]] &gt; 0,SnapshotTable[[#This Row],[LP Exp Date]]-MAX(SnapshotTable[[#This Row],[LP Book Date]], SnapshotTable[[#This Row],[LP Fill Date]]),"")</f>
        <v/>
      </c>
      <c r="BN73" s="385" t="str">
        <f>IF(ISNUMBER( SnapshotTable[[#This Row],[LP Term]]), SnapshotTable[[#This Row],[LP Exp Date]] - MockToday,"")</f>
        <v/>
      </c>
      <c r="BO73" s="163"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7"/>
      <c r="BU73" s="13"/>
      <c r="BV73" s="5"/>
      <c r="BW73" s="419" t="b">
        <f>AND(ISNUMBER(SnapshotTable[[#This Row],[SP Exp Date]]), ISNUMBER(SnapshotTable[[#This Row],[SP Strike Price]]), ISNUMBER(SnapshotTable[[#This Row],[SP Qty]]), ISNUMBER(SnapshotTable[[#This Row],[SP Book Date]]), ISNUMBER(SnapshotTable[[#This Row],[SP Book Price]]))</f>
        <v>0</v>
      </c>
      <c r="BX73" s="419" t="b">
        <f>AND(SnapshotTable[[#This Row],[SP Is Booked]], NOT(ISBLANK(SnapshotTable[[#This Row],[SP Fill Date]])))</f>
        <v>0</v>
      </c>
      <c r="BY73" s="33">
        <f>IF(SnapshotTable[[#This Row],[SP Is Booked]], SnapshotTable[[#This Row],[SP Qty]] * SnapshotTable[[#This Row],[SP Book Price]] * 100, 0)</f>
        <v>0</v>
      </c>
      <c r="BZ73" s="369"/>
      <c r="CA73" s="368">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3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44"/>
      <c r="CK73" s="31">
        <f>IF(ISNUMBER(SnapshotTable[[#This Row],[SP Potential Spend]]),IF(ISNUMBER(SnapshotTable[[#This Row],[SP POW]]), SnapshotTable[[#This Row],[SP POW]] * SnapshotTable[[#This Row],[SP Potential Spend]], SnapshotTable[[#This Row],[SP Potential Spend]]), "")</f>
        <v>0</v>
      </c>
      <c r="CL73" s="164">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8"/>
      <c r="CO73" s="369"/>
      <c r="CP73" s="4" t="str">
        <f>IF(SnapshotTable[[#This Row],[SP Is Filled]], btc_max_buyback_amount(SnapshotTable[[#This Row],[SP Fill Date]],SnapshotTable[[#This Row],[SP Exp Date]], SnapshotTable[[#This Row],[SP Book Price]]),"")</f>
        <v/>
      </c>
      <c r="CQ73" s="78"/>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5" t="str">
        <f>IF(SnapshotTable[[#This Row],[SP Is Filled]], btc_next_cutoff_date(SnapshotTable[[#This Row],[SP Fill Date]],SnapshotTable[[#This Row],[SP Exp Date]]),"")</f>
        <v/>
      </c>
      <c r="CT73" s="23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3"/>
      <c r="CV73" s="235"/>
      <c r="CW73" s="378"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294" t="str">
        <f>IF(ISNUMBER((SnapshotTable[[#This Row],[SP Total Value]])), SnapshotTable[[#This Row],[SP Gain Loss]] / SnapshotTable[[#This Row],[SP Premium]], "")</f>
        <v/>
      </c>
      <c r="DI73" s="406"/>
      <c r="DJ73" s="138"/>
      <c r="DK73" s="148"/>
      <c r="DL73" s="13"/>
      <c r="DM73" s="13"/>
      <c r="DO73" s="31">
        <f>IF(SnapshotTable[[#This Row],[LC Symbol Count]]=1, SnapshotTable[[#This Row],[LC Qty]] * SnapshotTable[[#This Row],[LC Book Price]] * 100, 0)</f>
        <v>0</v>
      </c>
      <c r="DP73" s="163" t="str">
        <f>IF(AND(SnapshotTable[[#This Row],[LC Exp Date]]&gt;0, SnapshotTable[[#This Row],[LC Strike Price]]&gt;0,SnapshotTable[[#This Row],[LC Qty]]&gt;0,SnapshotTable[[#This Row],[LC Book Date]]&gt;0,SnapshotTable[[#This Row],[LC Book Price]]&gt;0,SnapshotTable[[#This Row],[LC Fill Date]]=0),"Y","")</f>
        <v/>
      </c>
      <c r="DQ73" s="386" t="str">
        <f>IF(SnapshotTable[[#This Row],[LC Premium]] &gt; 0,SnapshotTable[[#This Row],[LC Exp Date]]-MAX(SnapshotTable[[#This Row],[LC Book Date]], SnapshotTable[[#This Row],[LC Fill Date]]),"")</f>
        <v/>
      </c>
      <c r="DR73" s="386" t="str">
        <f>IF(ISNUMBER(SnapshotTable[[#This Row],[LC Term]]), SnapshotTable[[#This Row],[LC Exp Date]] - MockToday, "")</f>
        <v/>
      </c>
      <c r="DS73" s="23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40" t="str">
        <f>IF(ISNUMBER(SnapshotTable[[#This Row],[LC Actual Gain Loss]]), SnapshotTable[[#This Row],[LC Actual Gain Loss]] / SnapshotTable[[#This Row],[LC Premium]],"")</f>
        <v/>
      </c>
      <c r="DX73" s="284" t="str">
        <f>IF(ISNUMBER(SnapshotTable[[#This Row],[LC Book Price]]),SnapshotTable[[#This Row],[LC Book Price]] * 1.5,"")</f>
        <v/>
      </c>
      <c r="DY73" s="265" t="str">
        <f>IF(SnapshotTable[[#This Row],[LC Premium]]&gt;0, SnapshotTable[[#This Row],[LC Next Target]] * SnapshotTable[[#This Row],[LC Qty]] * 100,"")</f>
        <v/>
      </c>
      <c r="DZ73" s="265" t="str">
        <f>IF(ISNUMBER(SnapshotTable[[#This Row],[LC Target Gross]]), SnapshotTable[[#This Row],[LC Target Gross]] - SnapshotTable[[#This Row],[LC Premium]], "")</f>
        <v/>
      </c>
      <c r="EA73" s="305" t="str">
        <f>IF(ISNUMBER(SnapshotTable[[#This Row],[LC Target Gain Loss]]), SnapshotTable[[#This Row],[LC Target Gain Loss]]/SnapshotTable[[#This Row],[LC Premium]], "")</f>
        <v/>
      </c>
      <c r="EB73" s="262"/>
      <c r="EC73" s="283" t="str">
        <f>IF(SnapshotTable[[#This Row],[LC Premium]]&gt;0, SnapshotTable[[#This Row],[LC Book Price]] * (1 - LC_StopLoss_Pct),"")</f>
        <v/>
      </c>
      <c r="ED73" s="284"/>
      <c r="EE73" s="28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4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7"/>
      <c r="EL73" s="138"/>
      <c r="EM73" s="148"/>
      <c r="EN73" s="147"/>
      <c r="EO73" s="147"/>
      <c r="EP73" s="138"/>
      <c r="EQ73" s="419" t="b">
        <f>AND(ISNUMBER(SnapshotTable[[#This Row],[SC Exp Date]]), ISNUMBER(SnapshotTable[[#This Row],[SC Strike Price]]), ISNUMBER(SnapshotTable[[#This Row],[SC Qty]]), ISNUMBER(SnapshotTable[[#This Row],[SC Book Date]]), ISNUMBER(SnapshotTable[[#This Row],[SC Book Price]]))</f>
        <v>0</v>
      </c>
      <c r="ER73" s="419" t="b">
        <f>AND(SnapshotTable[[#This Row],[SC Is Booked]], NOT(ISBLANK(SnapshotTable[[#This Row],[SC Fill Date]])))</f>
        <v>0</v>
      </c>
      <c r="ES73" s="370"/>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3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283"/>
      <c r="FA73" s="218"/>
      <c r="FB73" s="370"/>
      <c r="FC73" s="4">
        <f>IF(SnapshotTable[[#This Row],[SC Is Filled]], btc_max_buyback_amount(SnapshotTable[[#This Row],[SC Fill Date]],SnapshotTable[[#This Row],[SC Exp Date]], SnapshotTable[[#This Row],[SC Book Price]]),0)</f>
        <v>0</v>
      </c>
      <c r="FD73" s="5"/>
      <c r="FE73" s="144"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382">
        <f>IF(SnapshotTable[[#This Row],[SC Is Filled]], IF(ISNUMBER(SnapshotTable[[#This Row],[SC Current Ask]]), SnapshotTable[[#This Row],[SC Current Ask]], SnapshotTable[[#This Row],[SC Book Price]]) - SnapshotTable[[#This Row],[SC Intrinsic Value]], 0)</f>
        <v>0</v>
      </c>
      <c r="FI73" s="143"/>
      <c r="FJ73" s="32" t="str">
        <f>IF(SnapshotTable[[#This Row],[SC Is Filled]],100 * SnapshotTable[[#This Row],[SC Qty]] * IF(ISNUMBER(SnapshotTable[[#This Row],[SC Buyback Override]]), SnapshotTable[[#This Row],[SC Buyback Override]], SnapshotTable[[#This Row],[SC Current Ask]]), "")</f>
        <v/>
      </c>
      <c r="FK73" s="250" t="str">
        <f>IF(SnapshotTable[[#This Row],[SC Time Val]]&gt;0, SnapshotTable[[#This Row],[SC Time Val]] / SnapshotTable[[#This Row],[Last Price]],"")</f>
        <v/>
      </c>
      <c r="FL73" s="302" t="str">
        <f>IF(SnapshotTable[[#This Row],[SC Is Booked]], ((SnapshotTable[[#This Row],[Last Price]] -SnapshotTable[[#This Row],[SC Strike Price]]) / SnapshotTable[[#This Row],[Last Price]]) * -1, "")</f>
        <v/>
      </c>
      <c r="FM73" s="157"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33"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36" t="str">
        <f>IF(AND(ISNUMBER(SnapshotTable[[#This Row],[SC Simple ROO]]),SnapshotTable[[#This Row],[SC Simple ROO]] &gt; 0), SnapshotTable[[#This Row],[SC Premium]] + (SnapshotTable[[#This Row],[SC Qty]] * SnapshotTable[[#This Row],[SC Upside Potential]]), "")</f>
        <v/>
      </c>
      <c r="FX73" s="302" t="str" cm="1">
        <f t="array" ref="FX73">IF(ISNUMBER(SnapshotTable[[#This Row],[SC Max Dollars]]), annualize(SnapshotTable[[#This Row],[SC Term]],(SnapshotTable[[#This Row],[SC Max Dollars]]/SnapshotTable[[#This Row],[SC Basis]])),"")</f>
        <v/>
      </c>
      <c r="FY73" s="23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29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1734.1544999999999</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655</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31">
        <f>MAX(SnapshotTable[[#This Row],[Equity Basis Total]],SnapshotTable[[#This Row],[Equity Value]]) + (SnapshotTable[[#This Row],[SP Potential Spend]]- SnapshotTable[[#This Row],[SP Premium]] + SnapshotTable[[#This Row],[LP Premium]])+ (SnapshotTable[[#This Row],[LC Premium]] - SnapshotTable[[#This Row],[SC Premium]])</f>
        <v>0</v>
      </c>
      <c r="GW73" s="139" t="str">
        <f>IF(AND(SnapshotTable[[#This Row],[Exposure]] &lt;&gt; 0),SnapshotTable[[#This Row],[Exposure]] / SnapshotTable[[#Totals],[Exposure]], "")</f>
        <v/>
      </c>
      <c r="HE73" s="268"/>
      <c r="HF73" s="268"/>
      <c r="HK73" s="1"/>
      <c r="HL73" s="1"/>
      <c r="HM73" s="1"/>
      <c r="HN73" s="1"/>
      <c r="HO73" s="1"/>
      <c r="HP73" s="1"/>
    </row>
    <row r="74" spans="2:224" s="47" customFormat="1" ht="12.75" hidden="1" customHeight="1" x14ac:dyDescent="0.25">
      <c r="B74" s="12" t="s">
        <v>174</v>
      </c>
      <c r="C74" s="422">
        <v>1</v>
      </c>
      <c r="D74" s="208"/>
      <c r="E74" s="39">
        <f>SnapshotTable[[#This Row],[Last Price]]*(1 -CrashDiscount)</f>
        <v>0.85</v>
      </c>
      <c r="F74" s="26" t="s">
        <v>105</v>
      </c>
      <c r="G74" s="26" t="s">
        <v>14</v>
      </c>
      <c r="H74" s="149"/>
      <c r="I74" s="194">
        <v>44770.270833333336</v>
      </c>
      <c r="J74" s="195">
        <v>44770.270833333336</v>
      </c>
      <c r="K74" s="196"/>
      <c r="L74" s="326"/>
      <c r="M74" s="140"/>
      <c r="N74" s="140"/>
      <c r="O74" s="140"/>
      <c r="P74" s="22"/>
      <c r="Q74" s="25"/>
      <c r="R74" s="4" t="str">
        <f>IF(SnapshotTable[[#This Row],[Equity Basis Total]] &gt; 0, SnapshotTable[[#This Row],[Equity Basis Total]] / SnapshotTable[[#This Row],[Equity Shares]], "")</f>
        <v/>
      </c>
      <c r="S74" s="269">
        <f>SnapshotTable[[#This Row],[Last Price]] * SnapshotTable[[#This Row],[Equity Shares]]</f>
        <v>0</v>
      </c>
      <c r="T74" s="269">
        <f>SnapshotTable[[#This Row],[Equity Value]] - SnapshotTable[[#This Row],[Equity Basis Total]]</f>
        <v>0</v>
      </c>
      <c r="U74" s="270" t="str">
        <f>IF(SnapshotTable[[#This Row],[Equity Basis Total]] &gt; 0, SnapshotTable[[#This Row],[Equity G/L]] / SnapshotTable[[#This Row],[Equity Basis Total]], "")</f>
        <v/>
      </c>
      <c r="V74" s="268"/>
      <c r="W74" s="26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7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0"/>
      <c r="AD74" s="151"/>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1"/>
      <c r="AI74" s="5"/>
      <c r="AJ74" s="138">
        <v>69.540000000000006</v>
      </c>
      <c r="AK74" s="152" t="str">
        <f>IF(ISNUMBER( SnapshotTable[[#This Row],[EBF Target]]),(SnapshotTable[[#This Row],[EBF Target]] - SnapshotTable[[#This Row],[Last Price]]) / SnapshotTable[[#This Row],[Last Price]], "")</f>
        <v/>
      </c>
      <c r="AL74" s="152"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2">
        <f>IF(AND(ISNUMBER( SnapshotTable[[#This Row],[Long Term Target]]), ISNUMBER(SnapshotTable[[#This Row],[Last Price]])),(SnapshotTable[[#This Row],[Long Term Target]] - SnapshotTable[[#This Row],[Last Price]]) / SnapshotTable[[#This Row],[Last Price]], "")</f>
        <v>68.540000000000006</v>
      </c>
      <c r="AP74" s="5"/>
      <c r="AQ74" s="38"/>
      <c r="AR74" s="5"/>
      <c r="AS74" s="38"/>
      <c r="AT74" s="146"/>
      <c r="AU74" s="187" t="str">
        <f>IF(OR(SnapshotTable[[#This Row],[LP No Fill]]="Y",SnapshotTable[[#This Row],[SP Is Filled]],SnapshotTable[[#This Row],[LC Not Filled]]="Y",SnapshotTable[[#This Row],[SC Is Filled]]),"Y","")</f>
        <v/>
      </c>
      <c r="AV74" s="219"/>
      <c r="AW74" s="225"/>
      <c r="AX74" s="220"/>
      <c r="AY74" s="219" t="str">
        <f>IF(SnapshotTable[[#This Row],[Implied Move]]&gt;0, SnapshotTable[[#This Row],[Last Price]]-SnapshotTable[[#This Row],[Implied Move]],"")</f>
        <v/>
      </c>
      <c r="AZ74" s="219" t="str">
        <f>IF(SnapshotTable[[#This Row],[Implied Move]]&gt;0, SnapshotTable[[#This Row],[Last Price]] + SnapshotTable[[#This Row],[Implied Move]],"")</f>
        <v/>
      </c>
      <c r="BA74" s="331"/>
      <c r="BB74" s="347"/>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51"/>
      <c r="BE74" s="5"/>
      <c r="BF74" s="14"/>
      <c r="BG74" s="13"/>
      <c r="BH74" s="13"/>
      <c r="BI74" s="5"/>
      <c r="BJ74" s="136">
        <f>IF(SnapshotTable[[#This Row],[LP Qty]] &gt; 0, SnapshotTable[[#This Row],[LP Qty]] * SnapshotTable[[#This Row],[LP Book Price]] * 100,0)</f>
        <v>0</v>
      </c>
      <c r="BK74" s="136">
        <f>IF(SnapshotTable[[#This Row],[LP Premium]] &gt; 0, SnapshotTable[[#This Row],[LP Qty]] * SnapshotTable[[#This Row],[LP Strike Price]] * 100,0)</f>
        <v>0</v>
      </c>
      <c r="BL74" s="154"/>
      <c r="BM74" s="385" t="str">
        <f>IF(SnapshotTable[[#This Row],[LP Premium]] &gt; 0,SnapshotTable[[#This Row],[LP Exp Date]]-MAX(SnapshotTable[[#This Row],[LP Book Date]], SnapshotTable[[#This Row],[LP Fill Date]]),"")</f>
        <v/>
      </c>
      <c r="BN74" s="385" t="str">
        <f>IF(ISNUMBER( SnapshotTable[[#This Row],[LP Term]]), SnapshotTable[[#This Row],[LP Exp Date]] - MockToday,"")</f>
        <v/>
      </c>
      <c r="BO74" s="163"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7"/>
      <c r="BU74" s="13"/>
      <c r="BV74" s="5"/>
      <c r="BW74" s="419" t="b">
        <f>AND(ISNUMBER(SnapshotTable[[#This Row],[SP Exp Date]]), ISNUMBER(SnapshotTable[[#This Row],[SP Strike Price]]), ISNUMBER(SnapshotTable[[#This Row],[SP Qty]]), ISNUMBER(SnapshotTable[[#This Row],[SP Book Date]]), ISNUMBER(SnapshotTable[[#This Row],[SP Book Price]]))</f>
        <v>0</v>
      </c>
      <c r="BX74" s="419" t="b">
        <f>AND(SnapshotTable[[#This Row],[SP Is Booked]], NOT(ISBLANK(SnapshotTable[[#This Row],[SP Fill Date]])))</f>
        <v>0</v>
      </c>
      <c r="BY74" s="33">
        <f>IF(SnapshotTable[[#This Row],[SP Is Booked]], SnapshotTable[[#This Row],[SP Qty]] * SnapshotTable[[#This Row],[SP Book Price]] * 100, 0)</f>
        <v>0</v>
      </c>
      <c r="BZ74" s="369"/>
      <c r="CA74" s="368">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3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44"/>
      <c r="CK74" s="31">
        <f>IF(ISNUMBER(SnapshotTable[[#This Row],[SP Potential Spend]]),IF(ISNUMBER(SnapshotTable[[#This Row],[SP POW]]), SnapshotTable[[#This Row],[SP POW]] * SnapshotTable[[#This Row],[SP Potential Spend]], SnapshotTable[[#This Row],[SP Potential Spend]]), "")</f>
        <v>0</v>
      </c>
      <c r="CL74" s="164">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8"/>
      <c r="CO74" s="369"/>
      <c r="CP74" s="4" t="str">
        <f>IF(SnapshotTable[[#This Row],[SP Is Filled]], btc_max_buyback_amount(SnapshotTable[[#This Row],[SP Fill Date]],SnapshotTable[[#This Row],[SP Exp Date]], SnapshotTable[[#This Row],[SP Book Price]]),"")</f>
        <v/>
      </c>
      <c r="CQ74" s="78"/>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5" t="str">
        <f>IF(SnapshotTable[[#This Row],[SP Is Filled]], btc_next_cutoff_date(SnapshotTable[[#This Row],[SP Fill Date]],SnapshotTable[[#This Row],[SP Exp Date]]),"")</f>
        <v/>
      </c>
      <c r="CT74" s="23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3"/>
      <c r="CV74" s="235"/>
      <c r="CW74" s="378"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294" t="str">
        <f>IF(ISNUMBER((SnapshotTable[[#This Row],[SP Total Value]])), SnapshotTable[[#This Row],[SP Gain Loss]] / SnapshotTable[[#This Row],[SP Premium]], "")</f>
        <v/>
      </c>
      <c r="DI74" s="406"/>
      <c r="DJ74" s="138"/>
      <c r="DK74" s="148"/>
      <c r="DL74" s="13"/>
      <c r="DM74" s="13"/>
      <c r="DN74" s="5"/>
      <c r="DO74" s="31">
        <f>IF(SnapshotTable[[#This Row],[LC Symbol Count]]=1, SnapshotTable[[#This Row],[LC Qty]] * SnapshotTable[[#This Row],[LC Book Price]] * 100, 0)</f>
        <v>0</v>
      </c>
      <c r="DP74" s="163" t="str">
        <f>IF(AND(SnapshotTable[[#This Row],[LC Exp Date]]&gt;0, SnapshotTable[[#This Row],[LC Strike Price]]&gt;0,SnapshotTable[[#This Row],[LC Qty]]&gt;0,SnapshotTable[[#This Row],[LC Book Date]]&gt;0,SnapshotTable[[#This Row],[LC Book Price]]&gt;0,SnapshotTable[[#This Row],[LC Fill Date]]=0),"Y","")</f>
        <v/>
      </c>
      <c r="DQ74" s="386" t="str">
        <f>IF(SnapshotTable[[#This Row],[LC Premium]] &gt; 0,SnapshotTable[[#This Row],[LC Exp Date]]-MAX(SnapshotTable[[#This Row],[LC Book Date]], SnapshotTable[[#This Row],[LC Fill Date]]),"")</f>
        <v/>
      </c>
      <c r="DR74" s="386" t="str">
        <f>IF(ISNUMBER(SnapshotTable[[#This Row],[LC Term]]), SnapshotTable[[#This Row],[LC Exp Date]] - MockToday, "")</f>
        <v/>
      </c>
      <c r="DS74" s="23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40" t="str">
        <f>IF(ISNUMBER(SnapshotTable[[#This Row],[LC Actual Gain Loss]]), SnapshotTable[[#This Row],[LC Actual Gain Loss]] / SnapshotTable[[#This Row],[LC Premium]],"")</f>
        <v/>
      </c>
      <c r="DX74" s="284" t="str">
        <f>IF(ISNUMBER(SnapshotTable[[#This Row],[LC Book Price]]),SnapshotTable[[#This Row],[LC Book Price]] * 1.5,"")</f>
        <v/>
      </c>
      <c r="DY74" s="265" t="str">
        <f>IF(SnapshotTable[[#This Row],[LC Premium]]&gt;0, SnapshotTable[[#This Row],[LC Next Target]] * SnapshotTable[[#This Row],[LC Qty]] * 100,"")</f>
        <v/>
      </c>
      <c r="DZ74" s="265" t="str">
        <f>IF(ISNUMBER(SnapshotTable[[#This Row],[LC Target Gross]]), SnapshotTable[[#This Row],[LC Target Gross]] - SnapshotTable[[#This Row],[LC Premium]], "")</f>
        <v/>
      </c>
      <c r="EA74" s="305" t="str">
        <f>IF(ISNUMBER(SnapshotTable[[#This Row],[LC Target Gain Loss]]), SnapshotTable[[#This Row],[LC Target Gain Loss]]/SnapshotTable[[#This Row],[LC Premium]], "")</f>
        <v/>
      </c>
      <c r="EB74" s="262"/>
      <c r="EC74" s="283" t="str">
        <f>IF(SnapshotTable[[#This Row],[LC Premium]]&gt;0, SnapshotTable[[#This Row],[LC Book Price]] * (1 - LC_StopLoss_Pct),"")</f>
        <v/>
      </c>
      <c r="ED74" s="284"/>
      <c r="EE74" s="28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4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7"/>
      <c r="EL74" s="138"/>
      <c r="EM74" s="148"/>
      <c r="EN74" s="147"/>
      <c r="EO74" s="147"/>
      <c r="EP74" s="138"/>
      <c r="EQ74" s="419" t="b">
        <f>AND(ISNUMBER(SnapshotTable[[#This Row],[SC Exp Date]]), ISNUMBER(SnapshotTable[[#This Row],[SC Strike Price]]), ISNUMBER(SnapshotTable[[#This Row],[SC Qty]]), ISNUMBER(SnapshotTable[[#This Row],[SC Book Date]]), ISNUMBER(SnapshotTable[[#This Row],[SC Book Price]]))</f>
        <v>0</v>
      </c>
      <c r="ER74" s="419" t="b">
        <f>AND(SnapshotTable[[#This Row],[SC Is Booked]], NOT(ISBLANK(SnapshotTable[[#This Row],[SC Fill Date]])))</f>
        <v>0</v>
      </c>
      <c r="ES74" s="370"/>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3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283"/>
      <c r="FA74" s="218"/>
      <c r="FB74" s="370"/>
      <c r="FC74" s="4">
        <f>IF(SnapshotTable[[#This Row],[SC Is Filled]], btc_max_buyback_amount(SnapshotTable[[#This Row],[SC Fill Date]],SnapshotTable[[#This Row],[SC Exp Date]], SnapshotTable[[#This Row],[SC Book Price]]),0)</f>
        <v>0</v>
      </c>
      <c r="FD74" s="5"/>
      <c r="FE74" s="144"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382">
        <f>IF(SnapshotTable[[#This Row],[SC Is Filled]], IF(ISNUMBER(SnapshotTable[[#This Row],[SC Current Ask]]), SnapshotTable[[#This Row],[SC Current Ask]], SnapshotTable[[#This Row],[SC Book Price]]) - SnapshotTable[[#This Row],[SC Intrinsic Value]], 0)</f>
        <v>0</v>
      </c>
      <c r="FI74" s="143"/>
      <c r="FJ74" s="32" t="str">
        <f>IF(SnapshotTable[[#This Row],[SC Is Filled]],100 * SnapshotTable[[#This Row],[SC Qty]] * IF(ISNUMBER(SnapshotTable[[#This Row],[SC Buyback Override]]), SnapshotTable[[#This Row],[SC Buyback Override]], SnapshotTable[[#This Row],[SC Current Ask]]), "")</f>
        <v/>
      </c>
      <c r="FK74" s="250" t="str">
        <f>IF(SnapshotTable[[#This Row],[SC Time Val]]&gt;0, SnapshotTable[[#This Row],[SC Time Val]] / SnapshotTable[[#This Row],[Last Price]],"")</f>
        <v/>
      </c>
      <c r="FL74" s="302" t="str">
        <f>IF(SnapshotTable[[#This Row],[SC Is Booked]], ((SnapshotTable[[#This Row],[Last Price]] -SnapshotTable[[#This Row],[SC Strike Price]]) / SnapshotTable[[#This Row],[Last Price]]) * -1, "")</f>
        <v/>
      </c>
      <c r="FM74" s="157"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33"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36" t="str">
        <f>IF(AND(ISNUMBER(SnapshotTable[[#This Row],[SC Simple ROO]]),SnapshotTable[[#This Row],[SC Simple ROO]] &gt; 0), SnapshotTable[[#This Row],[SC Premium]] + (SnapshotTable[[#This Row],[SC Qty]] * SnapshotTable[[#This Row],[SC Upside Potential]]), "")</f>
        <v/>
      </c>
      <c r="FX74" s="302" t="str" cm="1">
        <f t="array" ref="FX74">IF(ISNUMBER(SnapshotTable[[#This Row],[SC Max Dollars]]), annualize(SnapshotTable[[#This Row],[SC Term]],(SnapshotTable[[#This Row],[SC Max Dollars]]/SnapshotTable[[#This Row],[SC Basis]])),"")</f>
        <v/>
      </c>
      <c r="FY74" s="23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29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656</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31">
        <f>MAX(SnapshotTable[[#This Row],[Equity Basis Total]],SnapshotTable[[#This Row],[Equity Value]]) + (SnapshotTable[[#This Row],[SP Potential Spend]]- SnapshotTable[[#This Row],[SP Premium]] + SnapshotTable[[#This Row],[LP Premium]])+ (SnapshotTable[[#This Row],[LC Premium]] - SnapshotTable[[#This Row],[SC Premium]])</f>
        <v>0</v>
      </c>
      <c r="GW74" s="139" t="str">
        <f>IF(AND(SnapshotTable[[#This Row],[Exposure]] &lt;&gt; 0),SnapshotTable[[#This Row],[Exposure]] / SnapshotTable[[#Totals],[Exposure]], "")</f>
        <v/>
      </c>
      <c r="GY74" s="381"/>
      <c r="HE74" s="268"/>
      <c r="HF74" s="268"/>
      <c r="HG74" s="381"/>
      <c r="HH74" s="381"/>
      <c r="HI74" s="381"/>
      <c r="HJ74" s="381"/>
    </row>
    <row r="75" spans="2:224" ht="12.75" hidden="1" customHeight="1" x14ac:dyDescent="0.25">
      <c r="B75" s="12" t="s">
        <v>174</v>
      </c>
      <c r="C75" s="422">
        <v>48.91</v>
      </c>
      <c r="D75" s="208"/>
      <c r="E75" s="39">
        <f>SnapshotTable[[#This Row],[Last Price]]*(1 -CrashDiscount)</f>
        <v>41.573499999999996</v>
      </c>
      <c r="F75" s="26" t="s">
        <v>105</v>
      </c>
      <c r="G75" s="26" t="s">
        <v>14</v>
      </c>
      <c r="H75" s="149"/>
      <c r="I75" s="194">
        <v>44770.270833333336</v>
      </c>
      <c r="J75" s="195">
        <v>44770.270833333336</v>
      </c>
      <c r="K75" s="196"/>
      <c r="L75" s="326"/>
      <c r="M75" s="140"/>
      <c r="N75" s="140"/>
      <c r="O75" s="140"/>
      <c r="P75" s="22"/>
      <c r="Q75" s="25"/>
      <c r="R75" s="4" t="str">
        <f>IF(SnapshotTable[[#This Row],[Equity Basis Total]] &gt; 0, SnapshotTable[[#This Row],[Equity Basis Total]] / SnapshotTable[[#This Row],[Equity Shares]], "")</f>
        <v/>
      </c>
      <c r="S75" s="269">
        <f>SnapshotTable[[#This Row],[Last Price]] * SnapshotTable[[#This Row],[Equity Shares]]</f>
        <v>0</v>
      </c>
      <c r="T75" s="269">
        <f>SnapshotTable[[#This Row],[Equity Value]] - SnapshotTable[[#This Row],[Equity Basis Total]]</f>
        <v>0</v>
      </c>
      <c r="U75" s="270" t="str">
        <f>IF(SnapshotTable[[#This Row],[Equity Basis Total]] &gt; 0, SnapshotTable[[#This Row],[Equity G/L]] / SnapshotTable[[#This Row],[Equity Basis Total]], "")</f>
        <v/>
      </c>
      <c r="V75" s="268"/>
      <c r="W75" s="26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7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0"/>
      <c r="AD75" s="151"/>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1"/>
      <c r="AI75" s="5">
        <v>0.01</v>
      </c>
      <c r="AJ75" s="138">
        <v>62.89</v>
      </c>
      <c r="AK75" s="152">
        <f>IF(ISNUMBER( SnapshotTable[[#This Row],[EBF Target]]),(SnapshotTable[[#This Row],[EBF Target]] - SnapshotTable[[#This Row],[Last Price]]) / SnapshotTable[[#This Row],[Last Price]], "")</f>
        <v>-0.99979554283377636</v>
      </c>
      <c r="AL75" s="152"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2">
        <f>IF(AND(ISNUMBER( SnapshotTable[[#This Row],[Long Term Target]]), ISNUMBER(SnapshotTable[[#This Row],[Last Price]])),(SnapshotTable[[#This Row],[Long Term Target]] - SnapshotTable[[#This Row],[Last Price]]) / SnapshotTable[[#This Row],[Last Price]], "")</f>
        <v>0.28583111838069936</v>
      </c>
      <c r="AP75" s="5"/>
      <c r="AQ75" s="38"/>
      <c r="AR75" s="5"/>
      <c r="AS75" s="38"/>
      <c r="AT75" s="146"/>
      <c r="AU75" s="187" t="str">
        <f>IF(OR(SnapshotTable[[#This Row],[LP No Fill]]="Y",SnapshotTable[[#This Row],[SP Is Filled]],SnapshotTable[[#This Row],[LC Not Filled]]="Y",SnapshotTable[[#This Row],[SC Is Filled]]),"Y","")</f>
        <v/>
      </c>
      <c r="AV75" s="219"/>
      <c r="AW75" s="225"/>
      <c r="AX75" s="220"/>
      <c r="AY75" s="219" t="str">
        <f>IF(SnapshotTable[[#This Row],[Implied Move]]&gt;0, SnapshotTable[[#This Row],[Last Price]]-SnapshotTable[[#This Row],[Implied Move]],"")</f>
        <v/>
      </c>
      <c r="AZ75" s="219" t="str">
        <f>IF(SnapshotTable[[#This Row],[Implied Move]]&gt;0, SnapshotTable[[#This Row],[Last Price]] + SnapshotTable[[#This Row],[Implied Move]],"")</f>
        <v/>
      </c>
      <c r="BA75" s="331"/>
      <c r="BB75" s="347"/>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51"/>
      <c r="BE75" s="5"/>
      <c r="BF75" s="14"/>
      <c r="BG75" s="13"/>
      <c r="BH75" s="13"/>
      <c r="BI75" s="5"/>
      <c r="BJ75" s="136">
        <f>IF(SnapshotTable[[#This Row],[LP Qty]] &gt; 0, SnapshotTable[[#This Row],[LP Qty]] * SnapshotTable[[#This Row],[LP Book Price]] * 100,0)</f>
        <v>0</v>
      </c>
      <c r="BK75" s="136">
        <f>IF(SnapshotTable[[#This Row],[LP Premium]] &gt; 0, SnapshotTable[[#This Row],[LP Qty]] * SnapshotTable[[#This Row],[LP Strike Price]] * 100,0)</f>
        <v>0</v>
      </c>
      <c r="BL75" s="154"/>
      <c r="BM75" s="385" t="str">
        <f>IF(SnapshotTable[[#This Row],[LP Premium]] &gt; 0,SnapshotTable[[#This Row],[LP Exp Date]]-MAX(SnapshotTable[[#This Row],[LP Book Date]], SnapshotTable[[#This Row],[LP Fill Date]]),"")</f>
        <v/>
      </c>
      <c r="BN75" s="385" t="str">
        <f>IF(ISNUMBER( SnapshotTable[[#This Row],[LP Term]]), SnapshotTable[[#This Row],[LP Exp Date]] - MockToday,"")</f>
        <v/>
      </c>
      <c r="BO75" s="163"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7"/>
      <c r="BU75" s="13"/>
      <c r="BV75" s="5"/>
      <c r="BW75" s="419" t="b">
        <f>AND(ISNUMBER(SnapshotTable[[#This Row],[SP Exp Date]]), ISNUMBER(SnapshotTable[[#This Row],[SP Strike Price]]), ISNUMBER(SnapshotTable[[#This Row],[SP Qty]]), ISNUMBER(SnapshotTable[[#This Row],[SP Book Date]]), ISNUMBER(SnapshotTable[[#This Row],[SP Book Price]]))</f>
        <v>0</v>
      </c>
      <c r="BX75" s="419" t="b">
        <f>AND(SnapshotTable[[#This Row],[SP Is Booked]], NOT(ISBLANK(SnapshotTable[[#This Row],[SP Fill Date]])))</f>
        <v>0</v>
      </c>
      <c r="BY75" s="33">
        <f>IF(SnapshotTable[[#This Row],[SP Is Booked]], SnapshotTable[[#This Row],[SP Qty]] * SnapshotTable[[#This Row],[SP Book Price]] * 100, 0)</f>
        <v>0</v>
      </c>
      <c r="BZ75" s="369"/>
      <c r="CA75" s="368">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3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44"/>
      <c r="CK75" s="31">
        <f>IF(ISNUMBER(SnapshotTable[[#This Row],[SP Potential Spend]]),IF(ISNUMBER(SnapshotTable[[#This Row],[SP POW]]), SnapshotTable[[#This Row],[SP POW]] * SnapshotTable[[#This Row],[SP Potential Spend]], SnapshotTable[[#This Row],[SP Potential Spend]]), "")</f>
        <v>0</v>
      </c>
      <c r="CL75" s="164">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8"/>
      <c r="CO75" s="369"/>
      <c r="CP75" s="4" t="str">
        <f>IF(SnapshotTable[[#This Row],[SP Is Filled]], btc_max_buyback_amount(SnapshotTable[[#This Row],[SP Fill Date]],SnapshotTable[[#This Row],[SP Exp Date]], SnapshotTable[[#This Row],[SP Book Price]]),"")</f>
        <v/>
      </c>
      <c r="CQ75" s="78"/>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5" t="str">
        <f>IF(SnapshotTable[[#This Row],[SP Is Filled]], btc_next_cutoff_date(SnapshotTable[[#This Row],[SP Fill Date]],SnapshotTable[[#This Row],[SP Exp Date]]),"")</f>
        <v/>
      </c>
      <c r="CT75" s="23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3"/>
      <c r="CV75" s="235"/>
      <c r="CW75" s="378"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294" t="str">
        <f>IF(ISNUMBER((SnapshotTable[[#This Row],[SP Total Value]])), SnapshotTable[[#This Row],[SP Gain Loss]] / SnapshotTable[[#This Row],[SP Premium]], "")</f>
        <v/>
      </c>
      <c r="DI75" s="406"/>
      <c r="DJ75" s="138"/>
      <c r="DK75" s="148"/>
      <c r="DL75" s="13"/>
      <c r="DM75" s="13"/>
      <c r="DO75" s="31">
        <f>IF(SnapshotTable[[#This Row],[LC Symbol Count]]=1, SnapshotTable[[#This Row],[LC Qty]] * SnapshotTable[[#This Row],[LC Book Price]] * 100, 0)</f>
        <v>0</v>
      </c>
      <c r="DP75" s="163" t="str">
        <f>IF(AND(SnapshotTable[[#This Row],[LC Exp Date]]&gt;0, SnapshotTable[[#This Row],[LC Strike Price]]&gt;0,SnapshotTable[[#This Row],[LC Qty]]&gt;0,SnapshotTable[[#This Row],[LC Book Date]]&gt;0,SnapshotTable[[#This Row],[LC Book Price]]&gt;0,SnapshotTable[[#This Row],[LC Fill Date]]=0),"Y","")</f>
        <v/>
      </c>
      <c r="DQ75" s="386" t="str">
        <f>IF(SnapshotTable[[#This Row],[LC Premium]] &gt; 0,SnapshotTable[[#This Row],[LC Exp Date]]-MAX(SnapshotTable[[#This Row],[LC Book Date]], SnapshotTable[[#This Row],[LC Fill Date]]),"")</f>
        <v/>
      </c>
      <c r="DR75" s="386" t="str">
        <f>IF(ISNUMBER(SnapshotTable[[#This Row],[LC Term]]), SnapshotTable[[#This Row],[LC Exp Date]] - MockToday, "")</f>
        <v/>
      </c>
      <c r="DS75" s="23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40" t="str">
        <f>IF(ISNUMBER(SnapshotTable[[#This Row],[LC Actual Gain Loss]]), SnapshotTable[[#This Row],[LC Actual Gain Loss]] / SnapshotTable[[#This Row],[LC Premium]],"")</f>
        <v/>
      </c>
      <c r="DX75" s="284" t="str">
        <f>IF(ISNUMBER(SnapshotTable[[#This Row],[LC Book Price]]),SnapshotTable[[#This Row],[LC Book Price]] * 1.5,"")</f>
        <v/>
      </c>
      <c r="DY75" s="265" t="str">
        <f>IF(SnapshotTable[[#This Row],[LC Premium]]&gt;0, SnapshotTable[[#This Row],[LC Next Target]] * SnapshotTable[[#This Row],[LC Qty]] * 100,"")</f>
        <v/>
      </c>
      <c r="DZ75" s="265" t="str">
        <f>IF(ISNUMBER(SnapshotTable[[#This Row],[LC Target Gross]]), SnapshotTable[[#This Row],[LC Target Gross]] - SnapshotTable[[#This Row],[LC Premium]], "")</f>
        <v/>
      </c>
      <c r="EA75" s="305" t="str">
        <f>IF(ISNUMBER(SnapshotTable[[#This Row],[LC Target Gain Loss]]), SnapshotTable[[#This Row],[LC Target Gain Loss]]/SnapshotTable[[#This Row],[LC Premium]], "")</f>
        <v/>
      </c>
      <c r="EB75" s="262"/>
      <c r="EC75" s="283" t="str">
        <f>IF(SnapshotTable[[#This Row],[LC Premium]]&gt;0, SnapshotTable[[#This Row],[LC Book Price]] * (1 - LC_StopLoss_Pct),"")</f>
        <v/>
      </c>
      <c r="ED75" s="284"/>
      <c r="EE75" s="28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4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7"/>
      <c r="EL75" s="138"/>
      <c r="EM75" s="148"/>
      <c r="EN75" s="147"/>
      <c r="EO75" s="147"/>
      <c r="EP75" s="138"/>
      <c r="EQ75" s="419" t="b">
        <f>AND(ISNUMBER(SnapshotTable[[#This Row],[SC Exp Date]]), ISNUMBER(SnapshotTable[[#This Row],[SC Strike Price]]), ISNUMBER(SnapshotTable[[#This Row],[SC Qty]]), ISNUMBER(SnapshotTable[[#This Row],[SC Book Date]]), ISNUMBER(SnapshotTable[[#This Row],[SC Book Price]]))</f>
        <v>0</v>
      </c>
      <c r="ER75" s="419" t="b">
        <f>AND(SnapshotTable[[#This Row],[SC Is Booked]], NOT(ISBLANK(SnapshotTable[[#This Row],[SC Fill Date]])))</f>
        <v>0</v>
      </c>
      <c r="ES75" s="370"/>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3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283"/>
      <c r="FA75" s="218"/>
      <c r="FB75" s="370"/>
      <c r="FC75" s="4">
        <f>IF(SnapshotTable[[#This Row],[SC Is Filled]], btc_max_buyback_amount(SnapshotTable[[#This Row],[SC Fill Date]],SnapshotTable[[#This Row],[SC Exp Date]], SnapshotTable[[#This Row],[SC Book Price]]),0)</f>
        <v>0</v>
      </c>
      <c r="FD75" s="5"/>
      <c r="FE75" s="144"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382">
        <f>IF(SnapshotTable[[#This Row],[SC Is Filled]], IF(ISNUMBER(SnapshotTable[[#This Row],[SC Current Ask]]), SnapshotTable[[#This Row],[SC Current Ask]], SnapshotTable[[#This Row],[SC Book Price]]) - SnapshotTable[[#This Row],[SC Intrinsic Value]], 0)</f>
        <v>0</v>
      </c>
      <c r="FI75" s="143"/>
      <c r="FJ75" s="32" t="str">
        <f>IF(SnapshotTable[[#This Row],[SC Is Filled]],100 * SnapshotTable[[#This Row],[SC Qty]] * IF(ISNUMBER(SnapshotTable[[#This Row],[SC Buyback Override]]), SnapshotTable[[#This Row],[SC Buyback Override]], SnapshotTable[[#This Row],[SC Current Ask]]), "")</f>
        <v/>
      </c>
      <c r="FK75" s="250" t="str">
        <f>IF(SnapshotTable[[#This Row],[SC Time Val]]&gt;0, SnapshotTable[[#This Row],[SC Time Val]] / SnapshotTable[[#This Row],[Last Price]],"")</f>
        <v/>
      </c>
      <c r="FL75" s="302" t="str">
        <f>IF(SnapshotTable[[#This Row],[SC Is Booked]], ((SnapshotTable[[#This Row],[Last Price]] -SnapshotTable[[#This Row],[SC Strike Price]]) / SnapshotTable[[#This Row],[Last Price]]) * -1, "")</f>
        <v/>
      </c>
      <c r="FM75" s="157"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33"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36" t="str">
        <f>IF(AND(ISNUMBER(SnapshotTable[[#This Row],[SC Simple ROO]]),SnapshotTable[[#This Row],[SC Simple ROO]] &gt; 0), SnapshotTable[[#This Row],[SC Premium]] + (SnapshotTable[[#This Row],[SC Qty]] * SnapshotTable[[#This Row],[SC Upside Potential]]), "")</f>
        <v/>
      </c>
      <c r="FX75" s="302" t="str" cm="1">
        <f t="array" ref="FX75">IF(ISNUMBER(SnapshotTable[[#This Row],[SC Max Dollars]]), annualize(SnapshotTable[[#This Row],[SC Term]],(SnapshotTable[[#This Row],[SC Max Dollars]]/SnapshotTable[[#This Row],[SC Basis]])),"")</f>
        <v/>
      </c>
      <c r="FY75" s="23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29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657</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31">
        <f>MAX(SnapshotTable[[#This Row],[Equity Basis Total]],SnapshotTable[[#This Row],[Equity Value]]) + (SnapshotTable[[#This Row],[SP Potential Spend]]- SnapshotTable[[#This Row],[SP Premium]] + SnapshotTable[[#This Row],[LP Premium]])+ (SnapshotTable[[#This Row],[LC Premium]] - SnapshotTable[[#This Row],[SC Premium]])</f>
        <v>0</v>
      </c>
      <c r="GW75" s="139" t="str">
        <f>IF(AND(SnapshotTable[[#This Row],[Exposure]] &lt;&gt; 0),SnapshotTable[[#This Row],[Exposure]] / SnapshotTable[[#Totals],[Exposure]], "")</f>
        <v/>
      </c>
      <c r="HE75" s="268"/>
      <c r="HF75" s="268"/>
      <c r="HK75" s="1"/>
      <c r="HL75" s="1"/>
      <c r="HM75" s="1"/>
      <c r="HN75" s="1"/>
      <c r="HO75" s="1"/>
      <c r="HP75" s="1"/>
    </row>
    <row r="76" spans="2:224" ht="12.75" hidden="1" customHeight="1" x14ac:dyDescent="0.25">
      <c r="B76" s="12" t="s">
        <v>1166</v>
      </c>
      <c r="C76" s="422">
        <v>44.5</v>
      </c>
      <c r="D76" s="208"/>
      <c r="E76" s="39">
        <f>SnapshotTable[[#This Row],[Last Price]]*(1 -CrashDiscount)</f>
        <v>37.824999999999996</v>
      </c>
      <c r="F76" s="26" t="s">
        <v>1167</v>
      </c>
      <c r="G76" s="325" t="s">
        <v>178</v>
      </c>
      <c r="H76" s="149"/>
      <c r="I76" s="194">
        <v>45713</v>
      </c>
      <c r="J76" s="195"/>
      <c r="K76" s="196"/>
      <c r="L76" s="326"/>
      <c r="M76" s="140"/>
      <c r="N76" s="140"/>
      <c r="O76" s="140"/>
      <c r="P76" s="22"/>
      <c r="Q76" s="25"/>
      <c r="R76" s="4" t="str">
        <f>IF(SnapshotTable[[#This Row],[Equity Basis Total]] &gt; 0, SnapshotTable[[#This Row],[Equity Basis Total]] / SnapshotTable[[#This Row],[Equity Shares]], "")</f>
        <v/>
      </c>
      <c r="S76" s="269">
        <f>SnapshotTable[[#This Row],[Last Price]] * SnapshotTable[[#This Row],[Equity Shares]]</f>
        <v>0</v>
      </c>
      <c r="T76" s="269">
        <f>SnapshotTable[[#This Row],[Equity Value]] - SnapshotTable[[#This Row],[Equity Basis Total]]</f>
        <v>0</v>
      </c>
      <c r="U76" s="270" t="str">
        <f>IF(SnapshotTable[[#This Row],[Equity Basis Total]] &gt; 0, SnapshotTable[[#This Row],[Equity G/L]] / SnapshotTable[[#This Row],[Equity Basis Total]], "")</f>
        <v/>
      </c>
      <c r="V76" s="268">
        <v>60</v>
      </c>
      <c r="W76" s="26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7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0"/>
      <c r="AD76" s="151"/>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1"/>
      <c r="AI76" s="5"/>
      <c r="AJ76" s="138">
        <v>50</v>
      </c>
      <c r="AK76" s="152" t="str">
        <f>IF(ISNUMBER( SnapshotTable[[#This Row],[EBF Target]]),(SnapshotTable[[#This Row],[EBF Target]] - SnapshotTable[[#This Row],[Last Price]]) / SnapshotTable[[#This Row],[Last Price]], "")</f>
        <v/>
      </c>
      <c r="AL76" s="152"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2">
        <f>IF(AND(ISNUMBER( SnapshotTable[[#This Row],[Long Term Target]]), ISNUMBER(SnapshotTable[[#This Row],[Last Price]])),(SnapshotTable[[#This Row],[Long Term Target]] - SnapshotTable[[#This Row],[Last Price]]) / SnapshotTable[[#This Row],[Last Price]], "")</f>
        <v>0.12359550561797752</v>
      </c>
      <c r="AP76" s="330"/>
      <c r="AQ76" s="388"/>
      <c r="AR76" s="330"/>
      <c r="AS76" s="388"/>
      <c r="AT76" s="146"/>
      <c r="AU76" s="187" t="str">
        <f>IF(OR(SnapshotTable[[#This Row],[LP No Fill]]="Y",SnapshotTable[[#This Row],[SP Is Filled]],SnapshotTable[[#This Row],[LC Not Filled]]="Y",SnapshotTable[[#This Row],[SC Is Filled]]),"Y","")</f>
        <v/>
      </c>
      <c r="AV76" s="219"/>
      <c r="AW76" s="225"/>
      <c r="AX76" s="220"/>
      <c r="AY76" s="219" t="str">
        <f>IF(SnapshotTable[[#This Row],[Implied Move]]&gt;0, SnapshotTable[[#This Row],[Last Price]]-SnapshotTable[[#This Row],[Implied Move]],"")</f>
        <v/>
      </c>
      <c r="AZ76" s="219" t="str">
        <f>IF(SnapshotTable[[#This Row],[Implied Move]]&gt;0, SnapshotTable[[#This Row],[Last Price]] + SnapshotTable[[#This Row],[Implied Move]],"")</f>
        <v/>
      </c>
      <c r="BA76" s="331">
        <v>-15.58</v>
      </c>
      <c r="BB76" s="347"/>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51"/>
      <c r="BE76" s="5"/>
      <c r="BF76" s="14"/>
      <c r="BG76" s="13"/>
      <c r="BH76" s="13"/>
      <c r="BI76" s="5"/>
      <c r="BJ76" s="136">
        <f>IF(SnapshotTable[[#This Row],[LP Qty]] &gt; 0, SnapshotTable[[#This Row],[LP Qty]] * SnapshotTable[[#This Row],[LP Book Price]] * 100,0)</f>
        <v>0</v>
      </c>
      <c r="BK76" s="136">
        <f>IF(SnapshotTable[[#This Row],[LP Premium]] &gt; 0, SnapshotTable[[#This Row],[LP Qty]] * SnapshotTable[[#This Row],[LP Strike Price]] * 100,0)</f>
        <v>0</v>
      </c>
      <c r="BL76" s="154"/>
      <c r="BM76" s="385" t="str">
        <f>IF(SnapshotTable[[#This Row],[LP Premium]] &gt; 0,SnapshotTable[[#This Row],[LP Exp Date]]-MAX(SnapshotTable[[#This Row],[LP Book Date]], SnapshotTable[[#This Row],[LP Fill Date]]),"")</f>
        <v/>
      </c>
      <c r="BN76" s="385" t="str">
        <f>IF(ISNUMBER( SnapshotTable[[#This Row],[LP Term]]), SnapshotTable[[#This Row],[LP Exp Date]] - MockToday,"")</f>
        <v/>
      </c>
      <c r="BO76" s="163"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7"/>
      <c r="BU76" s="13"/>
      <c r="BV76" s="5"/>
      <c r="BW76" s="419" t="b">
        <f>AND(ISNUMBER(SnapshotTable[[#This Row],[SP Exp Date]]), ISNUMBER(SnapshotTable[[#This Row],[SP Strike Price]]), ISNUMBER(SnapshotTable[[#This Row],[SP Qty]]), ISNUMBER(SnapshotTable[[#This Row],[SP Book Date]]), ISNUMBER(SnapshotTable[[#This Row],[SP Book Price]]))</f>
        <v>0</v>
      </c>
      <c r="BX76" s="419" t="b">
        <f>AND(SnapshotTable[[#This Row],[SP Is Booked]], NOT(ISBLANK(SnapshotTable[[#This Row],[SP Fill Date]])))</f>
        <v>0</v>
      </c>
      <c r="BY76" s="33">
        <f>IF(SnapshotTable[[#This Row],[SP Is Booked]], SnapshotTable[[#This Row],[SP Qty]] * SnapshotTable[[#This Row],[SP Book Price]] * 100, 0)</f>
        <v>0</v>
      </c>
      <c r="BZ76" s="369"/>
      <c r="CA76" s="368">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3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44">
        <v>0</v>
      </c>
      <c r="CK76" s="31">
        <f>IF(ISNUMBER(SnapshotTable[[#This Row],[SP Potential Spend]]),IF(ISNUMBER(SnapshotTable[[#This Row],[SP POW]]), SnapshotTable[[#This Row],[SP POW]] * SnapshotTable[[#This Row],[SP Potential Spend]], SnapshotTable[[#This Row],[SP Potential Spend]]), "")</f>
        <v>0</v>
      </c>
      <c r="CL76" s="164">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8"/>
      <c r="CO76" s="369"/>
      <c r="CP76" s="4" t="str">
        <f>IF(SnapshotTable[[#This Row],[SP Is Filled]], btc_max_buyback_amount(SnapshotTable[[#This Row],[SP Fill Date]],SnapshotTable[[#This Row],[SP Exp Date]], SnapshotTable[[#This Row],[SP Book Price]]),"")</f>
        <v/>
      </c>
      <c r="CQ76" s="78"/>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5" t="str">
        <f>IF(SnapshotTable[[#This Row],[SP Is Filled]], btc_next_cutoff_date(SnapshotTable[[#This Row],[SP Fill Date]],SnapshotTable[[#This Row],[SP Exp Date]]),"")</f>
        <v/>
      </c>
      <c r="CT76" s="23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3"/>
      <c r="CV76" s="235"/>
      <c r="CW76" s="378"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294" t="str">
        <f>IF(ISNUMBER((SnapshotTable[[#This Row],[SP Total Value]])), SnapshotTable[[#This Row],[SP Gain Loss]] / SnapshotTable[[#This Row],[SP Premium]], "")</f>
        <v/>
      </c>
      <c r="DI76" s="406"/>
      <c r="DJ76" s="138"/>
      <c r="DK76" s="148"/>
      <c r="DL76" s="13"/>
      <c r="DM76" s="13"/>
      <c r="DO76" s="31">
        <f>IF(SnapshotTable[[#This Row],[LC Symbol Count]]=1, SnapshotTable[[#This Row],[LC Qty]] * SnapshotTable[[#This Row],[LC Book Price]] * 100, 0)</f>
        <v>0</v>
      </c>
      <c r="DP76" s="163" t="str">
        <f>IF(AND(SnapshotTable[[#This Row],[LC Exp Date]]&gt;0, SnapshotTable[[#This Row],[LC Strike Price]]&gt;0,SnapshotTable[[#This Row],[LC Qty]]&gt;0,SnapshotTable[[#This Row],[LC Book Date]]&gt;0,SnapshotTable[[#This Row],[LC Book Price]]&gt;0,SnapshotTable[[#This Row],[LC Fill Date]]=0),"Y","")</f>
        <v/>
      </c>
      <c r="DQ76" s="386" t="str">
        <f>IF(SnapshotTable[[#This Row],[LC Premium]] &gt; 0,SnapshotTable[[#This Row],[LC Exp Date]]-MAX(SnapshotTable[[#This Row],[LC Book Date]], SnapshotTable[[#This Row],[LC Fill Date]]),"")</f>
        <v/>
      </c>
      <c r="DR76" s="386" t="str">
        <f>IF(ISNUMBER(SnapshotTable[[#This Row],[LC Term]]), SnapshotTable[[#This Row],[LC Exp Date]] - MockToday, "")</f>
        <v/>
      </c>
      <c r="DS76" s="23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40" t="str">
        <f>IF(ISNUMBER(SnapshotTable[[#This Row],[LC Actual Gain Loss]]), SnapshotTable[[#This Row],[LC Actual Gain Loss]] / SnapshotTable[[#This Row],[LC Premium]],"")</f>
        <v/>
      </c>
      <c r="DX76" s="284" t="str">
        <f>IF(ISNUMBER(SnapshotTable[[#This Row],[LC Book Price]]),SnapshotTable[[#This Row],[LC Book Price]] * 1.5,"")</f>
        <v/>
      </c>
      <c r="DY76" s="265" t="str">
        <f>IF(SnapshotTable[[#This Row],[LC Premium]]&gt;0, SnapshotTable[[#This Row],[LC Next Target]] * SnapshotTable[[#This Row],[LC Qty]] * 100,"")</f>
        <v/>
      </c>
      <c r="DZ76" s="265" t="str">
        <f>IF(ISNUMBER(SnapshotTable[[#This Row],[LC Target Gross]]), SnapshotTable[[#This Row],[LC Target Gross]] - SnapshotTable[[#This Row],[LC Premium]], "")</f>
        <v/>
      </c>
      <c r="EA76" s="305" t="str">
        <f>IF(ISNUMBER(SnapshotTable[[#This Row],[LC Target Gain Loss]]), SnapshotTable[[#This Row],[LC Target Gain Loss]]/SnapshotTable[[#This Row],[LC Premium]], "")</f>
        <v/>
      </c>
      <c r="EB76" s="262"/>
      <c r="EC76" s="283" t="str">
        <f>IF(SnapshotTable[[#This Row],[LC Premium]]&gt;0, SnapshotTable[[#This Row],[LC Book Price]] * (1 - LC_StopLoss_Pct),"")</f>
        <v/>
      </c>
      <c r="ED76" s="284"/>
      <c r="EE76" s="28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4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7"/>
      <c r="EL76" s="138"/>
      <c r="EM76" s="148"/>
      <c r="EN76" s="147"/>
      <c r="EO76" s="147"/>
      <c r="EP76" s="138"/>
      <c r="EQ76" s="419" t="b">
        <f>AND(ISNUMBER(SnapshotTable[[#This Row],[SC Exp Date]]), ISNUMBER(SnapshotTable[[#This Row],[SC Strike Price]]), ISNUMBER(SnapshotTable[[#This Row],[SC Qty]]), ISNUMBER(SnapshotTable[[#This Row],[SC Book Date]]), ISNUMBER(SnapshotTable[[#This Row],[SC Book Price]]))</f>
        <v>0</v>
      </c>
      <c r="ER76" s="419" t="b">
        <f>AND(SnapshotTable[[#This Row],[SC Is Booked]], NOT(ISBLANK(SnapshotTable[[#This Row],[SC Fill Date]])))</f>
        <v>0</v>
      </c>
      <c r="ES76" s="370"/>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3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283"/>
      <c r="FA76" s="218"/>
      <c r="FB76" s="370"/>
      <c r="FC76" s="4">
        <f>IF(SnapshotTable[[#This Row],[SC Is Filled]], btc_max_buyback_amount(SnapshotTable[[#This Row],[SC Fill Date]],SnapshotTable[[#This Row],[SC Exp Date]], SnapshotTable[[#This Row],[SC Book Price]]),0)</f>
        <v>0</v>
      </c>
      <c r="FD76" s="5"/>
      <c r="FE76" s="144"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382">
        <f>IF(SnapshotTable[[#This Row],[SC Is Filled]], IF(ISNUMBER(SnapshotTable[[#This Row],[SC Current Ask]]), SnapshotTable[[#This Row],[SC Current Ask]], SnapshotTable[[#This Row],[SC Book Price]]) - SnapshotTable[[#This Row],[SC Intrinsic Value]], 0)</f>
        <v>0</v>
      </c>
      <c r="FI76" s="143"/>
      <c r="FJ76" s="32" t="str">
        <f>IF(SnapshotTable[[#This Row],[SC Is Filled]],100 * SnapshotTable[[#This Row],[SC Qty]] * IF(ISNUMBER(SnapshotTable[[#This Row],[SC Buyback Override]]), SnapshotTable[[#This Row],[SC Buyback Override]], SnapshotTable[[#This Row],[SC Current Ask]]), "")</f>
        <v/>
      </c>
      <c r="FK76" s="250" t="str">
        <f>IF(SnapshotTable[[#This Row],[SC Time Val]]&gt;0, SnapshotTable[[#This Row],[SC Time Val]] / SnapshotTable[[#This Row],[Last Price]],"")</f>
        <v/>
      </c>
      <c r="FL76" s="302" t="str">
        <f>IF(SnapshotTable[[#This Row],[SC Is Booked]], ((SnapshotTable[[#This Row],[Last Price]] -SnapshotTable[[#This Row],[SC Strike Price]]) / SnapshotTable[[#This Row],[Last Price]]) * -1, "")</f>
        <v/>
      </c>
      <c r="FM76" s="157"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33"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36" t="str">
        <f>IF(AND(ISNUMBER(SnapshotTable[[#This Row],[SC Simple ROO]]),SnapshotTable[[#This Row],[SC Simple ROO]] &gt; 0), SnapshotTable[[#This Row],[SC Premium]] + (SnapshotTable[[#This Row],[SC Qty]] * SnapshotTable[[#This Row],[SC Upside Potential]]), "")</f>
        <v/>
      </c>
      <c r="FX76" s="302" t="str" cm="1">
        <f t="array" ref="FX76">IF(ISNUMBER(SnapshotTable[[#This Row],[SC Max Dollars]]), annualize(SnapshotTable[[#This Row],[SC Term]],(SnapshotTable[[#This Row],[SC Max Dollars]]/SnapshotTable[[#This Row],[SC Basis]])),"")</f>
        <v/>
      </c>
      <c r="FY76" s="23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29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86.774999999999991</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1194</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31">
        <f>MAX(SnapshotTable[[#This Row],[Equity Basis Total]],SnapshotTable[[#This Row],[Equity Value]]) + (SnapshotTable[[#This Row],[SP Potential Spend]]- SnapshotTable[[#This Row],[SP Premium]] + SnapshotTable[[#This Row],[LP Premium]])+ (SnapshotTable[[#This Row],[LC Premium]] - SnapshotTable[[#This Row],[SC Premium]])</f>
        <v>0</v>
      </c>
      <c r="GW76" s="139" t="str">
        <f>IF(AND(SnapshotTable[[#This Row],[Exposure]] &lt;&gt; 0),SnapshotTable[[#This Row],[Exposure]] / SnapshotTable[[#Totals],[Exposure]], "")</f>
        <v/>
      </c>
      <c r="HE76" s="268"/>
      <c r="HF76" s="268"/>
      <c r="HK76" s="1"/>
      <c r="HL76" s="1"/>
      <c r="HM76" s="1"/>
      <c r="HN76" s="1"/>
      <c r="HO76" s="1"/>
      <c r="HP76" s="1"/>
    </row>
    <row r="77" spans="2:224" ht="12.75" hidden="1" customHeight="1" x14ac:dyDescent="0.25">
      <c r="B77" s="12" t="s">
        <v>590</v>
      </c>
      <c r="C77" s="422">
        <v>26.1</v>
      </c>
      <c r="D77" s="208" t="s">
        <v>578</v>
      </c>
      <c r="E77" s="39">
        <f>SnapshotTable[[#This Row],[Last Price]]*(1 -CrashDiscount)</f>
        <v>22.185000000000002</v>
      </c>
      <c r="F77" s="26" t="s">
        <v>64</v>
      </c>
      <c r="G77" s="26" t="s">
        <v>14</v>
      </c>
      <c r="H77" s="149"/>
      <c r="I77" s="194">
        <v>44739.385416666664</v>
      </c>
      <c r="J77" s="195">
        <v>44739.385416666664</v>
      </c>
      <c r="K77" s="196"/>
      <c r="L77" s="326"/>
      <c r="M77" s="140"/>
      <c r="N77" s="140"/>
      <c r="O77" s="140"/>
      <c r="P77" s="22"/>
      <c r="Q77" s="25"/>
      <c r="R77" s="4" t="str">
        <f>IF(SnapshotTable[[#This Row],[Equity Basis Total]] &gt; 0, SnapshotTable[[#This Row],[Equity Basis Total]] / SnapshotTable[[#This Row],[Equity Shares]], "")</f>
        <v/>
      </c>
      <c r="S77" s="269">
        <f>SnapshotTable[[#This Row],[Last Price]] * SnapshotTable[[#This Row],[Equity Shares]]</f>
        <v>0</v>
      </c>
      <c r="T77" s="269">
        <f>SnapshotTable[[#This Row],[Equity Value]] - SnapshotTable[[#This Row],[Equity Basis Total]]</f>
        <v>0</v>
      </c>
      <c r="U77" s="270" t="str">
        <f>IF(SnapshotTable[[#This Row],[Equity Basis Total]] &gt; 0, SnapshotTable[[#This Row],[Equity G/L]] / SnapshotTable[[#This Row],[Equity Basis Total]], "")</f>
        <v/>
      </c>
      <c r="V77" s="268">
        <v>18</v>
      </c>
      <c r="W77" s="26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7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0"/>
      <c r="AD77" s="151"/>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1"/>
      <c r="AI77" s="5">
        <f>SnapshotTable[[#This Row],[Equity Target]]</f>
        <v>18</v>
      </c>
      <c r="AJ77" s="138">
        <v>24.73</v>
      </c>
      <c r="AK77" s="152">
        <f>IF(ISNUMBER( SnapshotTable[[#This Row],[EBF Target]]),(SnapshotTable[[#This Row],[EBF Target]] - SnapshotTable[[#This Row],[Last Price]]) / SnapshotTable[[#This Row],[Last Price]], "")</f>
        <v>-0.31034482758620696</v>
      </c>
      <c r="AL77" s="152"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2">
        <f>IF(AND(ISNUMBER( SnapshotTable[[#This Row],[Long Term Target]]), ISNUMBER(SnapshotTable[[#This Row],[Last Price]])),(SnapshotTable[[#This Row],[Long Term Target]] - SnapshotTable[[#This Row],[Last Price]]) / SnapshotTable[[#This Row],[Last Price]], "")</f>
        <v>-5.2490421455938734E-2</v>
      </c>
      <c r="AP77" s="5"/>
      <c r="AQ77" s="38" t="s">
        <v>27</v>
      </c>
      <c r="AR77" s="5"/>
      <c r="AS77" s="38" t="s">
        <v>38</v>
      </c>
      <c r="AT77" s="146" t="s">
        <v>538</v>
      </c>
      <c r="AU77" s="187" t="str">
        <f>IF(OR(SnapshotTable[[#This Row],[LP No Fill]]="Y",SnapshotTable[[#This Row],[SP Is Filled]],SnapshotTable[[#This Row],[LC Not Filled]]="Y",SnapshotTable[[#This Row],[SC Is Filled]]),"Y","")</f>
        <v/>
      </c>
      <c r="AV77" s="219"/>
      <c r="AW77" s="225"/>
      <c r="AX77" s="220"/>
      <c r="AY77" s="219" t="str">
        <f>IF(SnapshotTable[[#This Row],[Implied Move]]&gt;0, SnapshotTable[[#This Row],[Last Price]]-SnapshotTable[[#This Row],[Implied Move]],"")</f>
        <v/>
      </c>
      <c r="AZ77" s="219" t="str">
        <f>IF(SnapshotTable[[#This Row],[Implied Move]]&gt;0, SnapshotTable[[#This Row],[Last Price]] + SnapshotTable[[#This Row],[Implied Move]],"")</f>
        <v/>
      </c>
      <c r="BA77" s="331">
        <v>15.33</v>
      </c>
      <c r="BB77" s="347" t="s">
        <v>1165</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51"/>
      <c r="BE77" s="5"/>
      <c r="BF77" s="14"/>
      <c r="BG77" s="13"/>
      <c r="BH77" s="13"/>
      <c r="BI77" s="5"/>
      <c r="BJ77" s="136">
        <f>IF(SnapshotTable[[#This Row],[LP Qty]] &gt; 0, SnapshotTable[[#This Row],[LP Qty]] * SnapshotTable[[#This Row],[LP Book Price]] * 100,0)</f>
        <v>0</v>
      </c>
      <c r="BK77" s="136">
        <f>IF(SnapshotTable[[#This Row],[LP Premium]] &gt; 0, SnapshotTable[[#This Row],[LP Qty]] * SnapshotTable[[#This Row],[LP Strike Price]] * 100,0)</f>
        <v>0</v>
      </c>
      <c r="BL77" s="154"/>
      <c r="BM77" s="385" t="str">
        <f>IF(SnapshotTable[[#This Row],[LP Premium]] &gt; 0,SnapshotTable[[#This Row],[LP Exp Date]]-MAX(SnapshotTable[[#This Row],[LP Book Date]], SnapshotTable[[#This Row],[LP Fill Date]]),"")</f>
        <v/>
      </c>
      <c r="BN77" s="385" t="str">
        <f>IF(ISNUMBER( SnapshotTable[[#This Row],[LP Term]]), SnapshotTable[[#This Row],[LP Exp Date]] - MockToday,"")</f>
        <v/>
      </c>
      <c r="BO77" s="163"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7"/>
      <c r="BU77" s="13"/>
      <c r="BV77" s="5"/>
      <c r="BW77" s="419" t="b">
        <f>AND(ISNUMBER(SnapshotTable[[#This Row],[SP Exp Date]]), ISNUMBER(SnapshotTable[[#This Row],[SP Strike Price]]), ISNUMBER(SnapshotTable[[#This Row],[SP Qty]]), ISNUMBER(SnapshotTable[[#This Row],[SP Book Date]]), ISNUMBER(SnapshotTable[[#This Row],[SP Book Price]]))</f>
        <v>0</v>
      </c>
      <c r="BX77" s="419" t="b">
        <f>AND(SnapshotTable[[#This Row],[SP Is Booked]], NOT(ISBLANK(SnapshotTable[[#This Row],[SP Fill Date]])))</f>
        <v>0</v>
      </c>
      <c r="BY77" s="33">
        <f>IF(SnapshotTable[[#This Row],[SP Is Booked]], SnapshotTable[[#This Row],[SP Qty]] * SnapshotTable[[#This Row],[SP Book Price]] * 100, 0)</f>
        <v>0</v>
      </c>
      <c r="BZ77" s="369"/>
      <c r="CA77" s="368">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3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44"/>
      <c r="CK77" s="31">
        <f>IF(ISNUMBER(SnapshotTable[[#This Row],[SP Potential Spend]]),IF(ISNUMBER(SnapshotTable[[#This Row],[SP POW]]), SnapshotTable[[#This Row],[SP POW]] * SnapshotTable[[#This Row],[SP Potential Spend]], SnapshotTable[[#This Row],[SP Potential Spend]]), "")</f>
        <v>0</v>
      </c>
      <c r="CL77" s="164">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18"/>
      <c r="CO77" s="369"/>
      <c r="CP77" s="4" t="str">
        <f>IF(SnapshotTable[[#This Row],[SP Is Filled]], btc_max_buyback_amount(SnapshotTable[[#This Row],[SP Fill Date]],SnapshotTable[[#This Row],[SP Exp Date]], SnapshotTable[[#This Row],[SP Book Price]]),"")</f>
        <v/>
      </c>
      <c r="CQ77" s="78"/>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5" t="str">
        <f>IF(SnapshotTable[[#This Row],[SP Is Filled]], btc_next_cutoff_date(SnapshotTable[[#This Row],[SP Fill Date]],SnapshotTable[[#This Row],[SP Exp Date]]),"")</f>
        <v/>
      </c>
      <c r="CT77" s="23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3"/>
      <c r="CV77" s="235"/>
      <c r="CW77" s="378"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294" t="str">
        <f>IF(ISNUMBER((SnapshotTable[[#This Row],[SP Total Value]])), SnapshotTable[[#This Row],[SP Gain Loss]] / SnapshotTable[[#This Row],[SP Premium]], "")</f>
        <v/>
      </c>
      <c r="DI77" s="406"/>
      <c r="DJ77" s="138"/>
      <c r="DK77" s="148"/>
      <c r="DL77" s="13"/>
      <c r="DM77" s="13"/>
      <c r="DO77" s="31">
        <f>IF(SnapshotTable[[#This Row],[LC Symbol Count]]=1, SnapshotTable[[#This Row],[LC Qty]] * SnapshotTable[[#This Row],[LC Book Price]] * 100, 0)</f>
        <v>0</v>
      </c>
      <c r="DP77" s="163" t="str">
        <f>IF(AND(SnapshotTable[[#This Row],[LC Exp Date]]&gt;0, SnapshotTable[[#This Row],[LC Strike Price]]&gt;0,SnapshotTable[[#This Row],[LC Qty]]&gt;0,SnapshotTable[[#This Row],[LC Book Date]]&gt;0,SnapshotTable[[#This Row],[LC Book Price]]&gt;0,SnapshotTable[[#This Row],[LC Fill Date]]=0),"Y","")</f>
        <v/>
      </c>
      <c r="DQ77" s="386" t="str">
        <f>IF(SnapshotTable[[#This Row],[LC Premium]] &gt; 0,SnapshotTable[[#This Row],[LC Exp Date]]-MAX(SnapshotTable[[#This Row],[LC Book Date]], SnapshotTable[[#This Row],[LC Fill Date]]),"")</f>
        <v/>
      </c>
      <c r="DR77" s="386" t="str">
        <f>IF(ISNUMBER(SnapshotTable[[#This Row],[LC Term]]), SnapshotTable[[#This Row],[LC Exp Date]] - MockToday, "")</f>
        <v/>
      </c>
      <c r="DS77" s="23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40" t="str">
        <f>IF(ISNUMBER(SnapshotTable[[#This Row],[LC Actual Gain Loss]]), SnapshotTable[[#This Row],[LC Actual Gain Loss]] / SnapshotTable[[#This Row],[LC Premium]],"")</f>
        <v/>
      </c>
      <c r="DX77" s="284" t="str">
        <f>IF(ISNUMBER(SnapshotTable[[#This Row],[LC Book Price]]),SnapshotTable[[#This Row],[LC Book Price]] * 1.5,"")</f>
        <v/>
      </c>
      <c r="DY77" s="265" t="str">
        <f>IF(SnapshotTable[[#This Row],[LC Premium]]&gt;0, SnapshotTable[[#This Row],[LC Next Target]] * SnapshotTable[[#This Row],[LC Qty]] * 100,"")</f>
        <v/>
      </c>
      <c r="DZ77" s="265" t="str">
        <f>IF(ISNUMBER(SnapshotTable[[#This Row],[LC Target Gross]]), SnapshotTable[[#This Row],[LC Target Gross]] - SnapshotTable[[#This Row],[LC Premium]], "")</f>
        <v/>
      </c>
      <c r="EA77" s="305" t="str">
        <f>IF(ISNUMBER(SnapshotTable[[#This Row],[LC Target Gain Loss]]), SnapshotTable[[#This Row],[LC Target Gain Loss]]/SnapshotTable[[#This Row],[LC Premium]], "")</f>
        <v/>
      </c>
      <c r="EB77" s="262"/>
      <c r="EC77" s="283" t="str">
        <f>IF(SnapshotTable[[#This Row],[LC Premium]]&gt;0, SnapshotTable[[#This Row],[LC Book Price]] * (1 - LC_StopLoss_Pct),"")</f>
        <v/>
      </c>
      <c r="ED77" s="284"/>
      <c r="EE77" s="28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4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7"/>
      <c r="EL77" s="138"/>
      <c r="EM77" s="148"/>
      <c r="EN77" s="147"/>
      <c r="EO77" s="147"/>
      <c r="EP77" s="138"/>
      <c r="EQ77" s="419" t="b">
        <f>AND(ISNUMBER(SnapshotTable[[#This Row],[SC Exp Date]]), ISNUMBER(SnapshotTable[[#This Row],[SC Strike Price]]), ISNUMBER(SnapshotTable[[#This Row],[SC Qty]]), ISNUMBER(SnapshotTable[[#This Row],[SC Book Date]]), ISNUMBER(SnapshotTable[[#This Row],[SC Book Price]]))</f>
        <v>0</v>
      </c>
      <c r="ER77" s="419" t="b">
        <f>AND(SnapshotTable[[#This Row],[SC Is Booked]], NOT(ISBLANK(SnapshotTable[[#This Row],[SC Fill Date]])))</f>
        <v>0</v>
      </c>
      <c r="ES77" s="370"/>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3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283"/>
      <c r="FA77" s="218"/>
      <c r="FB77" s="370"/>
      <c r="FC77" s="4">
        <f>IF(SnapshotTable[[#This Row],[SC Is Filled]], btc_max_buyback_amount(SnapshotTable[[#This Row],[SC Fill Date]],SnapshotTable[[#This Row],[SC Exp Date]], SnapshotTable[[#This Row],[SC Book Price]]),0)</f>
        <v>0</v>
      </c>
      <c r="FD77" s="5"/>
      <c r="FE77" s="144"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382">
        <f>IF(SnapshotTable[[#This Row],[SC Is Filled]], IF(ISNUMBER(SnapshotTable[[#This Row],[SC Current Ask]]), SnapshotTable[[#This Row],[SC Current Ask]], SnapshotTable[[#This Row],[SC Book Price]]) - SnapshotTable[[#This Row],[SC Intrinsic Value]], 0)</f>
        <v>0</v>
      </c>
      <c r="FI77" s="143"/>
      <c r="FJ77" s="32" t="str">
        <f>IF(SnapshotTable[[#This Row],[SC Is Filled]],100 * SnapshotTable[[#This Row],[SC Qty]] * IF(ISNUMBER(SnapshotTable[[#This Row],[SC Buyback Override]]), SnapshotTable[[#This Row],[SC Buyback Override]], SnapshotTable[[#This Row],[SC Current Ask]]), "")</f>
        <v/>
      </c>
      <c r="FK77" s="250" t="str">
        <f>IF(SnapshotTable[[#This Row],[SC Time Val]]&gt;0, SnapshotTable[[#This Row],[SC Time Val]] / SnapshotTable[[#This Row],[Last Price]],"")</f>
        <v/>
      </c>
      <c r="FL77" s="302" t="str">
        <f>IF(SnapshotTable[[#This Row],[SC Is Booked]], ((SnapshotTable[[#This Row],[Last Price]] -SnapshotTable[[#This Row],[SC Strike Price]]) / SnapshotTable[[#This Row],[Last Price]]) * -1, "")</f>
        <v/>
      </c>
      <c r="FM77" s="157"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33"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36" t="str">
        <f>IF(AND(ISNUMBER(SnapshotTable[[#This Row],[SC Simple ROO]]),SnapshotTable[[#This Row],[SC Simple ROO]] &gt; 0), SnapshotTable[[#This Row],[SC Premium]] + (SnapshotTable[[#This Row],[SC Qty]] * SnapshotTable[[#This Row],[SC Upside Potential]]), "")</f>
        <v/>
      </c>
      <c r="FX77" s="302" t="str" cm="1">
        <f t="array" ref="FX77">IF(ISNUMBER(SnapshotTable[[#This Row],[SC Max Dollars]]), annualize(SnapshotTable[[#This Row],[SC Term]],(SnapshotTable[[#This Row],[SC Max Dollars]]/SnapshotTable[[#This Row],[SC Basis]])),"")</f>
        <v/>
      </c>
      <c r="FY77" s="23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29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50.895000000000003</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658</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31">
        <f>MAX(SnapshotTable[[#This Row],[Equity Basis Total]],SnapshotTable[[#This Row],[Equity Value]]) + (SnapshotTable[[#This Row],[SP Potential Spend]]- SnapshotTable[[#This Row],[SP Premium]] + SnapshotTable[[#This Row],[LP Premium]])+ (SnapshotTable[[#This Row],[LC Premium]] - SnapshotTable[[#This Row],[SC Premium]])</f>
        <v>0</v>
      </c>
      <c r="GW77" s="139" t="str">
        <f>IF(AND(SnapshotTable[[#This Row],[Exposure]] &lt;&gt; 0),SnapshotTable[[#This Row],[Exposure]] / SnapshotTable[[#Totals],[Exposure]], "")</f>
        <v/>
      </c>
      <c r="HE77" s="268"/>
      <c r="HF77" s="268"/>
      <c r="HK77" s="1"/>
      <c r="HL77" s="1"/>
      <c r="HM77" s="1"/>
      <c r="HN77" s="1"/>
      <c r="HO77" s="1"/>
      <c r="HP77" s="1"/>
    </row>
    <row r="78" spans="2:224" ht="12.75" hidden="1" customHeight="1" x14ac:dyDescent="0.25">
      <c r="B78" s="12" t="s">
        <v>1212</v>
      </c>
      <c r="C78" s="422">
        <v>17.309999999999999</v>
      </c>
      <c r="D78" s="208" t="s">
        <v>885</v>
      </c>
      <c r="E78" s="39">
        <f>SnapshotTable[[#This Row],[Last Price]]*(1 -CrashDiscount)</f>
        <v>14.713499999999998</v>
      </c>
      <c r="F78" s="26" t="s">
        <v>54</v>
      </c>
      <c r="G78" s="26" t="s">
        <v>41</v>
      </c>
      <c r="H78" s="149"/>
      <c r="I78" s="194">
        <v>45708</v>
      </c>
      <c r="J78" s="195">
        <v>0.25</v>
      </c>
      <c r="K78" s="196"/>
      <c r="L78" s="326"/>
      <c r="M78" s="140"/>
      <c r="N78" s="140"/>
      <c r="O78" s="140"/>
      <c r="P78" s="22"/>
      <c r="Q78" s="25"/>
      <c r="R78" s="4" t="str">
        <f>IF(SnapshotTable[[#This Row],[Equity Basis Total]] &gt; 0, SnapshotTable[[#This Row],[Equity Basis Total]] / SnapshotTable[[#This Row],[Equity Shares]], "")</f>
        <v/>
      </c>
      <c r="S78" s="269">
        <f>SnapshotTable[[#This Row],[Last Price]] * SnapshotTable[[#This Row],[Equity Shares]]</f>
        <v>0</v>
      </c>
      <c r="T78" s="269">
        <f>SnapshotTable[[#This Row],[Equity Value]] - SnapshotTable[[#This Row],[Equity Basis Total]]</f>
        <v>0</v>
      </c>
      <c r="U78" s="270" t="str">
        <f>IF(SnapshotTable[[#This Row],[Equity Basis Total]] &gt; 0, SnapshotTable[[#This Row],[Equity G/L]] / SnapshotTable[[#This Row],[Equity Basis Total]], "")</f>
        <v/>
      </c>
      <c r="V78" s="268"/>
      <c r="W78" s="26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7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0"/>
      <c r="AD78" s="151"/>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1"/>
      <c r="AI78" s="5"/>
      <c r="AJ78" s="138"/>
      <c r="AK78" s="152" t="str">
        <f>IF(ISNUMBER( SnapshotTable[[#This Row],[EBF Target]]),(SnapshotTable[[#This Row],[EBF Target]] - SnapshotTable[[#This Row],[Last Price]]) / SnapshotTable[[#This Row],[Last Price]], "")</f>
        <v/>
      </c>
      <c r="AL78" s="152"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2" t="str">
        <f>IF(AND(ISNUMBER( SnapshotTable[[#This Row],[Long Term Target]]), ISNUMBER(SnapshotTable[[#This Row],[Last Price]])),(SnapshotTable[[#This Row],[Long Term Target]] - SnapshotTable[[#This Row],[Last Price]]) / SnapshotTable[[#This Row],[Last Price]], "")</f>
        <v/>
      </c>
      <c r="AP78" s="5"/>
      <c r="AQ78" s="38" t="s">
        <v>27</v>
      </c>
      <c r="AR78" s="5"/>
      <c r="AS78" s="38" t="s">
        <v>26</v>
      </c>
      <c r="AT78" s="146" t="s">
        <v>538</v>
      </c>
      <c r="AU78" s="187" t="str">
        <f>IF(OR(SnapshotTable[[#This Row],[LP No Fill]]="Y",SnapshotTable[[#This Row],[SP Is Filled]],SnapshotTable[[#This Row],[LC Not Filled]]="Y",SnapshotTable[[#This Row],[SC Is Filled]]),"Y","")</f>
        <v/>
      </c>
      <c r="AV78" s="405"/>
      <c r="AW78" s="225"/>
      <c r="AX78" s="220"/>
      <c r="AY78" s="219" t="str">
        <f>IF(SnapshotTable[[#This Row],[Implied Move]]&gt;0, SnapshotTable[[#This Row],[Last Price]]-SnapshotTable[[#This Row],[Implied Move]],"")</f>
        <v/>
      </c>
      <c r="AZ78" s="219" t="str">
        <f>IF(SnapshotTable[[#This Row],[Implied Move]]&gt;0, SnapshotTable[[#This Row],[Last Price]] + SnapshotTable[[#This Row],[Implied Move]],"")</f>
        <v/>
      </c>
      <c r="BA78" s="331">
        <v>15.69</v>
      </c>
      <c r="BB78" s="347" t="s">
        <v>1143</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51"/>
      <c r="BE78" s="138"/>
      <c r="BF78" s="166"/>
      <c r="BG78" s="167"/>
      <c r="BH78" s="167"/>
      <c r="BI78" s="221"/>
      <c r="BJ78" s="153">
        <f>IF(SnapshotTable[[#This Row],[LP Qty]] &gt; 0, SnapshotTable[[#This Row],[LP Qty]] * SnapshotTable[[#This Row],[LP Book Price]] * 100,0)</f>
        <v>0</v>
      </c>
      <c r="BK78" s="136">
        <f>IF(SnapshotTable[[#This Row],[LP Premium]] &gt; 0, SnapshotTable[[#This Row],[LP Qty]] * SnapshotTable[[#This Row],[LP Strike Price]] * 100,0)</f>
        <v>0</v>
      </c>
      <c r="BL78" s="154"/>
      <c r="BM78" s="385" t="str">
        <f>IF(SnapshotTable[[#This Row],[LP Premium]] &gt; 0,SnapshotTable[[#This Row],[LP Exp Date]]-MAX(SnapshotTable[[#This Row],[LP Book Date]], SnapshotTable[[#This Row],[LP Fill Date]]),"")</f>
        <v/>
      </c>
      <c r="BN78" s="385" t="str">
        <f>IF(ISNUMBER( SnapshotTable[[#This Row],[LP Term]]), SnapshotTable[[#This Row],[LP Exp Date]] - MockToday,"")</f>
        <v/>
      </c>
      <c r="BO78" s="163"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7"/>
      <c r="BU78" s="13"/>
      <c r="BV78" s="5"/>
      <c r="BW78" s="419" t="b">
        <f>AND(ISNUMBER(SnapshotTable[[#This Row],[SP Exp Date]]), ISNUMBER(SnapshotTable[[#This Row],[SP Strike Price]]), ISNUMBER(SnapshotTable[[#This Row],[SP Qty]]), ISNUMBER(SnapshotTable[[#This Row],[SP Book Date]]), ISNUMBER(SnapshotTable[[#This Row],[SP Book Price]]))</f>
        <v>0</v>
      </c>
      <c r="BX78" s="419" t="b">
        <f>AND(SnapshotTable[[#This Row],[SP Is Booked]], NOT(ISBLANK(SnapshotTable[[#This Row],[SP Fill Date]])))</f>
        <v>0</v>
      </c>
      <c r="BY78" s="33">
        <f>IF(SnapshotTable[[#This Row],[SP Is Booked]], SnapshotTable[[#This Row],[SP Qty]] * SnapshotTable[[#This Row],[SP Book Price]] * 100, 0)</f>
        <v>0</v>
      </c>
      <c r="BZ78" s="369"/>
      <c r="CA78" s="368">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3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44"/>
      <c r="CK78" s="31">
        <f>IF(ISNUMBER(SnapshotTable[[#This Row],[SP Potential Spend]]),IF(ISNUMBER(SnapshotTable[[#This Row],[SP POW]]), SnapshotTable[[#This Row],[SP POW]] * SnapshotTable[[#This Row],[SP Potential Spend]], SnapshotTable[[#This Row],[SP Potential Spend]]), "")</f>
        <v>0</v>
      </c>
      <c r="CL78" s="164">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4"/>
      <c r="CO78" s="369"/>
      <c r="CP78" s="4" t="str">
        <f>IF(SnapshotTable[[#This Row],[SP Is Filled]], btc_max_buyback_amount(SnapshotTable[[#This Row],[SP Fill Date]],SnapshotTable[[#This Row],[SP Exp Date]], SnapshotTable[[#This Row],[SP Book Price]]),"")</f>
        <v/>
      </c>
      <c r="CQ78" s="78"/>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5" t="str">
        <f>IF(SnapshotTable[[#This Row],[SP Is Filled]], btc_next_cutoff_date(SnapshotTable[[#This Row],[SP Fill Date]],SnapshotTable[[#This Row],[SP Exp Date]]),"")</f>
        <v/>
      </c>
      <c r="CT78" s="23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6"/>
      <c r="CV78" s="235"/>
      <c r="CW78" s="378"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294" t="str">
        <f>IF(ISNUMBER((SnapshotTable[[#This Row],[SP Total Value]])), SnapshotTable[[#This Row],[SP Gain Loss]] / SnapshotTable[[#This Row],[SP Premium]], "")</f>
        <v/>
      </c>
      <c r="DI78" s="406"/>
      <c r="DJ78" s="138"/>
      <c r="DK78" s="148"/>
      <c r="DL78" s="147"/>
      <c r="DM78" s="147"/>
      <c r="DO78" s="31">
        <f>IF(SnapshotTable[[#This Row],[LC Symbol Count]]=1, SnapshotTable[[#This Row],[LC Qty]] * SnapshotTable[[#This Row],[LC Book Price]] * 100, 0)</f>
        <v>0</v>
      </c>
      <c r="DP78" s="289" t="str">
        <f>IF(AND(SnapshotTable[[#This Row],[LC Exp Date]]&gt;0, SnapshotTable[[#This Row],[LC Strike Price]]&gt;0,SnapshotTable[[#This Row],[LC Qty]]&gt;0,SnapshotTable[[#This Row],[LC Book Date]]&gt;0,SnapshotTable[[#This Row],[LC Book Price]]&gt;0,SnapshotTable[[#This Row],[LC Fill Date]]=0),"Y","")</f>
        <v/>
      </c>
      <c r="DQ78" s="386" t="str">
        <f>IF(SnapshotTable[[#This Row],[LC Premium]] &gt; 0,SnapshotTable[[#This Row],[LC Exp Date]]-MAX(SnapshotTable[[#This Row],[LC Book Date]], SnapshotTable[[#This Row],[LC Fill Date]]),"")</f>
        <v/>
      </c>
      <c r="DR78" s="386" t="str">
        <f>IF(ISNUMBER(SnapshotTable[[#This Row],[LC Term]]), SnapshotTable[[#This Row],[LC Exp Date]] - MockToday, "")</f>
        <v/>
      </c>
      <c r="DS78" s="23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40" t="str">
        <f>IF(ISNUMBER(SnapshotTable[[#This Row],[LC Actual Gain Loss]]), SnapshotTable[[#This Row],[LC Actual Gain Loss]] / SnapshotTable[[#This Row],[LC Premium]],"")</f>
        <v/>
      </c>
      <c r="DX78" s="284" t="str">
        <f>IF(ISNUMBER(SnapshotTable[[#This Row],[LC Book Price]]),SnapshotTable[[#This Row],[LC Book Price]] * 1.5,"")</f>
        <v/>
      </c>
      <c r="DY78" s="265" t="str">
        <f>IF(SnapshotTable[[#This Row],[LC Premium]]&gt;0, SnapshotTable[[#This Row],[LC Next Target]] * SnapshotTable[[#This Row],[LC Qty]] * 100,"")</f>
        <v/>
      </c>
      <c r="DZ78" s="265" t="str">
        <f>IF(ISNUMBER(SnapshotTable[[#This Row],[LC Target Gross]]), SnapshotTable[[#This Row],[LC Target Gross]] - SnapshotTable[[#This Row],[LC Premium]], "")</f>
        <v/>
      </c>
      <c r="EA78" s="305" t="str">
        <f>IF(ISNUMBER(SnapshotTable[[#This Row],[LC Target Gain Loss]]), SnapshotTable[[#This Row],[LC Target Gain Loss]]/SnapshotTable[[#This Row],[LC Premium]], "")</f>
        <v/>
      </c>
      <c r="EB78" s="262"/>
      <c r="EC78" s="283" t="str">
        <f>IF(SnapshotTable[[#This Row],[LC Premium]]&gt;0, SnapshotTable[[#This Row],[LC Book Price]] * (1 - LC_StopLoss_Pct),"")</f>
        <v/>
      </c>
      <c r="ED78" s="284"/>
      <c r="EE78" s="28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4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7"/>
      <c r="EL78" s="138"/>
      <c r="EM78" s="148"/>
      <c r="EN78" s="147"/>
      <c r="EO78" s="147"/>
      <c r="EP78" s="138"/>
      <c r="EQ78" s="419" t="b">
        <f>AND(ISNUMBER(SnapshotTable[[#This Row],[SC Exp Date]]), ISNUMBER(SnapshotTable[[#This Row],[SC Strike Price]]), ISNUMBER(SnapshotTable[[#This Row],[SC Qty]]), ISNUMBER(SnapshotTable[[#This Row],[SC Book Date]]), ISNUMBER(SnapshotTable[[#This Row],[SC Book Price]]))</f>
        <v>0</v>
      </c>
      <c r="ER78" s="419" t="b">
        <f>AND(SnapshotTable[[#This Row],[SC Is Booked]], NOT(ISBLANK(SnapshotTable[[#This Row],[SC Fill Date]])))</f>
        <v>0</v>
      </c>
      <c r="ES78" s="370"/>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3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283"/>
      <c r="FA78" s="218"/>
      <c r="FB78" s="370"/>
      <c r="FC78" s="4">
        <f>IF(SnapshotTable[[#This Row],[SC Is Filled]], btc_max_buyback_amount(SnapshotTable[[#This Row],[SC Fill Date]],SnapshotTable[[#This Row],[SC Exp Date]], SnapshotTable[[#This Row],[SC Book Price]]),0)</f>
        <v>0</v>
      </c>
      <c r="FD78" s="5"/>
      <c r="FE78" s="144"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382">
        <f>IF(SnapshotTable[[#This Row],[SC Is Filled]], IF(ISNUMBER(SnapshotTable[[#This Row],[SC Current Ask]]), SnapshotTable[[#This Row],[SC Current Ask]], SnapshotTable[[#This Row],[SC Book Price]]) - SnapshotTable[[#This Row],[SC Intrinsic Value]], 0)</f>
        <v>0</v>
      </c>
      <c r="FI78" s="143"/>
      <c r="FJ78" s="32" t="str">
        <f>IF(SnapshotTable[[#This Row],[SC Is Filled]],100 * SnapshotTable[[#This Row],[SC Qty]] * IF(ISNUMBER(SnapshotTable[[#This Row],[SC Buyback Override]]), SnapshotTable[[#This Row],[SC Buyback Override]], SnapshotTable[[#This Row],[SC Current Ask]]), "")</f>
        <v/>
      </c>
      <c r="FK78" s="250" t="str">
        <f>IF(SnapshotTable[[#This Row],[SC Time Val]]&gt;0, SnapshotTable[[#This Row],[SC Time Val]] / SnapshotTable[[#This Row],[Last Price]],"")</f>
        <v/>
      </c>
      <c r="FL78" s="302" t="str">
        <f>IF(SnapshotTable[[#This Row],[SC Is Booked]], ((SnapshotTable[[#This Row],[Last Price]] -SnapshotTable[[#This Row],[SC Strike Price]]) / SnapshotTable[[#This Row],[Last Price]]) * -1, "")</f>
        <v/>
      </c>
      <c r="FM78" s="157" t="str">
        <f>IF(SnapshotTable[[#This Row],[SC Is Booked]],  (SnapshotTable[[#This Row],[SC Qty]] * 100 * SnapshotTable[[#This Row],[SC Strike Price]]) - SnapshotTable[[#This Row],[SC Current Ask]], "")</f>
        <v/>
      </c>
      <c r="FN7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7"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33"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36" t="str">
        <f>IF(AND(ISNUMBER(SnapshotTable[[#This Row],[SC Simple ROO]]),SnapshotTable[[#This Row],[SC Simple ROO]] &gt; 0), SnapshotTable[[#This Row],[SC Premium]] + (SnapshotTable[[#This Row],[SC Qty]] * SnapshotTable[[#This Row],[SC Upside Potential]]), "")</f>
        <v/>
      </c>
      <c r="FX78" s="302" t="str" cm="1">
        <f t="array" ref="FX78">IF(ISNUMBER(SnapshotTable[[#This Row],[SC Max Dollars]]), annualize(SnapshotTable[[#This Row],[SC Term]],(SnapshotTable[[#This Row],[SC Max Dollars]]/SnapshotTable[[#This Row],[SC Basis]])),"")</f>
        <v/>
      </c>
      <c r="FY78" s="236" t="str">
        <f>IF(AND(SnapshotTable[[#This Row],[SC Qty]]&gt;0,SnapshotTable[[#This Row],[SC Current Ask]]&gt;0), SnapshotTable[[#This Row],[SC Qty]] * SnapshotTable[[#This Row],[SC Current Ask]] * -100, "")</f>
        <v/>
      </c>
      <c r="FZ78" s="235" t="str">
        <f>IF(ISNUMBER((SnapshotTable[[#This Row],[SC Current Value]])), SnapshotTable[[#This Row],[SC Premium]] + SnapshotTable[[#This Row],[SC Current Value]], "")</f>
        <v/>
      </c>
      <c r="GA78" s="29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33.7545</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8" t="str">
        <f>IF(SnapshotTable[[#This Row],[Sale G/L]]&gt;0, SnapshotTable[[#This Row],[Sale G/L]] / SnapshotTable[[#This Row],[Sale Basis]], IF(ISNUMBER(SnapshotTable[[#This Row],[SC Exercise P&amp;L (TAX)]]), SnapshotTable[[#This Row],[SC Exercise P&amp;L (TAX)]] / SnapshotTable[[#This Row],[SC Basis]], ""))</f>
        <v/>
      </c>
      <c r="GK78" s="27" t="s">
        <v>1110</v>
      </c>
      <c r="GL78" s="159"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59" t="str">
        <f>IF(AND(SnapshotTable[[#This Row],[LC Exp Date]]&gt;0,SnapshotTable[[#This Row],[LC Strike Price]]&gt;0), [1]!ToOptionSymbol(SnapshotTable[[#This Row],[Symbol]], SnapshotTable[[#This Row],[LC Strike Price]],SnapshotTable[[#This Row],[LC Exp Date]],0), "")</f>
        <v/>
      </c>
      <c r="GQ78" s="160" t="str">
        <f>IF(LEN(SnapshotTable[[#This Row],[LC Symbol]])&gt;0, 1, "")</f>
        <v/>
      </c>
      <c r="GR78" s="159" t="str">
        <f>IF(AND(SnapshotTable[[#This Row],[SC Exp Date]]&gt;0,SnapshotTable[[#This Row],[SC Strike Price]]&gt;0), [1]!ToOptionSymbol(SnapshotTable[[#This Row],[Symbol]], SnapshotTable[[#This Row],[SC Strike Price]],SnapshotTable[[#This Row],[SC Exp Date]],0), "")</f>
        <v/>
      </c>
      <c r="GS78" s="160" t="str">
        <f>IF(LEN(SnapshotTable[[#This Row],[SC Symbol]])&gt;0, 1, "")</f>
        <v/>
      </c>
      <c r="GT78" s="161"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31">
        <f>MAX(SnapshotTable[[#This Row],[Equity Basis Total]],SnapshotTable[[#This Row],[Equity Value]]) + (SnapshotTable[[#This Row],[SP Potential Spend]]- SnapshotTable[[#This Row],[SP Premium]] + SnapshotTable[[#This Row],[LP Premium]])+ (SnapshotTable[[#This Row],[LC Premium]] - SnapshotTable[[#This Row],[SC Premium]])</f>
        <v>0</v>
      </c>
      <c r="GW78" s="139" t="str">
        <f>IF(AND(SnapshotTable[[#This Row],[Exposure]] &lt;&gt; 0),SnapshotTable[[#This Row],[Exposure]] / SnapshotTable[[#Totals],[Exposure]], "")</f>
        <v/>
      </c>
      <c r="HE78" s="268"/>
      <c r="HF78" s="268"/>
      <c r="HK78" s="1"/>
      <c r="HL78" s="1"/>
      <c r="HM78" s="1"/>
      <c r="HN78" s="1"/>
      <c r="HO78" s="1"/>
      <c r="HP78" s="1"/>
    </row>
    <row r="79" spans="2:224" ht="12.75" hidden="1" customHeight="1" x14ac:dyDescent="0.25">
      <c r="B79" s="12" t="s">
        <v>984</v>
      </c>
      <c r="C79" s="422">
        <v>959.48</v>
      </c>
      <c r="D79" s="208"/>
      <c r="E79" s="39">
        <f>SnapshotTable[[#This Row],[Last Price]]*(1 -CrashDiscount)</f>
        <v>815.55799999999999</v>
      </c>
      <c r="F79" s="26" t="s">
        <v>614</v>
      </c>
      <c r="G79" s="26" t="s">
        <v>9</v>
      </c>
      <c r="H79" s="149"/>
      <c r="I79" s="194">
        <v>44742.670138888891</v>
      </c>
      <c r="J79" s="195">
        <v>44742.670138888891</v>
      </c>
      <c r="K79" s="196" t="s">
        <v>3</v>
      </c>
      <c r="L79" s="326"/>
      <c r="M79" s="140"/>
      <c r="N79" s="140"/>
      <c r="O79" s="140"/>
      <c r="P79" s="22"/>
      <c r="Q79" s="25"/>
      <c r="R79" s="4" t="str">
        <f>IF(SnapshotTable[[#This Row],[Equity Basis Total]] &gt; 0, SnapshotTable[[#This Row],[Equity Basis Total]] / SnapshotTable[[#This Row],[Equity Shares]], "")</f>
        <v/>
      </c>
      <c r="S79" s="269">
        <f>SnapshotTable[[#This Row],[Last Price]] * SnapshotTable[[#This Row],[Equity Shares]]</f>
        <v>0</v>
      </c>
      <c r="T79" s="269">
        <f>SnapshotTable[[#This Row],[Equity Value]] - SnapshotTable[[#This Row],[Equity Basis Total]]</f>
        <v>0</v>
      </c>
      <c r="U79" s="270" t="str">
        <f>IF(SnapshotTable[[#This Row],[Equity Basis Total]] &gt; 0, SnapshotTable[[#This Row],[Equity G/L]] / SnapshotTable[[#This Row],[Equity Basis Total]], "")</f>
        <v/>
      </c>
      <c r="V79" s="268"/>
      <c r="W79" s="26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7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0"/>
      <c r="AD79" s="151"/>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1"/>
      <c r="AI79" s="5"/>
      <c r="AJ79" s="138">
        <v>113.3</v>
      </c>
      <c r="AK79" s="152" t="str">
        <f>IF(ISNUMBER( SnapshotTable[[#This Row],[EBF Target]]),(SnapshotTable[[#This Row],[EBF Target]] - SnapshotTable[[#This Row],[Last Price]]) / SnapshotTable[[#This Row],[Last Price]], "")</f>
        <v/>
      </c>
      <c r="AL79" s="152"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2">
        <f>IF(AND(ISNUMBER( SnapshotTable[[#This Row],[Long Term Target]]), ISNUMBER(SnapshotTable[[#This Row],[Last Price]])),(SnapshotTable[[#This Row],[Long Term Target]] - SnapshotTable[[#This Row],[Last Price]]) / SnapshotTable[[#This Row],[Last Price]], "")</f>
        <v>-0.8819152040688707</v>
      </c>
      <c r="AP79" s="5">
        <v>85</v>
      </c>
      <c r="AQ79" s="38" t="s">
        <v>38</v>
      </c>
      <c r="AR79" s="5">
        <v>85</v>
      </c>
      <c r="AS79" s="38" t="s">
        <v>45</v>
      </c>
      <c r="AT79" s="146" t="s">
        <v>532</v>
      </c>
      <c r="AU79" s="187" t="str">
        <f>IF(OR(SnapshotTable[[#This Row],[LP No Fill]]="Y",SnapshotTable[[#This Row],[SP Is Filled]],SnapshotTable[[#This Row],[LC Not Filled]]="Y",SnapshotTable[[#This Row],[SC Is Filled]]),"Y","")</f>
        <v/>
      </c>
      <c r="AV79" s="219"/>
      <c r="AW79" s="225"/>
      <c r="AX79" s="220"/>
      <c r="AY79" s="219" t="str">
        <f>IF(SnapshotTable[[#This Row],[Implied Move]]&gt;0, SnapshotTable[[#This Row],[Last Price]]-SnapshotTable[[#This Row],[Implied Move]],"")</f>
        <v/>
      </c>
      <c r="AZ79" s="219" t="str">
        <f>IF(SnapshotTable[[#This Row],[Implied Move]]&gt;0, SnapshotTable[[#This Row],[Last Price]] + SnapshotTable[[#This Row],[Implied Move]],"")</f>
        <v/>
      </c>
      <c r="BA79" s="331">
        <v>342.2</v>
      </c>
      <c r="BB79" s="347"/>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51"/>
      <c r="BE79" s="138"/>
      <c r="BF79" s="166"/>
      <c r="BG79" s="167"/>
      <c r="BH79" s="167"/>
      <c r="BI79" s="221"/>
      <c r="BJ79" s="153">
        <f>IF(SnapshotTable[[#This Row],[LP Qty]] &gt; 0, SnapshotTable[[#This Row],[LP Qty]] * SnapshotTable[[#This Row],[LP Book Price]] * 100,0)</f>
        <v>0</v>
      </c>
      <c r="BK79" s="136">
        <f>IF(SnapshotTable[[#This Row],[LP Premium]] &gt; 0, SnapshotTable[[#This Row],[LP Qty]] * SnapshotTable[[#This Row],[LP Strike Price]] * 100,0)</f>
        <v>0</v>
      </c>
      <c r="BL79" s="154"/>
      <c r="BM79" s="385" t="str">
        <f>IF(SnapshotTable[[#This Row],[LP Premium]] &gt; 0,SnapshotTable[[#This Row],[LP Exp Date]]-MAX(SnapshotTable[[#This Row],[LP Book Date]], SnapshotTable[[#This Row],[LP Fill Date]]),"")</f>
        <v/>
      </c>
      <c r="BN79" s="385" t="str">
        <f>IF(ISNUMBER( SnapshotTable[[#This Row],[LP Term]]), SnapshotTable[[#This Row],[LP Exp Date]] - MockToday,"")</f>
        <v/>
      </c>
      <c r="BO79" s="163"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7"/>
      <c r="BU79" s="13"/>
      <c r="BV79" s="5"/>
      <c r="BW79" s="419" t="b">
        <f>AND(ISNUMBER(SnapshotTable[[#This Row],[SP Exp Date]]), ISNUMBER(SnapshotTable[[#This Row],[SP Strike Price]]), ISNUMBER(SnapshotTable[[#This Row],[SP Qty]]), ISNUMBER(SnapshotTable[[#This Row],[SP Book Date]]), ISNUMBER(SnapshotTable[[#This Row],[SP Book Price]]))</f>
        <v>0</v>
      </c>
      <c r="BX79" s="419" t="b">
        <f>AND(SnapshotTable[[#This Row],[SP Is Booked]], NOT(ISBLANK(SnapshotTable[[#This Row],[SP Fill Date]])))</f>
        <v>0</v>
      </c>
      <c r="BY79" s="33">
        <f>IF(SnapshotTable[[#This Row],[SP Is Booked]], SnapshotTable[[#This Row],[SP Qty]] * SnapshotTable[[#This Row],[SP Book Price]] * 100, 0)</f>
        <v>0</v>
      </c>
      <c r="BZ79" s="369"/>
      <c r="CA79" s="368">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3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44">
        <v>0.01</v>
      </c>
      <c r="CK79" s="31">
        <f>IF(ISNUMBER(SnapshotTable[[#This Row],[SP Potential Spend]]),IF(ISNUMBER(SnapshotTable[[#This Row],[SP POW]]), SnapshotTable[[#This Row],[SP POW]] * SnapshotTable[[#This Row],[SP Potential Spend]], SnapshotTable[[#This Row],[SP Potential Spend]]), "")</f>
        <v>0</v>
      </c>
      <c r="CL79" s="164">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27"/>
      <c r="CO79" s="369"/>
      <c r="CP79" s="4" t="str">
        <f>IF(SnapshotTable[[#This Row],[SP Is Filled]], btc_max_buyback_amount(SnapshotTable[[#This Row],[SP Fill Date]],SnapshotTable[[#This Row],[SP Exp Date]], SnapshotTable[[#This Row],[SP Book Price]]),"")</f>
        <v/>
      </c>
      <c r="CQ79" s="78"/>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5" t="str">
        <f>IF(SnapshotTable[[#This Row],[SP Is Filled]], btc_next_cutoff_date(SnapshotTable[[#This Row],[SP Fill Date]],SnapshotTable[[#This Row],[SP Exp Date]]),"")</f>
        <v/>
      </c>
      <c r="CT79" s="23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6"/>
      <c r="CV79" s="235"/>
      <c r="CW79" s="378"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294" t="str">
        <f>IF(ISNUMBER((SnapshotTable[[#This Row],[SP Total Value]])), SnapshotTable[[#This Row],[SP Gain Loss]] / SnapshotTable[[#This Row],[SP Premium]], "")</f>
        <v/>
      </c>
      <c r="DI79" s="406"/>
      <c r="DJ79" s="138"/>
      <c r="DK79" s="148"/>
      <c r="DL79" s="147"/>
      <c r="DM79" s="147"/>
      <c r="DO79" s="31">
        <f>IF(SnapshotTable[[#This Row],[LC Symbol Count]]=1, SnapshotTable[[#This Row],[LC Qty]] * SnapshotTable[[#This Row],[LC Book Price]] * 100, 0)</f>
        <v>0</v>
      </c>
      <c r="DP79" s="163" t="str">
        <f>IF(AND(SnapshotTable[[#This Row],[LC Exp Date]]&gt;0, SnapshotTable[[#This Row],[LC Strike Price]]&gt;0,SnapshotTable[[#This Row],[LC Qty]]&gt;0,SnapshotTable[[#This Row],[LC Book Date]]&gt;0,SnapshotTable[[#This Row],[LC Book Price]]&gt;0,SnapshotTable[[#This Row],[LC Fill Date]]=0),"Y","")</f>
        <v/>
      </c>
      <c r="DQ79" s="386" t="str">
        <f>IF(SnapshotTable[[#This Row],[LC Premium]] &gt; 0,SnapshotTable[[#This Row],[LC Exp Date]]-MAX(SnapshotTable[[#This Row],[LC Book Date]], SnapshotTable[[#This Row],[LC Fill Date]]),"")</f>
        <v/>
      </c>
      <c r="DR79" s="386" t="str">
        <f>IF(ISNUMBER(SnapshotTable[[#This Row],[LC Term]]), SnapshotTable[[#This Row],[LC Exp Date]] - MockToday, "")</f>
        <v/>
      </c>
      <c r="DS79" s="23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40" t="str">
        <f>IF(ISNUMBER(SnapshotTable[[#This Row],[LC Actual Gain Loss]]), SnapshotTable[[#This Row],[LC Actual Gain Loss]] / SnapshotTable[[#This Row],[LC Premium]],"")</f>
        <v/>
      </c>
      <c r="DX79" s="284" t="str">
        <f>IF(ISNUMBER(SnapshotTable[[#This Row],[LC Book Price]]),SnapshotTable[[#This Row],[LC Book Price]] * 1.5,"")</f>
        <v/>
      </c>
      <c r="DY79" s="265" t="str">
        <f>IF(SnapshotTable[[#This Row],[LC Premium]]&gt;0, SnapshotTable[[#This Row],[LC Next Target]] * SnapshotTable[[#This Row],[LC Qty]] * 100,"")</f>
        <v/>
      </c>
      <c r="DZ79" s="265" t="str">
        <f>IF(ISNUMBER(SnapshotTable[[#This Row],[LC Target Gross]]), SnapshotTable[[#This Row],[LC Target Gross]] - SnapshotTable[[#This Row],[LC Premium]], "")</f>
        <v/>
      </c>
      <c r="EA79" s="305" t="str">
        <f>IF(ISNUMBER(SnapshotTable[[#This Row],[LC Target Gain Loss]]), SnapshotTable[[#This Row],[LC Target Gain Loss]]/SnapshotTable[[#This Row],[LC Premium]], "")</f>
        <v/>
      </c>
      <c r="EB79" s="262"/>
      <c r="EC79" s="283" t="str">
        <f>IF(SnapshotTable[[#This Row],[LC Premium]]&gt;0, SnapshotTable[[#This Row],[LC Book Price]] * (1 - LC_StopLoss_Pct),"")</f>
        <v/>
      </c>
      <c r="ED79" s="284"/>
      <c r="EE79" s="28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4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7"/>
      <c r="EL79" s="138"/>
      <c r="EM79" s="148"/>
      <c r="EN79" s="147"/>
      <c r="EO79" s="147"/>
      <c r="EP79" s="138"/>
      <c r="EQ79" s="419" t="b">
        <f>AND(ISNUMBER(SnapshotTable[[#This Row],[SC Exp Date]]), ISNUMBER(SnapshotTable[[#This Row],[SC Strike Price]]), ISNUMBER(SnapshotTable[[#This Row],[SC Qty]]), ISNUMBER(SnapshotTable[[#This Row],[SC Book Date]]), ISNUMBER(SnapshotTable[[#This Row],[SC Book Price]]))</f>
        <v>0</v>
      </c>
      <c r="ER79" s="419" t="b">
        <f>AND(SnapshotTable[[#This Row],[SC Is Booked]], NOT(ISBLANK(SnapshotTable[[#This Row],[SC Fill Date]])))</f>
        <v>0</v>
      </c>
      <c r="ES79" s="370"/>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3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283"/>
      <c r="FA79" s="218"/>
      <c r="FB79" s="370"/>
      <c r="FC79" s="4">
        <f>IF(SnapshotTable[[#This Row],[SC Is Filled]], btc_max_buyback_amount(SnapshotTable[[#This Row],[SC Fill Date]],SnapshotTable[[#This Row],[SC Exp Date]], SnapshotTable[[#This Row],[SC Book Price]]),0)</f>
        <v>0</v>
      </c>
      <c r="FD79" s="5"/>
      <c r="FE79" s="144"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382">
        <f>IF(SnapshotTable[[#This Row],[SC Is Filled]], IF(ISNUMBER(SnapshotTable[[#This Row],[SC Current Ask]]), SnapshotTable[[#This Row],[SC Current Ask]], SnapshotTable[[#This Row],[SC Book Price]]) - SnapshotTable[[#This Row],[SC Intrinsic Value]], 0)</f>
        <v>0</v>
      </c>
      <c r="FI79" s="143"/>
      <c r="FJ79" s="32" t="str">
        <f>IF(SnapshotTable[[#This Row],[SC Is Filled]],100 * SnapshotTable[[#This Row],[SC Qty]] * IF(ISNUMBER(SnapshotTable[[#This Row],[SC Buyback Override]]), SnapshotTable[[#This Row],[SC Buyback Override]], SnapshotTable[[#This Row],[SC Current Ask]]), "")</f>
        <v/>
      </c>
      <c r="FK79" s="250" t="str">
        <f>IF(SnapshotTable[[#This Row],[SC Time Val]]&gt;0, SnapshotTable[[#This Row],[SC Time Val]] / SnapshotTable[[#This Row],[Last Price]],"")</f>
        <v/>
      </c>
      <c r="FL79" s="302" t="str">
        <f>IF(SnapshotTable[[#This Row],[SC Is Booked]], ((SnapshotTable[[#This Row],[Last Price]] -SnapshotTable[[#This Row],[SC Strike Price]]) / SnapshotTable[[#This Row],[Last Price]]) * -1, "")</f>
        <v/>
      </c>
      <c r="FM79" s="157" t="str">
        <f>IF(SnapshotTable[[#This Row],[SC Is Booked]],  (SnapshotTable[[#This Row],[SC Qty]] * 100 * SnapshotTable[[#This Row],[SC Strike Price]]) - SnapshotTable[[#This Row],[SC Current Ask]], "")</f>
        <v/>
      </c>
      <c r="FN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7"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33"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36" t="str">
        <f>IF(AND(ISNUMBER(SnapshotTable[[#This Row],[SC Simple ROO]]),SnapshotTable[[#This Row],[SC Simple ROO]] &gt; 0), SnapshotTable[[#This Row],[SC Premium]] + (SnapshotTable[[#This Row],[SC Qty]] * SnapshotTable[[#This Row],[SC Upside Potential]]), "")</f>
        <v/>
      </c>
      <c r="FX79" s="302" t="str" cm="1">
        <f t="array" ref="FX79">IF(ISNUMBER(SnapshotTable[[#This Row],[SC Max Dollars]]), annualize(SnapshotTable[[#This Row],[SC Term]],(SnapshotTable[[#This Row],[SC Max Dollars]]/SnapshotTable[[#This Row],[SC Basis]])),"")</f>
        <v/>
      </c>
      <c r="FY79" s="23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29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1870.9860000000001</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8" t="str">
        <f>IF(SnapshotTable[[#This Row],[Sale G/L]]&gt;0, SnapshotTable[[#This Row],[Sale G/L]] / SnapshotTable[[#This Row],[Sale Basis]], IF(ISNUMBER(SnapshotTable[[#This Row],[SC Exercise P&amp;L (TAX)]]), SnapshotTable[[#This Row],[SC Exercise P&amp;L (TAX)]] / SnapshotTable[[#This Row],[SC Basis]], ""))</f>
        <v/>
      </c>
      <c r="GK79" s="158"/>
      <c r="GL79" s="159"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59" t="str">
        <f>IF(AND(SnapshotTable[[#This Row],[LC Exp Date]]&gt;0,SnapshotTable[[#This Row],[LC Strike Price]]&gt;0), [1]!ToOptionSymbol(SnapshotTable[[#This Row],[Symbol]], SnapshotTable[[#This Row],[LC Strike Price]],SnapshotTable[[#This Row],[LC Exp Date]],0), "")</f>
        <v/>
      </c>
      <c r="GQ79" s="160" t="str">
        <f>IF(LEN(SnapshotTable[[#This Row],[LC Symbol]])&gt;0, 1, "")</f>
        <v/>
      </c>
      <c r="GR79" s="159" t="str">
        <f>IF(AND(SnapshotTable[[#This Row],[SC Exp Date]]&gt;0,SnapshotTable[[#This Row],[SC Strike Price]]&gt;0), [1]!ToOptionSymbol(SnapshotTable[[#This Row],[Symbol]], SnapshotTable[[#This Row],[SC Strike Price]],SnapshotTable[[#This Row],[SC Exp Date]],0), "")</f>
        <v/>
      </c>
      <c r="GS79" s="160" t="str">
        <f>IF(LEN(SnapshotTable[[#This Row],[SC Symbol]])&gt;0, 1, "")</f>
        <v/>
      </c>
      <c r="GT79" s="161"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31">
        <f>MAX(SnapshotTable[[#This Row],[Equity Basis Total]],SnapshotTable[[#This Row],[Equity Value]]) + (SnapshotTable[[#This Row],[SP Potential Spend]]- SnapshotTable[[#This Row],[SP Premium]] + SnapshotTable[[#This Row],[LP Premium]])+ (SnapshotTable[[#This Row],[LC Premium]] - SnapshotTable[[#This Row],[SC Premium]])</f>
        <v>0</v>
      </c>
      <c r="GW79" s="139" t="str">
        <f>IF(AND(SnapshotTable[[#This Row],[Exposure]] &lt;&gt; 0),SnapshotTable[[#This Row],[Exposure]] / SnapshotTable[[#Totals],[Exposure]], "")</f>
        <v/>
      </c>
      <c r="HE79" s="268"/>
      <c r="HF79" s="268"/>
      <c r="HK79" s="1"/>
      <c r="HL79" s="1"/>
      <c r="HM79" s="1"/>
      <c r="HN79" s="1"/>
      <c r="HO79" s="1"/>
      <c r="HP79" s="1"/>
    </row>
    <row r="80" spans="2:224" ht="12.75" hidden="1" customHeight="1" x14ac:dyDescent="0.25">
      <c r="B80" s="12" t="s">
        <v>225</v>
      </c>
      <c r="C80" s="422">
        <v>95.14</v>
      </c>
      <c r="D80" s="208"/>
      <c r="E80" s="39">
        <f>SnapshotTable[[#This Row],[Last Price]]*(1 -CrashDiscount)</f>
        <v>80.869</v>
      </c>
      <c r="F80" s="26" t="s">
        <v>223</v>
      </c>
      <c r="G80" s="26" t="s">
        <v>49</v>
      </c>
      <c r="H80" s="149"/>
      <c r="I80" s="194">
        <v>44739.385416666664</v>
      </c>
      <c r="J80" s="195">
        <v>44739.385416666664</v>
      </c>
      <c r="K80" s="196"/>
      <c r="L80" s="326"/>
      <c r="M80" s="140"/>
      <c r="N80" s="140"/>
      <c r="O80" s="140"/>
      <c r="P80" s="22"/>
      <c r="Q80" s="25"/>
      <c r="R80" s="4" t="str">
        <f>IF(SnapshotTable[[#This Row],[Equity Basis Total]] &gt; 0, SnapshotTable[[#This Row],[Equity Basis Total]] / SnapshotTable[[#This Row],[Equity Shares]], "")</f>
        <v/>
      </c>
      <c r="S80" s="269">
        <f>SnapshotTable[[#This Row],[Last Price]] * SnapshotTable[[#This Row],[Equity Shares]]</f>
        <v>0</v>
      </c>
      <c r="T80" s="269">
        <f>SnapshotTable[[#This Row],[Equity Value]] - SnapshotTable[[#This Row],[Equity Basis Total]]</f>
        <v>0</v>
      </c>
      <c r="U80" s="270" t="str">
        <f>IF(SnapshotTable[[#This Row],[Equity Basis Total]] &gt; 0, SnapshotTable[[#This Row],[Equity G/L]] / SnapshotTable[[#This Row],[Equity Basis Total]], "")</f>
        <v/>
      </c>
      <c r="V80" s="268"/>
      <c r="W80" s="26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7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0">
        <v>0</v>
      </c>
      <c r="AD80" s="151"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1" t="s">
        <v>2</v>
      </c>
      <c r="AI80" s="5"/>
      <c r="AJ80" s="138">
        <v>95</v>
      </c>
      <c r="AK80" s="152" t="str">
        <f>IF(ISNUMBER( SnapshotTable[[#This Row],[EBF Target]]),(SnapshotTable[[#This Row],[EBF Target]] - SnapshotTable[[#This Row],[Last Price]]) / SnapshotTable[[#This Row],[Last Price]], "")</f>
        <v/>
      </c>
      <c r="AL80" s="152"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2">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6"/>
      <c r="AU80" s="187" t="str">
        <f>IF(OR(SnapshotTable[[#This Row],[LP No Fill]]="Y",SnapshotTable[[#This Row],[SP Is Filled]],SnapshotTable[[#This Row],[LC Not Filled]]="Y",SnapshotTable[[#This Row],[SC Is Filled]]),"Y","")</f>
        <v/>
      </c>
      <c r="AV80" s="219"/>
      <c r="AW80" s="225"/>
      <c r="AX80" s="220"/>
      <c r="AY80" s="219" t="str">
        <f>IF(SnapshotTable[[#This Row],[Implied Move]]&gt;0, SnapshotTable[[#This Row],[Last Price]]-SnapshotTable[[#This Row],[Implied Move]],"")</f>
        <v/>
      </c>
      <c r="AZ80" s="219" t="str">
        <f>IF(SnapshotTable[[#This Row],[Implied Move]]&gt;0, SnapshotTable[[#This Row],[Last Price]] + SnapshotTable[[#This Row],[Implied Move]],"")</f>
        <v/>
      </c>
      <c r="BA80" s="331"/>
      <c r="BB80" s="347"/>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51"/>
      <c r="BE80" s="5"/>
      <c r="BF80" s="14"/>
      <c r="BG80" s="13"/>
      <c r="BH80" s="13"/>
      <c r="BI80" s="5"/>
      <c r="BJ80" s="136">
        <f>IF(SnapshotTable[[#This Row],[LP Qty]] &gt; 0, SnapshotTable[[#This Row],[LP Qty]] * SnapshotTable[[#This Row],[LP Book Price]] * 100,0)</f>
        <v>0</v>
      </c>
      <c r="BK80" s="136">
        <f>IF(SnapshotTable[[#This Row],[LP Premium]] &gt; 0, SnapshotTable[[#This Row],[LP Qty]] * SnapshotTable[[#This Row],[LP Strike Price]] * 100,0)</f>
        <v>0</v>
      </c>
      <c r="BL80" s="154"/>
      <c r="BM80" s="385" t="str">
        <f>IF(SnapshotTable[[#This Row],[LP Premium]] &gt; 0,SnapshotTable[[#This Row],[LP Exp Date]]-MAX(SnapshotTable[[#This Row],[LP Book Date]], SnapshotTable[[#This Row],[LP Fill Date]]),"")</f>
        <v/>
      </c>
      <c r="BN80" s="385" t="str">
        <f>IF(ISNUMBER( SnapshotTable[[#This Row],[LP Term]]), SnapshotTable[[#This Row],[LP Exp Date]] - MockToday,"")</f>
        <v/>
      </c>
      <c r="BO80" s="163"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7"/>
      <c r="BU80" s="13"/>
      <c r="BV80" s="5"/>
      <c r="BW80" s="419" t="b">
        <f>AND(ISNUMBER(SnapshotTable[[#This Row],[SP Exp Date]]), ISNUMBER(SnapshotTable[[#This Row],[SP Strike Price]]), ISNUMBER(SnapshotTable[[#This Row],[SP Qty]]), ISNUMBER(SnapshotTable[[#This Row],[SP Book Date]]), ISNUMBER(SnapshotTable[[#This Row],[SP Book Price]]))</f>
        <v>0</v>
      </c>
      <c r="BX80" s="419" t="b">
        <f>AND(SnapshotTable[[#This Row],[SP Is Booked]], NOT(ISBLANK(SnapshotTable[[#This Row],[SP Fill Date]])))</f>
        <v>0</v>
      </c>
      <c r="BY80" s="33">
        <f>IF(SnapshotTable[[#This Row],[SP Is Booked]], SnapshotTable[[#This Row],[SP Qty]] * SnapshotTable[[#This Row],[SP Book Price]] * 100, 0)</f>
        <v>0</v>
      </c>
      <c r="BZ80" s="369"/>
      <c r="CA80" s="368">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3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44"/>
      <c r="CK80" s="31">
        <f>IF(ISNUMBER(SnapshotTable[[#This Row],[SP Potential Spend]]),IF(ISNUMBER(SnapshotTable[[#This Row],[SP POW]]), SnapshotTable[[#This Row],[SP POW]] * SnapshotTable[[#This Row],[SP Potential Spend]], SnapshotTable[[#This Row],[SP Potential Spend]]), "")</f>
        <v>0</v>
      </c>
      <c r="CL80" s="164">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8"/>
      <c r="CO80" s="369"/>
      <c r="CP80" s="4" t="str">
        <f>IF(SnapshotTable[[#This Row],[SP Is Filled]], btc_max_buyback_amount(SnapshotTable[[#This Row],[SP Fill Date]],SnapshotTable[[#This Row],[SP Exp Date]], SnapshotTable[[#This Row],[SP Book Price]]),"")</f>
        <v/>
      </c>
      <c r="CQ80" s="78"/>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5" t="str">
        <f>IF(SnapshotTable[[#This Row],[SP Is Filled]], btc_next_cutoff_date(SnapshotTable[[#This Row],[SP Fill Date]],SnapshotTable[[#This Row],[SP Exp Date]]),"")</f>
        <v/>
      </c>
      <c r="CT80" s="23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3"/>
      <c r="CV80" s="235"/>
      <c r="CW80" s="378"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294" t="str">
        <f>IF(ISNUMBER((SnapshotTable[[#This Row],[SP Total Value]])), SnapshotTable[[#This Row],[SP Gain Loss]] / SnapshotTable[[#This Row],[SP Premium]], "")</f>
        <v/>
      </c>
      <c r="DI80" s="406"/>
      <c r="DJ80" s="138"/>
      <c r="DK80" s="148"/>
      <c r="DL80" s="13"/>
      <c r="DM80" s="13"/>
      <c r="DO80" s="31">
        <f>IF(SnapshotTable[[#This Row],[LC Symbol Count]]=1, SnapshotTable[[#This Row],[LC Qty]] * SnapshotTable[[#This Row],[LC Book Price]] * 100, 0)</f>
        <v>0</v>
      </c>
      <c r="DP80" s="163" t="str">
        <f>IF(AND(SnapshotTable[[#This Row],[LC Exp Date]]&gt;0, SnapshotTable[[#This Row],[LC Strike Price]]&gt;0,SnapshotTable[[#This Row],[LC Qty]]&gt;0,SnapshotTable[[#This Row],[LC Book Date]]&gt;0,SnapshotTable[[#This Row],[LC Book Price]]&gt;0,SnapshotTable[[#This Row],[LC Fill Date]]=0),"Y","")</f>
        <v/>
      </c>
      <c r="DQ80" s="386" t="str">
        <f>IF(SnapshotTable[[#This Row],[LC Premium]] &gt; 0,SnapshotTable[[#This Row],[LC Exp Date]]-MAX(SnapshotTable[[#This Row],[LC Book Date]], SnapshotTable[[#This Row],[LC Fill Date]]),"")</f>
        <v/>
      </c>
      <c r="DR80" s="386" t="str">
        <f>IF(ISNUMBER(SnapshotTable[[#This Row],[LC Term]]), SnapshotTable[[#This Row],[LC Exp Date]] - MockToday, "")</f>
        <v/>
      </c>
      <c r="DS80" s="23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40" t="str">
        <f>IF(ISNUMBER(SnapshotTable[[#This Row],[LC Actual Gain Loss]]), SnapshotTable[[#This Row],[LC Actual Gain Loss]] / SnapshotTable[[#This Row],[LC Premium]],"")</f>
        <v/>
      </c>
      <c r="DX80" s="284" t="str">
        <f>IF(ISNUMBER(SnapshotTable[[#This Row],[LC Book Price]]),SnapshotTable[[#This Row],[LC Book Price]] * 1.5,"")</f>
        <v/>
      </c>
      <c r="DY80" s="265" t="str">
        <f>IF(SnapshotTable[[#This Row],[LC Premium]]&gt;0, SnapshotTable[[#This Row],[LC Next Target]] * SnapshotTable[[#This Row],[LC Qty]] * 100,"")</f>
        <v/>
      </c>
      <c r="DZ80" s="265" t="str">
        <f>IF(ISNUMBER(SnapshotTable[[#This Row],[LC Target Gross]]), SnapshotTable[[#This Row],[LC Target Gross]] - SnapshotTable[[#This Row],[LC Premium]], "")</f>
        <v/>
      </c>
      <c r="EA80" s="305" t="str">
        <f>IF(ISNUMBER(SnapshotTable[[#This Row],[LC Target Gain Loss]]), SnapshotTable[[#This Row],[LC Target Gain Loss]]/SnapshotTable[[#This Row],[LC Premium]], "")</f>
        <v/>
      </c>
      <c r="EB80" s="262"/>
      <c r="EC80" s="283" t="str">
        <f>IF(SnapshotTable[[#This Row],[LC Premium]]&gt;0, SnapshotTable[[#This Row],[LC Book Price]] * (1 - LC_StopLoss_Pct),"")</f>
        <v/>
      </c>
      <c r="ED80" s="284"/>
      <c r="EE80" s="28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4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7"/>
      <c r="EL80" s="138"/>
      <c r="EM80" s="148"/>
      <c r="EN80" s="147"/>
      <c r="EO80" s="147"/>
      <c r="EP80" s="138"/>
      <c r="EQ80" s="419" t="b">
        <f>AND(ISNUMBER(SnapshotTable[[#This Row],[SC Exp Date]]), ISNUMBER(SnapshotTable[[#This Row],[SC Strike Price]]), ISNUMBER(SnapshotTable[[#This Row],[SC Qty]]), ISNUMBER(SnapshotTable[[#This Row],[SC Book Date]]), ISNUMBER(SnapshotTable[[#This Row],[SC Book Price]]))</f>
        <v>0</v>
      </c>
      <c r="ER80" s="419" t="b">
        <f>AND(SnapshotTable[[#This Row],[SC Is Booked]], NOT(ISBLANK(SnapshotTable[[#This Row],[SC Fill Date]])))</f>
        <v>0</v>
      </c>
      <c r="ES80" s="370"/>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3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283"/>
      <c r="FA80" s="218"/>
      <c r="FB80" s="370"/>
      <c r="FC80" s="4">
        <f>IF(SnapshotTable[[#This Row],[SC Is Filled]], btc_max_buyback_amount(SnapshotTable[[#This Row],[SC Fill Date]],SnapshotTable[[#This Row],[SC Exp Date]], SnapshotTable[[#This Row],[SC Book Price]]),0)</f>
        <v>0</v>
      </c>
      <c r="FD80" s="5"/>
      <c r="FE80" s="144"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382">
        <f>IF(SnapshotTable[[#This Row],[SC Is Filled]], IF(ISNUMBER(SnapshotTable[[#This Row],[SC Current Ask]]), SnapshotTable[[#This Row],[SC Current Ask]], SnapshotTable[[#This Row],[SC Book Price]]) - SnapshotTable[[#This Row],[SC Intrinsic Value]], 0)</f>
        <v>0</v>
      </c>
      <c r="FI80" s="143"/>
      <c r="FJ80" s="32" t="str">
        <f>IF(SnapshotTable[[#This Row],[SC Is Filled]],100 * SnapshotTable[[#This Row],[SC Qty]] * IF(ISNUMBER(SnapshotTable[[#This Row],[SC Buyback Override]]), SnapshotTable[[#This Row],[SC Buyback Override]], SnapshotTable[[#This Row],[SC Current Ask]]), "")</f>
        <v/>
      </c>
      <c r="FK80" s="250" t="str">
        <f>IF(SnapshotTable[[#This Row],[SC Time Val]]&gt;0, SnapshotTable[[#This Row],[SC Time Val]] / SnapshotTable[[#This Row],[Last Price]],"")</f>
        <v/>
      </c>
      <c r="FL80" s="302" t="str">
        <f>IF(SnapshotTable[[#This Row],[SC Is Booked]], ((SnapshotTable[[#This Row],[Last Price]] -SnapshotTable[[#This Row],[SC Strike Price]]) / SnapshotTable[[#This Row],[Last Price]]) * -1, "")</f>
        <v/>
      </c>
      <c r="FM80" s="157"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33"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36" t="str">
        <f>IF(AND(ISNUMBER(SnapshotTable[[#This Row],[SC Simple ROO]]),SnapshotTable[[#This Row],[SC Simple ROO]] &gt; 0), SnapshotTable[[#This Row],[SC Premium]] + (SnapshotTable[[#This Row],[SC Qty]] * SnapshotTable[[#This Row],[SC Upside Potential]]), "")</f>
        <v/>
      </c>
      <c r="FX80" s="302" t="str" cm="1">
        <f t="array" ref="FX80">IF(ISNUMBER(SnapshotTable[[#This Row],[SC Max Dollars]]), annualize(SnapshotTable[[#This Row],[SC Term]],(SnapshotTable[[#This Row],[SC Max Dollars]]/SnapshotTable[[#This Row],[SC Basis]])),"")</f>
        <v/>
      </c>
      <c r="FY80" s="23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29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659</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31">
        <f>MAX(SnapshotTable[[#This Row],[Equity Basis Total]],SnapshotTable[[#This Row],[Equity Value]]) + (SnapshotTable[[#This Row],[SP Potential Spend]]- SnapshotTable[[#This Row],[SP Premium]] + SnapshotTable[[#This Row],[LP Premium]])+ (SnapshotTable[[#This Row],[LC Premium]] - SnapshotTable[[#This Row],[SC Premium]])</f>
        <v>0</v>
      </c>
      <c r="GW80" s="139" t="str">
        <f>IF(AND(SnapshotTable[[#This Row],[Exposure]] &lt;&gt; 0),SnapshotTable[[#This Row],[Exposure]] / SnapshotTable[[#Totals],[Exposure]], "")</f>
        <v/>
      </c>
      <c r="HE80" s="268"/>
      <c r="HF80" s="268"/>
      <c r="HK80" s="1"/>
      <c r="HL80" s="1"/>
      <c r="HM80" s="1"/>
      <c r="HN80" s="1"/>
      <c r="HO80" s="1"/>
      <c r="HP80" s="1"/>
    </row>
    <row r="81" spans="2:224" ht="12.75" hidden="1" customHeight="1" x14ac:dyDescent="0.25">
      <c r="B81" s="12" t="s">
        <v>59</v>
      </c>
      <c r="C81" s="422">
        <v>127.91</v>
      </c>
      <c r="D81" s="208"/>
      <c r="E81" s="39">
        <f>SnapshotTable[[#This Row],[Last Price]]*(1 -CrashDiscount)</f>
        <v>108.7235</v>
      </c>
      <c r="F81" s="26" t="s">
        <v>58</v>
      </c>
      <c r="G81" s="26" t="s">
        <v>9</v>
      </c>
      <c r="H81" s="149"/>
      <c r="I81" s="194">
        <v>44769.208333333336</v>
      </c>
      <c r="J81" s="195">
        <v>44769.208333333336</v>
      </c>
      <c r="K81" s="196"/>
      <c r="L81" s="326"/>
      <c r="M81" s="140"/>
      <c r="N81" s="140"/>
      <c r="O81" s="140"/>
      <c r="P81" s="22"/>
      <c r="Q81" s="25"/>
      <c r="R81" s="4" t="str">
        <f>IF(SnapshotTable[[#This Row],[Equity Basis Total]] &gt; 0, SnapshotTable[[#This Row],[Equity Basis Total]] / SnapshotTable[[#This Row],[Equity Shares]], "")</f>
        <v/>
      </c>
      <c r="S81" s="269">
        <f>SnapshotTable[[#This Row],[Last Price]] * SnapshotTable[[#This Row],[Equity Shares]]</f>
        <v>0</v>
      </c>
      <c r="T81" s="269">
        <f>SnapshotTable[[#This Row],[Equity Value]] - SnapshotTable[[#This Row],[Equity Basis Total]]</f>
        <v>0</v>
      </c>
      <c r="U81" s="270" t="str">
        <f>IF(SnapshotTable[[#This Row],[Equity Basis Total]] &gt; 0, SnapshotTable[[#This Row],[Equity G/L]] / SnapshotTable[[#This Row],[Equity Basis Total]], "")</f>
        <v/>
      </c>
      <c r="V81" s="268"/>
      <c r="W81" s="26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7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0">
        <v>0</v>
      </c>
      <c r="AD81" s="151"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1" t="s">
        <v>2</v>
      </c>
      <c r="AI81" s="5"/>
      <c r="AJ81" s="138">
        <v>105</v>
      </c>
      <c r="AK81" s="152" t="str">
        <f>IF(ISNUMBER( SnapshotTable[[#This Row],[EBF Target]]),(SnapshotTable[[#This Row],[EBF Target]] - SnapshotTable[[#This Row],[Last Price]]) / SnapshotTable[[#This Row],[Last Price]], "")</f>
        <v/>
      </c>
      <c r="AL81" s="152"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2">
        <f>IF(AND(ISNUMBER( SnapshotTable[[#This Row],[Long Term Target]]), ISNUMBER(SnapshotTable[[#This Row],[Last Price]])),(SnapshotTable[[#This Row],[Long Term Target]] - SnapshotTable[[#This Row],[Last Price]]) / SnapshotTable[[#This Row],[Last Price]], "")</f>
        <v>-0.17911031193808144</v>
      </c>
      <c r="AP81" s="5">
        <v>101.05</v>
      </c>
      <c r="AQ81" s="38" t="s">
        <v>46</v>
      </c>
      <c r="AR81" s="5">
        <v>101.4</v>
      </c>
      <c r="AS81" s="38" t="s">
        <v>45</v>
      </c>
      <c r="AT81" s="146"/>
      <c r="AU81" s="187" t="str">
        <f>IF(OR(SnapshotTable[[#This Row],[LP No Fill]]="Y",SnapshotTable[[#This Row],[SP Is Filled]],SnapshotTable[[#This Row],[LC Not Filled]]="Y",SnapshotTable[[#This Row],[SC Is Filled]]),"Y","")</f>
        <v/>
      </c>
      <c r="AV81" s="219"/>
      <c r="AW81" s="225"/>
      <c r="AX81" s="220"/>
      <c r="AY81" s="219" t="str">
        <f>IF(SnapshotTable[[#This Row],[Implied Move]]&gt;0, SnapshotTable[[#This Row],[Last Price]]-SnapshotTable[[#This Row],[Implied Move]],"")</f>
        <v/>
      </c>
      <c r="AZ81" s="219" t="str">
        <f>IF(SnapshotTable[[#This Row],[Implied Move]]&gt;0, SnapshotTable[[#This Row],[Last Price]] + SnapshotTable[[#This Row],[Implied Move]],"")</f>
        <v/>
      </c>
      <c r="BA81" s="331"/>
      <c r="BB81" s="347"/>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51"/>
      <c r="BE81" s="5"/>
      <c r="BF81" s="14"/>
      <c r="BG81" s="13"/>
      <c r="BH81" s="13"/>
      <c r="BI81" s="5"/>
      <c r="BJ81" s="136">
        <f>IF(SnapshotTable[[#This Row],[LP Qty]] &gt; 0, SnapshotTable[[#This Row],[LP Qty]] * SnapshotTable[[#This Row],[LP Book Price]] * 100,0)</f>
        <v>0</v>
      </c>
      <c r="BK81" s="136">
        <f>IF(SnapshotTable[[#This Row],[LP Premium]] &gt; 0, SnapshotTable[[#This Row],[LP Qty]] * SnapshotTable[[#This Row],[LP Strike Price]] * 100,0)</f>
        <v>0</v>
      </c>
      <c r="BL81" s="154"/>
      <c r="BM81" s="385" t="str">
        <f>IF(SnapshotTable[[#This Row],[LP Premium]] &gt; 0,SnapshotTable[[#This Row],[LP Exp Date]]-MAX(SnapshotTable[[#This Row],[LP Book Date]], SnapshotTable[[#This Row],[LP Fill Date]]),"")</f>
        <v/>
      </c>
      <c r="BN81" s="385" t="str">
        <f>IF(ISNUMBER( SnapshotTable[[#This Row],[LP Term]]), SnapshotTable[[#This Row],[LP Exp Date]] - MockToday,"")</f>
        <v/>
      </c>
      <c r="BO81" s="163"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7"/>
      <c r="BU81" s="13"/>
      <c r="BV81" s="5"/>
      <c r="BW81" s="419" t="b">
        <f>AND(ISNUMBER(SnapshotTable[[#This Row],[SP Exp Date]]), ISNUMBER(SnapshotTable[[#This Row],[SP Strike Price]]), ISNUMBER(SnapshotTable[[#This Row],[SP Qty]]), ISNUMBER(SnapshotTable[[#This Row],[SP Book Date]]), ISNUMBER(SnapshotTable[[#This Row],[SP Book Price]]))</f>
        <v>0</v>
      </c>
      <c r="BX81" s="419" t="b">
        <f>AND(SnapshotTable[[#This Row],[SP Is Booked]], NOT(ISBLANK(SnapshotTable[[#This Row],[SP Fill Date]])))</f>
        <v>0</v>
      </c>
      <c r="BY81" s="33">
        <f>IF(SnapshotTable[[#This Row],[SP Is Booked]], SnapshotTable[[#This Row],[SP Qty]] * SnapshotTable[[#This Row],[SP Book Price]] * 100, 0)</f>
        <v>0</v>
      </c>
      <c r="BZ81" s="369"/>
      <c r="CA81" s="368">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3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44"/>
      <c r="CK81" s="31">
        <f>IF(ISNUMBER(SnapshotTable[[#This Row],[SP Potential Spend]]),IF(ISNUMBER(SnapshotTable[[#This Row],[SP POW]]), SnapshotTable[[#This Row],[SP POW]] * SnapshotTable[[#This Row],[SP Potential Spend]], SnapshotTable[[#This Row],[SP Potential Spend]]), "")</f>
        <v>0</v>
      </c>
      <c r="CL81" s="164">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8"/>
      <c r="CO81" s="369"/>
      <c r="CP81" s="4" t="str">
        <f>IF(SnapshotTable[[#This Row],[SP Is Filled]], btc_max_buyback_amount(SnapshotTable[[#This Row],[SP Fill Date]],SnapshotTable[[#This Row],[SP Exp Date]], SnapshotTable[[#This Row],[SP Book Price]]),"")</f>
        <v/>
      </c>
      <c r="CQ81" s="78"/>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5" t="str">
        <f>IF(SnapshotTable[[#This Row],[SP Is Filled]], btc_next_cutoff_date(SnapshotTable[[#This Row],[SP Fill Date]],SnapshotTable[[#This Row],[SP Exp Date]]),"")</f>
        <v/>
      </c>
      <c r="CT81" s="23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3"/>
      <c r="CV81" s="235"/>
      <c r="CW81" s="378"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294" t="str">
        <f>IF(ISNUMBER((SnapshotTable[[#This Row],[SP Total Value]])), SnapshotTable[[#This Row],[SP Gain Loss]] / SnapshotTable[[#This Row],[SP Premium]], "")</f>
        <v/>
      </c>
      <c r="DI81" s="406"/>
      <c r="DJ81" s="138"/>
      <c r="DK81" s="148"/>
      <c r="DL81" s="13"/>
      <c r="DM81" s="13"/>
      <c r="DO81" s="31">
        <f>IF(SnapshotTable[[#This Row],[LC Symbol Count]]=1, SnapshotTable[[#This Row],[LC Qty]] * SnapshotTable[[#This Row],[LC Book Price]] * 100, 0)</f>
        <v>0</v>
      </c>
      <c r="DP81" s="163" t="str">
        <f>IF(AND(SnapshotTable[[#This Row],[LC Exp Date]]&gt;0, SnapshotTable[[#This Row],[LC Strike Price]]&gt;0,SnapshotTable[[#This Row],[LC Qty]]&gt;0,SnapshotTable[[#This Row],[LC Book Date]]&gt;0,SnapshotTable[[#This Row],[LC Book Price]]&gt;0,SnapshotTable[[#This Row],[LC Fill Date]]=0),"Y","")</f>
        <v/>
      </c>
      <c r="DQ81" s="386" t="str">
        <f>IF(SnapshotTable[[#This Row],[LC Premium]] &gt; 0,SnapshotTable[[#This Row],[LC Exp Date]]-MAX(SnapshotTable[[#This Row],[LC Book Date]], SnapshotTable[[#This Row],[LC Fill Date]]),"")</f>
        <v/>
      </c>
      <c r="DR81" s="386" t="str">
        <f>IF(ISNUMBER(SnapshotTable[[#This Row],[LC Term]]), SnapshotTable[[#This Row],[LC Exp Date]] - MockToday, "")</f>
        <v/>
      </c>
      <c r="DS81" s="23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40" t="str">
        <f>IF(ISNUMBER(SnapshotTable[[#This Row],[LC Actual Gain Loss]]), SnapshotTable[[#This Row],[LC Actual Gain Loss]] / SnapshotTable[[#This Row],[LC Premium]],"")</f>
        <v/>
      </c>
      <c r="DX81" s="284" t="str">
        <f>IF(ISNUMBER(SnapshotTable[[#This Row],[LC Book Price]]),SnapshotTable[[#This Row],[LC Book Price]] * 1.5,"")</f>
        <v/>
      </c>
      <c r="DY81" s="265" t="str">
        <f>IF(SnapshotTable[[#This Row],[LC Premium]]&gt;0, SnapshotTable[[#This Row],[LC Next Target]] * SnapshotTable[[#This Row],[LC Qty]] * 100,"")</f>
        <v/>
      </c>
      <c r="DZ81" s="265" t="str">
        <f>IF(ISNUMBER(SnapshotTable[[#This Row],[LC Target Gross]]), SnapshotTable[[#This Row],[LC Target Gross]] - SnapshotTable[[#This Row],[LC Premium]], "")</f>
        <v/>
      </c>
      <c r="EA81" s="305" t="str">
        <f>IF(ISNUMBER(SnapshotTable[[#This Row],[LC Target Gain Loss]]), SnapshotTable[[#This Row],[LC Target Gain Loss]]/SnapshotTable[[#This Row],[LC Premium]], "")</f>
        <v/>
      </c>
      <c r="EB81" s="262"/>
      <c r="EC81" s="283" t="str">
        <f>IF(SnapshotTable[[#This Row],[LC Premium]]&gt;0, SnapshotTable[[#This Row],[LC Book Price]] * (1 - LC_StopLoss_Pct),"")</f>
        <v/>
      </c>
      <c r="ED81" s="284"/>
      <c r="EE81" s="28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4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7"/>
      <c r="EL81" s="138"/>
      <c r="EM81" s="148"/>
      <c r="EN81" s="147"/>
      <c r="EO81" s="147"/>
      <c r="EP81" s="138"/>
      <c r="EQ81" s="419" t="b">
        <f>AND(ISNUMBER(SnapshotTable[[#This Row],[SC Exp Date]]), ISNUMBER(SnapshotTable[[#This Row],[SC Strike Price]]), ISNUMBER(SnapshotTable[[#This Row],[SC Qty]]), ISNUMBER(SnapshotTable[[#This Row],[SC Book Date]]), ISNUMBER(SnapshotTable[[#This Row],[SC Book Price]]))</f>
        <v>0</v>
      </c>
      <c r="ER81" s="419" t="b">
        <f>AND(SnapshotTable[[#This Row],[SC Is Booked]], NOT(ISBLANK(SnapshotTable[[#This Row],[SC Fill Date]])))</f>
        <v>0</v>
      </c>
      <c r="ES81" s="370"/>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3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283"/>
      <c r="FA81" s="218"/>
      <c r="FB81" s="370"/>
      <c r="FC81" s="4">
        <f>IF(SnapshotTable[[#This Row],[SC Is Filled]], btc_max_buyback_amount(SnapshotTable[[#This Row],[SC Fill Date]],SnapshotTable[[#This Row],[SC Exp Date]], SnapshotTable[[#This Row],[SC Book Price]]),0)</f>
        <v>0</v>
      </c>
      <c r="FD81" s="5"/>
      <c r="FE81" s="144"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382">
        <f>IF(SnapshotTable[[#This Row],[SC Is Filled]], IF(ISNUMBER(SnapshotTable[[#This Row],[SC Current Ask]]), SnapshotTable[[#This Row],[SC Current Ask]], SnapshotTable[[#This Row],[SC Book Price]]) - SnapshotTable[[#This Row],[SC Intrinsic Value]], 0)</f>
        <v>0</v>
      </c>
      <c r="FI81" s="143"/>
      <c r="FJ81" s="32" t="str">
        <f>IF(SnapshotTable[[#This Row],[SC Is Filled]],100 * SnapshotTable[[#This Row],[SC Qty]] * IF(ISNUMBER(SnapshotTable[[#This Row],[SC Buyback Override]]), SnapshotTable[[#This Row],[SC Buyback Override]], SnapshotTable[[#This Row],[SC Current Ask]]), "")</f>
        <v/>
      </c>
      <c r="FK81" s="250" t="str">
        <f>IF(SnapshotTable[[#This Row],[SC Time Val]]&gt;0, SnapshotTable[[#This Row],[SC Time Val]] / SnapshotTable[[#This Row],[Last Price]],"")</f>
        <v/>
      </c>
      <c r="FL81" s="302" t="str">
        <f>IF(SnapshotTable[[#This Row],[SC Is Booked]], ((SnapshotTable[[#This Row],[Last Price]] -SnapshotTable[[#This Row],[SC Strike Price]]) / SnapshotTable[[#This Row],[Last Price]]) * -1, "")</f>
        <v/>
      </c>
      <c r="FM81" s="157"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33"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36" t="str">
        <f>IF(AND(ISNUMBER(SnapshotTable[[#This Row],[SC Simple ROO]]),SnapshotTable[[#This Row],[SC Simple ROO]] &gt; 0), SnapshotTable[[#This Row],[SC Premium]] + (SnapshotTable[[#This Row],[SC Qty]] * SnapshotTable[[#This Row],[SC Upside Potential]]), "")</f>
        <v/>
      </c>
      <c r="FX81" s="302" t="str" cm="1">
        <f t="array" ref="FX81">IF(ISNUMBER(SnapshotTable[[#This Row],[SC Max Dollars]]), annualize(SnapshotTable[[#This Row],[SC Term]],(SnapshotTable[[#This Row],[SC Max Dollars]]/SnapshotTable[[#This Row],[SC Basis]])),"")</f>
        <v/>
      </c>
      <c r="FY81" s="23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29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249.42449999999999</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660</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31">
        <f>MAX(SnapshotTable[[#This Row],[Equity Basis Total]],SnapshotTable[[#This Row],[Equity Value]]) + (SnapshotTable[[#This Row],[SP Potential Spend]]- SnapshotTable[[#This Row],[SP Premium]] + SnapshotTable[[#This Row],[LP Premium]])+ (SnapshotTable[[#This Row],[LC Premium]] - SnapshotTable[[#This Row],[SC Premium]])</f>
        <v>0</v>
      </c>
      <c r="GW81" s="139" t="str">
        <f>IF(AND(SnapshotTable[[#This Row],[Exposure]] &lt;&gt; 0),SnapshotTable[[#This Row],[Exposure]] / SnapshotTable[[#Totals],[Exposure]], "")</f>
        <v/>
      </c>
      <c r="HE81" s="268"/>
      <c r="HF81" s="268"/>
      <c r="HK81" s="1"/>
      <c r="HL81" s="1"/>
      <c r="HM81" s="1"/>
      <c r="HN81" s="1"/>
      <c r="HO81" s="1"/>
      <c r="HP81" s="1"/>
    </row>
    <row r="82" spans="2:224" ht="12.75" hidden="1" customHeight="1" x14ac:dyDescent="0.25">
      <c r="B82" s="12" t="s">
        <v>965</v>
      </c>
      <c r="C82" s="422">
        <v>21.52</v>
      </c>
      <c r="D82" s="208" t="s">
        <v>578</v>
      </c>
      <c r="E82" s="39">
        <f>SnapshotTable[[#This Row],[Last Price]]*(1 -CrashDiscount)</f>
        <v>18.291999999999998</v>
      </c>
      <c r="F82" s="26" t="s">
        <v>904</v>
      </c>
      <c r="G82" s="26" t="s">
        <v>610</v>
      </c>
      <c r="H82" s="149"/>
      <c r="I82" s="194">
        <v>44804.670138888891</v>
      </c>
      <c r="J82" s="195">
        <v>44804.670138888891</v>
      </c>
      <c r="K82" s="196"/>
      <c r="L82" s="326"/>
      <c r="M82" s="140"/>
      <c r="N82" s="140"/>
      <c r="O82" s="140"/>
      <c r="P82" s="22"/>
      <c r="Q82" s="25"/>
      <c r="R82" s="4" t="str">
        <f>IF(SnapshotTable[[#This Row],[Equity Basis Total]] &gt; 0, SnapshotTable[[#This Row],[Equity Basis Total]] / SnapshotTable[[#This Row],[Equity Shares]], "")</f>
        <v/>
      </c>
      <c r="S82" s="269">
        <f>SnapshotTable[[#This Row],[Last Price]] * SnapshotTable[[#This Row],[Equity Shares]]</f>
        <v>0</v>
      </c>
      <c r="T82" s="269">
        <f>SnapshotTable[[#This Row],[Equity Value]] - SnapshotTable[[#This Row],[Equity Basis Total]]</f>
        <v>0</v>
      </c>
      <c r="U82" s="270" t="str">
        <f>IF(SnapshotTable[[#This Row],[Equity Basis Total]] &gt; 0, SnapshotTable[[#This Row],[Equity G/L]] / SnapshotTable[[#This Row],[Equity Basis Total]], "")</f>
        <v/>
      </c>
      <c r="V82" s="268"/>
      <c r="W82" s="26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7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0"/>
      <c r="AD82" s="151"/>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1"/>
      <c r="AI82" s="5"/>
      <c r="AJ82" s="138">
        <v>101.42</v>
      </c>
      <c r="AK82" s="152" t="str">
        <f>IF(ISNUMBER( SnapshotTable[[#This Row],[EBF Target]]),(SnapshotTable[[#This Row],[EBF Target]] - SnapshotTable[[#This Row],[Last Price]]) / SnapshotTable[[#This Row],[Last Price]], "")</f>
        <v/>
      </c>
      <c r="AL82" s="152"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2">
        <f>IF(AND(ISNUMBER( SnapshotTable[[#This Row],[Long Term Target]]), ISNUMBER(SnapshotTable[[#This Row],[Last Price]])),(SnapshotTable[[#This Row],[Long Term Target]] - SnapshotTable[[#This Row],[Last Price]]) / SnapshotTable[[#This Row],[Last Price]], "")</f>
        <v>3.7128252788104095</v>
      </c>
      <c r="AP82" s="5">
        <v>120</v>
      </c>
      <c r="AQ82" s="38" t="s">
        <v>46</v>
      </c>
      <c r="AR82" s="5">
        <v>106.83</v>
      </c>
      <c r="AS82" s="38" t="s">
        <v>32</v>
      </c>
      <c r="AT82" s="146"/>
      <c r="AU82" s="187" t="str">
        <f>IF(OR(SnapshotTable[[#This Row],[LP No Fill]]="Y",SnapshotTable[[#This Row],[SP Is Filled]],SnapshotTable[[#This Row],[LC Not Filled]]="Y",SnapshotTable[[#This Row],[SC Is Filled]]),"Y","")</f>
        <v/>
      </c>
      <c r="AV82" s="219"/>
      <c r="AW82" s="225"/>
      <c r="AX82" s="220"/>
      <c r="AY82" s="219" t="str">
        <f>IF(SnapshotTable[[#This Row],[Implied Move]]&gt;0, SnapshotTable[[#This Row],[Last Price]]-SnapshotTable[[#This Row],[Implied Move]],"")</f>
        <v/>
      </c>
      <c r="AZ82" s="219" t="str">
        <f>IF(SnapshotTable[[#This Row],[Implied Move]]&gt;0, SnapshotTable[[#This Row],[Last Price]] + SnapshotTable[[#This Row],[Implied Move]],"")</f>
        <v/>
      </c>
      <c r="BA82" s="331">
        <v>37.56</v>
      </c>
      <c r="BB82" s="347"/>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51"/>
      <c r="BE82" s="174"/>
      <c r="BF82" s="175"/>
      <c r="BG82" s="176"/>
      <c r="BH82" s="176"/>
      <c r="BI82" s="5"/>
      <c r="BJ82" s="153">
        <f>IF(SnapshotTable[[#This Row],[LP Qty]] &gt; 0, SnapshotTable[[#This Row],[LP Qty]] * SnapshotTable[[#This Row],[LP Book Price]] * 100,0)</f>
        <v>0</v>
      </c>
      <c r="BK82" s="136">
        <f>IF(SnapshotTable[[#This Row],[LP Premium]] &gt; 0, SnapshotTable[[#This Row],[LP Qty]] * SnapshotTable[[#This Row],[LP Strike Price]] * 100,0)</f>
        <v>0</v>
      </c>
      <c r="BL82" s="154"/>
      <c r="BM82" s="385" t="str">
        <f>IF(SnapshotTable[[#This Row],[LP Premium]] &gt; 0,SnapshotTable[[#This Row],[LP Exp Date]]-MAX(SnapshotTable[[#This Row],[LP Book Date]], SnapshotTable[[#This Row],[LP Fill Date]]),"")</f>
        <v/>
      </c>
      <c r="BN82" s="385" t="str">
        <f>IF(ISNUMBER( SnapshotTable[[#This Row],[LP Term]]), SnapshotTable[[#This Row],[LP Exp Date]] - MockToday,"")</f>
        <v/>
      </c>
      <c r="BO82" s="163"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7"/>
      <c r="BU82" s="13"/>
      <c r="BV82" s="5"/>
      <c r="BW82" s="419" t="b">
        <f>AND(ISNUMBER(SnapshotTable[[#This Row],[SP Exp Date]]), ISNUMBER(SnapshotTable[[#This Row],[SP Strike Price]]), ISNUMBER(SnapshotTable[[#This Row],[SP Qty]]), ISNUMBER(SnapshotTable[[#This Row],[SP Book Date]]), ISNUMBER(SnapshotTable[[#This Row],[SP Book Price]]))</f>
        <v>0</v>
      </c>
      <c r="BX82" s="419" t="b">
        <f>AND(SnapshotTable[[#This Row],[SP Is Booked]], NOT(ISBLANK(SnapshotTable[[#This Row],[SP Fill Date]])))</f>
        <v>0</v>
      </c>
      <c r="BY82" s="33">
        <f>IF(SnapshotTable[[#This Row],[SP Is Booked]], SnapshotTable[[#This Row],[SP Qty]] * SnapshotTable[[#This Row],[SP Book Price]] * 100, 0)</f>
        <v>0</v>
      </c>
      <c r="BZ82" s="369"/>
      <c r="CA82" s="368">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3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44"/>
      <c r="CK82" s="31">
        <f>IF(ISNUMBER(SnapshotTable[[#This Row],[SP Potential Spend]]),IF(ISNUMBER(SnapshotTable[[#This Row],[SP POW]]), SnapshotTable[[#This Row],[SP POW]] * SnapshotTable[[#This Row],[SP Potential Spend]], SnapshotTable[[#This Row],[SP Potential Spend]]), "")</f>
        <v>0</v>
      </c>
      <c r="CL82" s="164">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4"/>
      <c r="CO82" s="369"/>
      <c r="CP82" s="4" t="str">
        <f>IF(SnapshotTable[[#This Row],[SP Is Filled]], btc_max_buyback_amount(SnapshotTable[[#This Row],[SP Fill Date]],SnapshotTable[[#This Row],[SP Exp Date]], SnapshotTable[[#This Row],[SP Book Price]]),"")</f>
        <v/>
      </c>
      <c r="CQ82" s="78"/>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5" t="str">
        <f>IF(SnapshotTable[[#This Row],[SP Is Filled]], btc_next_cutoff_date(SnapshotTable[[#This Row],[SP Fill Date]],SnapshotTable[[#This Row],[SP Exp Date]]),"")</f>
        <v/>
      </c>
      <c r="CT82" s="23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6"/>
      <c r="CV82" s="235"/>
      <c r="CW82" s="378"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294" t="str">
        <f>IF(ISNUMBER((SnapshotTable[[#This Row],[SP Total Value]])), SnapshotTable[[#This Row],[SP Gain Loss]] / SnapshotTable[[#This Row],[SP Premium]], "")</f>
        <v/>
      </c>
      <c r="DI82" s="406"/>
      <c r="DJ82" s="138"/>
      <c r="DK82" s="148"/>
      <c r="DL82" s="13"/>
      <c r="DM82" s="13"/>
      <c r="DO82" s="31">
        <f>IF(SnapshotTable[[#This Row],[LC Symbol Count]]=1, SnapshotTable[[#This Row],[LC Qty]] * SnapshotTable[[#This Row],[LC Book Price]] * 100, 0)</f>
        <v>0</v>
      </c>
      <c r="DP82" s="163" t="str">
        <f>IF(AND(SnapshotTable[[#This Row],[LC Exp Date]]&gt;0, SnapshotTable[[#This Row],[LC Strike Price]]&gt;0,SnapshotTable[[#This Row],[LC Qty]]&gt;0,SnapshotTable[[#This Row],[LC Book Date]]&gt;0,SnapshotTable[[#This Row],[LC Book Price]]&gt;0,SnapshotTable[[#This Row],[LC Fill Date]]=0),"Y","")</f>
        <v/>
      </c>
      <c r="DQ82" s="386" t="str">
        <f>IF(SnapshotTable[[#This Row],[LC Premium]] &gt; 0,SnapshotTable[[#This Row],[LC Exp Date]]-MAX(SnapshotTable[[#This Row],[LC Book Date]], SnapshotTable[[#This Row],[LC Fill Date]]),"")</f>
        <v/>
      </c>
      <c r="DR82" s="386" t="str">
        <f>IF(ISNUMBER(SnapshotTable[[#This Row],[LC Term]]), SnapshotTable[[#This Row],[LC Exp Date]] - MockToday, "")</f>
        <v/>
      </c>
      <c r="DS82" s="23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40" t="str">
        <f>IF(ISNUMBER(SnapshotTable[[#This Row],[LC Actual Gain Loss]]), SnapshotTable[[#This Row],[LC Actual Gain Loss]] / SnapshotTable[[#This Row],[LC Premium]],"")</f>
        <v/>
      </c>
      <c r="DX82" s="284" t="str">
        <f>IF(ISNUMBER(SnapshotTable[[#This Row],[LC Book Price]]),SnapshotTable[[#This Row],[LC Book Price]] * 1.5,"")</f>
        <v/>
      </c>
      <c r="DY82" s="265" t="str">
        <f>IF(SnapshotTable[[#This Row],[LC Premium]]&gt;0, SnapshotTable[[#This Row],[LC Next Target]] * SnapshotTable[[#This Row],[LC Qty]] * 100,"")</f>
        <v/>
      </c>
      <c r="DZ82" s="265" t="str">
        <f>IF(ISNUMBER(SnapshotTable[[#This Row],[LC Target Gross]]), SnapshotTable[[#This Row],[LC Target Gross]] - SnapshotTable[[#This Row],[LC Premium]], "")</f>
        <v/>
      </c>
      <c r="EA82" s="305" t="str">
        <f>IF(ISNUMBER(SnapshotTable[[#This Row],[LC Target Gain Loss]]), SnapshotTable[[#This Row],[LC Target Gain Loss]]/SnapshotTable[[#This Row],[LC Premium]], "")</f>
        <v/>
      </c>
      <c r="EB82" s="262"/>
      <c r="EC82" s="283" t="str">
        <f>IF(SnapshotTable[[#This Row],[LC Premium]]&gt;0, SnapshotTable[[#This Row],[LC Book Price]] * (1 - LC_StopLoss_Pct),"")</f>
        <v/>
      </c>
      <c r="ED82" s="284" t="s">
        <v>966</v>
      </c>
      <c r="EE82" s="28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4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7"/>
      <c r="EL82" s="138"/>
      <c r="EM82" s="148"/>
      <c r="EN82" s="147"/>
      <c r="EO82" s="147"/>
      <c r="EP82" s="138"/>
      <c r="EQ82" s="419" t="b">
        <f>AND(ISNUMBER(SnapshotTable[[#This Row],[SC Exp Date]]), ISNUMBER(SnapshotTable[[#This Row],[SC Strike Price]]), ISNUMBER(SnapshotTable[[#This Row],[SC Qty]]), ISNUMBER(SnapshotTable[[#This Row],[SC Book Date]]), ISNUMBER(SnapshotTable[[#This Row],[SC Book Price]]))</f>
        <v>0</v>
      </c>
      <c r="ER82" s="419" t="b">
        <f>AND(SnapshotTable[[#This Row],[SC Is Booked]], NOT(ISBLANK(SnapshotTable[[#This Row],[SC Fill Date]])))</f>
        <v>0</v>
      </c>
      <c r="ES82" s="370"/>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3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283"/>
      <c r="FA82" s="218"/>
      <c r="FB82" s="370"/>
      <c r="FC82" s="4">
        <f>IF(SnapshotTable[[#This Row],[SC Is Filled]], btc_max_buyback_amount(SnapshotTable[[#This Row],[SC Fill Date]],SnapshotTable[[#This Row],[SC Exp Date]], SnapshotTable[[#This Row],[SC Book Price]]),0)</f>
        <v>0</v>
      </c>
      <c r="FD82" s="5"/>
      <c r="FE82" s="144"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382">
        <f>IF(SnapshotTable[[#This Row],[SC Is Filled]], IF(ISNUMBER(SnapshotTable[[#This Row],[SC Current Ask]]), SnapshotTable[[#This Row],[SC Current Ask]], SnapshotTable[[#This Row],[SC Book Price]]) - SnapshotTable[[#This Row],[SC Intrinsic Value]], 0)</f>
        <v>0</v>
      </c>
      <c r="FI82" s="143"/>
      <c r="FJ82" s="32" t="str">
        <f>IF(SnapshotTable[[#This Row],[SC Is Filled]],100 * SnapshotTable[[#This Row],[SC Qty]] * IF(ISNUMBER(SnapshotTable[[#This Row],[SC Buyback Override]]), SnapshotTable[[#This Row],[SC Buyback Override]], SnapshotTable[[#This Row],[SC Current Ask]]), "")</f>
        <v/>
      </c>
      <c r="FK82" s="250" t="str">
        <f>IF(SnapshotTable[[#This Row],[SC Time Val]]&gt;0, SnapshotTable[[#This Row],[SC Time Val]] / SnapshotTable[[#This Row],[Last Price]],"")</f>
        <v/>
      </c>
      <c r="FL82" s="302" t="str">
        <f>IF(SnapshotTable[[#This Row],[SC Is Booked]], ((SnapshotTable[[#This Row],[Last Price]] -SnapshotTable[[#This Row],[SC Strike Price]]) / SnapshotTable[[#This Row],[Last Price]]) * -1, "")</f>
        <v/>
      </c>
      <c r="FM82" s="157" t="str">
        <f>IF(SnapshotTable[[#This Row],[SC Is Booked]],  (SnapshotTable[[#This Row],[SC Qty]] * 100 * SnapshotTable[[#This Row],[SC Strike Price]]) - SnapshotTable[[#This Row],[SC Current Ask]], "")</f>
        <v/>
      </c>
      <c r="FN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7"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33"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36" t="str">
        <f>IF(AND(ISNUMBER(SnapshotTable[[#This Row],[SC Simple ROO]]),SnapshotTable[[#This Row],[SC Simple ROO]] &gt; 0), SnapshotTable[[#This Row],[SC Premium]] + (SnapshotTable[[#This Row],[SC Qty]] * SnapshotTable[[#This Row],[SC Upside Potential]]), "")</f>
        <v/>
      </c>
      <c r="FX82" s="302" t="str" cm="1">
        <f t="array" ref="FX82">IF(ISNUMBER(SnapshotTable[[#This Row],[SC Max Dollars]]), annualize(SnapshotTable[[#This Row],[SC Term]],(SnapshotTable[[#This Row],[SC Max Dollars]]/SnapshotTable[[#This Row],[SC Basis]])),"")</f>
        <v/>
      </c>
      <c r="FY82" s="23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294" t="str">
        <f>IFERROR( IF(ISNUMBER((SnapshotTable[[#This Row],[SC Current Value]])), SnapshotTable[[#This Row],[SC Gain Loss]] / SnapshotTable[[#This Row],[SC Premium]], ""), "")</f>
        <v/>
      </c>
      <c r="GB82" s="177">
        <f>SnapshotTable[[#This Row],[Equity Shares]] * SaleSharesToConsiderPercentage</f>
        <v>0</v>
      </c>
      <c r="GC82" s="178">
        <f>SnapshotTable[[#This Row],[Long Term Target]] * SellingPriceToConsiderBasedOnTargetPercentage</f>
        <v>96.349000000000004</v>
      </c>
      <c r="GD82" s="178">
        <f>SnapshotTable[[#This Row],[Last Price]] * (1+ SellingPriceToConsiderBasedOnTargetPercentage)</f>
        <v>41.963999999999999</v>
      </c>
      <c r="GE82" s="179"/>
      <c r="GF82" s="178"/>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8" t="str">
        <f>IF(SnapshotTable[[#This Row],[Sale G/L]]&gt;0, SnapshotTable[[#This Row],[Sale G/L]] / SnapshotTable[[#This Row],[Sale Basis]], IF(ISNUMBER(SnapshotTable[[#This Row],[SC Exercise P&amp;L (TAX)]]), SnapshotTable[[#This Row],[SC Exercise P&amp;L (TAX)]] / SnapshotTable[[#This Row],[SC Basis]], ""))</f>
        <v/>
      </c>
      <c r="GK82" s="158"/>
      <c r="GL82" s="159"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59" t="str">
        <f>IF(AND(SnapshotTable[[#This Row],[LC Exp Date]]&gt;0,SnapshotTable[[#This Row],[LC Strike Price]]&gt;0), [1]!ToOptionSymbol(SnapshotTable[[#This Row],[Symbol]], SnapshotTable[[#This Row],[LC Strike Price]],SnapshotTable[[#This Row],[LC Exp Date]],0), "")</f>
        <v/>
      </c>
      <c r="GQ82" s="160" t="str">
        <f>IF(LEN(SnapshotTable[[#This Row],[LC Symbol]])&gt;0, 1, "")</f>
        <v/>
      </c>
      <c r="GR82" s="159" t="str">
        <f>IF(AND(SnapshotTable[[#This Row],[SC Exp Date]]&gt;0,SnapshotTable[[#This Row],[SC Strike Price]]&gt;0), [1]!ToOptionSymbol(SnapshotTable[[#This Row],[Symbol]], SnapshotTable[[#This Row],[SC Strike Price]],SnapshotTable[[#This Row],[SC Exp Date]],0), "")</f>
        <v/>
      </c>
      <c r="GS82" s="160" t="str">
        <f>IF(LEN(SnapshotTable[[#This Row],[SC Symbol]])&gt;0, 1, "")</f>
        <v/>
      </c>
      <c r="GT82" s="161"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31">
        <f>MAX(SnapshotTable[[#This Row],[Equity Basis Total]],SnapshotTable[[#This Row],[Equity Value]]) + (SnapshotTable[[#This Row],[SP Potential Spend]]- SnapshotTable[[#This Row],[SP Premium]] + SnapshotTable[[#This Row],[LP Premium]])+ (SnapshotTable[[#This Row],[LC Premium]] - SnapshotTable[[#This Row],[SC Premium]])</f>
        <v>0</v>
      </c>
      <c r="GW82" s="139" t="str">
        <f>IF(AND(SnapshotTable[[#This Row],[Exposure]] &lt;&gt; 0),SnapshotTable[[#This Row],[Exposure]] / SnapshotTable[[#Totals],[Exposure]], "")</f>
        <v/>
      </c>
      <c r="HE82" s="268"/>
      <c r="HF82" s="268"/>
      <c r="HK82" s="1"/>
      <c r="HL82" s="1"/>
      <c r="HM82" s="1"/>
      <c r="HN82" s="1"/>
      <c r="HO82" s="1"/>
      <c r="HP82" s="1"/>
    </row>
    <row r="83" spans="2:224" ht="12.75" hidden="1" customHeight="1" x14ac:dyDescent="0.25">
      <c r="B83" s="12" t="s">
        <v>149</v>
      </c>
      <c r="C83" s="422">
        <v>284.85000000000002</v>
      </c>
      <c r="D83" s="208"/>
      <c r="E83" s="39">
        <f>SnapshotTable[[#This Row],[Last Price]]*(1 -CrashDiscount)</f>
        <v>242.1225</v>
      </c>
      <c r="F83" s="26" t="s">
        <v>148</v>
      </c>
      <c r="G83" s="26" t="s">
        <v>49</v>
      </c>
      <c r="H83" s="149"/>
      <c r="I83" s="194">
        <v>44778.25</v>
      </c>
      <c r="J83" s="195">
        <v>44778.25</v>
      </c>
      <c r="K83" s="196"/>
      <c r="L83" s="326"/>
      <c r="M83" s="140"/>
      <c r="N83" s="140"/>
      <c r="O83" s="140"/>
      <c r="P83" s="22"/>
      <c r="Q83" s="25"/>
      <c r="R83" s="4" t="str">
        <f>IF(SnapshotTable[[#This Row],[Equity Basis Total]] &gt; 0, SnapshotTable[[#This Row],[Equity Basis Total]] / SnapshotTable[[#This Row],[Equity Shares]], "")</f>
        <v/>
      </c>
      <c r="S83" s="269">
        <f>SnapshotTable[[#This Row],[Last Price]] * SnapshotTable[[#This Row],[Equity Shares]]</f>
        <v>0</v>
      </c>
      <c r="T83" s="269">
        <f>SnapshotTable[[#This Row],[Equity Value]] - SnapshotTable[[#This Row],[Equity Basis Total]]</f>
        <v>0</v>
      </c>
      <c r="U83" s="270" t="str">
        <f>IF(SnapshotTable[[#This Row],[Equity Basis Total]] &gt; 0, SnapshotTable[[#This Row],[Equity G/L]] / SnapshotTable[[#This Row],[Equity Basis Total]], "")</f>
        <v/>
      </c>
      <c r="V83" s="268"/>
      <c r="W83" s="26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7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0">
        <v>0.04</v>
      </c>
      <c r="AD83" s="151">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1.40424784974548E-4</v>
      </c>
      <c r="AH83" s="151">
        <v>42069</v>
      </c>
      <c r="AI83" s="5"/>
      <c r="AJ83" s="138">
        <v>115</v>
      </c>
      <c r="AK83" s="152" t="str">
        <f>IF(ISNUMBER( SnapshotTable[[#This Row],[EBF Target]]),(SnapshotTable[[#This Row],[EBF Target]] - SnapshotTable[[#This Row],[Last Price]]) / SnapshotTable[[#This Row],[Last Price]], "")</f>
        <v/>
      </c>
      <c r="AL83" s="152"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2">
        <f>IF(AND(ISNUMBER( SnapshotTable[[#This Row],[Long Term Target]]), ISNUMBER(SnapshotTable[[#This Row],[Last Price]])),(SnapshotTable[[#This Row],[Long Term Target]] - SnapshotTable[[#This Row],[Last Price]]) / SnapshotTable[[#This Row],[Last Price]], "")</f>
        <v>-0.59627874319817453</v>
      </c>
      <c r="AP83" s="5"/>
      <c r="AQ83" s="38"/>
      <c r="AR83" s="5"/>
      <c r="AS83" s="38"/>
      <c r="AT83" s="146"/>
      <c r="AU83" s="187" t="str">
        <f>IF(OR(SnapshotTable[[#This Row],[LP No Fill]]="Y",SnapshotTable[[#This Row],[SP Is Filled]],SnapshotTable[[#This Row],[LC Not Filled]]="Y",SnapshotTable[[#This Row],[SC Is Filled]]),"Y","")</f>
        <v/>
      </c>
      <c r="AV83" s="219"/>
      <c r="AW83" s="225"/>
      <c r="AX83" s="220"/>
      <c r="AY83" s="219" t="str">
        <f>IF(SnapshotTable[[#This Row],[Implied Move]]&gt;0, SnapshotTable[[#This Row],[Last Price]]-SnapshotTable[[#This Row],[Implied Move]],"")</f>
        <v/>
      </c>
      <c r="AZ83" s="219" t="str">
        <f>IF(SnapshotTable[[#This Row],[Implied Move]]&gt;0, SnapshotTable[[#This Row],[Last Price]] + SnapshotTable[[#This Row],[Implied Move]],"")</f>
        <v/>
      </c>
      <c r="BA83" s="331"/>
      <c r="BB83" s="347"/>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51"/>
      <c r="BE83" s="5"/>
      <c r="BF83" s="14"/>
      <c r="BG83" s="13"/>
      <c r="BH83" s="13">
        <v>42814</v>
      </c>
      <c r="BI83" s="5"/>
      <c r="BJ83" s="136">
        <f>IF(SnapshotTable[[#This Row],[LP Qty]] &gt; 0, SnapshotTable[[#This Row],[LP Qty]] * SnapshotTable[[#This Row],[LP Book Price]] * 100,0)</f>
        <v>0</v>
      </c>
      <c r="BK83" s="136">
        <f>IF(SnapshotTable[[#This Row],[LP Premium]] &gt; 0, SnapshotTable[[#This Row],[LP Qty]] * SnapshotTable[[#This Row],[LP Strike Price]] * 100,0)</f>
        <v>0</v>
      </c>
      <c r="BL83" s="154"/>
      <c r="BM83" s="385" t="str">
        <f>IF(SnapshotTable[[#This Row],[LP Premium]] &gt; 0,SnapshotTable[[#This Row],[LP Exp Date]]-MAX(SnapshotTable[[#This Row],[LP Book Date]], SnapshotTable[[#This Row],[LP Fill Date]]),"")</f>
        <v/>
      </c>
      <c r="BN83" s="385" t="str">
        <f>IF(ISNUMBER( SnapshotTable[[#This Row],[LP Term]]), SnapshotTable[[#This Row],[LP Exp Date]] - MockToday,"")</f>
        <v/>
      </c>
      <c r="BO83" s="163"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7"/>
      <c r="BU83" s="13"/>
      <c r="BV83" s="5"/>
      <c r="BW83" s="419" t="b">
        <f>AND(ISNUMBER(SnapshotTable[[#This Row],[SP Exp Date]]), ISNUMBER(SnapshotTable[[#This Row],[SP Strike Price]]), ISNUMBER(SnapshotTable[[#This Row],[SP Qty]]), ISNUMBER(SnapshotTable[[#This Row],[SP Book Date]]), ISNUMBER(SnapshotTable[[#This Row],[SP Book Price]]))</f>
        <v>0</v>
      </c>
      <c r="BX83" s="419" t="b">
        <f>AND(SnapshotTable[[#This Row],[SP Is Booked]], NOT(ISBLANK(SnapshotTable[[#This Row],[SP Fill Date]])))</f>
        <v>0</v>
      </c>
      <c r="BY83" s="33">
        <f>IF(SnapshotTable[[#This Row],[SP Is Booked]], SnapshotTable[[#This Row],[SP Qty]] * SnapshotTable[[#This Row],[SP Book Price]] * 100, 0)</f>
        <v>0</v>
      </c>
      <c r="BZ83" s="369"/>
      <c r="CA83" s="368">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3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44"/>
      <c r="CK83" s="31">
        <f>IF(ISNUMBER(SnapshotTable[[#This Row],[SP Potential Spend]]),IF(ISNUMBER(SnapshotTable[[#This Row],[SP POW]]), SnapshotTable[[#This Row],[SP POW]] * SnapshotTable[[#This Row],[SP Potential Spend]], SnapshotTable[[#This Row],[SP Potential Spend]]), "")</f>
        <v>0</v>
      </c>
      <c r="CL83" s="164">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8"/>
      <c r="CO83" s="369"/>
      <c r="CP83" s="4" t="str">
        <f>IF(SnapshotTable[[#This Row],[SP Is Filled]], btc_max_buyback_amount(SnapshotTable[[#This Row],[SP Fill Date]],SnapshotTable[[#This Row],[SP Exp Date]], SnapshotTable[[#This Row],[SP Book Price]]),"")</f>
        <v/>
      </c>
      <c r="CQ83" s="78"/>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5" t="str">
        <f>IF(SnapshotTable[[#This Row],[SP Is Filled]], btc_next_cutoff_date(SnapshotTable[[#This Row],[SP Fill Date]],SnapshotTable[[#This Row],[SP Exp Date]]),"")</f>
        <v/>
      </c>
      <c r="CT83" s="23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3"/>
      <c r="CV83" s="235"/>
      <c r="CW83" s="378"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294" t="str">
        <f>IF(ISNUMBER((SnapshotTable[[#This Row],[SP Total Value]])), SnapshotTable[[#This Row],[SP Gain Loss]] / SnapshotTable[[#This Row],[SP Premium]], "")</f>
        <v/>
      </c>
      <c r="DI83" s="406"/>
      <c r="DJ83" s="138"/>
      <c r="DK83" s="148"/>
      <c r="DL83" s="13"/>
      <c r="DM83" s="13"/>
      <c r="DO83" s="31">
        <f>IF(SnapshotTable[[#This Row],[LC Symbol Count]]=1, SnapshotTable[[#This Row],[LC Qty]] * SnapshotTable[[#This Row],[LC Book Price]] * 100, 0)</f>
        <v>0</v>
      </c>
      <c r="DP83" s="163" t="str">
        <f>IF(AND(SnapshotTable[[#This Row],[LC Exp Date]]&gt;0, SnapshotTable[[#This Row],[LC Strike Price]]&gt;0,SnapshotTable[[#This Row],[LC Qty]]&gt;0,SnapshotTable[[#This Row],[LC Book Date]]&gt;0,SnapshotTable[[#This Row],[LC Book Price]]&gt;0,SnapshotTable[[#This Row],[LC Fill Date]]=0),"Y","")</f>
        <v/>
      </c>
      <c r="DQ83" s="386" t="str">
        <f>IF(SnapshotTable[[#This Row],[LC Premium]] &gt; 0,SnapshotTable[[#This Row],[LC Exp Date]]-MAX(SnapshotTable[[#This Row],[LC Book Date]], SnapshotTable[[#This Row],[LC Fill Date]]),"")</f>
        <v/>
      </c>
      <c r="DR83" s="386" t="str">
        <f>IF(ISNUMBER(SnapshotTable[[#This Row],[LC Term]]), SnapshotTable[[#This Row],[LC Exp Date]] - MockToday, "")</f>
        <v/>
      </c>
      <c r="DS83" s="23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40" t="str">
        <f>IF(ISNUMBER(SnapshotTable[[#This Row],[LC Actual Gain Loss]]), SnapshotTable[[#This Row],[LC Actual Gain Loss]] / SnapshotTable[[#This Row],[LC Premium]],"")</f>
        <v/>
      </c>
      <c r="DX83" s="284" t="str">
        <f>IF(ISNUMBER(SnapshotTable[[#This Row],[LC Book Price]]),SnapshotTable[[#This Row],[LC Book Price]] * 1.5,"")</f>
        <v/>
      </c>
      <c r="DY83" s="265" t="str">
        <f>IF(SnapshotTable[[#This Row],[LC Premium]]&gt;0, SnapshotTable[[#This Row],[LC Next Target]] * SnapshotTable[[#This Row],[LC Qty]] * 100,"")</f>
        <v/>
      </c>
      <c r="DZ83" s="265" t="str">
        <f>IF(ISNUMBER(SnapshotTable[[#This Row],[LC Target Gross]]), SnapshotTable[[#This Row],[LC Target Gross]] - SnapshotTable[[#This Row],[LC Premium]], "")</f>
        <v/>
      </c>
      <c r="EA83" s="305" t="str">
        <f>IF(ISNUMBER(SnapshotTable[[#This Row],[LC Target Gain Loss]]), SnapshotTable[[#This Row],[LC Target Gain Loss]]/SnapshotTable[[#This Row],[LC Premium]], "")</f>
        <v/>
      </c>
      <c r="EB83" s="262"/>
      <c r="EC83" s="283" t="str">
        <f>IF(SnapshotTable[[#This Row],[LC Premium]]&gt;0, SnapshotTable[[#This Row],[LC Book Price]] * (1 - LC_StopLoss_Pct),"")</f>
        <v/>
      </c>
      <c r="ED83" s="284"/>
      <c r="EE83" s="28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4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7"/>
      <c r="EL83" s="138"/>
      <c r="EM83" s="148"/>
      <c r="EN83" s="147"/>
      <c r="EO83" s="147"/>
      <c r="EP83" s="138"/>
      <c r="EQ83" s="419" t="b">
        <f>AND(ISNUMBER(SnapshotTable[[#This Row],[SC Exp Date]]), ISNUMBER(SnapshotTable[[#This Row],[SC Strike Price]]), ISNUMBER(SnapshotTable[[#This Row],[SC Qty]]), ISNUMBER(SnapshotTable[[#This Row],[SC Book Date]]), ISNUMBER(SnapshotTable[[#This Row],[SC Book Price]]))</f>
        <v>0</v>
      </c>
      <c r="ER83" s="419" t="b">
        <f>AND(SnapshotTable[[#This Row],[SC Is Booked]], NOT(ISBLANK(SnapshotTable[[#This Row],[SC Fill Date]])))</f>
        <v>0</v>
      </c>
      <c r="ES83" s="370"/>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3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283"/>
      <c r="FA83" s="218"/>
      <c r="FB83" s="370"/>
      <c r="FC83" s="4">
        <f>IF(SnapshotTable[[#This Row],[SC Is Filled]], btc_max_buyback_amount(SnapshotTable[[#This Row],[SC Fill Date]],SnapshotTable[[#This Row],[SC Exp Date]], SnapshotTable[[#This Row],[SC Book Price]]),0)</f>
        <v>0</v>
      </c>
      <c r="FD83" s="5"/>
      <c r="FE83" s="144"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382">
        <f>IF(SnapshotTable[[#This Row],[SC Is Filled]], IF(ISNUMBER(SnapshotTable[[#This Row],[SC Current Ask]]), SnapshotTable[[#This Row],[SC Current Ask]], SnapshotTable[[#This Row],[SC Book Price]]) - SnapshotTable[[#This Row],[SC Intrinsic Value]], 0)</f>
        <v>0</v>
      </c>
      <c r="FI83" s="143"/>
      <c r="FJ83" s="32" t="str">
        <f>IF(SnapshotTable[[#This Row],[SC Is Filled]],100 * SnapshotTable[[#This Row],[SC Qty]] * IF(ISNUMBER(SnapshotTable[[#This Row],[SC Buyback Override]]), SnapshotTable[[#This Row],[SC Buyback Override]], SnapshotTable[[#This Row],[SC Current Ask]]), "")</f>
        <v/>
      </c>
      <c r="FK83" s="250" t="str">
        <f>IF(SnapshotTable[[#This Row],[SC Time Val]]&gt;0, SnapshotTable[[#This Row],[SC Time Val]] / SnapshotTable[[#This Row],[Last Price]],"")</f>
        <v/>
      </c>
      <c r="FL83" s="302" t="str">
        <f>IF(SnapshotTable[[#This Row],[SC Is Booked]], ((SnapshotTable[[#This Row],[Last Price]] -SnapshotTable[[#This Row],[SC Strike Price]]) / SnapshotTable[[#This Row],[Last Price]]) * -1, "")</f>
        <v/>
      </c>
      <c r="FM83" s="157"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33"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36" t="str">
        <f>IF(AND(ISNUMBER(SnapshotTable[[#This Row],[SC Simple ROO]]),SnapshotTable[[#This Row],[SC Simple ROO]] &gt; 0), SnapshotTable[[#This Row],[SC Premium]] + (SnapshotTable[[#This Row],[SC Qty]] * SnapshotTable[[#This Row],[SC Upside Potential]]), "")</f>
        <v/>
      </c>
      <c r="FX83" s="302" t="str" cm="1">
        <f t="array" ref="FX83">IF(ISNUMBER(SnapshotTable[[#This Row],[SC Max Dollars]]), annualize(SnapshotTable[[#This Row],[SC Term]],(SnapshotTable[[#This Row],[SC Max Dollars]]/SnapshotTable[[#This Row],[SC Basis]])),"")</f>
        <v/>
      </c>
      <c r="FY83" s="23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29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555.45749999999998</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661</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31">
        <f>MAX(SnapshotTable[[#This Row],[Equity Basis Total]],SnapshotTable[[#This Row],[Equity Value]]) + (SnapshotTable[[#This Row],[SP Potential Spend]]- SnapshotTable[[#This Row],[SP Premium]] + SnapshotTable[[#This Row],[LP Premium]])+ (SnapshotTable[[#This Row],[LC Premium]] - SnapshotTable[[#This Row],[SC Premium]])</f>
        <v>0</v>
      </c>
      <c r="GW83" s="139" t="str">
        <f>IF(AND(SnapshotTable[[#This Row],[Exposure]] &lt;&gt; 0),SnapshotTable[[#This Row],[Exposure]] / SnapshotTable[[#Totals],[Exposure]], "")</f>
        <v/>
      </c>
      <c r="HE83" s="268"/>
      <c r="HF83" s="268"/>
      <c r="HK83" s="1"/>
      <c r="HL83" s="1"/>
      <c r="HM83" s="1"/>
      <c r="HN83" s="1"/>
      <c r="HO83" s="1"/>
      <c r="HP83" s="1"/>
    </row>
    <row r="84" spans="2:224" ht="12.75" hidden="1" customHeight="1" x14ac:dyDescent="0.25">
      <c r="B84" s="12" t="s">
        <v>211</v>
      </c>
      <c r="C84" s="422">
        <v>397.16</v>
      </c>
      <c r="D84" s="208" t="s">
        <v>578</v>
      </c>
      <c r="E84" s="39">
        <f>SnapshotTable[[#This Row],[Last Price]]*(1 -CrashDiscount)</f>
        <v>337.58600000000001</v>
      </c>
      <c r="F84" s="26" t="s">
        <v>210</v>
      </c>
      <c r="G84" s="26" t="s">
        <v>9</v>
      </c>
      <c r="H84" s="149"/>
      <c r="I84" s="194">
        <v>44805.291666666664</v>
      </c>
      <c r="J84" s="195">
        <v>44805.291666666664</v>
      </c>
      <c r="K84" s="196"/>
      <c r="L84" s="326"/>
      <c r="M84" s="140"/>
      <c r="N84" s="140"/>
      <c r="O84" s="140"/>
      <c r="P84" s="22"/>
      <c r="Q84" s="25"/>
      <c r="R84" s="4" t="str">
        <f>IF(SnapshotTable[[#This Row],[Equity Basis Total]] &gt; 0, SnapshotTable[[#This Row],[Equity Basis Total]] / SnapshotTable[[#This Row],[Equity Shares]], "")</f>
        <v/>
      </c>
      <c r="S84" s="269">
        <f>SnapshotTable[[#This Row],[Last Price]] * SnapshotTable[[#This Row],[Equity Shares]]</f>
        <v>0</v>
      </c>
      <c r="T84" s="269">
        <f>SnapshotTable[[#This Row],[Equity Value]] - SnapshotTable[[#This Row],[Equity Basis Total]]</f>
        <v>0</v>
      </c>
      <c r="U84" s="270" t="str">
        <f>IF(SnapshotTable[[#This Row],[Equity Basis Total]] &gt; 0, SnapshotTable[[#This Row],[Equity G/L]] / SnapshotTable[[#This Row],[Equity Basis Total]], "")</f>
        <v/>
      </c>
      <c r="V84" s="268"/>
      <c r="W84" s="26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7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0">
        <v>0</v>
      </c>
      <c r="AD84" s="151"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1" t="s">
        <v>2</v>
      </c>
      <c r="AI84" s="5">
        <v>68</v>
      </c>
      <c r="AJ84" s="138">
        <v>60.88</v>
      </c>
      <c r="AK84" s="152">
        <f>IF(ISNUMBER( SnapshotTable[[#This Row],[EBF Target]]),(SnapshotTable[[#This Row],[EBF Target]] - SnapshotTable[[#This Row],[Last Price]]) / SnapshotTable[[#This Row],[Last Price]], "")</f>
        <v>-0.82878436902004227</v>
      </c>
      <c r="AL84" s="152"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2">
        <f>IF(AND(ISNUMBER( SnapshotTable[[#This Row],[Long Term Target]]), ISNUMBER(SnapshotTable[[#This Row],[Last Price]])),(SnapshotTable[[#This Row],[Long Term Target]] - SnapshotTable[[#This Row],[Last Price]]) / SnapshotTable[[#This Row],[Last Price]], "")</f>
        <v>-0.8467116527344144</v>
      </c>
      <c r="AP84" s="5">
        <v>59.8</v>
      </c>
      <c r="AQ84" s="38" t="s">
        <v>89</v>
      </c>
      <c r="AR84" s="5">
        <v>53.9</v>
      </c>
      <c r="AS84" s="38" t="s">
        <v>32</v>
      </c>
      <c r="AT84" s="146"/>
      <c r="AU84" s="187" t="str">
        <f>IF(OR(SnapshotTable[[#This Row],[LP No Fill]]="Y",SnapshotTable[[#This Row],[SP Is Filled]],SnapshotTable[[#This Row],[LC Not Filled]]="Y",SnapshotTable[[#This Row],[SC Is Filled]]),"Y","")</f>
        <v/>
      </c>
      <c r="AV84" s="219"/>
      <c r="AW84" s="225"/>
      <c r="AX84" s="220"/>
      <c r="AY84" s="219" t="str">
        <f>IF(SnapshotTable[[#This Row],[Implied Move]]&gt;0, SnapshotTable[[#This Row],[Last Price]]-SnapshotTable[[#This Row],[Implied Move]],"")</f>
        <v/>
      </c>
      <c r="AZ84" s="219" t="str">
        <f>IF(SnapshotTable[[#This Row],[Implied Move]]&gt;0, SnapshotTable[[#This Row],[Last Price]] + SnapshotTable[[#This Row],[Implied Move]],"")</f>
        <v/>
      </c>
      <c r="BA84" s="331"/>
      <c r="BB84" s="347"/>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51"/>
      <c r="BE84" s="5"/>
      <c r="BF84" s="14"/>
      <c r="BG84" s="13"/>
      <c r="BH84" s="13"/>
      <c r="BI84" s="5"/>
      <c r="BJ84" s="136">
        <f>IF(SnapshotTable[[#This Row],[LP Qty]] &gt; 0, SnapshotTable[[#This Row],[LP Qty]] * SnapshotTable[[#This Row],[LP Book Price]] * 100,0)</f>
        <v>0</v>
      </c>
      <c r="BK84" s="136">
        <f>IF(SnapshotTable[[#This Row],[LP Premium]] &gt; 0, SnapshotTable[[#This Row],[LP Qty]] * SnapshotTable[[#This Row],[LP Strike Price]] * 100,0)</f>
        <v>0</v>
      </c>
      <c r="BL84" s="154"/>
      <c r="BM84" s="385" t="str">
        <f>IF(SnapshotTable[[#This Row],[LP Premium]] &gt; 0,SnapshotTable[[#This Row],[LP Exp Date]]-MAX(SnapshotTable[[#This Row],[LP Book Date]], SnapshotTable[[#This Row],[LP Fill Date]]),"")</f>
        <v/>
      </c>
      <c r="BN84" s="385" t="str">
        <f>IF(ISNUMBER( SnapshotTable[[#This Row],[LP Term]]), SnapshotTable[[#This Row],[LP Exp Date]] - MockToday,"")</f>
        <v/>
      </c>
      <c r="BO84" s="163"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7"/>
      <c r="BU84" s="13"/>
      <c r="BV84" s="5"/>
      <c r="BW84" s="419" t="b">
        <f>AND(ISNUMBER(SnapshotTable[[#This Row],[SP Exp Date]]), ISNUMBER(SnapshotTable[[#This Row],[SP Strike Price]]), ISNUMBER(SnapshotTable[[#This Row],[SP Qty]]), ISNUMBER(SnapshotTable[[#This Row],[SP Book Date]]), ISNUMBER(SnapshotTable[[#This Row],[SP Book Price]]))</f>
        <v>0</v>
      </c>
      <c r="BX84" s="419" t="b">
        <f>AND(SnapshotTable[[#This Row],[SP Is Booked]], NOT(ISBLANK(SnapshotTable[[#This Row],[SP Fill Date]])))</f>
        <v>0</v>
      </c>
      <c r="BY84" s="33">
        <f>IF(SnapshotTable[[#This Row],[SP Is Booked]], SnapshotTable[[#This Row],[SP Qty]] * SnapshotTable[[#This Row],[SP Book Price]] * 100, 0)</f>
        <v>0</v>
      </c>
      <c r="BZ84" s="369"/>
      <c r="CA84" s="368">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3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44"/>
      <c r="CK84" s="31">
        <f>IF(ISNUMBER(SnapshotTable[[#This Row],[SP Potential Spend]]),IF(ISNUMBER(SnapshotTable[[#This Row],[SP POW]]), SnapshotTable[[#This Row],[SP POW]] * SnapshotTable[[#This Row],[SP Potential Spend]], SnapshotTable[[#This Row],[SP Potential Spend]]), "")</f>
        <v>0</v>
      </c>
      <c r="CL84" s="164">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8"/>
      <c r="CO84" s="369"/>
      <c r="CP84" s="4" t="str">
        <f>IF(SnapshotTable[[#This Row],[SP Is Filled]], btc_max_buyback_amount(SnapshotTable[[#This Row],[SP Fill Date]],SnapshotTable[[#This Row],[SP Exp Date]], SnapshotTable[[#This Row],[SP Book Price]]),"")</f>
        <v/>
      </c>
      <c r="CQ84" s="78"/>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5" t="str">
        <f>IF(SnapshotTable[[#This Row],[SP Is Filled]], btc_next_cutoff_date(SnapshotTable[[#This Row],[SP Fill Date]],SnapshotTable[[#This Row],[SP Exp Date]]),"")</f>
        <v/>
      </c>
      <c r="CT84" s="23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3"/>
      <c r="CV84" s="235"/>
      <c r="CW84" s="378"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294" t="str">
        <f>IF(ISNUMBER((SnapshotTable[[#This Row],[SP Total Value]])), SnapshotTable[[#This Row],[SP Gain Loss]] / SnapshotTable[[#This Row],[SP Premium]], "")</f>
        <v/>
      </c>
      <c r="DI84" s="406"/>
      <c r="DJ84" s="138"/>
      <c r="DK84" s="148"/>
      <c r="DL84" s="13"/>
      <c r="DM84" s="13"/>
      <c r="DO84" s="31">
        <f>IF(SnapshotTable[[#This Row],[LC Symbol Count]]=1, SnapshotTable[[#This Row],[LC Qty]] * SnapshotTable[[#This Row],[LC Book Price]] * 100, 0)</f>
        <v>0</v>
      </c>
      <c r="DP84" s="163" t="str">
        <f>IF(AND(SnapshotTable[[#This Row],[LC Exp Date]]&gt;0, SnapshotTable[[#This Row],[LC Strike Price]]&gt;0,SnapshotTable[[#This Row],[LC Qty]]&gt;0,SnapshotTable[[#This Row],[LC Book Date]]&gt;0,SnapshotTable[[#This Row],[LC Book Price]]&gt;0,SnapshotTable[[#This Row],[LC Fill Date]]=0),"Y","")</f>
        <v/>
      </c>
      <c r="DQ84" s="386" t="str">
        <f>IF(SnapshotTable[[#This Row],[LC Premium]] &gt; 0,SnapshotTable[[#This Row],[LC Exp Date]]-MAX(SnapshotTable[[#This Row],[LC Book Date]], SnapshotTable[[#This Row],[LC Fill Date]]),"")</f>
        <v/>
      </c>
      <c r="DR84" s="386" t="str">
        <f>IF(ISNUMBER(SnapshotTable[[#This Row],[LC Term]]), SnapshotTable[[#This Row],[LC Exp Date]] - MockToday, "")</f>
        <v/>
      </c>
      <c r="DS84" s="23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40" t="str">
        <f>IF(ISNUMBER(SnapshotTable[[#This Row],[LC Actual Gain Loss]]), SnapshotTable[[#This Row],[LC Actual Gain Loss]] / SnapshotTable[[#This Row],[LC Premium]],"")</f>
        <v/>
      </c>
      <c r="DX84" s="284" t="str">
        <f>IF(ISNUMBER(SnapshotTable[[#This Row],[LC Book Price]]),SnapshotTable[[#This Row],[LC Book Price]] * 1.5,"")</f>
        <v/>
      </c>
      <c r="DY84" s="265" t="str">
        <f>IF(SnapshotTable[[#This Row],[LC Premium]]&gt;0, SnapshotTable[[#This Row],[LC Next Target]] * SnapshotTable[[#This Row],[LC Qty]] * 100,"")</f>
        <v/>
      </c>
      <c r="DZ84" s="265" t="str">
        <f>IF(ISNUMBER(SnapshotTable[[#This Row],[LC Target Gross]]), SnapshotTable[[#This Row],[LC Target Gross]] - SnapshotTable[[#This Row],[LC Premium]], "")</f>
        <v/>
      </c>
      <c r="EA84" s="305" t="str">
        <f>IF(ISNUMBER(SnapshotTable[[#This Row],[LC Target Gain Loss]]), SnapshotTable[[#This Row],[LC Target Gain Loss]]/SnapshotTable[[#This Row],[LC Premium]], "")</f>
        <v/>
      </c>
      <c r="EB84" s="262"/>
      <c r="EC84" s="283" t="str">
        <f>IF(SnapshotTable[[#This Row],[LC Premium]]&gt;0, SnapshotTable[[#This Row],[LC Book Price]] * (1 - LC_StopLoss_Pct),"")</f>
        <v/>
      </c>
      <c r="ED84" s="284"/>
      <c r="EE84" s="28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4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7"/>
      <c r="EL84" s="138"/>
      <c r="EM84" s="148"/>
      <c r="EN84" s="147"/>
      <c r="EO84" s="147"/>
      <c r="EP84" s="138"/>
      <c r="EQ84" s="419" t="b">
        <f>AND(ISNUMBER(SnapshotTable[[#This Row],[SC Exp Date]]), ISNUMBER(SnapshotTable[[#This Row],[SC Strike Price]]), ISNUMBER(SnapshotTable[[#This Row],[SC Qty]]), ISNUMBER(SnapshotTable[[#This Row],[SC Book Date]]), ISNUMBER(SnapshotTable[[#This Row],[SC Book Price]]))</f>
        <v>0</v>
      </c>
      <c r="ER84" s="419" t="b">
        <f>AND(SnapshotTable[[#This Row],[SC Is Booked]], NOT(ISBLANK(SnapshotTable[[#This Row],[SC Fill Date]])))</f>
        <v>0</v>
      </c>
      <c r="ES84" s="370"/>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3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283"/>
      <c r="FA84" s="218"/>
      <c r="FB84" s="370"/>
      <c r="FC84" s="4">
        <f>IF(SnapshotTable[[#This Row],[SC Is Filled]], btc_max_buyback_amount(SnapshotTable[[#This Row],[SC Fill Date]],SnapshotTable[[#This Row],[SC Exp Date]], SnapshotTable[[#This Row],[SC Book Price]]),0)</f>
        <v>0</v>
      </c>
      <c r="FD84" s="5"/>
      <c r="FE84" s="144"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382">
        <f>IF(SnapshotTable[[#This Row],[SC Is Filled]], IF(ISNUMBER(SnapshotTable[[#This Row],[SC Current Ask]]), SnapshotTable[[#This Row],[SC Current Ask]], SnapshotTable[[#This Row],[SC Book Price]]) - SnapshotTable[[#This Row],[SC Intrinsic Value]], 0)</f>
        <v>0</v>
      </c>
      <c r="FI84" s="143"/>
      <c r="FJ84" s="32" t="str">
        <f>IF(SnapshotTable[[#This Row],[SC Is Filled]],100 * SnapshotTable[[#This Row],[SC Qty]] * IF(ISNUMBER(SnapshotTable[[#This Row],[SC Buyback Override]]), SnapshotTable[[#This Row],[SC Buyback Override]], SnapshotTable[[#This Row],[SC Current Ask]]), "")</f>
        <v/>
      </c>
      <c r="FK84" s="250" t="str">
        <f>IF(SnapshotTable[[#This Row],[SC Time Val]]&gt;0, SnapshotTable[[#This Row],[SC Time Val]] / SnapshotTable[[#This Row],[Last Price]],"")</f>
        <v/>
      </c>
      <c r="FL84" s="302" t="str">
        <f>IF(SnapshotTable[[#This Row],[SC Is Booked]], ((SnapshotTable[[#This Row],[Last Price]] -SnapshotTable[[#This Row],[SC Strike Price]]) / SnapshotTable[[#This Row],[Last Price]]) * -1, "")</f>
        <v/>
      </c>
      <c r="FM84" s="157"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33"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36" t="str">
        <f>IF(AND(ISNUMBER(SnapshotTable[[#This Row],[SC Simple ROO]]),SnapshotTable[[#This Row],[SC Simple ROO]] &gt; 0), SnapshotTable[[#This Row],[SC Premium]] + (SnapshotTable[[#This Row],[SC Qty]] * SnapshotTable[[#This Row],[SC Upside Potential]]), "")</f>
        <v/>
      </c>
      <c r="FX84" s="302" t="str" cm="1">
        <f t="array" ref="FX84">IF(ISNUMBER(SnapshotTable[[#This Row],[SC Max Dollars]]), annualize(SnapshotTable[[#This Row],[SC Term]],(SnapshotTable[[#This Row],[SC Max Dollars]]/SnapshotTable[[#This Row],[SC Basis]])),"")</f>
        <v/>
      </c>
      <c r="FY84" s="23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29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774.46199999999999</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662</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31">
        <f>MAX(SnapshotTable[[#This Row],[Equity Basis Total]],SnapshotTable[[#This Row],[Equity Value]]) + (SnapshotTable[[#This Row],[SP Potential Spend]]- SnapshotTable[[#This Row],[SP Premium]] + SnapshotTable[[#This Row],[LP Premium]])+ (SnapshotTable[[#This Row],[LC Premium]] - SnapshotTable[[#This Row],[SC Premium]])</f>
        <v>0</v>
      </c>
      <c r="GW84" s="139" t="str">
        <f>IF(AND(SnapshotTable[[#This Row],[Exposure]] &lt;&gt; 0),SnapshotTable[[#This Row],[Exposure]] / SnapshotTable[[#Totals],[Exposure]], "")</f>
        <v/>
      </c>
      <c r="HE84" s="268"/>
      <c r="HF84" s="268"/>
      <c r="HK84" s="1"/>
      <c r="HL84" s="1"/>
      <c r="HM84" s="1"/>
      <c r="HN84" s="1"/>
      <c r="HO84" s="1"/>
      <c r="HP84" s="1"/>
    </row>
    <row r="85" spans="2:224" ht="12.75" hidden="1" customHeight="1" x14ac:dyDescent="0.25">
      <c r="B85" s="12" t="s">
        <v>495</v>
      </c>
      <c r="C85" s="422">
        <v>108.08</v>
      </c>
      <c r="D85" s="208" t="s">
        <v>850</v>
      </c>
      <c r="E85" s="39">
        <f>SnapshotTable[[#This Row],[Last Price]]*(1 -CrashDiscount)</f>
        <v>91.867999999999995</v>
      </c>
      <c r="F85" s="26" t="s">
        <v>148</v>
      </c>
      <c r="G85" s="26" t="s">
        <v>49</v>
      </c>
      <c r="H85" s="149"/>
      <c r="I85" s="194">
        <v>44776.270833333336</v>
      </c>
      <c r="J85" s="195">
        <v>44776.270833333336</v>
      </c>
      <c r="K85" s="196"/>
      <c r="L85" s="326"/>
      <c r="M85" s="140">
        <v>1</v>
      </c>
      <c r="N85" s="140" t="b">
        <v>1</v>
      </c>
      <c r="O85" s="140">
        <v>3</v>
      </c>
      <c r="P85" s="22"/>
      <c r="Q85" s="25"/>
      <c r="R85" s="4" t="str">
        <f>IF(SnapshotTable[[#This Row],[Equity Basis Total]] &gt; 0, SnapshotTable[[#This Row],[Equity Basis Total]] / SnapshotTable[[#This Row],[Equity Shares]], "")</f>
        <v/>
      </c>
      <c r="S85" s="269">
        <f>SnapshotTable[[#This Row],[Last Price]] * SnapshotTable[[#This Row],[Equity Shares]]</f>
        <v>0</v>
      </c>
      <c r="T85" s="269">
        <f>SnapshotTable[[#This Row],[Equity Value]] - SnapshotTable[[#This Row],[Equity Basis Total]]</f>
        <v>0</v>
      </c>
      <c r="U85" s="270" t="str">
        <f>IF(SnapshotTable[[#This Row],[Equity Basis Total]] &gt; 0, SnapshotTable[[#This Row],[Equity G/L]] / SnapshotTable[[#This Row],[Equity Basis Total]], "")</f>
        <v/>
      </c>
      <c r="V85" s="268">
        <v>80</v>
      </c>
      <c r="W85" s="26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7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0">
        <v>2</v>
      </c>
      <c r="AD85" s="151">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1.8504811250925242E-2</v>
      </c>
      <c r="AH85" s="151">
        <v>43943</v>
      </c>
      <c r="AI85" s="5">
        <v>84</v>
      </c>
      <c r="AJ85" s="138">
        <v>78.680000000000007</v>
      </c>
      <c r="AK85" s="152">
        <f>IF(ISNUMBER( SnapshotTable[[#This Row],[EBF Target]]),(SnapshotTable[[#This Row],[EBF Target]] - SnapshotTable[[#This Row],[Last Price]]) / SnapshotTable[[#This Row],[Last Price]], "")</f>
        <v>-0.22279792746113988</v>
      </c>
      <c r="AL85" s="152"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2">
        <f>IF(AND(ISNUMBER( SnapshotTable[[#This Row],[Long Term Target]]), ISNUMBER(SnapshotTable[[#This Row],[Last Price]])),(SnapshotTable[[#This Row],[Long Term Target]] - SnapshotTable[[#This Row],[Last Price]]) / SnapshotTable[[#This Row],[Last Price]], "")</f>
        <v>-0.27202072538860095</v>
      </c>
      <c r="AP85" s="5"/>
      <c r="AQ85" s="38"/>
      <c r="AR85" s="5"/>
      <c r="AS85" s="38"/>
      <c r="AT85" s="146"/>
      <c r="AU85" s="187" t="str">
        <f>IF(OR(SnapshotTable[[#This Row],[LP No Fill]]="Y",SnapshotTable[[#This Row],[SP Is Filled]],SnapshotTable[[#This Row],[LC Not Filled]]="Y",SnapshotTable[[#This Row],[SC Is Filled]]),"Y","")</f>
        <v/>
      </c>
      <c r="AV85" s="219"/>
      <c r="AW85" s="225"/>
      <c r="AX85" s="220"/>
      <c r="AY85" s="219"/>
      <c r="AZ85" s="219"/>
      <c r="BA85" s="331"/>
      <c r="BB85" s="347"/>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51"/>
      <c r="BE85" s="5"/>
      <c r="BF85" s="14"/>
      <c r="BG85" s="13"/>
      <c r="BH85" s="13"/>
      <c r="BI85" s="5"/>
      <c r="BJ85" s="136">
        <f>IF(SnapshotTable[[#This Row],[LP Qty]] &gt; 0, SnapshotTable[[#This Row],[LP Qty]] * SnapshotTable[[#This Row],[LP Book Price]] * 100,0)</f>
        <v>0</v>
      </c>
      <c r="BK85" s="136">
        <f>IF(SnapshotTable[[#This Row],[LP Premium]] &gt; 0, SnapshotTable[[#This Row],[LP Qty]] * SnapshotTable[[#This Row],[LP Strike Price]] * 100,0)</f>
        <v>0</v>
      </c>
      <c r="BL85" s="154"/>
      <c r="BM85" s="385" t="str">
        <f>IF(SnapshotTable[[#This Row],[LP Premium]] &gt; 0,SnapshotTable[[#This Row],[LP Exp Date]]-MAX(SnapshotTable[[#This Row],[LP Book Date]], SnapshotTable[[#This Row],[LP Fill Date]]),"")</f>
        <v/>
      </c>
      <c r="BN85" s="385" t="str">
        <f>IF(ISNUMBER( SnapshotTable[[#This Row],[LP Term]]), SnapshotTable[[#This Row],[LP Exp Date]] - MockToday,"")</f>
        <v/>
      </c>
      <c r="BO85" s="163"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7"/>
      <c r="BU85" s="13"/>
      <c r="BV85" s="5"/>
      <c r="BW85" s="419" t="b">
        <f>AND(ISNUMBER(SnapshotTable[[#This Row],[SP Exp Date]]), ISNUMBER(SnapshotTable[[#This Row],[SP Strike Price]]), ISNUMBER(SnapshotTable[[#This Row],[SP Qty]]), ISNUMBER(SnapshotTable[[#This Row],[SP Book Date]]), ISNUMBER(SnapshotTable[[#This Row],[SP Book Price]]))</f>
        <v>0</v>
      </c>
      <c r="BX85" s="419" t="b">
        <f>AND(SnapshotTable[[#This Row],[SP Is Booked]], NOT(ISBLANK(SnapshotTable[[#This Row],[SP Fill Date]])))</f>
        <v>0</v>
      </c>
      <c r="BY85" s="33">
        <f>IF(SnapshotTable[[#This Row],[SP Is Booked]], SnapshotTable[[#This Row],[SP Qty]] * SnapshotTable[[#This Row],[SP Book Price]] * 100, 0)</f>
        <v>0</v>
      </c>
      <c r="BZ85" s="369"/>
      <c r="CA85" s="368">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3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44"/>
      <c r="CK85" s="31">
        <f>IF(ISNUMBER(SnapshotTable[[#This Row],[SP Potential Spend]]),IF(ISNUMBER(SnapshotTable[[#This Row],[SP POW]]), SnapshotTable[[#This Row],[SP POW]] * SnapshotTable[[#This Row],[SP Potential Spend]], SnapshotTable[[#This Row],[SP Potential Spend]]), "")</f>
        <v>0</v>
      </c>
      <c r="CL85" s="164">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8"/>
      <c r="CO85" s="369"/>
      <c r="CP85" s="4" t="str">
        <f>IF(SnapshotTable[[#This Row],[SP Is Filled]], btc_max_buyback_amount(SnapshotTable[[#This Row],[SP Fill Date]],SnapshotTable[[#This Row],[SP Exp Date]], SnapshotTable[[#This Row],[SP Book Price]]),"")</f>
        <v/>
      </c>
      <c r="CQ85" s="78"/>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5" t="str">
        <f>IF(SnapshotTable[[#This Row],[SP Is Filled]], btc_next_cutoff_date(SnapshotTable[[#This Row],[SP Fill Date]],SnapshotTable[[#This Row],[SP Exp Date]]),"")</f>
        <v/>
      </c>
      <c r="CT85" s="23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3"/>
      <c r="CV85" s="235"/>
      <c r="CW85" s="378"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294" t="str">
        <f>IF(ISNUMBER((SnapshotTable[[#This Row],[SP Total Value]])), SnapshotTable[[#This Row],[SP Gain Loss]] / SnapshotTable[[#This Row],[SP Premium]], "")</f>
        <v/>
      </c>
      <c r="DI85" s="406"/>
      <c r="DJ85" s="138"/>
      <c r="DK85" s="148"/>
      <c r="DL85" s="13"/>
      <c r="DM85" s="13"/>
      <c r="DO85" s="31">
        <f>IF(SnapshotTable[[#This Row],[LC Symbol Count]]=1, SnapshotTable[[#This Row],[LC Qty]] * SnapshotTable[[#This Row],[LC Book Price]] * 100, 0)</f>
        <v>0</v>
      </c>
      <c r="DP85" s="163" t="str">
        <f>IF(AND(SnapshotTable[[#This Row],[LC Exp Date]]&gt;0, SnapshotTable[[#This Row],[LC Strike Price]]&gt;0,SnapshotTable[[#This Row],[LC Qty]]&gt;0,SnapshotTable[[#This Row],[LC Book Date]]&gt;0,SnapshotTable[[#This Row],[LC Book Price]]&gt;0,SnapshotTable[[#This Row],[LC Fill Date]]=0),"Y","")</f>
        <v/>
      </c>
      <c r="DQ85" s="386" t="str">
        <f>IF(SnapshotTable[[#This Row],[LC Premium]] &gt; 0,SnapshotTable[[#This Row],[LC Exp Date]]-MAX(SnapshotTable[[#This Row],[LC Book Date]], SnapshotTable[[#This Row],[LC Fill Date]]),"")</f>
        <v/>
      </c>
      <c r="DR85" s="386" t="str">
        <f>IF(ISNUMBER(SnapshotTable[[#This Row],[LC Term]]), SnapshotTable[[#This Row],[LC Exp Date]] - MockToday, "")</f>
        <v/>
      </c>
      <c r="DS85" s="23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40" t="str">
        <f>IF(ISNUMBER(SnapshotTable[[#This Row],[LC Actual Gain Loss]]), SnapshotTable[[#This Row],[LC Actual Gain Loss]] / SnapshotTable[[#This Row],[LC Premium]],"")</f>
        <v/>
      </c>
      <c r="DX85" s="284" t="str">
        <f>IF(ISNUMBER(SnapshotTable[[#This Row],[LC Book Price]]),SnapshotTable[[#This Row],[LC Book Price]] * 1.5,"")</f>
        <v/>
      </c>
      <c r="DY85" s="265" t="str">
        <f>IF(SnapshotTable[[#This Row],[LC Premium]]&gt;0, SnapshotTable[[#This Row],[LC Next Target]] * SnapshotTable[[#This Row],[LC Qty]] * 100,"")</f>
        <v/>
      </c>
      <c r="DZ85" s="265" t="str">
        <f>IF(ISNUMBER(SnapshotTable[[#This Row],[LC Target Gross]]), SnapshotTable[[#This Row],[LC Target Gross]] - SnapshotTable[[#This Row],[LC Premium]], "")</f>
        <v/>
      </c>
      <c r="EA85" s="305" t="str">
        <f>IF(ISNUMBER(SnapshotTable[[#This Row],[LC Target Gain Loss]]), SnapshotTable[[#This Row],[LC Target Gain Loss]]/SnapshotTable[[#This Row],[LC Premium]], "")</f>
        <v/>
      </c>
      <c r="EB85" s="262"/>
      <c r="EC85" s="283" t="str">
        <f>IF(SnapshotTable[[#This Row],[LC Premium]]&gt;0, SnapshotTable[[#This Row],[LC Book Price]] * (1 - LC_StopLoss_Pct),"")</f>
        <v/>
      </c>
      <c r="ED85" s="284"/>
      <c r="EE85" s="28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4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7"/>
      <c r="EL85" s="138"/>
      <c r="EM85" s="148"/>
      <c r="EN85" s="147"/>
      <c r="EO85" s="147"/>
      <c r="EP85" s="138"/>
      <c r="EQ85" s="419" t="b">
        <f>AND(ISNUMBER(SnapshotTable[[#This Row],[SC Exp Date]]), ISNUMBER(SnapshotTable[[#This Row],[SC Strike Price]]), ISNUMBER(SnapshotTable[[#This Row],[SC Qty]]), ISNUMBER(SnapshotTable[[#This Row],[SC Book Date]]), ISNUMBER(SnapshotTable[[#This Row],[SC Book Price]]))</f>
        <v>0</v>
      </c>
      <c r="ER85" s="419" t="b">
        <f>AND(SnapshotTable[[#This Row],[SC Is Booked]], NOT(ISBLANK(SnapshotTable[[#This Row],[SC Fill Date]])))</f>
        <v>0</v>
      </c>
      <c r="ES85" s="370"/>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3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283"/>
      <c r="FA85" s="218"/>
      <c r="FB85" s="370"/>
      <c r="FC85" s="4">
        <f>IF(SnapshotTable[[#This Row],[SC Is Filled]], btc_max_buyback_amount(SnapshotTable[[#This Row],[SC Fill Date]],SnapshotTable[[#This Row],[SC Exp Date]], SnapshotTable[[#This Row],[SC Book Price]]),0)</f>
        <v>0</v>
      </c>
      <c r="FD85" s="5"/>
      <c r="FE85" s="144"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382">
        <f>IF(SnapshotTable[[#This Row],[SC Is Filled]], IF(ISNUMBER(SnapshotTable[[#This Row],[SC Current Ask]]), SnapshotTable[[#This Row],[SC Current Ask]], SnapshotTable[[#This Row],[SC Book Price]]) - SnapshotTable[[#This Row],[SC Intrinsic Value]], 0)</f>
        <v>0</v>
      </c>
      <c r="FI85" s="143">
        <v>45786</v>
      </c>
      <c r="FJ85" s="32" t="str">
        <f>IF(SnapshotTable[[#This Row],[SC Is Filled]],100 * SnapshotTable[[#This Row],[SC Qty]] * IF(ISNUMBER(SnapshotTable[[#This Row],[SC Buyback Override]]), SnapshotTable[[#This Row],[SC Buyback Override]], SnapshotTable[[#This Row],[SC Current Ask]]), "")</f>
        <v/>
      </c>
      <c r="FK85" s="250" t="str">
        <f>IF(SnapshotTable[[#This Row],[SC Time Val]]&gt;0, SnapshotTable[[#This Row],[SC Time Val]] / SnapshotTable[[#This Row],[Last Price]],"")</f>
        <v/>
      </c>
      <c r="FL85" s="302" t="str">
        <f>IF(SnapshotTable[[#This Row],[SC Is Booked]], ((SnapshotTable[[#This Row],[Last Price]] -SnapshotTable[[#This Row],[SC Strike Price]]) / SnapshotTable[[#This Row],[Last Price]]) * -1, "")</f>
        <v/>
      </c>
      <c r="FM85" s="157"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33"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36" t="str">
        <f>IF(AND(ISNUMBER(SnapshotTable[[#This Row],[SC Simple ROO]]),SnapshotTable[[#This Row],[SC Simple ROO]] &gt; 0), SnapshotTable[[#This Row],[SC Premium]] + (SnapshotTable[[#This Row],[SC Qty]] * SnapshotTable[[#This Row],[SC Upside Potential]]), "")</f>
        <v/>
      </c>
      <c r="FX85" s="302" t="str" cm="1">
        <f t="array" ref="FX85">IF(ISNUMBER(SnapshotTable[[#This Row],[SC Max Dollars]]), annualize(SnapshotTable[[#This Row],[SC Term]],(SnapshotTable[[#This Row],[SC Max Dollars]]/SnapshotTable[[#This Row],[SC Basis]])),"")</f>
        <v/>
      </c>
      <c r="FY85" s="23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29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210.756</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631</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31">
        <f>MAX(SnapshotTable[[#This Row],[Equity Basis Total]],SnapshotTable[[#This Row],[Equity Value]]) + (SnapshotTable[[#This Row],[SP Potential Spend]]- SnapshotTable[[#This Row],[SP Premium]] + SnapshotTable[[#This Row],[LP Premium]])+ (SnapshotTable[[#This Row],[LC Premium]] - SnapshotTable[[#This Row],[SC Premium]])</f>
        <v>0</v>
      </c>
      <c r="GW85" s="139" t="str">
        <f>IF(AND(SnapshotTable[[#This Row],[Exposure]] &lt;&gt; 0),SnapshotTable[[#This Row],[Exposure]] / SnapshotTable[[#Totals],[Exposure]], "")</f>
        <v/>
      </c>
      <c r="HE85" s="268"/>
      <c r="HF85" s="268"/>
      <c r="HK85" s="1"/>
      <c r="HL85" s="1"/>
      <c r="HM85" s="1"/>
      <c r="HN85" s="1"/>
      <c r="HO85" s="1"/>
      <c r="HP85" s="1"/>
    </row>
    <row r="86" spans="2:224" ht="12.75" hidden="1" customHeight="1" x14ac:dyDescent="0.25">
      <c r="B86" s="12" t="s">
        <v>1028</v>
      </c>
      <c r="C86" s="422">
        <v>9.4499999999999993</v>
      </c>
      <c r="D86" s="208" t="s">
        <v>258</v>
      </c>
      <c r="E86" s="39">
        <f>SnapshotTable[[#This Row],[Last Price]]*(1 -CrashDiscount)</f>
        <v>8.0324999999999989</v>
      </c>
      <c r="F86" s="26" t="s">
        <v>983</v>
      </c>
      <c r="G86" s="26" t="s">
        <v>41</v>
      </c>
      <c r="H86" s="149"/>
      <c r="I86" s="194">
        <v>44764.25</v>
      </c>
      <c r="J86" s="195">
        <v>44764.25</v>
      </c>
      <c r="K86" s="196"/>
      <c r="L86" s="326"/>
      <c r="M86" s="140"/>
      <c r="N86" s="140"/>
      <c r="O86" s="140"/>
      <c r="P86" s="22"/>
      <c r="Q86" s="25"/>
      <c r="R86" s="4" t="str">
        <f>IF(SnapshotTable[[#This Row],[Equity Basis Total]] &gt; 0, SnapshotTable[[#This Row],[Equity Basis Total]] / SnapshotTable[[#This Row],[Equity Shares]], "")</f>
        <v/>
      </c>
      <c r="S86" s="269">
        <f>SnapshotTable[[#This Row],[Last Price]] * SnapshotTable[[#This Row],[Equity Shares]]</f>
        <v>0</v>
      </c>
      <c r="T86" s="269">
        <f>SnapshotTable[[#This Row],[Equity Value]] - SnapshotTable[[#This Row],[Equity Basis Total]]</f>
        <v>0</v>
      </c>
      <c r="U86" s="270" t="str">
        <f>IF(SnapshotTable[[#This Row],[Equity Basis Total]] &gt; 0, SnapshotTable[[#This Row],[Equity G/L]] / SnapshotTable[[#This Row],[Equity Basis Total]], "")</f>
        <v/>
      </c>
      <c r="V86" s="268"/>
      <c r="W86" s="26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7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0"/>
      <c r="AD86" s="151"/>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1"/>
      <c r="AI86" s="5"/>
      <c r="AJ86" s="138">
        <v>31.86</v>
      </c>
      <c r="AK86" s="152" t="str">
        <f>IF(ISNUMBER( SnapshotTable[[#This Row],[EBF Target]]),(SnapshotTable[[#This Row],[EBF Target]] - SnapshotTable[[#This Row],[Last Price]]) / SnapshotTable[[#This Row],[Last Price]], "")</f>
        <v/>
      </c>
      <c r="AL86" s="152"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2">
        <f>IF(AND(ISNUMBER( SnapshotTable[[#This Row],[Long Term Target]]), ISNUMBER(SnapshotTable[[#This Row],[Last Price]])),(SnapshotTable[[#This Row],[Long Term Target]] - SnapshotTable[[#This Row],[Last Price]]) / SnapshotTable[[#This Row],[Last Price]], "")</f>
        <v>2.3714285714285714</v>
      </c>
      <c r="AP86" s="5"/>
      <c r="AQ86" s="38"/>
      <c r="AR86" s="5"/>
      <c r="AS86" s="38"/>
      <c r="AT86" s="146" t="s">
        <v>538</v>
      </c>
      <c r="AU86" s="187" t="str">
        <f>IF(OR(SnapshotTable[[#This Row],[LP No Fill]]="Y",SnapshotTable[[#This Row],[SP Is Filled]],SnapshotTable[[#This Row],[LC Not Filled]]="Y",SnapshotTable[[#This Row],[SC Is Filled]]),"Y","")</f>
        <v/>
      </c>
      <c r="AV86" s="219">
        <v>28</v>
      </c>
      <c r="AW86" s="225"/>
      <c r="AX86" s="220"/>
      <c r="AY86" s="219" t="str">
        <f>IF(SnapshotTable[[#This Row],[Implied Move]]&gt;0, SnapshotTable[[#This Row],[Last Price]]-SnapshotTable[[#This Row],[Implied Move]],"")</f>
        <v/>
      </c>
      <c r="AZ86" s="219" t="str">
        <f>IF(SnapshotTable[[#This Row],[Implied Move]]&gt;0, SnapshotTable[[#This Row],[Last Price]] + SnapshotTable[[#This Row],[Implied Move]],"")</f>
        <v/>
      </c>
      <c r="BA86" s="331">
        <v>32.299999999999997</v>
      </c>
      <c r="BB86" s="347"/>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51"/>
      <c r="BE86" s="5"/>
      <c r="BF86" s="14"/>
      <c r="BG86" s="13"/>
      <c r="BH86" s="13"/>
      <c r="BI86" s="5"/>
      <c r="BJ86" s="136">
        <f>IF(SnapshotTable[[#This Row],[LP Qty]] &gt; 0, SnapshotTable[[#This Row],[LP Qty]] * SnapshotTable[[#This Row],[LP Book Price]] * 100,0)</f>
        <v>0</v>
      </c>
      <c r="BK86" s="136">
        <f>IF(SnapshotTable[[#This Row],[LP Premium]] &gt; 0, SnapshotTable[[#This Row],[LP Qty]] * SnapshotTable[[#This Row],[LP Strike Price]] * 100,0)</f>
        <v>0</v>
      </c>
      <c r="BL86" s="154"/>
      <c r="BM86" s="385" t="str">
        <f>IF(SnapshotTable[[#This Row],[LP Premium]] &gt; 0,SnapshotTable[[#This Row],[LP Exp Date]]-MAX(SnapshotTable[[#This Row],[LP Book Date]], SnapshotTable[[#This Row],[LP Fill Date]]),"")</f>
        <v/>
      </c>
      <c r="BN86" s="385" t="str">
        <f>IF(ISNUMBER( SnapshotTable[[#This Row],[LP Term]]), SnapshotTable[[#This Row],[LP Exp Date]] - MockToday,"")</f>
        <v/>
      </c>
      <c r="BO86" s="163"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7"/>
      <c r="BU86" s="13"/>
      <c r="BV86" s="5"/>
      <c r="BW86" s="419" t="b">
        <f>AND(ISNUMBER(SnapshotTable[[#This Row],[SP Exp Date]]), ISNUMBER(SnapshotTable[[#This Row],[SP Strike Price]]), ISNUMBER(SnapshotTable[[#This Row],[SP Qty]]), ISNUMBER(SnapshotTable[[#This Row],[SP Book Date]]), ISNUMBER(SnapshotTable[[#This Row],[SP Book Price]]))</f>
        <v>0</v>
      </c>
      <c r="BX86" s="419" t="b">
        <f>AND(SnapshotTable[[#This Row],[SP Is Booked]], NOT(ISBLANK(SnapshotTable[[#This Row],[SP Fill Date]])))</f>
        <v>0</v>
      </c>
      <c r="BY86" s="33">
        <f>IF(SnapshotTable[[#This Row],[SP Is Booked]], SnapshotTable[[#This Row],[SP Qty]] * SnapshotTable[[#This Row],[SP Book Price]] * 100, 0)</f>
        <v>0</v>
      </c>
      <c r="BZ86" s="369"/>
      <c r="CA86" s="368">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3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44"/>
      <c r="CK86" s="31">
        <f>IF(ISNUMBER(SnapshotTable[[#This Row],[SP Potential Spend]]),IF(ISNUMBER(SnapshotTable[[#This Row],[SP POW]]), SnapshotTable[[#This Row],[SP POW]] * SnapshotTable[[#This Row],[SP Potential Spend]], SnapshotTable[[#This Row],[SP Potential Spend]]), "")</f>
        <v>0</v>
      </c>
      <c r="CL86" s="164">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8"/>
      <c r="CO86" s="369"/>
      <c r="CP86" s="4" t="str">
        <f>IF(SnapshotTable[[#This Row],[SP Is Filled]], btc_max_buyback_amount(SnapshotTable[[#This Row],[SP Fill Date]],SnapshotTable[[#This Row],[SP Exp Date]], SnapshotTable[[#This Row],[SP Book Price]]),"")</f>
        <v/>
      </c>
      <c r="CQ86" s="78"/>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5" t="str">
        <f>IF(SnapshotTable[[#This Row],[SP Is Filled]], btc_next_cutoff_date(SnapshotTable[[#This Row],[SP Fill Date]],SnapshotTable[[#This Row],[SP Exp Date]]),"")</f>
        <v/>
      </c>
      <c r="CT86" s="23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3"/>
      <c r="CV86" s="235"/>
      <c r="CW86" s="378"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294" t="str">
        <f>IF(ISNUMBER((SnapshotTable[[#This Row],[SP Total Value]])), SnapshotTable[[#This Row],[SP Gain Loss]] / SnapshotTable[[#This Row],[SP Premium]], "")</f>
        <v/>
      </c>
      <c r="DI86" s="406"/>
      <c r="DJ86" s="147"/>
      <c r="DK86" s="148"/>
      <c r="DL86" s="147"/>
      <c r="DM86" s="147"/>
      <c r="DN86" s="147"/>
      <c r="DO86" s="31">
        <f>IF(SnapshotTable[[#This Row],[LC Symbol Count]]=1, SnapshotTable[[#This Row],[LC Qty]] * SnapshotTable[[#This Row],[LC Book Price]] * 100, 0)</f>
        <v>0</v>
      </c>
      <c r="DP86" s="163" t="str">
        <f>IF(AND(SnapshotTable[[#This Row],[LC Exp Date]]&gt;0, SnapshotTable[[#This Row],[LC Strike Price]]&gt;0,SnapshotTable[[#This Row],[LC Qty]]&gt;0,SnapshotTable[[#This Row],[LC Book Date]]&gt;0,SnapshotTable[[#This Row],[LC Book Price]]&gt;0,SnapshotTable[[#This Row],[LC Fill Date]]=0),"Y","")</f>
        <v/>
      </c>
      <c r="DQ86" s="386" t="str">
        <f>IF(SnapshotTable[[#This Row],[LC Premium]] &gt; 0,SnapshotTable[[#This Row],[LC Exp Date]]-MAX(SnapshotTable[[#This Row],[LC Book Date]], SnapshotTable[[#This Row],[LC Fill Date]]),"")</f>
        <v/>
      </c>
      <c r="DR86" s="386" t="str">
        <f>IF(ISNUMBER(SnapshotTable[[#This Row],[LC Term]]), SnapshotTable[[#This Row],[LC Exp Date]] - MockToday, "")</f>
        <v/>
      </c>
      <c r="DS86" s="23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40" t="str">
        <f>IF(ISNUMBER(SnapshotTable[[#This Row],[LC Actual Gain Loss]]), SnapshotTable[[#This Row],[LC Actual Gain Loss]] / SnapshotTable[[#This Row],[LC Premium]],"")</f>
        <v/>
      </c>
      <c r="DX86" s="284" t="str">
        <f>IF(ISNUMBER(SnapshotTable[[#This Row],[LC Book Price]]),SnapshotTable[[#This Row],[LC Book Price]] * 1.5,"")</f>
        <v/>
      </c>
      <c r="DY86" s="265" t="str">
        <f>IF(SnapshotTable[[#This Row],[LC Premium]]&gt;0, SnapshotTable[[#This Row],[LC Next Target]] * SnapshotTable[[#This Row],[LC Qty]] * 100,"")</f>
        <v/>
      </c>
      <c r="DZ86" s="265" t="str">
        <f>IF(ISNUMBER(SnapshotTable[[#This Row],[LC Target Gross]]), SnapshotTable[[#This Row],[LC Target Gross]] - SnapshotTable[[#This Row],[LC Premium]], "")</f>
        <v/>
      </c>
      <c r="EA86" s="305" t="str">
        <f>IF(ISNUMBER(SnapshotTable[[#This Row],[LC Target Gain Loss]]), SnapshotTable[[#This Row],[LC Target Gain Loss]]/SnapshotTable[[#This Row],[LC Premium]], "")</f>
        <v/>
      </c>
      <c r="EB86" s="262"/>
      <c r="EC86" s="283" t="str">
        <f>IF(SnapshotTable[[#This Row],[LC Premium]]&gt;0, SnapshotTable[[#This Row],[LC Book Price]] * (1 - LC_StopLoss_Pct),"")</f>
        <v/>
      </c>
      <c r="ED86" s="284"/>
      <c r="EE86" s="28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4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7"/>
      <c r="EL86" s="138"/>
      <c r="EM86" s="148"/>
      <c r="EN86" s="147"/>
      <c r="EO86" s="147"/>
      <c r="EP86" s="138"/>
      <c r="EQ86" s="419" t="b">
        <f>AND(ISNUMBER(SnapshotTable[[#This Row],[SC Exp Date]]), ISNUMBER(SnapshotTable[[#This Row],[SC Strike Price]]), ISNUMBER(SnapshotTable[[#This Row],[SC Qty]]), ISNUMBER(SnapshotTable[[#This Row],[SC Book Date]]), ISNUMBER(SnapshotTable[[#This Row],[SC Book Price]]))</f>
        <v>0</v>
      </c>
      <c r="ER86" s="419" t="b">
        <f>AND(SnapshotTable[[#This Row],[SC Is Booked]], NOT(ISBLANK(SnapshotTable[[#This Row],[SC Fill Date]])))</f>
        <v>0</v>
      </c>
      <c r="ES86" s="370"/>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3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283"/>
      <c r="FA86" s="218"/>
      <c r="FB86" s="370"/>
      <c r="FC86" s="4">
        <f>IF(SnapshotTable[[#This Row],[SC Is Filled]], btc_max_buyback_amount(SnapshotTable[[#This Row],[SC Fill Date]],SnapshotTable[[#This Row],[SC Exp Date]], SnapshotTable[[#This Row],[SC Book Price]]),0)</f>
        <v>0</v>
      </c>
      <c r="FD86" s="5"/>
      <c r="FE86" s="144"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382">
        <f>IF(SnapshotTable[[#This Row],[SC Is Filled]], IF(ISNUMBER(SnapshotTable[[#This Row],[SC Current Ask]]), SnapshotTable[[#This Row],[SC Current Ask]], SnapshotTable[[#This Row],[SC Book Price]]) - SnapshotTable[[#This Row],[SC Intrinsic Value]], 0)</f>
        <v>0</v>
      </c>
      <c r="FI86" s="143"/>
      <c r="FJ86" s="32" t="str">
        <f>IF(SnapshotTable[[#This Row],[SC Is Filled]],100 * SnapshotTable[[#This Row],[SC Qty]] * IF(ISNUMBER(SnapshotTable[[#This Row],[SC Buyback Override]]), SnapshotTable[[#This Row],[SC Buyback Override]], SnapshotTable[[#This Row],[SC Current Ask]]), "")</f>
        <v/>
      </c>
      <c r="FK86" s="250" t="str">
        <f>IF(SnapshotTable[[#This Row],[SC Time Val]]&gt;0, SnapshotTable[[#This Row],[SC Time Val]] / SnapshotTable[[#This Row],[Last Price]],"")</f>
        <v/>
      </c>
      <c r="FL86" s="302" t="str">
        <f>IF(SnapshotTable[[#This Row],[SC Is Booked]], ((SnapshotTable[[#This Row],[Last Price]] -SnapshotTable[[#This Row],[SC Strike Price]]) / SnapshotTable[[#This Row],[Last Price]]) * -1, "")</f>
        <v/>
      </c>
      <c r="FM86" s="157"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33"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36" t="str">
        <f>IF(AND(ISNUMBER(SnapshotTable[[#This Row],[SC Simple ROO]]),SnapshotTable[[#This Row],[SC Simple ROO]] &gt; 0), SnapshotTable[[#This Row],[SC Premium]] + (SnapshotTable[[#This Row],[SC Qty]] * SnapshotTable[[#This Row],[SC Upside Potential]]), "")</f>
        <v/>
      </c>
      <c r="FX86" s="302" t="str" cm="1">
        <f t="array" ref="FX86">IF(ISNUMBER(SnapshotTable[[#This Row],[SC Max Dollars]]), annualize(SnapshotTable[[#This Row],[SC Term]],(SnapshotTable[[#This Row],[SC Max Dollars]]/SnapshotTable[[#This Row],[SC Basis]])),"")</f>
        <v/>
      </c>
      <c r="FY86" s="23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29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18.427499999999998</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31">
        <f>MAX(SnapshotTable[[#This Row],[Equity Basis Total]],SnapshotTable[[#This Row],[Equity Value]]) + (SnapshotTable[[#This Row],[SP Potential Spend]]- SnapshotTable[[#This Row],[SP Premium]] + SnapshotTable[[#This Row],[LP Premium]])+ (SnapshotTable[[#This Row],[LC Premium]] - SnapshotTable[[#This Row],[SC Premium]])</f>
        <v>0</v>
      </c>
      <c r="GW86" s="139" t="str">
        <f>IF(AND(SnapshotTable[[#This Row],[Exposure]] &lt;&gt; 0),SnapshotTable[[#This Row],[Exposure]] / SnapshotTable[[#Totals],[Exposure]], "")</f>
        <v/>
      </c>
      <c r="HE86" s="268"/>
      <c r="HF86" s="268"/>
      <c r="HK86" s="1"/>
      <c r="HL86" s="1"/>
      <c r="HM86" s="1"/>
      <c r="HN86" s="1"/>
      <c r="HO86" s="1"/>
      <c r="HP86" s="1"/>
    </row>
    <row r="87" spans="2:224" s="47" customFormat="1" ht="12.75" hidden="1" customHeight="1" x14ac:dyDescent="0.25">
      <c r="B87" s="12" t="s">
        <v>1171</v>
      </c>
      <c r="C87" s="422">
        <v>15.33</v>
      </c>
      <c r="D87" s="208" t="s">
        <v>578</v>
      </c>
      <c r="E87" s="39">
        <f>SnapshotTable[[#This Row],[Last Price]]*(1 -CrashDiscount)</f>
        <v>13.0305</v>
      </c>
      <c r="F87" s="26" t="s">
        <v>937</v>
      </c>
      <c r="G87" s="325" t="s">
        <v>4</v>
      </c>
      <c r="H87" s="149"/>
      <c r="I87" s="194"/>
      <c r="J87" s="195"/>
      <c r="K87" s="196"/>
      <c r="L87" s="326"/>
      <c r="M87" s="140"/>
      <c r="N87" s="140"/>
      <c r="O87" s="140"/>
      <c r="P87" s="22"/>
      <c r="Q87" s="25"/>
      <c r="R87" s="4" t="str">
        <f>IF(SnapshotTable[[#This Row],[Equity Basis Total]] &gt; 0, SnapshotTable[[#This Row],[Equity Basis Total]] / SnapshotTable[[#This Row],[Equity Shares]], "")</f>
        <v/>
      </c>
      <c r="S87" s="269">
        <f>SnapshotTable[[#This Row],[Last Price]] * SnapshotTable[[#This Row],[Equity Shares]]</f>
        <v>0</v>
      </c>
      <c r="T87" s="269">
        <f>SnapshotTable[[#This Row],[Equity Value]] - SnapshotTable[[#This Row],[Equity Basis Total]]</f>
        <v>0</v>
      </c>
      <c r="U87" s="270" t="str">
        <f>IF(SnapshotTable[[#This Row],[Equity Basis Total]] &gt; 0, SnapshotTable[[#This Row],[Equity G/L]] / SnapshotTable[[#This Row],[Equity Basis Total]], "")</f>
        <v/>
      </c>
      <c r="V87" s="268"/>
      <c r="W87" s="26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7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0"/>
      <c r="AD87" s="151"/>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1"/>
      <c r="AI87" s="5"/>
      <c r="AJ87" s="138"/>
      <c r="AK87" s="152" t="str">
        <f>IF(ISNUMBER( SnapshotTable[[#This Row],[EBF Target]]),(SnapshotTable[[#This Row],[EBF Target]] - SnapshotTable[[#This Row],[Last Price]]) / SnapshotTable[[#This Row],[Last Price]], "")</f>
        <v/>
      </c>
      <c r="AL87" s="152"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2" t="str">
        <f>IF(AND(ISNUMBER( SnapshotTable[[#This Row],[Long Term Target]]), ISNUMBER(SnapshotTable[[#This Row],[Last Price]])),(SnapshotTable[[#This Row],[Long Term Target]] - SnapshotTable[[#This Row],[Last Price]]) / SnapshotTable[[#This Row],[Last Price]], "")</f>
        <v/>
      </c>
      <c r="AP87" s="5">
        <v>18</v>
      </c>
      <c r="AQ87" s="38" t="s">
        <v>27</v>
      </c>
      <c r="AR87" s="5">
        <v>16</v>
      </c>
      <c r="AS87" s="38" t="s">
        <v>26</v>
      </c>
      <c r="AT87" s="146" t="s">
        <v>553</v>
      </c>
      <c r="AU87" s="187" t="str">
        <f>IF(OR(SnapshotTable[[#This Row],[LP No Fill]]="Y",SnapshotTable[[#This Row],[SP Is Filled]],SnapshotTable[[#This Row],[LC Not Filled]]="Y",SnapshotTable[[#This Row],[SC Is Filled]]),"Y","")</f>
        <v/>
      </c>
      <c r="AV87" s="219"/>
      <c r="AW87" s="225"/>
      <c r="AX87" s="220"/>
      <c r="AY87" s="219" t="str">
        <f>IF(SnapshotTable[[#This Row],[Implied Move]]&gt;0, SnapshotTable[[#This Row],[Last Price]]-SnapshotTable[[#This Row],[Implied Move]],"")</f>
        <v/>
      </c>
      <c r="AZ87" s="219" t="str">
        <f>IF(SnapshotTable[[#This Row],[Implied Move]]&gt;0, SnapshotTable[[#This Row],[Last Price]] + SnapshotTable[[#This Row],[Implied Move]],"")</f>
        <v/>
      </c>
      <c r="BA87" s="331">
        <v>12.52</v>
      </c>
      <c r="BB87" s="347"/>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51"/>
      <c r="BE87" s="5"/>
      <c r="BF87" s="14"/>
      <c r="BG87" s="13"/>
      <c r="BH87" s="13"/>
      <c r="BI87" s="5"/>
      <c r="BJ87" s="136">
        <f>IF(SnapshotTable[[#This Row],[LP Qty]] &gt; 0, SnapshotTable[[#This Row],[LP Qty]] * SnapshotTable[[#This Row],[LP Book Price]] * 100,0)</f>
        <v>0</v>
      </c>
      <c r="BK87" s="136">
        <f>IF(SnapshotTable[[#This Row],[LP Premium]] &gt; 0, SnapshotTable[[#This Row],[LP Qty]] * SnapshotTable[[#This Row],[LP Strike Price]] * 100,0)</f>
        <v>0</v>
      </c>
      <c r="BL87" s="154"/>
      <c r="BM87" s="19" t="str">
        <f>IF(SnapshotTable[[#This Row],[LP Premium]] &gt; 0,SnapshotTable[[#This Row],[LP Exp Date]]-MAX(SnapshotTable[[#This Row],[LP Book Date]], SnapshotTable[[#This Row],[LP Fill Date]]),"")</f>
        <v/>
      </c>
      <c r="BN87" s="385" t="str">
        <f>IF(ISNUMBER( SnapshotTable[[#This Row],[LP Term]]), SnapshotTable[[#This Row],[LP Exp Date]] - MockToday,"")</f>
        <v/>
      </c>
      <c r="BO87" s="163"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7"/>
      <c r="BU87" s="13"/>
      <c r="BV87" s="5"/>
      <c r="BW87" s="419" t="b">
        <f>AND(ISNUMBER(SnapshotTable[[#This Row],[SP Exp Date]]), ISNUMBER(SnapshotTable[[#This Row],[SP Strike Price]]), ISNUMBER(SnapshotTable[[#This Row],[SP Qty]]), ISNUMBER(SnapshotTable[[#This Row],[SP Book Date]]), ISNUMBER(SnapshotTable[[#This Row],[SP Book Price]]))</f>
        <v>0</v>
      </c>
      <c r="BX87" s="419" t="b">
        <f>AND(SnapshotTable[[#This Row],[SP Is Booked]], NOT(ISBLANK(SnapshotTable[[#This Row],[SP Fill Date]])))</f>
        <v>0</v>
      </c>
      <c r="BY87" s="33">
        <f>IF(SnapshotTable[[#This Row],[SP Is Booked]], SnapshotTable[[#This Row],[SP Qty]] * SnapshotTable[[#This Row],[SP Book Price]] * 100, 0)</f>
        <v>0</v>
      </c>
      <c r="BZ87" s="369"/>
      <c r="CA87" s="368">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3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44"/>
      <c r="CK87" s="31">
        <f>IF(ISNUMBER(SnapshotTable[[#This Row],[SP Potential Spend]]),IF(ISNUMBER(SnapshotTable[[#This Row],[SP POW]]), SnapshotTable[[#This Row],[SP POW]] * SnapshotTable[[#This Row],[SP Potential Spend]], SnapshotTable[[#This Row],[SP Potential Spend]]), "")</f>
        <v>0</v>
      </c>
      <c r="CL87" s="164">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8"/>
      <c r="CO87" s="369"/>
      <c r="CP87" s="4" t="str">
        <f>IF(SnapshotTable[[#This Row],[SP Is Filled]], btc_max_buyback_amount(SnapshotTable[[#This Row],[SP Fill Date]],SnapshotTable[[#This Row],[SP Exp Date]], SnapshotTable[[#This Row],[SP Book Price]]),"")</f>
        <v/>
      </c>
      <c r="CQ87" s="78"/>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5" t="str">
        <f>IF(SnapshotTable[[#This Row],[SP Is Filled]], btc_next_cutoff_date(SnapshotTable[[#This Row],[SP Fill Date]],SnapshotTable[[#This Row],[SP Exp Date]]),"")</f>
        <v/>
      </c>
      <c r="CT87" s="23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6"/>
      <c r="CV87" s="235"/>
      <c r="CW87" s="378"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294" t="str">
        <f>IF(ISNUMBER((SnapshotTable[[#This Row],[SP Total Value]])), SnapshotTable[[#This Row],[SP Gain Loss]] / SnapshotTable[[#This Row],[SP Premium]], "")</f>
        <v/>
      </c>
      <c r="DI87" s="406"/>
      <c r="DJ87" s="138"/>
      <c r="DK87" s="148"/>
      <c r="DL87" s="13"/>
      <c r="DM87" s="13"/>
      <c r="DN87" s="5"/>
      <c r="DO87" s="31">
        <f>IF(SnapshotTable[[#This Row],[LC Symbol Count]]=1, SnapshotTable[[#This Row],[LC Qty]] * SnapshotTable[[#This Row],[LC Book Price]] * 100, 0)</f>
        <v>0</v>
      </c>
      <c r="DP87" s="163" t="str">
        <f>IF(AND(SnapshotTable[[#This Row],[LC Exp Date]]&gt;0, SnapshotTable[[#This Row],[LC Strike Price]]&gt;0,SnapshotTable[[#This Row],[LC Qty]]&gt;0,SnapshotTable[[#This Row],[LC Book Date]]&gt;0,SnapshotTable[[#This Row],[LC Book Price]]&gt;0,SnapshotTable[[#This Row],[LC Fill Date]]=0),"Y","")</f>
        <v/>
      </c>
      <c r="DQ87" s="386" t="str">
        <f>IF(SnapshotTable[[#This Row],[LC Premium]] &gt; 0,SnapshotTable[[#This Row],[LC Exp Date]]-MAX(SnapshotTable[[#This Row],[LC Book Date]], SnapshotTable[[#This Row],[LC Fill Date]]),"")</f>
        <v/>
      </c>
      <c r="DR87" s="386" t="str">
        <f>IF(ISNUMBER(SnapshotTable[[#This Row],[LC Term]]), SnapshotTable[[#This Row],[LC Exp Date]] - MockToday, "")</f>
        <v/>
      </c>
      <c r="DS87" s="23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40" t="str">
        <f>IF(ISNUMBER(SnapshotTable[[#This Row],[LC Actual Gain Loss]]), SnapshotTable[[#This Row],[LC Actual Gain Loss]] / SnapshotTable[[#This Row],[LC Premium]],"")</f>
        <v/>
      </c>
      <c r="DX87" s="284" t="str">
        <f>IF(ISNUMBER(SnapshotTable[[#This Row],[LC Book Price]]),SnapshotTable[[#This Row],[LC Book Price]] * 1.5,"")</f>
        <v/>
      </c>
      <c r="DY87" s="265" t="str">
        <f>IF(SnapshotTable[[#This Row],[LC Premium]]&gt;0, SnapshotTable[[#This Row],[LC Next Target]] * SnapshotTable[[#This Row],[LC Qty]] * 100,"")</f>
        <v/>
      </c>
      <c r="DZ87" s="265" t="str">
        <f>IF(ISNUMBER(SnapshotTable[[#This Row],[LC Target Gross]]), SnapshotTable[[#This Row],[LC Target Gross]] - SnapshotTable[[#This Row],[LC Premium]], "")</f>
        <v/>
      </c>
      <c r="EA87" s="305" t="str">
        <f>IF(ISNUMBER(SnapshotTable[[#This Row],[LC Target Gain Loss]]), SnapshotTable[[#This Row],[LC Target Gain Loss]]/SnapshotTable[[#This Row],[LC Premium]], "")</f>
        <v/>
      </c>
      <c r="EB87" s="262"/>
      <c r="EC87" s="283" t="str">
        <f>IF(SnapshotTable[[#This Row],[LC Premium]]&gt;0, SnapshotTable[[#This Row],[LC Book Price]] * (1 - LC_StopLoss_Pct),"")</f>
        <v/>
      </c>
      <c r="ED87" s="284"/>
      <c r="EE87" s="28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4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7"/>
      <c r="EL87" s="138"/>
      <c r="EM87" s="148"/>
      <c r="EN87" s="147"/>
      <c r="EO87" s="147"/>
      <c r="EP87" s="138"/>
      <c r="EQ87" s="419" t="b">
        <f>AND(ISNUMBER(SnapshotTable[[#This Row],[SC Exp Date]]), ISNUMBER(SnapshotTable[[#This Row],[SC Strike Price]]), ISNUMBER(SnapshotTable[[#This Row],[SC Qty]]), ISNUMBER(SnapshotTable[[#This Row],[SC Book Date]]), ISNUMBER(SnapshotTable[[#This Row],[SC Book Price]]))</f>
        <v>0</v>
      </c>
      <c r="ER87" s="419" t="b">
        <f>AND(SnapshotTable[[#This Row],[SC Is Booked]], NOT(ISBLANK(SnapshotTable[[#This Row],[SC Fill Date]])))</f>
        <v>0</v>
      </c>
      <c r="ES87" s="370"/>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3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283"/>
      <c r="FA87" s="218"/>
      <c r="FB87" s="370"/>
      <c r="FC87" s="4">
        <f>IF(SnapshotTable[[#This Row],[SC Is Filled]], btc_max_buyback_amount(SnapshotTable[[#This Row],[SC Fill Date]],SnapshotTable[[#This Row],[SC Exp Date]], SnapshotTable[[#This Row],[SC Book Price]]),0)</f>
        <v>0</v>
      </c>
      <c r="FD87" s="5"/>
      <c r="FE87" s="144"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382">
        <f>IF(SnapshotTable[[#This Row],[SC Is Filled]], IF(ISNUMBER(SnapshotTable[[#This Row],[SC Current Ask]]), SnapshotTable[[#This Row],[SC Current Ask]], SnapshotTable[[#This Row],[SC Book Price]]) - SnapshotTable[[#This Row],[SC Intrinsic Value]], 0)</f>
        <v>0</v>
      </c>
      <c r="FI87" s="143"/>
      <c r="FJ87" s="32" t="str">
        <f>IF(SnapshotTable[[#This Row],[SC Is Filled]],100 * SnapshotTable[[#This Row],[SC Qty]] * IF(ISNUMBER(SnapshotTable[[#This Row],[SC Buyback Override]]), SnapshotTable[[#This Row],[SC Buyback Override]], SnapshotTable[[#This Row],[SC Current Ask]]), "")</f>
        <v/>
      </c>
      <c r="FK87" s="250" t="str">
        <f>IF(SnapshotTable[[#This Row],[SC Time Val]]&gt;0, SnapshotTable[[#This Row],[SC Time Val]] / SnapshotTable[[#This Row],[Last Price]],"")</f>
        <v/>
      </c>
      <c r="FL87" s="302" t="str">
        <f>IF(SnapshotTable[[#This Row],[SC Is Booked]], ((SnapshotTable[[#This Row],[Last Price]] -SnapshotTable[[#This Row],[SC Strike Price]]) / SnapshotTable[[#This Row],[Last Price]]) * -1, "")</f>
        <v/>
      </c>
      <c r="FM87" s="157"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33"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36" t="str">
        <f>IF(AND(ISNUMBER(SnapshotTable[[#This Row],[SC Simple ROO]]),SnapshotTable[[#This Row],[SC Simple ROO]] &gt; 0), SnapshotTable[[#This Row],[SC Premium]] + (SnapshotTable[[#This Row],[SC Qty]] * SnapshotTable[[#This Row],[SC Upside Potential]]), "")</f>
        <v/>
      </c>
      <c r="FX87" s="302" t="str" cm="1">
        <f t="array" ref="FX87">IF(ISNUMBER(SnapshotTable[[#This Row],[SC Max Dollars]]), annualize(SnapshotTable[[#This Row],[SC Term]],(SnapshotTable[[#This Row],[SC Max Dollars]]/SnapshotTable[[#This Row],[SC Basis]])),"")</f>
        <v/>
      </c>
      <c r="FY87" s="23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29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29.8935</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31">
        <f>MAX(SnapshotTable[[#This Row],[Equity Basis Total]],SnapshotTable[[#This Row],[Equity Value]]) + (SnapshotTable[[#This Row],[SP Potential Spend]]- SnapshotTable[[#This Row],[SP Premium]] + SnapshotTable[[#This Row],[LP Premium]])+ (SnapshotTable[[#This Row],[LC Premium]] - SnapshotTable[[#This Row],[SC Premium]])</f>
        <v>0</v>
      </c>
      <c r="GW87" s="139" t="str">
        <f>IF(AND(SnapshotTable[[#This Row],[Exposure]] &lt;&gt; 0),SnapshotTable[[#This Row],[Exposure]] / SnapshotTable[[#Totals],[Exposure]], "")</f>
        <v/>
      </c>
      <c r="GY87" s="381"/>
      <c r="HE87" s="268"/>
      <c r="HF87" s="268"/>
      <c r="HG87" s="381"/>
      <c r="HH87" s="381"/>
      <c r="HI87" s="381"/>
      <c r="HJ87" s="381"/>
    </row>
    <row r="88" spans="2:224" s="47" customFormat="1" ht="12.75" hidden="1" customHeight="1" x14ac:dyDescent="0.25">
      <c r="B88" s="12" t="s">
        <v>571</v>
      </c>
      <c r="C88" s="422">
        <v>95.76</v>
      </c>
      <c r="D88" s="208" t="s">
        <v>586</v>
      </c>
      <c r="E88" s="39">
        <f>SnapshotTable[[#This Row],[Last Price]]*(1 -CrashDiscount)</f>
        <v>81.396000000000001</v>
      </c>
      <c r="F88" s="26" t="s">
        <v>140</v>
      </c>
      <c r="G88" s="26" t="s">
        <v>17</v>
      </c>
      <c r="H88" s="149"/>
      <c r="I88" s="194">
        <v>44774.673611111109</v>
      </c>
      <c r="J88" s="195">
        <v>44774.673611111109</v>
      </c>
      <c r="K88" s="196"/>
      <c r="L88" s="326"/>
      <c r="M88" s="140">
        <v>2</v>
      </c>
      <c r="N88" s="140"/>
      <c r="O88" s="140"/>
      <c r="P88" s="22"/>
      <c r="Q88" s="25"/>
      <c r="R88" s="4" t="str">
        <f>IF(SnapshotTable[[#This Row],[Equity Basis Total]] &gt; 0, SnapshotTable[[#This Row],[Equity Basis Total]] / SnapshotTable[[#This Row],[Equity Shares]], "")</f>
        <v/>
      </c>
      <c r="S88" s="269">
        <f>SnapshotTable[[#This Row],[Last Price]] * SnapshotTable[[#This Row],[Equity Shares]]</f>
        <v>0</v>
      </c>
      <c r="T88" s="269">
        <f>SnapshotTable[[#This Row],[Equity Value]] - SnapshotTable[[#This Row],[Equity Basis Total]]</f>
        <v>0</v>
      </c>
      <c r="U88" s="270" t="str">
        <f>IF(SnapshotTable[[#This Row],[Equity Basis Total]] &gt; 0, SnapshotTable[[#This Row],[Equity G/L]] / SnapshotTable[[#This Row],[Equity Basis Total]], "")</f>
        <v/>
      </c>
      <c r="V88" s="268"/>
      <c r="W88" s="26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7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0"/>
      <c r="AD88" s="151"/>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1"/>
      <c r="AI88" s="5">
        <v>225</v>
      </c>
      <c r="AJ88" s="138">
        <v>213.71</v>
      </c>
      <c r="AK88" s="152">
        <f>IF(ISNUMBER( SnapshotTable[[#This Row],[EBF Target]]),(SnapshotTable[[#This Row],[EBF Target]] - SnapshotTable[[#This Row],[Last Price]]) / SnapshotTable[[#This Row],[Last Price]], "")</f>
        <v>1.3496240601503759</v>
      </c>
      <c r="AL88" s="152"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2">
        <f>IF(AND(ISNUMBER( SnapshotTable[[#This Row],[Long Term Target]]), ISNUMBER(SnapshotTable[[#This Row],[Last Price]])),(SnapshotTable[[#This Row],[Long Term Target]] - SnapshotTable[[#This Row],[Last Price]]) / SnapshotTable[[#This Row],[Last Price]], "")</f>
        <v>1.2317251461988303</v>
      </c>
      <c r="AP88" s="5">
        <v>192.5</v>
      </c>
      <c r="AQ88" s="38" t="s">
        <v>27</v>
      </c>
      <c r="AR88" s="5">
        <v>192.5</v>
      </c>
      <c r="AS88" s="38" t="s">
        <v>38</v>
      </c>
      <c r="AT88" s="146" t="s">
        <v>542</v>
      </c>
      <c r="AU88" s="187" t="str">
        <f>IF(OR(SnapshotTable[[#This Row],[LP No Fill]]="Y",SnapshotTable[[#This Row],[SP Is Filled]],SnapshotTable[[#This Row],[LC Not Filled]]="Y",SnapshotTable[[#This Row],[SC Is Filled]]),"Y","")</f>
        <v/>
      </c>
      <c r="AV88" s="219"/>
      <c r="AW88" s="225"/>
      <c r="AX88" s="220"/>
      <c r="AY88" s="219" t="str">
        <f>IF(SnapshotTable[[#This Row],[Implied Move]]&gt;0, SnapshotTable[[#This Row],[Last Price]]-SnapshotTable[[#This Row],[Implied Move]],"")</f>
        <v/>
      </c>
      <c r="AZ88" s="219" t="str">
        <f>IF(SnapshotTable[[#This Row],[Implied Move]]&gt;0, SnapshotTable[[#This Row],[Last Price]] + SnapshotTable[[#This Row],[Implied Move]],"")</f>
        <v/>
      </c>
      <c r="BA88" s="331">
        <v>197.32</v>
      </c>
      <c r="BB88" s="347"/>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51"/>
      <c r="BE88" s="174"/>
      <c r="BF88" s="175"/>
      <c r="BG88" s="176"/>
      <c r="BH88" s="176"/>
      <c r="BI88" s="5"/>
      <c r="BJ88" s="153">
        <f>IF(SnapshotTable[[#This Row],[LP Qty]] &gt; 0, SnapshotTable[[#This Row],[LP Qty]] * SnapshotTable[[#This Row],[LP Book Price]] * 100,0)</f>
        <v>0</v>
      </c>
      <c r="BK88" s="136">
        <f>IF(SnapshotTable[[#This Row],[LP Premium]] &gt; 0, SnapshotTable[[#This Row],[LP Qty]] * SnapshotTable[[#This Row],[LP Strike Price]] * 100,0)</f>
        <v>0</v>
      </c>
      <c r="BL88" s="154"/>
      <c r="BM88" s="385" t="str">
        <f>IF(SnapshotTable[[#This Row],[LP Premium]] &gt; 0,SnapshotTable[[#This Row],[LP Exp Date]]-MAX(SnapshotTable[[#This Row],[LP Book Date]], SnapshotTable[[#This Row],[LP Fill Date]]),"")</f>
        <v/>
      </c>
      <c r="BN88" s="385" t="str">
        <f>IF(ISNUMBER( SnapshotTable[[#This Row],[LP Term]]), SnapshotTable[[#This Row],[LP Exp Date]] - MockToday,"")</f>
        <v/>
      </c>
      <c r="BO88" s="163"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7"/>
      <c r="BU88" s="13"/>
      <c r="BV88" s="5"/>
      <c r="BW88" s="419" t="b">
        <f>AND(ISNUMBER(SnapshotTable[[#This Row],[SP Exp Date]]), ISNUMBER(SnapshotTable[[#This Row],[SP Strike Price]]), ISNUMBER(SnapshotTable[[#This Row],[SP Qty]]), ISNUMBER(SnapshotTable[[#This Row],[SP Book Date]]), ISNUMBER(SnapshotTable[[#This Row],[SP Book Price]]))</f>
        <v>0</v>
      </c>
      <c r="BX88" s="419" t="b">
        <f>AND(SnapshotTable[[#This Row],[SP Is Booked]], NOT(ISBLANK(SnapshotTable[[#This Row],[SP Fill Date]])))</f>
        <v>0</v>
      </c>
      <c r="BY88" s="33">
        <f>IF(SnapshotTable[[#This Row],[SP Is Booked]], SnapshotTable[[#This Row],[SP Qty]] * SnapshotTable[[#This Row],[SP Book Price]] * 100, 0)</f>
        <v>0</v>
      </c>
      <c r="BZ88" s="369"/>
      <c r="CA88" s="368">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3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44"/>
      <c r="CK88" s="31">
        <f>IF(ISNUMBER(SnapshotTable[[#This Row],[SP Potential Spend]]),IF(ISNUMBER(SnapshotTable[[#This Row],[SP POW]]), SnapshotTable[[#This Row],[SP POW]] * SnapshotTable[[#This Row],[SP Potential Spend]], SnapshotTable[[#This Row],[SP Potential Spend]]), "")</f>
        <v>0</v>
      </c>
      <c r="CL88" s="164">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4"/>
      <c r="CO88" s="369"/>
      <c r="CP88" s="4" t="str">
        <f>IF(SnapshotTable[[#This Row],[SP Is Filled]], btc_max_buyback_amount(SnapshotTable[[#This Row],[SP Fill Date]],SnapshotTable[[#This Row],[SP Exp Date]], SnapshotTable[[#This Row],[SP Book Price]]),"")</f>
        <v/>
      </c>
      <c r="CQ88" s="78">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5" t="str">
        <f>IF(SnapshotTable[[#This Row],[SP Is Filled]], btc_next_cutoff_date(SnapshotTable[[#This Row],[SP Fill Date]],SnapshotTable[[#This Row],[SP Exp Date]]),"")</f>
        <v/>
      </c>
      <c r="CT88" s="23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6">
        <v>44211</v>
      </c>
      <c r="CV88" s="235"/>
      <c r="CW88" s="378"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294" t="str">
        <f>IF(ISNUMBER((SnapshotTable[[#This Row],[SP Total Value]])), SnapshotTable[[#This Row],[SP Gain Loss]] / SnapshotTable[[#This Row],[SP Premium]], "")</f>
        <v/>
      </c>
      <c r="DI88" s="406"/>
      <c r="DJ88" s="138"/>
      <c r="DK88" s="148"/>
      <c r="DL88" s="13"/>
      <c r="DM88" s="13"/>
      <c r="DN88" s="5"/>
      <c r="DO88" s="31">
        <f>IF(SnapshotTable[[#This Row],[LC Symbol Count]]=1, SnapshotTable[[#This Row],[LC Qty]] * SnapshotTable[[#This Row],[LC Book Price]] * 100, 0)</f>
        <v>0</v>
      </c>
      <c r="DP88" s="163" t="str">
        <f>IF(AND(SnapshotTable[[#This Row],[LC Exp Date]]&gt;0, SnapshotTable[[#This Row],[LC Strike Price]]&gt;0,SnapshotTable[[#This Row],[LC Qty]]&gt;0,SnapshotTable[[#This Row],[LC Book Date]]&gt;0,SnapshotTable[[#This Row],[LC Book Price]]&gt;0,SnapshotTable[[#This Row],[LC Fill Date]]=0),"Y","")</f>
        <v/>
      </c>
      <c r="DQ88" s="386" t="str">
        <f>IF(SnapshotTable[[#This Row],[LC Premium]] &gt; 0,SnapshotTable[[#This Row],[LC Exp Date]]-MAX(SnapshotTable[[#This Row],[LC Book Date]], SnapshotTable[[#This Row],[LC Fill Date]]),"")</f>
        <v/>
      </c>
      <c r="DR88" s="386" t="str">
        <f>IF(ISNUMBER(SnapshotTable[[#This Row],[LC Term]]), SnapshotTable[[#This Row],[LC Exp Date]] - MockToday, "")</f>
        <v/>
      </c>
      <c r="DS88" s="23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40" t="str">
        <f>IF(ISNUMBER(SnapshotTable[[#This Row],[LC Actual Gain Loss]]), SnapshotTable[[#This Row],[LC Actual Gain Loss]] / SnapshotTable[[#This Row],[LC Premium]],"")</f>
        <v/>
      </c>
      <c r="DX88" s="284" t="str">
        <f>IF(ISNUMBER(SnapshotTable[[#This Row],[LC Book Price]]),SnapshotTable[[#This Row],[LC Book Price]] * 1.5,"")</f>
        <v/>
      </c>
      <c r="DY88" s="265" t="str">
        <f>IF(SnapshotTable[[#This Row],[LC Premium]]&gt;0, SnapshotTable[[#This Row],[LC Next Target]] * SnapshotTable[[#This Row],[LC Qty]] * 100,"")</f>
        <v/>
      </c>
      <c r="DZ88" s="265" t="str">
        <f>IF(ISNUMBER(SnapshotTable[[#This Row],[LC Target Gross]]), SnapshotTable[[#This Row],[LC Target Gross]] - SnapshotTable[[#This Row],[LC Premium]], "")</f>
        <v/>
      </c>
      <c r="EA88" s="305" t="str">
        <f>IF(ISNUMBER(SnapshotTable[[#This Row],[LC Target Gain Loss]]), SnapshotTable[[#This Row],[LC Target Gain Loss]]/SnapshotTable[[#This Row],[LC Premium]], "")</f>
        <v/>
      </c>
      <c r="EB88" s="262"/>
      <c r="EC88" s="283" t="str">
        <f>IF(SnapshotTable[[#This Row],[LC Premium]]&gt;0, SnapshotTable[[#This Row],[LC Book Price]] * (1 - LC_StopLoss_Pct),"")</f>
        <v/>
      </c>
      <c r="ED88" s="284"/>
      <c r="EE88" s="28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4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7"/>
      <c r="EL88" s="138"/>
      <c r="EM88" s="148"/>
      <c r="EN88" s="147"/>
      <c r="EO88" s="147"/>
      <c r="EP88" s="138"/>
      <c r="EQ88" s="419" t="b">
        <f>AND(ISNUMBER(SnapshotTable[[#This Row],[SC Exp Date]]), ISNUMBER(SnapshotTable[[#This Row],[SC Strike Price]]), ISNUMBER(SnapshotTable[[#This Row],[SC Qty]]), ISNUMBER(SnapshotTable[[#This Row],[SC Book Date]]), ISNUMBER(SnapshotTable[[#This Row],[SC Book Price]]))</f>
        <v>0</v>
      </c>
      <c r="ER88" s="419" t="b">
        <f>AND(SnapshotTable[[#This Row],[SC Is Booked]], NOT(ISBLANK(SnapshotTable[[#This Row],[SC Fill Date]])))</f>
        <v>0</v>
      </c>
      <c r="ES88" s="370"/>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3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283"/>
      <c r="FA88" s="218"/>
      <c r="FB88" s="370"/>
      <c r="FC88" s="4">
        <f>IF(SnapshotTable[[#This Row],[SC Is Filled]], btc_max_buyback_amount(SnapshotTable[[#This Row],[SC Fill Date]],SnapshotTable[[#This Row],[SC Exp Date]], SnapshotTable[[#This Row],[SC Book Price]]),0)</f>
        <v>0</v>
      </c>
      <c r="FD88" s="5"/>
      <c r="FE88" s="144"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382">
        <f>IF(SnapshotTable[[#This Row],[SC Is Filled]], IF(ISNUMBER(SnapshotTable[[#This Row],[SC Current Ask]]), SnapshotTable[[#This Row],[SC Current Ask]], SnapshotTable[[#This Row],[SC Book Price]]) - SnapshotTable[[#This Row],[SC Intrinsic Value]], 0)</f>
        <v>0</v>
      </c>
      <c r="FI88" s="143">
        <v>45786</v>
      </c>
      <c r="FJ88" s="32" t="str">
        <f>IF(SnapshotTable[[#This Row],[SC Is Filled]],100 * SnapshotTable[[#This Row],[SC Qty]] * IF(ISNUMBER(SnapshotTable[[#This Row],[SC Buyback Override]]), SnapshotTable[[#This Row],[SC Buyback Override]], SnapshotTable[[#This Row],[SC Current Ask]]), "")</f>
        <v/>
      </c>
      <c r="FK88" s="250" t="str">
        <f>IF(SnapshotTable[[#This Row],[SC Time Val]]&gt;0, SnapshotTable[[#This Row],[SC Time Val]] / SnapshotTable[[#This Row],[Last Price]],"")</f>
        <v/>
      </c>
      <c r="FL88" s="302" t="str">
        <f>IF(SnapshotTable[[#This Row],[SC Is Booked]], ((SnapshotTable[[#This Row],[Last Price]] -SnapshotTable[[#This Row],[SC Strike Price]]) / SnapshotTable[[#This Row],[Last Price]]) * -1, "")</f>
        <v/>
      </c>
      <c r="FM88" s="157" t="str">
        <f>IF(SnapshotTable[[#This Row],[SC Is Booked]],  (SnapshotTable[[#This Row],[SC Qty]] * 100 * SnapshotTable[[#This Row],[SC Strike Price]]) - SnapshotTable[[#This Row],[SC Current Ask]], "")</f>
        <v/>
      </c>
      <c r="FN8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7"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33"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36" t="str">
        <f>IF(AND(ISNUMBER(SnapshotTable[[#This Row],[SC Simple ROO]]),SnapshotTable[[#This Row],[SC Simple ROO]] &gt; 0), SnapshotTable[[#This Row],[SC Premium]] + (SnapshotTable[[#This Row],[SC Qty]] * SnapshotTable[[#This Row],[SC Upside Potential]]), "")</f>
        <v/>
      </c>
      <c r="FX88" s="302" t="str" cm="1">
        <f t="array" ref="FX88">IF(ISNUMBER(SnapshotTable[[#This Row],[SC Max Dollars]]), annualize(SnapshotTable[[#This Row],[SC Term]],(SnapshotTable[[#This Row],[SC Max Dollars]]/SnapshotTable[[#This Row],[SC Basis]])),"")</f>
        <v/>
      </c>
      <c r="FY88" s="23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294" t="str">
        <f>IFERROR( IF(ISNUMBER((SnapshotTable[[#This Row],[SC Current Value]])), SnapshotTable[[#This Row],[SC Gain Loss]] / SnapshotTable[[#This Row],[SC Premium]], ""), "")</f>
        <v/>
      </c>
      <c r="GB88" s="177">
        <f>SnapshotTable[[#This Row],[Equity Shares]] * SaleSharesToConsiderPercentage</f>
        <v>0</v>
      </c>
      <c r="GC88" s="178">
        <f>SnapshotTable[[#This Row],[Long Term Target]] * SellingPriceToConsiderBasedOnTargetPercentage</f>
        <v>203.02449999999999</v>
      </c>
      <c r="GD88" s="178">
        <f>SnapshotTable[[#This Row],[Last Price]] * (1+ SellingPriceToConsiderBasedOnTargetPercentage)</f>
        <v>186.732</v>
      </c>
      <c r="GE88" s="179"/>
      <c r="GF88" s="178"/>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8" t="str">
        <f>IF(SnapshotTable[[#This Row],[Sale G/L]]&gt;0, SnapshotTable[[#This Row],[Sale G/L]] / SnapshotTable[[#This Row],[Sale Basis]], IF(ISNUMBER(SnapshotTable[[#This Row],[SC Exercise P&amp;L (TAX)]]), SnapshotTable[[#This Row],[SC Exercise P&amp;L (TAX)]] / SnapshotTable[[#This Row],[SC Basis]], ""))</f>
        <v/>
      </c>
      <c r="GK88" s="158" t="s">
        <v>663</v>
      </c>
      <c r="GL88" s="159"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59" t="str">
        <f>IF(AND(SnapshotTable[[#This Row],[LC Exp Date]]&gt;0,SnapshotTable[[#This Row],[LC Strike Price]]&gt;0), [1]!ToOptionSymbol(SnapshotTable[[#This Row],[Symbol]], SnapshotTable[[#This Row],[LC Strike Price]],SnapshotTable[[#This Row],[LC Exp Date]],0), "")</f>
        <v/>
      </c>
      <c r="GQ88" s="160" t="str">
        <f>IF(LEN(SnapshotTable[[#This Row],[LC Symbol]])&gt;0, 1, "")</f>
        <v/>
      </c>
      <c r="GR88" s="159" t="str">
        <f>IF(AND(SnapshotTable[[#This Row],[SC Exp Date]]&gt;0,SnapshotTable[[#This Row],[SC Strike Price]]&gt;0), [1]!ToOptionSymbol(SnapshotTable[[#This Row],[Symbol]], SnapshotTable[[#This Row],[SC Strike Price]],SnapshotTable[[#This Row],[SC Exp Date]],0), "")</f>
        <v/>
      </c>
      <c r="GS88" s="160" t="str">
        <f>IF(LEN(SnapshotTable[[#This Row],[SC Symbol]])&gt;0, 1, "")</f>
        <v/>
      </c>
      <c r="GT88" s="161"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31">
        <f>MAX(SnapshotTable[[#This Row],[Equity Basis Total]],SnapshotTable[[#This Row],[Equity Value]]) + (SnapshotTable[[#This Row],[SP Potential Spend]]- SnapshotTable[[#This Row],[SP Premium]] + SnapshotTable[[#This Row],[LP Premium]])+ (SnapshotTable[[#This Row],[LC Premium]] - SnapshotTable[[#This Row],[SC Premium]])</f>
        <v>0</v>
      </c>
      <c r="GW88" s="139" t="str">
        <f>IF(AND(SnapshotTable[[#This Row],[Exposure]] &lt;&gt; 0),SnapshotTable[[#This Row],[Exposure]] / SnapshotTable[[#Totals],[Exposure]], "")</f>
        <v/>
      </c>
      <c r="GY88" s="381"/>
      <c r="HE88" s="268"/>
      <c r="HF88" s="268"/>
      <c r="HG88" s="381"/>
      <c r="HH88" s="381"/>
      <c r="HI88" s="381"/>
      <c r="HJ88" s="381"/>
    </row>
    <row r="89" spans="2:224" ht="12.75" hidden="1" customHeight="1" x14ac:dyDescent="0.25">
      <c r="B89" s="12" t="s">
        <v>106</v>
      </c>
      <c r="C89" s="422">
        <v>23.52</v>
      </c>
      <c r="D89" s="208"/>
      <c r="E89" s="39">
        <f>SnapshotTable[[#This Row],[Last Price]]*(1 -CrashDiscount)</f>
        <v>19.992000000000001</v>
      </c>
      <c r="F89" s="26" t="s">
        <v>105</v>
      </c>
      <c r="G89" s="26" t="s">
        <v>14</v>
      </c>
      <c r="H89" s="149"/>
      <c r="I89" s="194">
        <v>44770.291666666664</v>
      </c>
      <c r="J89" s="195">
        <v>44770.291666666664</v>
      </c>
      <c r="K89" s="196"/>
      <c r="L89" s="326" t="s">
        <v>104</v>
      </c>
      <c r="M89" s="140"/>
      <c r="N89" s="140" t="b">
        <v>1</v>
      </c>
      <c r="O89" s="140"/>
      <c r="P89" s="22"/>
      <c r="Q89" s="25"/>
      <c r="R89" s="4" t="str">
        <f>IF(SnapshotTable[[#This Row],[Equity Basis Total]] &gt; 0, SnapshotTable[[#This Row],[Equity Basis Total]] / SnapshotTable[[#This Row],[Equity Shares]], "")</f>
        <v/>
      </c>
      <c r="S89" s="269">
        <f>SnapshotTable[[#This Row],[Last Price]] * SnapshotTable[[#This Row],[Equity Shares]]</f>
        <v>0</v>
      </c>
      <c r="T89" s="269">
        <f>SnapshotTable[[#This Row],[Equity Value]] - SnapshotTable[[#This Row],[Equity Basis Total]]</f>
        <v>0</v>
      </c>
      <c r="U89" s="270" t="str">
        <f>IF(SnapshotTable[[#This Row],[Equity Basis Total]] &gt; 0, SnapshotTable[[#This Row],[Equity G/L]] / SnapshotTable[[#This Row],[Equity Basis Total]], "")</f>
        <v/>
      </c>
      <c r="V89" s="268"/>
      <c r="W89" s="26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7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0">
        <v>0.84</v>
      </c>
      <c r="AD89" s="151" t="s">
        <v>559</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3.5714285714285712E-2</v>
      </c>
      <c r="AH89" s="151">
        <v>43862</v>
      </c>
      <c r="AI89" s="5">
        <v>56</v>
      </c>
      <c r="AJ89" s="138">
        <v>45.6</v>
      </c>
      <c r="AK89" s="152">
        <f>IF(ISNUMBER( SnapshotTable[[#This Row],[EBF Target]]),(SnapshotTable[[#This Row],[EBF Target]] - SnapshotTable[[#This Row],[Last Price]]) / SnapshotTable[[#This Row],[Last Price]], "")</f>
        <v>1.3809523809523812</v>
      </c>
      <c r="AL89" s="152"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2">
        <f>IF(AND(ISNUMBER( SnapshotTable[[#This Row],[Long Term Target]]), ISNUMBER(SnapshotTable[[#This Row],[Last Price]])),(SnapshotTable[[#This Row],[Long Term Target]] - SnapshotTable[[#This Row],[Last Price]]) / SnapshotTable[[#This Row],[Last Price]], "")</f>
        <v>0.93877551020408168</v>
      </c>
      <c r="AP89" s="5"/>
      <c r="AQ89" s="38"/>
      <c r="AR89" s="5"/>
      <c r="AS89" s="38"/>
      <c r="AT89" s="146"/>
      <c r="AU89" s="187" t="str">
        <f>IF(OR(SnapshotTable[[#This Row],[LP No Fill]]="Y",SnapshotTable[[#This Row],[SP Is Filled]],SnapshotTable[[#This Row],[LC Not Filled]]="Y",SnapshotTable[[#This Row],[SC Is Filled]]),"Y","")</f>
        <v/>
      </c>
      <c r="AV89" s="219"/>
      <c r="AW89" s="225"/>
      <c r="AX89" s="220"/>
      <c r="AY89" s="219" t="str">
        <f>IF(SnapshotTable[[#This Row],[Implied Move]]&gt;0, SnapshotTable[[#This Row],[Last Price]]-SnapshotTable[[#This Row],[Implied Move]],"")</f>
        <v/>
      </c>
      <c r="AZ89" s="219" t="str">
        <f>IF(SnapshotTable[[#This Row],[Implied Move]]&gt;0, SnapshotTable[[#This Row],[Last Price]] + SnapshotTable[[#This Row],[Implied Move]],"")</f>
        <v/>
      </c>
      <c r="BA89" s="331"/>
      <c r="BB89" s="347"/>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51"/>
      <c r="BE89" s="5"/>
      <c r="BF89" s="14"/>
      <c r="BG89" s="13"/>
      <c r="BH89" s="13">
        <v>42810</v>
      </c>
      <c r="BI89" s="5"/>
      <c r="BJ89" s="136">
        <f>IF(SnapshotTable[[#This Row],[LP Qty]] &gt; 0, SnapshotTable[[#This Row],[LP Qty]] * SnapshotTable[[#This Row],[LP Book Price]] * 100,0)</f>
        <v>0</v>
      </c>
      <c r="BK89" s="136">
        <f>IF(SnapshotTable[[#This Row],[LP Premium]] &gt; 0, SnapshotTable[[#This Row],[LP Qty]] * SnapshotTable[[#This Row],[LP Strike Price]] * 100,0)</f>
        <v>0</v>
      </c>
      <c r="BL89" s="154"/>
      <c r="BM89" s="385" t="str">
        <f>IF(SnapshotTable[[#This Row],[LP Premium]] &gt; 0,SnapshotTable[[#This Row],[LP Exp Date]]-MAX(SnapshotTable[[#This Row],[LP Book Date]], SnapshotTable[[#This Row],[LP Fill Date]]),"")</f>
        <v/>
      </c>
      <c r="BN89" s="385" t="str">
        <f>IF(ISNUMBER( SnapshotTable[[#This Row],[LP Term]]), SnapshotTable[[#This Row],[LP Exp Date]] - MockToday,"")</f>
        <v/>
      </c>
      <c r="BO89" s="163"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7"/>
      <c r="BU89" s="13"/>
      <c r="BV89" s="5"/>
      <c r="BW89" s="419" t="b">
        <f>AND(ISNUMBER(SnapshotTable[[#This Row],[SP Exp Date]]), ISNUMBER(SnapshotTable[[#This Row],[SP Strike Price]]), ISNUMBER(SnapshotTable[[#This Row],[SP Qty]]), ISNUMBER(SnapshotTable[[#This Row],[SP Book Date]]), ISNUMBER(SnapshotTable[[#This Row],[SP Book Price]]))</f>
        <v>0</v>
      </c>
      <c r="BX89" s="419" t="b">
        <f>AND(SnapshotTable[[#This Row],[SP Is Booked]], NOT(ISBLANK(SnapshotTable[[#This Row],[SP Fill Date]])))</f>
        <v>0</v>
      </c>
      <c r="BY89" s="33">
        <f>IF(SnapshotTable[[#This Row],[SP Is Booked]], SnapshotTable[[#This Row],[SP Qty]] * SnapshotTable[[#This Row],[SP Book Price]] * 100, 0)</f>
        <v>0</v>
      </c>
      <c r="BZ89" s="369"/>
      <c r="CA89" s="368">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3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44"/>
      <c r="CK89" s="31">
        <f>IF(ISNUMBER(SnapshotTable[[#This Row],[SP Potential Spend]]),IF(ISNUMBER(SnapshotTable[[#This Row],[SP POW]]), SnapshotTable[[#This Row],[SP POW]] * SnapshotTable[[#This Row],[SP Potential Spend]], SnapshotTable[[#This Row],[SP Potential Spend]]), "")</f>
        <v>0</v>
      </c>
      <c r="CL89" s="164">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8"/>
      <c r="CO89" s="369"/>
      <c r="CP89" s="4" t="str">
        <f>IF(SnapshotTable[[#This Row],[SP Is Filled]], btc_max_buyback_amount(SnapshotTable[[#This Row],[SP Fill Date]],SnapshotTable[[#This Row],[SP Exp Date]], SnapshotTable[[#This Row],[SP Book Price]]),"")</f>
        <v/>
      </c>
      <c r="CQ89" s="78"/>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5" t="str">
        <f>IF(SnapshotTable[[#This Row],[SP Is Filled]], btc_next_cutoff_date(SnapshotTable[[#This Row],[SP Fill Date]],SnapshotTable[[#This Row],[SP Exp Date]]),"")</f>
        <v/>
      </c>
      <c r="CT89" s="23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3"/>
      <c r="CV89" s="235"/>
      <c r="CW89" s="378"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294" t="str">
        <f>IF(ISNUMBER((SnapshotTable[[#This Row],[SP Total Value]])), SnapshotTable[[#This Row],[SP Gain Loss]] / SnapshotTable[[#This Row],[SP Premium]], "")</f>
        <v/>
      </c>
      <c r="DI89" s="406"/>
      <c r="DJ89" s="138"/>
      <c r="DK89" s="148"/>
      <c r="DL89" s="13"/>
      <c r="DM89" s="13"/>
      <c r="DO89" s="31">
        <f>IF(SnapshotTable[[#This Row],[LC Symbol Count]]=1, SnapshotTable[[#This Row],[LC Qty]] * SnapshotTable[[#This Row],[LC Book Price]] * 100, 0)</f>
        <v>0</v>
      </c>
      <c r="DP89" s="163" t="str">
        <f>IF(AND(SnapshotTable[[#This Row],[LC Exp Date]]&gt;0, SnapshotTable[[#This Row],[LC Strike Price]]&gt;0,SnapshotTable[[#This Row],[LC Qty]]&gt;0,SnapshotTable[[#This Row],[LC Book Date]]&gt;0,SnapshotTable[[#This Row],[LC Book Price]]&gt;0,SnapshotTable[[#This Row],[LC Fill Date]]=0),"Y","")</f>
        <v/>
      </c>
      <c r="DQ89" s="386" t="str">
        <f>IF(SnapshotTable[[#This Row],[LC Premium]] &gt; 0,SnapshotTable[[#This Row],[LC Exp Date]]-MAX(SnapshotTable[[#This Row],[LC Book Date]], SnapshotTable[[#This Row],[LC Fill Date]]),"")</f>
        <v/>
      </c>
      <c r="DR89" s="386" t="str">
        <f>IF(ISNUMBER(SnapshotTable[[#This Row],[LC Term]]), SnapshotTable[[#This Row],[LC Exp Date]] - MockToday, "")</f>
        <v/>
      </c>
      <c r="DS89" s="23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40" t="str">
        <f>IF(ISNUMBER(SnapshotTable[[#This Row],[LC Actual Gain Loss]]), SnapshotTable[[#This Row],[LC Actual Gain Loss]] / SnapshotTable[[#This Row],[LC Premium]],"")</f>
        <v/>
      </c>
      <c r="DX89" s="284" t="str">
        <f>IF(ISNUMBER(SnapshotTable[[#This Row],[LC Book Price]]),SnapshotTable[[#This Row],[LC Book Price]] * 1.5,"")</f>
        <v/>
      </c>
      <c r="DY89" s="265" t="str">
        <f>IF(SnapshotTable[[#This Row],[LC Premium]]&gt;0, SnapshotTable[[#This Row],[LC Next Target]] * SnapshotTable[[#This Row],[LC Qty]] * 100,"")</f>
        <v/>
      </c>
      <c r="DZ89" s="265" t="str">
        <f>IF(ISNUMBER(SnapshotTable[[#This Row],[LC Target Gross]]), SnapshotTable[[#This Row],[LC Target Gross]] - SnapshotTable[[#This Row],[LC Premium]], "")</f>
        <v/>
      </c>
      <c r="EA89" s="305" t="str">
        <f>IF(ISNUMBER(SnapshotTable[[#This Row],[LC Target Gain Loss]]), SnapshotTable[[#This Row],[LC Target Gain Loss]]/SnapshotTable[[#This Row],[LC Premium]], "")</f>
        <v/>
      </c>
      <c r="EB89" s="262"/>
      <c r="EC89" s="283" t="str">
        <f>IF(SnapshotTable[[#This Row],[LC Premium]]&gt;0, SnapshotTable[[#This Row],[LC Book Price]] * (1 - LC_StopLoss_Pct),"")</f>
        <v/>
      </c>
      <c r="ED89" s="284"/>
      <c r="EE89" s="28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4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7"/>
      <c r="EL89" s="138"/>
      <c r="EM89" s="148"/>
      <c r="EN89" s="147"/>
      <c r="EO89" s="147"/>
      <c r="EP89" s="138"/>
      <c r="EQ89" s="419" t="b">
        <f>AND(ISNUMBER(SnapshotTable[[#This Row],[SC Exp Date]]), ISNUMBER(SnapshotTable[[#This Row],[SC Strike Price]]), ISNUMBER(SnapshotTable[[#This Row],[SC Qty]]), ISNUMBER(SnapshotTable[[#This Row],[SC Book Date]]), ISNUMBER(SnapshotTable[[#This Row],[SC Book Price]]))</f>
        <v>0</v>
      </c>
      <c r="ER89" s="419" t="b">
        <f>AND(SnapshotTable[[#This Row],[SC Is Booked]], NOT(ISBLANK(SnapshotTable[[#This Row],[SC Fill Date]])))</f>
        <v>0</v>
      </c>
      <c r="ES89" s="370"/>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3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283"/>
      <c r="FA89" s="218"/>
      <c r="FB89" s="370"/>
      <c r="FC89" s="4">
        <f>IF(SnapshotTable[[#This Row],[SC Is Filled]], btc_max_buyback_amount(SnapshotTable[[#This Row],[SC Fill Date]],SnapshotTable[[#This Row],[SC Exp Date]], SnapshotTable[[#This Row],[SC Book Price]]),0)</f>
        <v>0</v>
      </c>
      <c r="FD89" s="5"/>
      <c r="FE89" s="144"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382">
        <f>IF(SnapshotTable[[#This Row],[SC Is Filled]], IF(ISNUMBER(SnapshotTable[[#This Row],[SC Current Ask]]), SnapshotTable[[#This Row],[SC Current Ask]], SnapshotTable[[#This Row],[SC Book Price]]) - SnapshotTable[[#This Row],[SC Intrinsic Value]], 0)</f>
        <v>0</v>
      </c>
      <c r="FI89" s="143"/>
      <c r="FJ89" s="32" t="str">
        <f>IF(SnapshotTable[[#This Row],[SC Is Filled]],100 * SnapshotTable[[#This Row],[SC Qty]] * IF(ISNUMBER(SnapshotTable[[#This Row],[SC Buyback Override]]), SnapshotTable[[#This Row],[SC Buyback Override]], SnapshotTable[[#This Row],[SC Current Ask]]), "")</f>
        <v/>
      </c>
      <c r="FK89" s="250" t="str">
        <f>IF(SnapshotTable[[#This Row],[SC Time Val]]&gt;0, SnapshotTable[[#This Row],[SC Time Val]] / SnapshotTable[[#This Row],[Last Price]],"")</f>
        <v/>
      </c>
      <c r="FL89" s="302" t="str">
        <f>IF(SnapshotTable[[#This Row],[SC Is Booked]], ((SnapshotTable[[#This Row],[Last Price]] -SnapshotTable[[#This Row],[SC Strike Price]]) / SnapshotTable[[#This Row],[Last Price]]) * -1, "")</f>
        <v/>
      </c>
      <c r="FM89" s="157"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33"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36" t="str">
        <f>IF(AND(ISNUMBER(SnapshotTable[[#This Row],[SC Simple ROO]]),SnapshotTable[[#This Row],[SC Simple ROO]] &gt; 0), SnapshotTable[[#This Row],[SC Premium]] + (SnapshotTable[[#This Row],[SC Qty]] * SnapshotTable[[#This Row],[SC Upside Potential]]), "")</f>
        <v/>
      </c>
      <c r="FX89" s="302" t="str" cm="1">
        <f t="array" ref="FX89">IF(ISNUMBER(SnapshotTable[[#This Row],[SC Max Dollars]]), annualize(SnapshotTable[[#This Row],[SC Term]],(SnapshotTable[[#This Row],[SC Max Dollars]]/SnapshotTable[[#This Row],[SC Basis]])),"")</f>
        <v/>
      </c>
      <c r="FY89" s="23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29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45.863999999999997</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664</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31">
        <f>MAX(SnapshotTable[[#This Row],[Equity Basis Total]],SnapshotTable[[#This Row],[Equity Value]]) + (SnapshotTable[[#This Row],[SP Potential Spend]]- SnapshotTable[[#This Row],[SP Premium]] + SnapshotTable[[#This Row],[LP Premium]])+ (SnapshotTable[[#This Row],[LC Premium]] - SnapshotTable[[#This Row],[SC Premium]])</f>
        <v>0</v>
      </c>
      <c r="GW89" s="139" t="str">
        <f>IF(AND(SnapshotTable[[#This Row],[Exposure]] &lt;&gt; 0),SnapshotTable[[#This Row],[Exposure]] / SnapshotTable[[#Totals],[Exposure]], "")</f>
        <v/>
      </c>
      <c r="HE89" s="268"/>
      <c r="HF89" s="268"/>
      <c r="HK89" s="1"/>
      <c r="HL89" s="1"/>
      <c r="HM89" s="1"/>
      <c r="HN89" s="1"/>
      <c r="HO89" s="1"/>
      <c r="HP89" s="1"/>
    </row>
    <row r="90" spans="2:224" ht="12.75" hidden="1" customHeight="1" x14ac:dyDescent="0.25">
      <c r="B90" s="12" t="s">
        <v>506</v>
      </c>
      <c r="C90" s="422">
        <v>32.200000000000003</v>
      </c>
      <c r="D90" s="208"/>
      <c r="E90" s="39">
        <f>SnapshotTable[[#This Row],[Last Price]]*(1 -CrashDiscount)</f>
        <v>27.37</v>
      </c>
      <c r="F90" s="26" t="s">
        <v>60</v>
      </c>
      <c r="G90" s="26" t="s">
        <v>14</v>
      </c>
      <c r="H90" s="149"/>
      <c r="I90" s="194">
        <v>44768.673611111109</v>
      </c>
      <c r="J90" s="195">
        <v>44768.673611111109</v>
      </c>
      <c r="K90" s="196"/>
      <c r="L90" s="326"/>
      <c r="M90" s="140"/>
      <c r="N90" s="140"/>
      <c r="O90" s="140"/>
      <c r="P90" s="22"/>
      <c r="Q90" s="25"/>
      <c r="R90" s="4" t="str">
        <f>IF(SnapshotTable[[#This Row],[Equity Basis Total]] &gt; 0, SnapshotTable[[#This Row],[Equity Basis Total]] / SnapshotTable[[#This Row],[Equity Shares]], "")</f>
        <v/>
      </c>
      <c r="S90" s="269">
        <f>SnapshotTable[[#This Row],[Last Price]] * SnapshotTable[[#This Row],[Equity Shares]]</f>
        <v>0</v>
      </c>
      <c r="T90" s="269">
        <f>SnapshotTable[[#This Row],[Equity Value]] - SnapshotTable[[#This Row],[Equity Basis Total]]</f>
        <v>0</v>
      </c>
      <c r="U90" s="270" t="str">
        <f>IF(SnapshotTable[[#This Row],[Equity Basis Total]] &gt; 0, SnapshotTable[[#This Row],[Equity G/L]] / SnapshotTable[[#This Row],[Equity Basis Total]], "")</f>
        <v/>
      </c>
      <c r="V90" s="268"/>
      <c r="W90" s="26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7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0"/>
      <c r="AD90" s="151"/>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1"/>
      <c r="AI90" s="5"/>
      <c r="AJ90" s="138">
        <v>557.25</v>
      </c>
      <c r="AK90" s="152" t="str">
        <f>IF(ISNUMBER( SnapshotTable[[#This Row],[EBF Target]]),(SnapshotTable[[#This Row],[EBF Target]] - SnapshotTable[[#This Row],[Last Price]]) / SnapshotTable[[#This Row],[Last Price]], "")</f>
        <v/>
      </c>
      <c r="AL90" s="152"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2">
        <f>IF(AND(ISNUMBER( SnapshotTable[[#This Row],[Long Term Target]]), ISNUMBER(SnapshotTable[[#This Row],[Last Price]])),(SnapshotTable[[#This Row],[Long Term Target]] - SnapshotTable[[#This Row],[Last Price]]) / SnapshotTable[[#This Row],[Last Price]], "")</f>
        <v>16.30590062111801</v>
      </c>
      <c r="AP90" s="5"/>
      <c r="AQ90" s="38"/>
      <c r="AR90" s="5"/>
      <c r="AS90" s="38"/>
      <c r="AT90" s="146"/>
      <c r="AU90" s="187" t="str">
        <f>IF(OR(SnapshotTable[[#This Row],[LP No Fill]]="Y",SnapshotTable[[#This Row],[SP Is Filled]],SnapshotTable[[#This Row],[LC Not Filled]]="Y",SnapshotTable[[#This Row],[SC Is Filled]]),"Y","")</f>
        <v/>
      </c>
      <c r="AV90" s="219"/>
      <c r="AW90" s="225"/>
      <c r="AX90" s="220"/>
      <c r="AY90" s="219" t="str">
        <f>IF(SnapshotTable[[#This Row],[Implied Move]]&gt;0, SnapshotTable[[#This Row],[Last Price]]-SnapshotTable[[#This Row],[Implied Move]],"")</f>
        <v/>
      </c>
      <c r="AZ90" s="219" t="str">
        <f>IF(SnapshotTable[[#This Row],[Implied Move]]&gt;0, SnapshotTable[[#This Row],[Last Price]] + SnapshotTable[[#This Row],[Implied Move]],"")</f>
        <v/>
      </c>
      <c r="BA90" s="331"/>
      <c r="BB90" s="347"/>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51"/>
      <c r="BE90" s="5"/>
      <c r="BF90" s="14"/>
      <c r="BG90" s="13"/>
      <c r="BH90" s="13"/>
      <c r="BI90" s="5"/>
      <c r="BJ90" s="136">
        <f>IF(SnapshotTable[[#This Row],[LP Qty]] &gt; 0, SnapshotTable[[#This Row],[LP Qty]] * SnapshotTable[[#This Row],[LP Book Price]] * 100,0)</f>
        <v>0</v>
      </c>
      <c r="BK90" s="136">
        <f>IF(SnapshotTable[[#This Row],[LP Premium]] &gt; 0, SnapshotTable[[#This Row],[LP Qty]] * SnapshotTable[[#This Row],[LP Strike Price]] * 100,0)</f>
        <v>0</v>
      </c>
      <c r="BL90" s="154"/>
      <c r="BM90" s="385" t="str">
        <f>IF(SnapshotTable[[#This Row],[LP Premium]] &gt; 0,SnapshotTable[[#This Row],[LP Exp Date]]-MAX(SnapshotTable[[#This Row],[LP Book Date]], SnapshotTable[[#This Row],[LP Fill Date]]),"")</f>
        <v/>
      </c>
      <c r="BN90" s="385" t="str">
        <f>IF(ISNUMBER( SnapshotTable[[#This Row],[LP Term]]), SnapshotTable[[#This Row],[LP Exp Date]] - MockToday,"")</f>
        <v/>
      </c>
      <c r="BO90" s="163"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7"/>
      <c r="BU90" s="13"/>
      <c r="BV90" s="5"/>
      <c r="BW90" s="419" t="b">
        <f>AND(ISNUMBER(SnapshotTable[[#This Row],[SP Exp Date]]), ISNUMBER(SnapshotTable[[#This Row],[SP Strike Price]]), ISNUMBER(SnapshotTable[[#This Row],[SP Qty]]), ISNUMBER(SnapshotTable[[#This Row],[SP Book Date]]), ISNUMBER(SnapshotTable[[#This Row],[SP Book Price]]))</f>
        <v>0</v>
      </c>
      <c r="BX90" s="419" t="b">
        <f>AND(SnapshotTable[[#This Row],[SP Is Booked]], NOT(ISBLANK(SnapshotTable[[#This Row],[SP Fill Date]])))</f>
        <v>0</v>
      </c>
      <c r="BY90" s="33">
        <f>IF(SnapshotTable[[#This Row],[SP Is Booked]], SnapshotTable[[#This Row],[SP Qty]] * SnapshotTable[[#This Row],[SP Book Price]] * 100, 0)</f>
        <v>0</v>
      </c>
      <c r="BZ90" s="369"/>
      <c r="CA90" s="368">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3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44"/>
      <c r="CK90" s="31">
        <f>IF(ISNUMBER(SnapshotTable[[#This Row],[SP Potential Spend]]),IF(ISNUMBER(SnapshotTable[[#This Row],[SP POW]]), SnapshotTable[[#This Row],[SP POW]] * SnapshotTable[[#This Row],[SP Potential Spend]], SnapshotTable[[#This Row],[SP Potential Spend]]), "")</f>
        <v>0</v>
      </c>
      <c r="CL90" s="164">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8"/>
      <c r="CO90" s="369"/>
      <c r="CP90" s="4" t="str">
        <f>IF(SnapshotTable[[#This Row],[SP Is Filled]], btc_max_buyback_amount(SnapshotTable[[#This Row],[SP Fill Date]],SnapshotTable[[#This Row],[SP Exp Date]], SnapshotTable[[#This Row],[SP Book Price]]),"")</f>
        <v/>
      </c>
      <c r="CQ90" s="78"/>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5" t="str">
        <f>IF(SnapshotTable[[#This Row],[SP Is Filled]], btc_next_cutoff_date(SnapshotTable[[#This Row],[SP Fill Date]],SnapshotTable[[#This Row],[SP Exp Date]]),"")</f>
        <v/>
      </c>
      <c r="CT90" s="23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3"/>
      <c r="CV90" s="235"/>
      <c r="CW90" s="378"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294" t="str">
        <f>IF(ISNUMBER((SnapshotTable[[#This Row],[SP Total Value]])), SnapshotTable[[#This Row],[SP Gain Loss]] / SnapshotTable[[#This Row],[SP Premium]], "")</f>
        <v/>
      </c>
      <c r="DI90" s="406"/>
      <c r="DJ90" s="138"/>
      <c r="DK90" s="148"/>
      <c r="DL90" s="13"/>
      <c r="DM90" s="13"/>
      <c r="DO90" s="31">
        <f>IF(SnapshotTable[[#This Row],[LC Symbol Count]]=1, SnapshotTable[[#This Row],[LC Qty]] * SnapshotTable[[#This Row],[LC Book Price]] * 100, 0)</f>
        <v>0</v>
      </c>
      <c r="DP90" s="163" t="str">
        <f>IF(AND(SnapshotTable[[#This Row],[LC Exp Date]]&gt;0, SnapshotTable[[#This Row],[LC Strike Price]]&gt;0,SnapshotTable[[#This Row],[LC Qty]]&gt;0,SnapshotTable[[#This Row],[LC Book Date]]&gt;0,SnapshotTable[[#This Row],[LC Book Price]]&gt;0,SnapshotTable[[#This Row],[LC Fill Date]]=0),"Y","")</f>
        <v/>
      </c>
      <c r="DQ90" s="386" t="str">
        <f>IF(SnapshotTable[[#This Row],[LC Premium]] &gt; 0,SnapshotTable[[#This Row],[LC Exp Date]]-MAX(SnapshotTable[[#This Row],[LC Book Date]], SnapshotTable[[#This Row],[LC Fill Date]]),"")</f>
        <v/>
      </c>
      <c r="DR90" s="386" t="str">
        <f>IF(ISNUMBER(SnapshotTable[[#This Row],[LC Term]]), SnapshotTable[[#This Row],[LC Exp Date]] - MockToday, "")</f>
        <v/>
      </c>
      <c r="DS90" s="23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40" t="str">
        <f>IF(ISNUMBER(SnapshotTable[[#This Row],[LC Actual Gain Loss]]), SnapshotTable[[#This Row],[LC Actual Gain Loss]] / SnapshotTable[[#This Row],[LC Premium]],"")</f>
        <v/>
      </c>
      <c r="DX90" s="284" t="str">
        <f>IF(ISNUMBER(SnapshotTable[[#This Row],[LC Book Price]]),SnapshotTable[[#This Row],[LC Book Price]] * 1.5,"")</f>
        <v/>
      </c>
      <c r="DY90" s="265" t="str">
        <f>IF(SnapshotTable[[#This Row],[LC Premium]]&gt;0, SnapshotTable[[#This Row],[LC Next Target]] * SnapshotTable[[#This Row],[LC Qty]] * 100,"")</f>
        <v/>
      </c>
      <c r="DZ90" s="265" t="str">
        <f>IF(ISNUMBER(SnapshotTable[[#This Row],[LC Target Gross]]), SnapshotTable[[#This Row],[LC Target Gross]] - SnapshotTable[[#This Row],[LC Premium]], "")</f>
        <v/>
      </c>
      <c r="EA90" s="305" t="str">
        <f>IF(ISNUMBER(SnapshotTable[[#This Row],[LC Target Gain Loss]]), SnapshotTable[[#This Row],[LC Target Gain Loss]]/SnapshotTable[[#This Row],[LC Premium]], "")</f>
        <v/>
      </c>
      <c r="EB90" s="262"/>
      <c r="EC90" s="283" t="str">
        <f>IF(SnapshotTable[[#This Row],[LC Premium]]&gt;0, SnapshotTable[[#This Row],[LC Book Price]] * (1 - LC_StopLoss_Pct),"")</f>
        <v/>
      </c>
      <c r="ED90" s="284"/>
      <c r="EE90" s="28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4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7"/>
      <c r="EL90" s="138"/>
      <c r="EM90" s="148"/>
      <c r="EN90" s="147"/>
      <c r="EO90" s="147"/>
      <c r="EP90" s="138"/>
      <c r="EQ90" s="419" t="b">
        <f>AND(ISNUMBER(SnapshotTable[[#This Row],[SC Exp Date]]), ISNUMBER(SnapshotTable[[#This Row],[SC Strike Price]]), ISNUMBER(SnapshotTable[[#This Row],[SC Qty]]), ISNUMBER(SnapshotTable[[#This Row],[SC Book Date]]), ISNUMBER(SnapshotTable[[#This Row],[SC Book Price]]))</f>
        <v>0</v>
      </c>
      <c r="ER90" s="419" t="b">
        <f>AND(SnapshotTable[[#This Row],[SC Is Booked]], NOT(ISBLANK(SnapshotTable[[#This Row],[SC Fill Date]])))</f>
        <v>0</v>
      </c>
      <c r="ES90" s="370"/>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3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283"/>
      <c r="FA90" s="218"/>
      <c r="FB90" s="370"/>
      <c r="FC90" s="4">
        <f>IF(SnapshotTable[[#This Row],[SC Is Filled]], btc_max_buyback_amount(SnapshotTable[[#This Row],[SC Fill Date]],SnapshotTable[[#This Row],[SC Exp Date]], SnapshotTable[[#This Row],[SC Book Price]]),0)</f>
        <v>0</v>
      </c>
      <c r="FD90" s="5"/>
      <c r="FE90" s="144"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382">
        <f>IF(SnapshotTable[[#This Row],[SC Is Filled]], IF(ISNUMBER(SnapshotTable[[#This Row],[SC Current Ask]]), SnapshotTable[[#This Row],[SC Current Ask]], SnapshotTable[[#This Row],[SC Book Price]]) - SnapshotTable[[#This Row],[SC Intrinsic Value]], 0)</f>
        <v>0</v>
      </c>
      <c r="FI90" s="143"/>
      <c r="FJ90" s="32" t="str">
        <f>IF(SnapshotTable[[#This Row],[SC Is Filled]],100 * SnapshotTable[[#This Row],[SC Qty]] * IF(ISNUMBER(SnapshotTable[[#This Row],[SC Buyback Override]]), SnapshotTable[[#This Row],[SC Buyback Override]], SnapshotTable[[#This Row],[SC Current Ask]]), "")</f>
        <v/>
      </c>
      <c r="FK90" s="250" t="str">
        <f>IF(SnapshotTable[[#This Row],[SC Time Val]]&gt;0, SnapshotTable[[#This Row],[SC Time Val]] / SnapshotTable[[#This Row],[Last Price]],"")</f>
        <v/>
      </c>
      <c r="FL90" s="302" t="str">
        <f>IF(SnapshotTable[[#This Row],[SC Is Booked]], ((SnapshotTable[[#This Row],[Last Price]] -SnapshotTable[[#This Row],[SC Strike Price]]) / SnapshotTable[[#This Row],[Last Price]]) * -1, "")</f>
        <v/>
      </c>
      <c r="FM90" s="157"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33"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36" t="str">
        <f>IF(AND(ISNUMBER(SnapshotTable[[#This Row],[SC Simple ROO]]),SnapshotTable[[#This Row],[SC Simple ROO]] &gt; 0), SnapshotTable[[#This Row],[SC Premium]] + (SnapshotTable[[#This Row],[SC Qty]] * SnapshotTable[[#This Row],[SC Upside Potential]]), "")</f>
        <v/>
      </c>
      <c r="FX90" s="302" t="str" cm="1">
        <f t="array" ref="FX90">IF(ISNUMBER(SnapshotTable[[#This Row],[SC Max Dollars]]), annualize(SnapshotTable[[#This Row],[SC Term]],(SnapshotTable[[#This Row],[SC Max Dollars]]/SnapshotTable[[#This Row],[SC Basis]])),"")</f>
        <v/>
      </c>
      <c r="FY90" s="23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29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62.790000000000006</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665</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31">
        <f>MAX(SnapshotTable[[#This Row],[Equity Basis Total]],SnapshotTable[[#This Row],[Equity Value]]) + (SnapshotTable[[#This Row],[SP Potential Spend]]- SnapshotTable[[#This Row],[SP Premium]] + SnapshotTable[[#This Row],[LP Premium]])+ (SnapshotTable[[#This Row],[LC Premium]] - SnapshotTable[[#This Row],[SC Premium]])</f>
        <v>0</v>
      </c>
      <c r="GW90" s="139" t="str">
        <f>IF(AND(SnapshotTable[[#This Row],[Exposure]] &lt;&gt; 0),SnapshotTable[[#This Row],[Exposure]] / SnapshotTable[[#Totals],[Exposure]], "")</f>
        <v/>
      </c>
      <c r="HE90" s="268"/>
      <c r="HF90" s="268"/>
      <c r="HK90" s="1"/>
      <c r="HL90" s="1"/>
      <c r="HM90" s="1"/>
      <c r="HN90" s="1"/>
      <c r="HO90" s="1"/>
      <c r="HP90" s="1"/>
    </row>
    <row r="91" spans="2:224" ht="12.75" hidden="1" customHeight="1" x14ac:dyDescent="0.25">
      <c r="B91" s="12" t="s">
        <v>195</v>
      </c>
      <c r="C91" s="422">
        <v>660.75</v>
      </c>
      <c r="D91" s="208"/>
      <c r="E91" s="39">
        <f>SnapshotTable[[#This Row],[Last Price]]*(1 -CrashDiscount)</f>
        <v>561.63749999999993</v>
      </c>
      <c r="F91" s="26" t="s">
        <v>29</v>
      </c>
      <c r="G91" s="26" t="s">
        <v>20</v>
      </c>
      <c r="H91" s="149"/>
      <c r="I91" s="194">
        <v>44775.3125</v>
      </c>
      <c r="J91" s="195">
        <v>44775.3125</v>
      </c>
      <c r="K91" s="196"/>
      <c r="L91" s="326"/>
      <c r="M91" s="140"/>
      <c r="N91" s="140"/>
      <c r="O91" s="140"/>
      <c r="P91" s="22"/>
      <c r="Q91" s="25"/>
      <c r="R91" s="4" t="str">
        <f>IF(SnapshotTable[[#This Row],[Equity Basis Total]] &gt; 0, SnapshotTable[[#This Row],[Equity Basis Total]] / SnapshotTable[[#This Row],[Equity Shares]], "")</f>
        <v/>
      </c>
      <c r="S91" s="269">
        <f>SnapshotTable[[#This Row],[Last Price]] * SnapshotTable[[#This Row],[Equity Shares]]</f>
        <v>0</v>
      </c>
      <c r="T91" s="269">
        <f>SnapshotTable[[#This Row],[Equity Value]] - SnapshotTable[[#This Row],[Equity Basis Total]]</f>
        <v>0</v>
      </c>
      <c r="U91" s="270" t="str">
        <f>IF(SnapshotTable[[#This Row],[Equity Basis Total]] &gt; 0, SnapshotTable[[#This Row],[Equity G/L]] / SnapshotTable[[#This Row],[Equity Basis Total]], "")</f>
        <v/>
      </c>
      <c r="V91" s="268"/>
      <c r="W91" s="26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7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0">
        <v>3.9</v>
      </c>
      <c r="AD91" s="151">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5.902383654937571E-3</v>
      </c>
      <c r="AH91" s="151">
        <v>42233</v>
      </c>
      <c r="AI91" s="5"/>
      <c r="AJ91" s="138">
        <v>155</v>
      </c>
      <c r="AK91" s="152" t="str">
        <f>IF(ISNUMBER( SnapshotTable[[#This Row],[EBF Target]]),(SnapshotTable[[#This Row],[EBF Target]] - SnapshotTable[[#This Row],[Last Price]]) / SnapshotTable[[#This Row],[Last Price]], "")</f>
        <v/>
      </c>
      <c r="AL91" s="152"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2">
        <f>IF(AND(ISNUMBER( SnapshotTable[[#This Row],[Long Term Target]]), ISNUMBER(SnapshotTable[[#This Row],[Last Price]])),(SnapshotTable[[#This Row],[Long Term Target]] - SnapshotTable[[#This Row],[Last Price]]) / SnapshotTable[[#This Row],[Last Price]], "")</f>
        <v>-0.76541808550889145</v>
      </c>
      <c r="AP91" s="5"/>
      <c r="AQ91" s="38"/>
      <c r="AR91" s="5"/>
      <c r="AS91" s="38"/>
      <c r="AT91" s="146"/>
      <c r="AU91" s="187" t="str">
        <f>IF(OR(SnapshotTable[[#This Row],[LP No Fill]]="Y",SnapshotTable[[#This Row],[SP Is Filled]],SnapshotTable[[#This Row],[LC Not Filled]]="Y",SnapshotTable[[#This Row],[SC Is Filled]]),"Y","")</f>
        <v/>
      </c>
      <c r="AV91" s="219"/>
      <c r="AW91" s="225"/>
      <c r="AX91" s="220"/>
      <c r="AY91" s="219" t="str">
        <f>IF(SnapshotTable[[#This Row],[Implied Move]]&gt;0, SnapshotTable[[#This Row],[Last Price]]-SnapshotTable[[#This Row],[Implied Move]],"")</f>
        <v/>
      </c>
      <c r="AZ91" s="219" t="str">
        <f>IF(SnapshotTable[[#This Row],[Implied Move]]&gt;0, SnapshotTable[[#This Row],[Last Price]] + SnapshotTable[[#This Row],[Implied Move]],"")</f>
        <v/>
      </c>
      <c r="BA91" s="331"/>
      <c r="BB91" s="347"/>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51"/>
      <c r="BE91" s="5"/>
      <c r="BF91" s="14"/>
      <c r="BG91" s="13"/>
      <c r="BH91" s="13"/>
      <c r="BI91" s="5"/>
      <c r="BJ91" s="136">
        <f>IF(SnapshotTable[[#This Row],[LP Qty]] &gt; 0, SnapshotTable[[#This Row],[LP Qty]] * SnapshotTable[[#This Row],[LP Book Price]] * 100,0)</f>
        <v>0</v>
      </c>
      <c r="BK91" s="136">
        <f>IF(SnapshotTable[[#This Row],[LP Premium]] &gt; 0, SnapshotTable[[#This Row],[LP Qty]] * SnapshotTable[[#This Row],[LP Strike Price]] * 100,0)</f>
        <v>0</v>
      </c>
      <c r="BL91" s="154"/>
      <c r="BM91" s="385" t="str">
        <f>IF(SnapshotTable[[#This Row],[LP Premium]] &gt; 0,SnapshotTable[[#This Row],[LP Exp Date]]-MAX(SnapshotTable[[#This Row],[LP Book Date]], SnapshotTable[[#This Row],[LP Fill Date]]),"")</f>
        <v/>
      </c>
      <c r="BN91" s="385" t="str">
        <f>IF(ISNUMBER( SnapshotTable[[#This Row],[LP Term]]), SnapshotTable[[#This Row],[LP Exp Date]] - MockToday,"")</f>
        <v/>
      </c>
      <c r="BO91" s="163"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7"/>
      <c r="BU91" s="13"/>
      <c r="BV91" s="5"/>
      <c r="BW91" s="419" t="b">
        <f>AND(ISNUMBER(SnapshotTable[[#This Row],[SP Exp Date]]), ISNUMBER(SnapshotTable[[#This Row],[SP Strike Price]]), ISNUMBER(SnapshotTable[[#This Row],[SP Qty]]), ISNUMBER(SnapshotTable[[#This Row],[SP Book Date]]), ISNUMBER(SnapshotTable[[#This Row],[SP Book Price]]))</f>
        <v>0</v>
      </c>
      <c r="BX91" s="419" t="b">
        <f>AND(SnapshotTable[[#This Row],[SP Is Booked]], NOT(ISBLANK(SnapshotTable[[#This Row],[SP Fill Date]])))</f>
        <v>0</v>
      </c>
      <c r="BY91" s="33">
        <f>IF(SnapshotTable[[#This Row],[SP Is Booked]], SnapshotTable[[#This Row],[SP Qty]] * SnapshotTable[[#This Row],[SP Book Price]] * 100, 0)</f>
        <v>0</v>
      </c>
      <c r="BZ91" s="369"/>
      <c r="CA91" s="368">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3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44"/>
      <c r="CK91" s="31">
        <f>IF(ISNUMBER(SnapshotTable[[#This Row],[SP Potential Spend]]),IF(ISNUMBER(SnapshotTable[[#This Row],[SP POW]]), SnapshotTable[[#This Row],[SP POW]] * SnapshotTable[[#This Row],[SP Potential Spend]], SnapshotTable[[#This Row],[SP Potential Spend]]), "")</f>
        <v>0</v>
      </c>
      <c r="CL91" s="164">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8"/>
      <c r="CO91" s="369"/>
      <c r="CP91" s="4" t="str">
        <f>IF(SnapshotTable[[#This Row],[SP Is Filled]], btc_max_buyback_amount(SnapshotTable[[#This Row],[SP Fill Date]],SnapshotTable[[#This Row],[SP Exp Date]], SnapshotTable[[#This Row],[SP Book Price]]),"")</f>
        <v/>
      </c>
      <c r="CQ91" s="78"/>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5" t="str">
        <f>IF(SnapshotTable[[#This Row],[SP Is Filled]], btc_next_cutoff_date(SnapshotTable[[#This Row],[SP Fill Date]],SnapshotTable[[#This Row],[SP Exp Date]]),"")</f>
        <v/>
      </c>
      <c r="CT91" s="23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3"/>
      <c r="CV91" s="235"/>
      <c r="CW91" s="378"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294" t="str">
        <f>IF(ISNUMBER((SnapshotTable[[#This Row],[SP Total Value]])), SnapshotTable[[#This Row],[SP Gain Loss]] / SnapshotTable[[#This Row],[SP Premium]], "")</f>
        <v/>
      </c>
      <c r="DI91" s="406"/>
      <c r="DJ91" s="138"/>
      <c r="DK91" s="148"/>
      <c r="DL91" s="13"/>
      <c r="DM91" s="13"/>
      <c r="DO91" s="31">
        <f>IF(SnapshotTable[[#This Row],[LC Symbol Count]]=1, SnapshotTable[[#This Row],[LC Qty]] * SnapshotTable[[#This Row],[LC Book Price]] * 100, 0)</f>
        <v>0</v>
      </c>
      <c r="DP91" s="163" t="str">
        <f>IF(AND(SnapshotTable[[#This Row],[LC Exp Date]]&gt;0, SnapshotTable[[#This Row],[LC Strike Price]]&gt;0,SnapshotTable[[#This Row],[LC Qty]]&gt;0,SnapshotTable[[#This Row],[LC Book Date]]&gt;0,SnapshotTable[[#This Row],[LC Book Price]]&gt;0,SnapshotTable[[#This Row],[LC Fill Date]]=0),"Y","")</f>
        <v/>
      </c>
      <c r="DQ91" s="386" t="str">
        <f>IF(SnapshotTable[[#This Row],[LC Premium]] &gt; 0,SnapshotTable[[#This Row],[LC Exp Date]]-MAX(SnapshotTable[[#This Row],[LC Book Date]], SnapshotTable[[#This Row],[LC Fill Date]]),"")</f>
        <v/>
      </c>
      <c r="DR91" s="386" t="str">
        <f>IF(ISNUMBER(SnapshotTable[[#This Row],[LC Term]]), SnapshotTable[[#This Row],[LC Exp Date]] - MockToday, "")</f>
        <v/>
      </c>
      <c r="DS91" s="23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40" t="str">
        <f>IF(ISNUMBER(SnapshotTable[[#This Row],[LC Actual Gain Loss]]), SnapshotTable[[#This Row],[LC Actual Gain Loss]] / SnapshotTable[[#This Row],[LC Premium]],"")</f>
        <v/>
      </c>
      <c r="DX91" s="284" t="str">
        <f>IF(ISNUMBER(SnapshotTable[[#This Row],[LC Book Price]]),SnapshotTable[[#This Row],[LC Book Price]] * 1.5,"")</f>
        <v/>
      </c>
      <c r="DY91" s="265" t="str">
        <f>IF(SnapshotTable[[#This Row],[LC Premium]]&gt;0, SnapshotTable[[#This Row],[LC Next Target]] * SnapshotTable[[#This Row],[LC Qty]] * 100,"")</f>
        <v/>
      </c>
      <c r="DZ91" s="265" t="str">
        <f>IF(ISNUMBER(SnapshotTable[[#This Row],[LC Target Gross]]), SnapshotTable[[#This Row],[LC Target Gross]] - SnapshotTable[[#This Row],[LC Premium]], "")</f>
        <v/>
      </c>
      <c r="EA91" s="305" t="str">
        <f>IF(ISNUMBER(SnapshotTable[[#This Row],[LC Target Gain Loss]]), SnapshotTable[[#This Row],[LC Target Gain Loss]]/SnapshotTable[[#This Row],[LC Premium]], "")</f>
        <v/>
      </c>
      <c r="EB91" s="262"/>
      <c r="EC91" s="283" t="str">
        <f>IF(SnapshotTable[[#This Row],[LC Premium]]&gt;0, SnapshotTable[[#This Row],[LC Book Price]] * (1 - LC_StopLoss_Pct),"")</f>
        <v/>
      </c>
      <c r="ED91" s="284"/>
      <c r="EE91" s="28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4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7"/>
      <c r="EL91" s="138"/>
      <c r="EM91" s="148"/>
      <c r="EN91" s="147"/>
      <c r="EO91" s="147"/>
      <c r="EP91" s="138"/>
      <c r="EQ91" s="419" t="b">
        <f>AND(ISNUMBER(SnapshotTable[[#This Row],[SC Exp Date]]), ISNUMBER(SnapshotTable[[#This Row],[SC Strike Price]]), ISNUMBER(SnapshotTable[[#This Row],[SC Qty]]), ISNUMBER(SnapshotTable[[#This Row],[SC Book Date]]), ISNUMBER(SnapshotTable[[#This Row],[SC Book Price]]))</f>
        <v>0</v>
      </c>
      <c r="ER91" s="419" t="b">
        <f>AND(SnapshotTable[[#This Row],[SC Is Booked]], NOT(ISBLANK(SnapshotTable[[#This Row],[SC Fill Date]])))</f>
        <v>0</v>
      </c>
      <c r="ES91" s="370"/>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3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283"/>
      <c r="FA91" s="218"/>
      <c r="FB91" s="370"/>
      <c r="FC91" s="4">
        <f>IF(SnapshotTable[[#This Row],[SC Is Filled]], btc_max_buyback_amount(SnapshotTable[[#This Row],[SC Fill Date]],SnapshotTable[[#This Row],[SC Exp Date]], SnapshotTable[[#This Row],[SC Book Price]]),0)</f>
        <v>0</v>
      </c>
      <c r="FD91" s="5"/>
      <c r="FE91" s="144"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382">
        <f>IF(SnapshotTable[[#This Row],[SC Is Filled]], IF(ISNUMBER(SnapshotTable[[#This Row],[SC Current Ask]]), SnapshotTable[[#This Row],[SC Current Ask]], SnapshotTable[[#This Row],[SC Book Price]]) - SnapshotTable[[#This Row],[SC Intrinsic Value]], 0)</f>
        <v>0</v>
      </c>
      <c r="FI91" s="143"/>
      <c r="FJ91" s="32" t="str">
        <f>IF(SnapshotTable[[#This Row],[SC Is Filled]],100 * SnapshotTable[[#This Row],[SC Qty]] * IF(ISNUMBER(SnapshotTable[[#This Row],[SC Buyback Override]]), SnapshotTable[[#This Row],[SC Buyback Override]], SnapshotTable[[#This Row],[SC Current Ask]]), "")</f>
        <v/>
      </c>
      <c r="FK91" s="250" t="str">
        <f>IF(SnapshotTable[[#This Row],[SC Time Val]]&gt;0, SnapshotTable[[#This Row],[SC Time Val]] / SnapshotTable[[#This Row],[Last Price]],"")</f>
        <v/>
      </c>
      <c r="FL91" s="302" t="str">
        <f>IF(SnapshotTable[[#This Row],[SC Is Booked]], ((SnapshotTable[[#This Row],[Last Price]] -SnapshotTable[[#This Row],[SC Strike Price]]) / SnapshotTable[[#This Row],[Last Price]]) * -1, "")</f>
        <v/>
      </c>
      <c r="FM91" s="157"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33"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36" t="str">
        <f>IF(AND(ISNUMBER(SnapshotTable[[#This Row],[SC Simple ROO]]),SnapshotTable[[#This Row],[SC Simple ROO]] &gt; 0), SnapshotTable[[#This Row],[SC Premium]] + (SnapshotTable[[#This Row],[SC Qty]] * SnapshotTable[[#This Row],[SC Upside Potential]]), "")</f>
        <v/>
      </c>
      <c r="FX91" s="302" t="str" cm="1">
        <f t="array" ref="FX91">IF(ISNUMBER(SnapshotTable[[#This Row],[SC Max Dollars]]), annualize(SnapshotTable[[#This Row],[SC Term]],(SnapshotTable[[#This Row],[SC Max Dollars]]/SnapshotTable[[#This Row],[SC Basis]])),"")</f>
        <v/>
      </c>
      <c r="FY91" s="23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29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1288.4624999999999</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666</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31">
        <f>MAX(SnapshotTable[[#This Row],[Equity Basis Total]],SnapshotTable[[#This Row],[Equity Value]]) + (SnapshotTable[[#This Row],[SP Potential Spend]]- SnapshotTable[[#This Row],[SP Premium]] + SnapshotTable[[#This Row],[LP Premium]])+ (SnapshotTable[[#This Row],[LC Premium]] - SnapshotTable[[#This Row],[SC Premium]])</f>
        <v>0</v>
      </c>
      <c r="GW91" s="139" t="str">
        <f>IF(AND(SnapshotTable[[#This Row],[Exposure]] &lt;&gt; 0),SnapshotTable[[#This Row],[Exposure]] / SnapshotTable[[#Totals],[Exposure]], "")</f>
        <v/>
      </c>
      <c r="HE91" s="268"/>
      <c r="HF91" s="268"/>
      <c r="HK91" s="1"/>
      <c r="HL91" s="1"/>
      <c r="HM91" s="1"/>
      <c r="HN91" s="1"/>
      <c r="HO91" s="1"/>
      <c r="HP91" s="1"/>
    </row>
    <row r="92" spans="2:224" ht="12.75" hidden="1" customHeight="1" x14ac:dyDescent="0.25">
      <c r="B92" s="12" t="s">
        <v>508</v>
      </c>
      <c r="C92" s="422">
        <v>65.89</v>
      </c>
      <c r="D92" s="208"/>
      <c r="E92" s="39">
        <f>SnapshotTable[[#This Row],[Last Price]]*(1 -CrashDiscount)</f>
        <v>56.006499999999996</v>
      </c>
      <c r="F92" s="26" t="s">
        <v>148</v>
      </c>
      <c r="G92" s="26" t="s">
        <v>49</v>
      </c>
      <c r="H92" s="149"/>
      <c r="I92" s="194">
        <v>44768.25</v>
      </c>
      <c r="J92" s="195">
        <v>44768.25</v>
      </c>
      <c r="K92" s="196"/>
      <c r="L92" s="326"/>
      <c r="M92" s="140"/>
      <c r="N92" s="140"/>
      <c r="O92" s="140"/>
      <c r="P92" s="22"/>
      <c r="Q92" s="25"/>
      <c r="R92" s="4" t="str">
        <f>IF(SnapshotTable[[#This Row],[Equity Basis Total]] &gt; 0, SnapshotTable[[#This Row],[Equity Basis Total]] / SnapshotTable[[#This Row],[Equity Shares]], "")</f>
        <v/>
      </c>
      <c r="S92" s="269">
        <f>SnapshotTable[[#This Row],[Last Price]] * SnapshotTable[[#This Row],[Equity Shares]]</f>
        <v>0</v>
      </c>
      <c r="T92" s="269">
        <f>SnapshotTable[[#This Row],[Equity Value]] - SnapshotTable[[#This Row],[Equity Basis Total]]</f>
        <v>0</v>
      </c>
      <c r="U92" s="270" t="str">
        <f>IF(SnapshotTable[[#This Row],[Equity Basis Total]] &gt; 0, SnapshotTable[[#This Row],[Equity G/L]] / SnapshotTable[[#This Row],[Equity Basis Total]], "")</f>
        <v/>
      </c>
      <c r="V92" s="268"/>
      <c r="W92" s="26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7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0"/>
      <c r="AD92" s="151"/>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1"/>
      <c r="AI92" s="5"/>
      <c r="AJ92" s="138">
        <v>74.78</v>
      </c>
      <c r="AK92" s="152" t="str">
        <f>IF(ISNUMBER( SnapshotTable[[#This Row],[EBF Target]]),(SnapshotTable[[#This Row],[EBF Target]] - SnapshotTable[[#This Row],[Last Price]]) / SnapshotTable[[#This Row],[Last Price]], "")</f>
        <v/>
      </c>
      <c r="AL92" s="152"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2">
        <f>IF(AND(ISNUMBER( SnapshotTable[[#This Row],[Long Term Target]]), ISNUMBER(SnapshotTable[[#This Row],[Last Price]])),(SnapshotTable[[#This Row],[Long Term Target]] - SnapshotTable[[#This Row],[Last Price]]) / SnapshotTable[[#This Row],[Last Price]], "")</f>
        <v>0.13492183942935196</v>
      </c>
      <c r="AP92" s="5">
        <v>60</v>
      </c>
      <c r="AQ92" s="38" t="s">
        <v>45</v>
      </c>
      <c r="AR92" s="5">
        <v>45</v>
      </c>
      <c r="AS92" s="38" t="s">
        <v>45</v>
      </c>
      <c r="AT92" s="146" t="s">
        <v>509</v>
      </c>
      <c r="AU92" s="187" t="str">
        <f>IF(OR(SnapshotTable[[#This Row],[LP No Fill]]="Y",SnapshotTable[[#This Row],[SP Is Filled]],SnapshotTable[[#This Row],[LC Not Filled]]="Y",SnapshotTable[[#This Row],[SC Is Filled]]),"Y","")</f>
        <v/>
      </c>
      <c r="AV92" s="219"/>
      <c r="AW92" s="225"/>
      <c r="AX92" s="220"/>
      <c r="AY92" s="219" t="str">
        <f>IF(SnapshotTable[[#This Row],[Implied Move]]&gt;0, SnapshotTable[[#This Row],[Last Price]]-SnapshotTable[[#This Row],[Implied Move]],"")</f>
        <v/>
      </c>
      <c r="AZ92" s="219" t="str">
        <f>IF(SnapshotTable[[#This Row],[Implied Move]]&gt;0, SnapshotTable[[#This Row],[Last Price]] + SnapshotTable[[#This Row],[Implied Move]],"")</f>
        <v/>
      </c>
      <c r="BA92" s="331"/>
      <c r="BB92" s="347"/>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51"/>
      <c r="BE92" s="5"/>
      <c r="BF92" s="14"/>
      <c r="BG92" s="13"/>
      <c r="BH92" s="13"/>
      <c r="BI92" s="5"/>
      <c r="BJ92" s="136">
        <f>IF(SnapshotTable[[#This Row],[LP Qty]] &gt; 0, SnapshotTable[[#This Row],[LP Qty]] * SnapshotTable[[#This Row],[LP Book Price]] * 100,0)</f>
        <v>0</v>
      </c>
      <c r="BK92" s="136">
        <f>IF(SnapshotTable[[#This Row],[LP Premium]] &gt; 0, SnapshotTable[[#This Row],[LP Qty]] * SnapshotTable[[#This Row],[LP Strike Price]] * 100,0)</f>
        <v>0</v>
      </c>
      <c r="BL92" s="154"/>
      <c r="BM92" s="385" t="str">
        <f>IF(SnapshotTable[[#This Row],[LP Premium]] &gt; 0,SnapshotTable[[#This Row],[LP Exp Date]]-MAX(SnapshotTable[[#This Row],[LP Book Date]], SnapshotTable[[#This Row],[LP Fill Date]]),"")</f>
        <v/>
      </c>
      <c r="BN92" s="385" t="str">
        <f>IF(ISNUMBER( SnapshotTable[[#This Row],[LP Term]]), SnapshotTable[[#This Row],[LP Exp Date]] - MockToday,"")</f>
        <v/>
      </c>
      <c r="BO92" s="163"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7"/>
      <c r="BU92" s="13"/>
      <c r="BV92" s="5"/>
      <c r="BW92" s="419" t="b">
        <f>AND(ISNUMBER(SnapshotTable[[#This Row],[SP Exp Date]]), ISNUMBER(SnapshotTable[[#This Row],[SP Strike Price]]), ISNUMBER(SnapshotTable[[#This Row],[SP Qty]]), ISNUMBER(SnapshotTable[[#This Row],[SP Book Date]]), ISNUMBER(SnapshotTable[[#This Row],[SP Book Price]]))</f>
        <v>0</v>
      </c>
      <c r="BX92" s="419" t="b">
        <f>AND(SnapshotTable[[#This Row],[SP Is Booked]], NOT(ISBLANK(SnapshotTable[[#This Row],[SP Fill Date]])))</f>
        <v>0</v>
      </c>
      <c r="BY92" s="33">
        <f>IF(SnapshotTable[[#This Row],[SP Is Booked]], SnapshotTable[[#This Row],[SP Qty]] * SnapshotTable[[#This Row],[SP Book Price]] * 100, 0)</f>
        <v>0</v>
      </c>
      <c r="BZ92" s="369"/>
      <c r="CA92" s="368">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3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44"/>
      <c r="CK92" s="31">
        <f>IF(ISNUMBER(SnapshotTable[[#This Row],[SP Potential Spend]]),IF(ISNUMBER(SnapshotTable[[#This Row],[SP POW]]), SnapshotTable[[#This Row],[SP POW]] * SnapshotTable[[#This Row],[SP Potential Spend]], SnapshotTable[[#This Row],[SP Potential Spend]]), "")</f>
        <v>0</v>
      </c>
      <c r="CL92" s="164">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8"/>
      <c r="CO92" s="369"/>
      <c r="CP92" s="4" t="str">
        <f>IF(SnapshotTable[[#This Row],[SP Is Filled]], btc_max_buyback_amount(SnapshotTable[[#This Row],[SP Fill Date]],SnapshotTable[[#This Row],[SP Exp Date]], SnapshotTable[[#This Row],[SP Book Price]]),"")</f>
        <v/>
      </c>
      <c r="CQ92" s="78"/>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5" t="str">
        <f>IF(SnapshotTable[[#This Row],[SP Is Filled]], btc_next_cutoff_date(SnapshotTable[[#This Row],[SP Fill Date]],SnapshotTable[[#This Row],[SP Exp Date]]),"")</f>
        <v/>
      </c>
      <c r="CT92" s="23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3"/>
      <c r="CV92" s="235"/>
      <c r="CW92" s="378"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294" t="str">
        <f>IF(ISNUMBER((SnapshotTable[[#This Row],[SP Total Value]])), SnapshotTable[[#This Row],[SP Gain Loss]] / SnapshotTable[[#This Row],[SP Premium]], "")</f>
        <v/>
      </c>
      <c r="DI92" s="406"/>
      <c r="DJ92" s="138"/>
      <c r="DK92" s="148"/>
      <c r="DL92" s="13"/>
      <c r="DM92" s="13"/>
      <c r="DO92" s="31">
        <f>IF(SnapshotTable[[#This Row],[LC Symbol Count]]=1, SnapshotTable[[#This Row],[LC Qty]] * SnapshotTable[[#This Row],[LC Book Price]] * 100, 0)</f>
        <v>0</v>
      </c>
      <c r="DP92" s="163" t="str">
        <f>IF(AND(SnapshotTable[[#This Row],[LC Exp Date]]&gt;0, SnapshotTable[[#This Row],[LC Strike Price]]&gt;0,SnapshotTable[[#This Row],[LC Qty]]&gt;0,SnapshotTable[[#This Row],[LC Book Date]]&gt;0,SnapshotTable[[#This Row],[LC Book Price]]&gt;0,SnapshotTable[[#This Row],[LC Fill Date]]=0),"Y","")</f>
        <v/>
      </c>
      <c r="DQ92" s="386" t="str">
        <f>IF(SnapshotTable[[#This Row],[LC Premium]] &gt; 0,SnapshotTable[[#This Row],[LC Exp Date]]-MAX(SnapshotTable[[#This Row],[LC Book Date]], SnapshotTable[[#This Row],[LC Fill Date]]),"")</f>
        <v/>
      </c>
      <c r="DR92" s="386" t="str">
        <f>IF(ISNUMBER(SnapshotTable[[#This Row],[LC Term]]), SnapshotTable[[#This Row],[LC Exp Date]] - MockToday, "")</f>
        <v/>
      </c>
      <c r="DS92" s="23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40" t="str">
        <f>IF(ISNUMBER(SnapshotTable[[#This Row],[LC Actual Gain Loss]]), SnapshotTable[[#This Row],[LC Actual Gain Loss]] / SnapshotTable[[#This Row],[LC Premium]],"")</f>
        <v/>
      </c>
      <c r="DX92" s="284" t="str">
        <f>IF(ISNUMBER(SnapshotTable[[#This Row],[LC Book Price]]),SnapshotTable[[#This Row],[LC Book Price]] * 1.5,"")</f>
        <v/>
      </c>
      <c r="DY92" s="265" t="str">
        <f>IF(SnapshotTable[[#This Row],[LC Premium]]&gt;0, SnapshotTable[[#This Row],[LC Next Target]] * SnapshotTable[[#This Row],[LC Qty]] * 100,"")</f>
        <v/>
      </c>
      <c r="DZ92" s="265" t="str">
        <f>IF(ISNUMBER(SnapshotTable[[#This Row],[LC Target Gross]]), SnapshotTable[[#This Row],[LC Target Gross]] - SnapshotTable[[#This Row],[LC Premium]], "")</f>
        <v/>
      </c>
      <c r="EA92" s="305" t="str">
        <f>IF(ISNUMBER(SnapshotTable[[#This Row],[LC Target Gain Loss]]), SnapshotTable[[#This Row],[LC Target Gain Loss]]/SnapshotTable[[#This Row],[LC Premium]], "")</f>
        <v/>
      </c>
      <c r="EB92" s="262"/>
      <c r="EC92" s="283" t="str">
        <f>IF(SnapshotTable[[#This Row],[LC Premium]]&gt;0, SnapshotTable[[#This Row],[LC Book Price]] * (1 - LC_StopLoss_Pct),"")</f>
        <v/>
      </c>
      <c r="ED92" s="284"/>
      <c r="EE92" s="28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4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7"/>
      <c r="EL92" s="138"/>
      <c r="EM92" s="148"/>
      <c r="EN92" s="147"/>
      <c r="EO92" s="147"/>
      <c r="EP92" s="138"/>
      <c r="EQ92" s="419" t="b">
        <f>AND(ISNUMBER(SnapshotTable[[#This Row],[SC Exp Date]]), ISNUMBER(SnapshotTable[[#This Row],[SC Strike Price]]), ISNUMBER(SnapshotTable[[#This Row],[SC Qty]]), ISNUMBER(SnapshotTable[[#This Row],[SC Book Date]]), ISNUMBER(SnapshotTable[[#This Row],[SC Book Price]]))</f>
        <v>0</v>
      </c>
      <c r="ER92" s="419" t="b">
        <f>AND(SnapshotTable[[#This Row],[SC Is Booked]], NOT(ISBLANK(SnapshotTable[[#This Row],[SC Fill Date]])))</f>
        <v>0</v>
      </c>
      <c r="ES92" s="370"/>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3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283"/>
      <c r="FA92" s="218"/>
      <c r="FB92" s="370"/>
      <c r="FC92" s="4">
        <f>IF(SnapshotTable[[#This Row],[SC Is Filled]], btc_max_buyback_amount(SnapshotTable[[#This Row],[SC Fill Date]],SnapshotTable[[#This Row],[SC Exp Date]], SnapshotTable[[#This Row],[SC Book Price]]),0)</f>
        <v>0</v>
      </c>
      <c r="FD92" s="5"/>
      <c r="FE92" s="144"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382">
        <f>IF(SnapshotTable[[#This Row],[SC Is Filled]], IF(ISNUMBER(SnapshotTable[[#This Row],[SC Current Ask]]), SnapshotTable[[#This Row],[SC Current Ask]], SnapshotTable[[#This Row],[SC Book Price]]) - SnapshotTable[[#This Row],[SC Intrinsic Value]], 0)</f>
        <v>0</v>
      </c>
      <c r="FI92" s="143"/>
      <c r="FJ92" s="32" t="str">
        <f>IF(SnapshotTable[[#This Row],[SC Is Filled]],100 * SnapshotTable[[#This Row],[SC Qty]] * IF(ISNUMBER(SnapshotTable[[#This Row],[SC Buyback Override]]), SnapshotTable[[#This Row],[SC Buyback Override]], SnapshotTable[[#This Row],[SC Current Ask]]), "")</f>
        <v/>
      </c>
      <c r="FK92" s="250" t="str">
        <f>IF(SnapshotTable[[#This Row],[SC Time Val]]&gt;0, SnapshotTable[[#This Row],[SC Time Val]] / SnapshotTable[[#This Row],[Last Price]],"")</f>
        <v/>
      </c>
      <c r="FL92" s="302" t="str">
        <f>IF(SnapshotTable[[#This Row],[SC Is Booked]], ((SnapshotTable[[#This Row],[Last Price]] -SnapshotTable[[#This Row],[SC Strike Price]]) / SnapshotTable[[#This Row],[Last Price]]) * -1, "")</f>
        <v/>
      </c>
      <c r="FM92" s="157"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33"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36" t="str">
        <f>IF(AND(ISNUMBER(SnapshotTable[[#This Row],[SC Simple ROO]]),SnapshotTable[[#This Row],[SC Simple ROO]] &gt; 0), SnapshotTable[[#This Row],[SC Premium]] + (SnapshotTable[[#This Row],[SC Qty]] * SnapshotTable[[#This Row],[SC Upside Potential]]), "")</f>
        <v/>
      </c>
      <c r="FX92" s="302" t="str" cm="1">
        <f t="array" ref="FX92">IF(ISNUMBER(SnapshotTable[[#This Row],[SC Max Dollars]]), annualize(SnapshotTable[[#This Row],[SC Term]],(SnapshotTable[[#This Row],[SC Max Dollars]]/SnapshotTable[[#This Row],[SC Basis]])),"")</f>
        <v/>
      </c>
      <c r="FY92" s="23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29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128.4855</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667</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31">
        <f>MAX(SnapshotTable[[#This Row],[Equity Basis Total]],SnapshotTable[[#This Row],[Equity Value]]) + (SnapshotTable[[#This Row],[SP Potential Spend]]- SnapshotTable[[#This Row],[SP Premium]] + SnapshotTable[[#This Row],[LP Premium]])+ (SnapshotTable[[#This Row],[LC Premium]] - SnapshotTable[[#This Row],[SC Premium]])</f>
        <v>0</v>
      </c>
      <c r="GW92" s="139" t="str">
        <f>IF(AND(SnapshotTable[[#This Row],[Exposure]] &lt;&gt; 0),SnapshotTable[[#This Row],[Exposure]] / SnapshotTable[[#Totals],[Exposure]], "")</f>
        <v/>
      </c>
      <c r="HE92" s="268"/>
      <c r="HF92" s="268"/>
      <c r="HK92" s="1"/>
      <c r="HL92" s="1"/>
      <c r="HM92" s="1"/>
      <c r="HN92" s="1"/>
      <c r="HO92" s="1"/>
      <c r="HP92" s="1"/>
    </row>
    <row r="93" spans="2:224" ht="12.75" hidden="1" customHeight="1" x14ac:dyDescent="0.25">
      <c r="B93" s="12" t="s">
        <v>536</v>
      </c>
      <c r="C93" s="422">
        <v>10</v>
      </c>
      <c r="D93" s="208"/>
      <c r="E93" s="39">
        <f>SnapshotTable[[#This Row],[Last Price]]*(1 -CrashDiscount)</f>
        <v>8.5</v>
      </c>
      <c r="F93" s="26" t="s">
        <v>135</v>
      </c>
      <c r="G93" s="26" t="s">
        <v>20</v>
      </c>
      <c r="H93" s="149"/>
      <c r="I93" s="194">
        <v>44768.25</v>
      </c>
      <c r="J93" s="195">
        <v>44768.25</v>
      </c>
      <c r="K93" s="196"/>
      <c r="L93" s="326"/>
      <c r="M93" s="140"/>
      <c r="N93" s="140"/>
      <c r="O93" s="140"/>
      <c r="P93" s="22"/>
      <c r="Q93" s="25"/>
      <c r="R93" s="4" t="str">
        <f>IF(SnapshotTable[[#This Row],[Equity Basis Total]] &gt; 0, SnapshotTable[[#This Row],[Equity Basis Total]] / SnapshotTable[[#This Row],[Equity Shares]], "")</f>
        <v/>
      </c>
      <c r="S93" s="269">
        <f>SnapshotTable[[#This Row],[Last Price]] * SnapshotTable[[#This Row],[Equity Shares]]</f>
        <v>0</v>
      </c>
      <c r="T93" s="269">
        <f>SnapshotTable[[#This Row],[Equity Value]] - SnapshotTable[[#This Row],[Equity Basis Total]]</f>
        <v>0</v>
      </c>
      <c r="U93" s="270" t="str">
        <f>IF(SnapshotTable[[#This Row],[Equity Basis Total]] &gt; 0, SnapshotTable[[#This Row],[Equity G/L]] / SnapshotTable[[#This Row],[Equity Basis Total]], "")</f>
        <v/>
      </c>
      <c r="V93" s="268"/>
      <c r="W93" s="26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7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0"/>
      <c r="AD93" s="151"/>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1"/>
      <c r="AI93" s="5"/>
      <c r="AJ93" s="138">
        <v>18</v>
      </c>
      <c r="AK93" s="152" t="str">
        <f>IF(ISNUMBER( SnapshotTable[[#This Row],[EBF Target]]),(SnapshotTable[[#This Row],[EBF Target]] - SnapshotTable[[#This Row],[Last Price]]) / SnapshotTable[[#This Row],[Last Price]], "")</f>
        <v/>
      </c>
      <c r="AL93" s="152"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2">
        <f>IF(AND(ISNUMBER( SnapshotTable[[#This Row],[Long Term Target]]), ISNUMBER(SnapshotTable[[#This Row],[Last Price]])),(SnapshotTable[[#This Row],[Long Term Target]] - SnapshotTable[[#This Row],[Last Price]]) / SnapshotTable[[#This Row],[Last Price]], "")</f>
        <v>0.8</v>
      </c>
      <c r="AP93" s="5">
        <v>19.28</v>
      </c>
      <c r="AQ93" s="38" t="s">
        <v>89</v>
      </c>
      <c r="AR93" s="5">
        <v>9.25</v>
      </c>
      <c r="AS93" s="38" t="s">
        <v>32</v>
      </c>
      <c r="AT93" s="146"/>
      <c r="AU93" s="187" t="str">
        <f>IF(OR(SnapshotTable[[#This Row],[LP No Fill]]="Y",SnapshotTable[[#This Row],[SP Is Filled]],SnapshotTable[[#This Row],[LC Not Filled]]="Y",SnapshotTable[[#This Row],[SC Is Filled]]),"Y","")</f>
        <v/>
      </c>
      <c r="AV93" s="219"/>
      <c r="AW93" s="225"/>
      <c r="AX93" s="220"/>
      <c r="AY93" s="219" t="str">
        <f>IF(SnapshotTable[[#This Row],[Implied Move]]&gt;0, SnapshotTable[[#This Row],[Last Price]]-SnapshotTable[[#This Row],[Implied Move]],"")</f>
        <v/>
      </c>
      <c r="AZ93" s="219" t="str">
        <f>IF(SnapshotTable[[#This Row],[Implied Move]]&gt;0, SnapshotTable[[#This Row],[Last Price]] + SnapshotTable[[#This Row],[Implied Move]],"")</f>
        <v/>
      </c>
      <c r="BA93" s="331"/>
      <c r="BB93" s="347"/>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51"/>
      <c r="BE93" s="5"/>
      <c r="BF93" s="14"/>
      <c r="BG93" s="13"/>
      <c r="BH93" s="13"/>
      <c r="BI93" s="5"/>
      <c r="BJ93" s="136">
        <f>IF(SnapshotTable[[#This Row],[LP Qty]] &gt; 0, SnapshotTable[[#This Row],[LP Qty]] * SnapshotTable[[#This Row],[LP Book Price]] * 100,0)</f>
        <v>0</v>
      </c>
      <c r="BK93" s="136">
        <f>IF(SnapshotTable[[#This Row],[LP Premium]] &gt; 0, SnapshotTable[[#This Row],[LP Qty]] * SnapshotTable[[#This Row],[LP Strike Price]] * 100,0)</f>
        <v>0</v>
      </c>
      <c r="BL93" s="154"/>
      <c r="BM93" s="385" t="str">
        <f>IF(SnapshotTable[[#This Row],[LP Premium]] &gt; 0,SnapshotTable[[#This Row],[LP Exp Date]]-MAX(SnapshotTable[[#This Row],[LP Book Date]], SnapshotTable[[#This Row],[LP Fill Date]]),"")</f>
        <v/>
      </c>
      <c r="BN93" s="385" t="str">
        <f>IF(ISNUMBER( SnapshotTable[[#This Row],[LP Term]]), SnapshotTable[[#This Row],[LP Exp Date]] - MockToday,"")</f>
        <v/>
      </c>
      <c r="BO93" s="163"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7"/>
      <c r="BU93" s="13"/>
      <c r="BV93" s="5"/>
      <c r="BW93" s="419" t="b">
        <f>AND(ISNUMBER(SnapshotTable[[#This Row],[SP Exp Date]]), ISNUMBER(SnapshotTable[[#This Row],[SP Strike Price]]), ISNUMBER(SnapshotTable[[#This Row],[SP Qty]]), ISNUMBER(SnapshotTable[[#This Row],[SP Book Date]]), ISNUMBER(SnapshotTable[[#This Row],[SP Book Price]]))</f>
        <v>0</v>
      </c>
      <c r="BX93" s="419" t="b">
        <f>AND(SnapshotTable[[#This Row],[SP Is Booked]], NOT(ISBLANK(SnapshotTable[[#This Row],[SP Fill Date]])))</f>
        <v>0</v>
      </c>
      <c r="BY93" s="33">
        <f>IF(SnapshotTable[[#This Row],[SP Is Booked]], SnapshotTable[[#This Row],[SP Qty]] * SnapshotTable[[#This Row],[SP Book Price]] * 100, 0)</f>
        <v>0</v>
      </c>
      <c r="BZ93" s="369"/>
      <c r="CA93" s="368">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3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44"/>
      <c r="CK93" s="31">
        <f>IF(ISNUMBER(SnapshotTable[[#This Row],[SP Potential Spend]]),IF(ISNUMBER(SnapshotTable[[#This Row],[SP POW]]), SnapshotTable[[#This Row],[SP POW]] * SnapshotTable[[#This Row],[SP Potential Spend]], SnapshotTable[[#This Row],[SP Potential Spend]]), "")</f>
        <v>0</v>
      </c>
      <c r="CL93" s="164">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8"/>
      <c r="CO93" s="369"/>
      <c r="CP93" s="4" t="str">
        <f>IF(SnapshotTable[[#This Row],[SP Is Filled]], btc_max_buyback_amount(SnapshotTable[[#This Row],[SP Fill Date]],SnapshotTable[[#This Row],[SP Exp Date]], SnapshotTable[[#This Row],[SP Book Price]]),"")</f>
        <v/>
      </c>
      <c r="CQ93" s="78"/>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5" t="str">
        <f>IF(SnapshotTable[[#This Row],[SP Is Filled]], btc_next_cutoff_date(SnapshotTable[[#This Row],[SP Fill Date]],SnapshotTable[[#This Row],[SP Exp Date]]),"")</f>
        <v/>
      </c>
      <c r="CT93" s="23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3"/>
      <c r="CV93" s="235"/>
      <c r="CW93" s="378"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294" t="str">
        <f>IF(ISNUMBER((SnapshotTable[[#This Row],[SP Total Value]])), SnapshotTable[[#This Row],[SP Gain Loss]] / SnapshotTable[[#This Row],[SP Premium]], "")</f>
        <v/>
      </c>
      <c r="DI93" s="406"/>
      <c r="DJ93" s="138"/>
      <c r="DK93" s="148"/>
      <c r="DL93" s="13"/>
      <c r="DM93" s="13"/>
      <c r="DO93" s="31">
        <f>IF(SnapshotTable[[#This Row],[LC Symbol Count]]=1, SnapshotTable[[#This Row],[LC Qty]] * SnapshotTable[[#This Row],[LC Book Price]] * 100, 0)</f>
        <v>0</v>
      </c>
      <c r="DP93" s="163" t="str">
        <f>IF(AND(SnapshotTable[[#This Row],[LC Exp Date]]&gt;0, SnapshotTable[[#This Row],[LC Strike Price]]&gt;0,SnapshotTable[[#This Row],[LC Qty]]&gt;0,SnapshotTable[[#This Row],[LC Book Date]]&gt;0,SnapshotTable[[#This Row],[LC Book Price]]&gt;0,SnapshotTable[[#This Row],[LC Fill Date]]=0),"Y","")</f>
        <v/>
      </c>
      <c r="DQ93" s="386" t="str">
        <f>IF(SnapshotTable[[#This Row],[LC Premium]] &gt; 0,SnapshotTable[[#This Row],[LC Exp Date]]-MAX(SnapshotTable[[#This Row],[LC Book Date]], SnapshotTable[[#This Row],[LC Fill Date]]),"")</f>
        <v/>
      </c>
      <c r="DR93" s="386" t="str">
        <f>IF(ISNUMBER(SnapshotTable[[#This Row],[LC Term]]), SnapshotTable[[#This Row],[LC Exp Date]] - MockToday, "")</f>
        <v/>
      </c>
      <c r="DS93" s="23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40" t="str">
        <f>IF(ISNUMBER(SnapshotTable[[#This Row],[LC Actual Gain Loss]]), SnapshotTable[[#This Row],[LC Actual Gain Loss]] / SnapshotTable[[#This Row],[LC Premium]],"")</f>
        <v/>
      </c>
      <c r="DX93" s="284" t="str">
        <f>IF(ISNUMBER(SnapshotTable[[#This Row],[LC Book Price]]),SnapshotTable[[#This Row],[LC Book Price]] * 1.5,"")</f>
        <v/>
      </c>
      <c r="DY93" s="265" t="str">
        <f>IF(SnapshotTable[[#This Row],[LC Premium]]&gt;0, SnapshotTable[[#This Row],[LC Next Target]] * SnapshotTable[[#This Row],[LC Qty]] * 100,"")</f>
        <v/>
      </c>
      <c r="DZ93" s="265" t="str">
        <f>IF(ISNUMBER(SnapshotTable[[#This Row],[LC Target Gross]]), SnapshotTable[[#This Row],[LC Target Gross]] - SnapshotTable[[#This Row],[LC Premium]], "")</f>
        <v/>
      </c>
      <c r="EA93" s="305" t="str">
        <f>IF(ISNUMBER(SnapshotTable[[#This Row],[LC Target Gain Loss]]), SnapshotTable[[#This Row],[LC Target Gain Loss]]/SnapshotTable[[#This Row],[LC Premium]], "")</f>
        <v/>
      </c>
      <c r="EB93" s="262"/>
      <c r="EC93" s="283" t="str">
        <f>IF(SnapshotTable[[#This Row],[LC Premium]]&gt;0, SnapshotTable[[#This Row],[LC Book Price]] * (1 - LC_StopLoss_Pct),"")</f>
        <v/>
      </c>
      <c r="ED93" s="284"/>
      <c r="EE93" s="28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4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7"/>
      <c r="EL93" s="138"/>
      <c r="EM93" s="148"/>
      <c r="EN93" s="147"/>
      <c r="EO93" s="147"/>
      <c r="EP93" s="138"/>
      <c r="EQ93" s="419" t="b">
        <f>AND(ISNUMBER(SnapshotTable[[#This Row],[SC Exp Date]]), ISNUMBER(SnapshotTable[[#This Row],[SC Strike Price]]), ISNUMBER(SnapshotTable[[#This Row],[SC Qty]]), ISNUMBER(SnapshotTable[[#This Row],[SC Book Date]]), ISNUMBER(SnapshotTable[[#This Row],[SC Book Price]]))</f>
        <v>0</v>
      </c>
      <c r="ER93" s="419" t="b">
        <f>AND(SnapshotTable[[#This Row],[SC Is Booked]], NOT(ISBLANK(SnapshotTable[[#This Row],[SC Fill Date]])))</f>
        <v>0</v>
      </c>
      <c r="ES93" s="370"/>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3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283"/>
      <c r="FA93" s="218"/>
      <c r="FB93" s="370"/>
      <c r="FC93" s="4">
        <f>IF(SnapshotTable[[#This Row],[SC Is Filled]], btc_max_buyback_amount(SnapshotTable[[#This Row],[SC Fill Date]],SnapshotTable[[#This Row],[SC Exp Date]], SnapshotTable[[#This Row],[SC Book Price]]),0)</f>
        <v>0</v>
      </c>
      <c r="FD93" s="5"/>
      <c r="FE93" s="144"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382">
        <f>IF(SnapshotTable[[#This Row],[SC Is Filled]], IF(ISNUMBER(SnapshotTable[[#This Row],[SC Current Ask]]), SnapshotTable[[#This Row],[SC Current Ask]], SnapshotTable[[#This Row],[SC Book Price]]) - SnapshotTable[[#This Row],[SC Intrinsic Value]], 0)</f>
        <v>0</v>
      </c>
      <c r="FI93" s="143"/>
      <c r="FJ93" s="32" t="str">
        <f>IF(SnapshotTable[[#This Row],[SC Is Filled]],100 * SnapshotTable[[#This Row],[SC Qty]] * IF(ISNUMBER(SnapshotTable[[#This Row],[SC Buyback Override]]), SnapshotTable[[#This Row],[SC Buyback Override]], SnapshotTable[[#This Row],[SC Current Ask]]), "")</f>
        <v/>
      </c>
      <c r="FK93" s="250" t="str">
        <f>IF(SnapshotTable[[#This Row],[SC Time Val]]&gt;0, SnapshotTable[[#This Row],[SC Time Val]] / SnapshotTable[[#This Row],[Last Price]],"")</f>
        <v/>
      </c>
      <c r="FL93" s="302" t="str">
        <f>IF(SnapshotTable[[#This Row],[SC Is Booked]], ((SnapshotTable[[#This Row],[Last Price]] -SnapshotTable[[#This Row],[SC Strike Price]]) / SnapshotTable[[#This Row],[Last Price]]) * -1, "")</f>
        <v/>
      </c>
      <c r="FM93" s="157"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33"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36" t="str">
        <f>IF(AND(ISNUMBER(SnapshotTable[[#This Row],[SC Simple ROO]]),SnapshotTable[[#This Row],[SC Simple ROO]] &gt; 0), SnapshotTable[[#This Row],[SC Premium]] + (SnapshotTable[[#This Row],[SC Qty]] * SnapshotTable[[#This Row],[SC Upside Potential]]), "")</f>
        <v/>
      </c>
      <c r="FX93" s="302" t="str" cm="1">
        <f t="array" ref="FX93">IF(ISNUMBER(SnapshotTable[[#This Row],[SC Max Dollars]]), annualize(SnapshotTable[[#This Row],[SC Term]],(SnapshotTable[[#This Row],[SC Max Dollars]]/SnapshotTable[[#This Row],[SC Basis]])),"")</f>
        <v/>
      </c>
      <c r="FY93" s="23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29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19.5</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668</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31">
        <f>MAX(SnapshotTable[[#This Row],[Equity Basis Total]],SnapshotTable[[#This Row],[Equity Value]]) + (SnapshotTable[[#This Row],[SP Potential Spend]]- SnapshotTable[[#This Row],[SP Premium]] + SnapshotTable[[#This Row],[LP Premium]])+ (SnapshotTable[[#This Row],[LC Premium]] - SnapshotTable[[#This Row],[SC Premium]])</f>
        <v>0</v>
      </c>
      <c r="GW93" s="139" t="str">
        <f>IF(AND(SnapshotTable[[#This Row],[Exposure]] &lt;&gt; 0),SnapshotTable[[#This Row],[Exposure]] / SnapshotTable[[#Totals],[Exposure]], "")</f>
        <v/>
      </c>
      <c r="HE93" s="268"/>
      <c r="HF93" s="268"/>
      <c r="HK93" s="1"/>
      <c r="HL93" s="1"/>
      <c r="HM93" s="1"/>
      <c r="HN93" s="1"/>
      <c r="HO93" s="1"/>
      <c r="HP93" s="1"/>
    </row>
    <row r="94" spans="2:224" s="47" customFormat="1" ht="12.75" hidden="1" customHeight="1" x14ac:dyDescent="0.25">
      <c r="B94" s="12" t="s">
        <v>603</v>
      </c>
      <c r="C94" s="422">
        <v>2.2799999999999998</v>
      </c>
      <c r="D94" s="208" t="s">
        <v>578</v>
      </c>
      <c r="E94" s="39">
        <f>SnapshotTable[[#This Row],[Last Price]]*(1 -CrashDiscount)</f>
        <v>1.9379999999999997</v>
      </c>
      <c r="F94" s="26" t="s">
        <v>604</v>
      </c>
      <c r="G94" s="26" t="s">
        <v>49</v>
      </c>
      <c r="H94" s="149"/>
      <c r="I94" s="194">
        <v>44784.666666666664</v>
      </c>
      <c r="J94" s="195">
        <v>44784.666666666664</v>
      </c>
      <c r="K94" s="196"/>
      <c r="L94" s="326"/>
      <c r="M94" s="140"/>
      <c r="N94" s="140"/>
      <c r="O94" s="140"/>
      <c r="P94" s="22"/>
      <c r="Q94" s="25"/>
      <c r="R94" s="4" t="str">
        <f>IF(SnapshotTable[[#This Row],[Equity Basis Total]] &gt; 0, SnapshotTable[[#This Row],[Equity Basis Total]] / SnapshotTable[[#This Row],[Equity Shares]], "")</f>
        <v/>
      </c>
      <c r="S94" s="269">
        <f>SnapshotTable[[#This Row],[Last Price]] * SnapshotTable[[#This Row],[Equity Shares]]</f>
        <v>0</v>
      </c>
      <c r="T94" s="269">
        <f>SnapshotTable[[#This Row],[Equity Value]] - SnapshotTable[[#This Row],[Equity Basis Total]]</f>
        <v>0</v>
      </c>
      <c r="U94" s="270" t="str">
        <f>IF(SnapshotTable[[#This Row],[Equity Basis Total]] &gt; 0, SnapshotTable[[#This Row],[Equity G/L]] / SnapshotTable[[#This Row],[Equity Basis Total]], "")</f>
        <v/>
      </c>
      <c r="V94" s="268"/>
      <c r="W94" s="26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7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0"/>
      <c r="AD94" s="151"/>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1"/>
      <c r="AI94" s="5"/>
      <c r="AJ94" s="138"/>
      <c r="AK94" s="152" t="str">
        <f>IF(ISNUMBER( SnapshotTable[[#This Row],[EBF Target]]),(SnapshotTable[[#This Row],[EBF Target]] - SnapshotTable[[#This Row],[Last Price]]) / SnapshotTable[[#This Row],[Last Price]], "")</f>
        <v/>
      </c>
      <c r="AL94" s="152"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2" t="str">
        <f>IF(AND(ISNUMBER( SnapshotTable[[#This Row],[Long Term Target]]), ISNUMBER(SnapshotTable[[#This Row],[Last Price]])),(SnapshotTable[[#This Row],[Long Term Target]] - SnapshotTable[[#This Row],[Last Price]]) / SnapshotTable[[#This Row],[Last Price]], "")</f>
        <v/>
      </c>
      <c r="AP94" s="5"/>
      <c r="AQ94" s="38"/>
      <c r="AR94" s="5"/>
      <c r="AS94" s="38"/>
      <c r="AT94" s="146"/>
      <c r="AU94" s="187" t="str">
        <f>IF(OR(SnapshotTable[[#This Row],[LP No Fill]]="Y",SnapshotTable[[#This Row],[SP Is Filled]],SnapshotTable[[#This Row],[LC Not Filled]]="Y",SnapshotTable[[#This Row],[SC Is Filled]]),"Y","")</f>
        <v/>
      </c>
      <c r="AV94" s="219"/>
      <c r="AW94" s="225"/>
      <c r="AX94" s="220"/>
      <c r="AY94" s="219" t="str">
        <f>IF(SnapshotTable[[#This Row],[Implied Move]]&gt;0, SnapshotTable[[#This Row],[Last Price]]-SnapshotTable[[#This Row],[Implied Move]],"")</f>
        <v/>
      </c>
      <c r="AZ94" s="219" t="str">
        <f>IF(SnapshotTable[[#This Row],[Implied Move]]&gt;0, SnapshotTable[[#This Row],[Last Price]] + SnapshotTable[[#This Row],[Implied Move]],"")</f>
        <v/>
      </c>
      <c r="BA94" s="331"/>
      <c r="BB94" s="347"/>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51"/>
      <c r="BE94" s="138"/>
      <c r="BF94" s="166"/>
      <c r="BG94" s="167"/>
      <c r="BH94" s="167"/>
      <c r="BI94" s="221"/>
      <c r="BJ94" s="153">
        <f>IF(SnapshotTable[[#This Row],[LP Qty]] &gt; 0, SnapshotTable[[#This Row],[LP Qty]] * SnapshotTable[[#This Row],[LP Book Price]] * 100,0)</f>
        <v>0</v>
      </c>
      <c r="BK94" s="136">
        <f>IF(SnapshotTable[[#This Row],[LP Premium]] &gt; 0, SnapshotTable[[#This Row],[LP Qty]] * SnapshotTable[[#This Row],[LP Strike Price]] * 100,0)</f>
        <v>0</v>
      </c>
      <c r="BL94" s="154"/>
      <c r="BM94" s="385" t="str">
        <f>IF(SnapshotTable[[#This Row],[LP Premium]] &gt; 0,SnapshotTable[[#This Row],[LP Exp Date]]-MAX(SnapshotTable[[#This Row],[LP Book Date]], SnapshotTable[[#This Row],[LP Fill Date]]),"")</f>
        <v/>
      </c>
      <c r="BN94" s="385" t="str">
        <f>IF(ISNUMBER( SnapshotTable[[#This Row],[LP Term]]), SnapshotTable[[#This Row],[LP Exp Date]] - MockToday,"")</f>
        <v/>
      </c>
      <c r="BO94" s="163"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7"/>
      <c r="BU94" s="13"/>
      <c r="BV94" s="5"/>
      <c r="BW94" s="419" t="b">
        <f>AND(ISNUMBER(SnapshotTable[[#This Row],[SP Exp Date]]), ISNUMBER(SnapshotTable[[#This Row],[SP Strike Price]]), ISNUMBER(SnapshotTable[[#This Row],[SP Qty]]), ISNUMBER(SnapshotTable[[#This Row],[SP Book Date]]), ISNUMBER(SnapshotTable[[#This Row],[SP Book Price]]))</f>
        <v>0</v>
      </c>
      <c r="BX94" s="419" t="b">
        <f>AND(SnapshotTable[[#This Row],[SP Is Booked]], NOT(ISBLANK(SnapshotTable[[#This Row],[SP Fill Date]])))</f>
        <v>0</v>
      </c>
      <c r="BY94" s="33">
        <f>IF(SnapshotTable[[#This Row],[SP Is Booked]], SnapshotTable[[#This Row],[SP Qty]] * SnapshotTable[[#This Row],[SP Book Price]] * 100, 0)</f>
        <v>0</v>
      </c>
      <c r="BZ94" s="369"/>
      <c r="CA94" s="368">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3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44"/>
      <c r="CK94" s="31">
        <f>IF(ISNUMBER(SnapshotTable[[#This Row],[SP Potential Spend]]),IF(ISNUMBER(SnapshotTable[[#This Row],[SP POW]]), SnapshotTable[[#This Row],[SP POW]] * SnapshotTable[[#This Row],[SP Potential Spend]], SnapshotTable[[#This Row],[SP Potential Spend]]), "")</f>
        <v>0</v>
      </c>
      <c r="CL94" s="164">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4"/>
      <c r="CO94" s="369"/>
      <c r="CP94" s="4" t="str">
        <f>IF(SnapshotTable[[#This Row],[SP Is Filled]], btc_max_buyback_amount(SnapshotTable[[#This Row],[SP Fill Date]],SnapshotTable[[#This Row],[SP Exp Date]], SnapshotTable[[#This Row],[SP Book Price]]),"")</f>
        <v/>
      </c>
      <c r="CQ94" s="78"/>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5" t="str">
        <f>IF(SnapshotTable[[#This Row],[SP Is Filled]], btc_next_cutoff_date(SnapshotTable[[#This Row],[SP Fill Date]],SnapshotTable[[#This Row],[SP Exp Date]]),"")</f>
        <v/>
      </c>
      <c r="CT94" s="23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6"/>
      <c r="CV94" s="235"/>
      <c r="CW94" s="378"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294" t="str">
        <f>IF(ISNUMBER((SnapshotTable[[#This Row],[SP Total Value]])), SnapshotTable[[#This Row],[SP Gain Loss]] / SnapshotTable[[#This Row],[SP Premium]], "")</f>
        <v/>
      </c>
      <c r="DI94" s="406"/>
      <c r="DJ94" s="138"/>
      <c r="DK94" s="148"/>
      <c r="DL94" s="147"/>
      <c r="DM94" s="147"/>
      <c r="DN94" s="5"/>
      <c r="DO94" s="31">
        <f>IF(SnapshotTable[[#This Row],[LC Symbol Count]]=1, SnapshotTable[[#This Row],[LC Qty]] * SnapshotTable[[#This Row],[LC Book Price]] * 100, 0)</f>
        <v>0</v>
      </c>
      <c r="DP94" s="163" t="str">
        <f>IF(AND(SnapshotTable[[#This Row],[LC Exp Date]]&gt;0, SnapshotTable[[#This Row],[LC Strike Price]]&gt;0,SnapshotTable[[#This Row],[LC Qty]]&gt;0,SnapshotTable[[#This Row],[LC Book Date]]&gt;0,SnapshotTable[[#This Row],[LC Book Price]]&gt;0,SnapshotTable[[#This Row],[LC Fill Date]]=0),"Y","")</f>
        <v/>
      </c>
      <c r="DQ94" s="386" t="str">
        <f>IF(SnapshotTable[[#This Row],[LC Premium]] &gt; 0,SnapshotTable[[#This Row],[LC Exp Date]]-MAX(SnapshotTable[[#This Row],[LC Book Date]], SnapshotTable[[#This Row],[LC Fill Date]]),"")</f>
        <v/>
      </c>
      <c r="DR94" s="386" t="str">
        <f>IF(ISNUMBER(SnapshotTable[[#This Row],[LC Term]]), SnapshotTable[[#This Row],[LC Exp Date]] - MockToday, "")</f>
        <v/>
      </c>
      <c r="DS94" s="23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40" t="str">
        <f>IF(ISNUMBER(SnapshotTable[[#This Row],[LC Actual Gain Loss]]), SnapshotTable[[#This Row],[LC Actual Gain Loss]] / SnapshotTable[[#This Row],[LC Premium]],"")</f>
        <v/>
      </c>
      <c r="DX94" s="284" t="str">
        <f>IF(ISNUMBER(SnapshotTable[[#This Row],[LC Book Price]]),SnapshotTable[[#This Row],[LC Book Price]] * 1.5,"")</f>
        <v/>
      </c>
      <c r="DY94" s="265" t="str">
        <f>IF(SnapshotTable[[#This Row],[LC Premium]]&gt;0, SnapshotTable[[#This Row],[LC Next Target]] * SnapshotTable[[#This Row],[LC Qty]] * 100,"")</f>
        <v/>
      </c>
      <c r="DZ94" s="265" t="str">
        <f>IF(ISNUMBER(SnapshotTable[[#This Row],[LC Target Gross]]), SnapshotTable[[#This Row],[LC Target Gross]] - SnapshotTable[[#This Row],[LC Premium]], "")</f>
        <v/>
      </c>
      <c r="EA94" s="305" t="str">
        <f>IF(ISNUMBER(SnapshotTable[[#This Row],[LC Target Gain Loss]]), SnapshotTable[[#This Row],[LC Target Gain Loss]]/SnapshotTable[[#This Row],[LC Premium]], "")</f>
        <v/>
      </c>
      <c r="EB94" s="262"/>
      <c r="EC94" s="283" t="str">
        <f>IF(SnapshotTable[[#This Row],[LC Premium]]&gt;0, SnapshotTable[[#This Row],[LC Book Price]] * (1 - LC_StopLoss_Pct),"")</f>
        <v/>
      </c>
      <c r="ED94" s="284"/>
      <c r="EE94" s="28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4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7"/>
      <c r="EL94" s="138"/>
      <c r="EM94" s="148"/>
      <c r="EN94" s="147"/>
      <c r="EO94" s="147"/>
      <c r="EP94" s="138"/>
      <c r="EQ94" s="419" t="b">
        <f>AND(ISNUMBER(SnapshotTable[[#This Row],[SC Exp Date]]), ISNUMBER(SnapshotTable[[#This Row],[SC Strike Price]]), ISNUMBER(SnapshotTable[[#This Row],[SC Qty]]), ISNUMBER(SnapshotTable[[#This Row],[SC Book Date]]), ISNUMBER(SnapshotTable[[#This Row],[SC Book Price]]))</f>
        <v>0</v>
      </c>
      <c r="ER94" s="419" t="b">
        <f>AND(SnapshotTable[[#This Row],[SC Is Booked]], NOT(ISBLANK(SnapshotTable[[#This Row],[SC Fill Date]])))</f>
        <v>0</v>
      </c>
      <c r="ES94" s="370"/>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3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283"/>
      <c r="FA94" s="218"/>
      <c r="FB94" s="370"/>
      <c r="FC94" s="4">
        <f>IF(SnapshotTable[[#This Row],[SC Is Filled]], btc_max_buyback_amount(SnapshotTable[[#This Row],[SC Fill Date]],SnapshotTable[[#This Row],[SC Exp Date]], SnapshotTable[[#This Row],[SC Book Price]]),0)</f>
        <v>0</v>
      </c>
      <c r="FD94" s="5"/>
      <c r="FE94" s="144"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382">
        <f>IF(SnapshotTable[[#This Row],[SC Is Filled]], IF(ISNUMBER(SnapshotTable[[#This Row],[SC Current Ask]]), SnapshotTable[[#This Row],[SC Current Ask]], SnapshotTable[[#This Row],[SC Book Price]]) - SnapshotTable[[#This Row],[SC Intrinsic Value]], 0)</f>
        <v>0</v>
      </c>
      <c r="FI94" s="143"/>
      <c r="FJ94" s="32" t="str">
        <f>IF(SnapshotTable[[#This Row],[SC Is Filled]],100 * SnapshotTable[[#This Row],[SC Qty]] * IF(ISNUMBER(SnapshotTable[[#This Row],[SC Buyback Override]]), SnapshotTable[[#This Row],[SC Buyback Override]], SnapshotTable[[#This Row],[SC Current Ask]]), "")</f>
        <v/>
      </c>
      <c r="FK94" s="250" t="str">
        <f>IF(SnapshotTable[[#This Row],[SC Time Val]]&gt;0, SnapshotTable[[#This Row],[SC Time Val]] / SnapshotTable[[#This Row],[Last Price]],"")</f>
        <v/>
      </c>
      <c r="FL94" s="302" t="str">
        <f>IF(SnapshotTable[[#This Row],[SC Is Booked]], ((SnapshotTable[[#This Row],[Last Price]] -SnapshotTable[[#This Row],[SC Strike Price]]) / SnapshotTable[[#This Row],[Last Price]]) * -1, "")</f>
        <v/>
      </c>
      <c r="FM94" s="157" t="str">
        <f>IF(SnapshotTable[[#This Row],[SC Is Booked]],  (SnapshotTable[[#This Row],[SC Qty]] * 100 * SnapshotTable[[#This Row],[SC Strike Price]]) - SnapshotTable[[#This Row],[SC Current Ask]], "")</f>
        <v/>
      </c>
      <c r="FN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7"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33"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36" t="str">
        <f>IF(AND(ISNUMBER(SnapshotTable[[#This Row],[SC Simple ROO]]),SnapshotTable[[#This Row],[SC Simple ROO]] &gt; 0), SnapshotTable[[#This Row],[SC Premium]] + (SnapshotTable[[#This Row],[SC Qty]] * SnapshotTable[[#This Row],[SC Upside Potential]]), "")</f>
        <v/>
      </c>
      <c r="FX94" s="302" t="str" cm="1">
        <f t="array" ref="FX94">IF(ISNUMBER(SnapshotTable[[#This Row],[SC Max Dollars]]), annualize(SnapshotTable[[#This Row],[SC Term]],(SnapshotTable[[#This Row],[SC Max Dollars]]/SnapshotTable[[#This Row],[SC Basis]])),"")</f>
        <v/>
      </c>
      <c r="FY94" s="23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29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4.4459999999999997</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8" t="str">
        <f>IF(SnapshotTable[[#This Row],[Sale G/L]]&gt;0, SnapshotTable[[#This Row],[Sale G/L]] / SnapshotTable[[#This Row],[Sale Basis]], IF(ISNUMBER(SnapshotTable[[#This Row],[SC Exercise P&amp;L (TAX)]]), SnapshotTable[[#This Row],[SC Exercise P&amp;L (TAX)]] / SnapshotTable[[#This Row],[SC Basis]], ""))</f>
        <v/>
      </c>
      <c r="GK94" s="158" t="s">
        <v>669</v>
      </c>
      <c r="GL94" s="159"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59" t="str">
        <f>IF(AND(SnapshotTable[[#This Row],[LC Exp Date]]&gt;0,SnapshotTable[[#This Row],[LC Strike Price]]&gt;0), [1]!ToOptionSymbol(SnapshotTable[[#This Row],[Symbol]], SnapshotTable[[#This Row],[LC Strike Price]],SnapshotTable[[#This Row],[LC Exp Date]],0), "")</f>
        <v/>
      </c>
      <c r="GQ94" s="160" t="str">
        <f>IF(LEN(SnapshotTable[[#This Row],[LC Symbol]])&gt;0, 1, "")</f>
        <v/>
      </c>
      <c r="GR94" s="159" t="str">
        <f>IF(AND(SnapshotTable[[#This Row],[SC Exp Date]]&gt;0,SnapshotTable[[#This Row],[SC Strike Price]]&gt;0), [1]!ToOptionSymbol(SnapshotTable[[#This Row],[Symbol]], SnapshotTable[[#This Row],[SC Strike Price]],SnapshotTable[[#This Row],[SC Exp Date]],0), "")</f>
        <v/>
      </c>
      <c r="GS94" s="160" t="str">
        <f>IF(LEN(SnapshotTable[[#This Row],[SC Symbol]])&gt;0, 1, "")</f>
        <v/>
      </c>
      <c r="GT94" s="161"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31">
        <f>MAX(SnapshotTable[[#This Row],[Equity Basis Total]],SnapshotTable[[#This Row],[Equity Value]]) + (SnapshotTable[[#This Row],[SP Potential Spend]]- SnapshotTable[[#This Row],[SP Premium]] + SnapshotTable[[#This Row],[LP Premium]])+ (SnapshotTable[[#This Row],[LC Premium]] - SnapshotTable[[#This Row],[SC Premium]])</f>
        <v>0</v>
      </c>
      <c r="GW94" s="139" t="str">
        <f>IF(AND(SnapshotTable[[#This Row],[Exposure]] &lt;&gt; 0),SnapshotTable[[#This Row],[Exposure]] / SnapshotTable[[#Totals],[Exposure]], "")</f>
        <v/>
      </c>
      <c r="GY94" s="381"/>
      <c r="HE94" s="268"/>
      <c r="HF94" s="268"/>
      <c r="HG94" s="381"/>
      <c r="HH94" s="381"/>
      <c r="HI94" s="381"/>
      <c r="HJ94" s="381"/>
    </row>
    <row r="95" spans="2:224" s="47" customFormat="1" ht="12.75" hidden="1" customHeight="1" x14ac:dyDescent="0.25">
      <c r="B95" s="12" t="s">
        <v>987</v>
      </c>
      <c r="C95" s="422">
        <v>166.12</v>
      </c>
      <c r="D95" s="208" t="s">
        <v>578</v>
      </c>
      <c r="E95" s="39">
        <f>SnapshotTable[[#This Row],[Last Price]]*(1 -CrashDiscount)</f>
        <v>141.202</v>
      </c>
      <c r="F95" s="26" t="s">
        <v>613</v>
      </c>
      <c r="G95" s="26" t="s">
        <v>9</v>
      </c>
      <c r="H95" s="149"/>
      <c r="I95" s="194">
        <v>44959</v>
      </c>
      <c r="J95" s="195">
        <v>44959</v>
      </c>
      <c r="K95" s="196"/>
      <c r="L95" s="326"/>
      <c r="M95" s="140"/>
      <c r="N95" s="140"/>
      <c r="O95" s="140"/>
      <c r="P95" s="22"/>
      <c r="Q95" s="25"/>
      <c r="R95" s="4" t="str">
        <f>IF(SnapshotTable[[#This Row],[Equity Basis Total]] &gt; 0, SnapshotTable[[#This Row],[Equity Basis Total]] / SnapshotTable[[#This Row],[Equity Shares]], "")</f>
        <v/>
      </c>
      <c r="S95" s="269">
        <f>SnapshotTable[[#This Row],[Last Price]] * SnapshotTable[[#This Row],[Equity Shares]]</f>
        <v>0</v>
      </c>
      <c r="T95" s="269">
        <f>SnapshotTable[[#This Row],[Equity Value]] - SnapshotTable[[#This Row],[Equity Basis Total]]</f>
        <v>0</v>
      </c>
      <c r="U95" s="270" t="str">
        <f>IF(SnapshotTable[[#This Row],[Equity Basis Total]] &gt; 0, SnapshotTable[[#This Row],[Equity G/L]] / SnapshotTable[[#This Row],[Equity Basis Total]], "")</f>
        <v/>
      </c>
      <c r="V95" s="268">
        <v>280</v>
      </c>
      <c r="W95" s="26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7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0"/>
      <c r="AD95" s="151"/>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1"/>
      <c r="AI95" s="5"/>
      <c r="AJ95" s="138">
        <v>75.400000000000006</v>
      </c>
      <c r="AK95" s="152" t="str">
        <f>IF(ISNUMBER( SnapshotTable[[#This Row],[EBF Target]]),(SnapshotTable[[#This Row],[EBF Target]] - SnapshotTable[[#This Row],[Last Price]]) / SnapshotTable[[#This Row],[Last Price]], "")</f>
        <v/>
      </c>
      <c r="AL95" s="152"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2">
        <f>IF(AND(ISNUMBER( SnapshotTable[[#This Row],[Long Term Target]]), ISNUMBER(SnapshotTable[[#This Row],[Last Price]])),(SnapshotTable[[#This Row],[Long Term Target]] - SnapshotTable[[#This Row],[Last Price]]) / SnapshotTable[[#This Row],[Last Price]], "")</f>
        <v>-0.54611124488321694</v>
      </c>
      <c r="AP95" s="5">
        <v>320</v>
      </c>
      <c r="AQ95" s="38" t="s">
        <v>38</v>
      </c>
      <c r="AR95" s="5">
        <v>320</v>
      </c>
      <c r="AS95" s="38" t="s">
        <v>26</v>
      </c>
      <c r="AT95" s="146" t="s">
        <v>538</v>
      </c>
      <c r="AU95" s="187" t="str">
        <f>IF(OR(SnapshotTable[[#This Row],[LP No Fill]]="Y",SnapshotTable[[#This Row],[SP Is Filled]],SnapshotTable[[#This Row],[LC Not Filled]]="Y",SnapshotTable[[#This Row],[SC Is Filled]]),"Y","")</f>
        <v/>
      </c>
      <c r="AV95" s="219"/>
      <c r="AW95" s="225"/>
      <c r="AX95" s="220"/>
      <c r="AY95" s="219" t="str">
        <f>IF(SnapshotTable[[#This Row],[Implied Move]]&gt;0, SnapshotTable[[#This Row],[Last Price]]-SnapshotTable[[#This Row],[Implied Move]],"")</f>
        <v/>
      </c>
      <c r="AZ95" s="219" t="str">
        <f>IF(SnapshotTable[[#This Row],[Implied Move]]&gt;0, SnapshotTable[[#This Row],[Last Price]] + SnapshotTable[[#This Row],[Implied Move]],"")</f>
        <v/>
      </c>
      <c r="BA95" s="331">
        <v>192.13</v>
      </c>
      <c r="BB95" s="347" t="s">
        <v>1165</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51"/>
      <c r="BE95" s="5"/>
      <c r="BF95" s="14"/>
      <c r="BG95" s="13"/>
      <c r="BH95" s="13"/>
      <c r="BI95" s="5"/>
      <c r="BJ95" s="136">
        <f>IF(SnapshotTable[[#This Row],[LP Qty]] &gt; 0, SnapshotTable[[#This Row],[LP Qty]] * SnapshotTable[[#This Row],[LP Book Price]] * 100,0)</f>
        <v>0</v>
      </c>
      <c r="BK95" s="136">
        <f>IF(SnapshotTable[[#This Row],[LP Premium]] &gt; 0, SnapshotTable[[#This Row],[LP Qty]] * SnapshotTable[[#This Row],[LP Strike Price]] * 100,0)</f>
        <v>0</v>
      </c>
      <c r="BL95" s="154"/>
      <c r="BM95" s="385" t="str">
        <f>IF(SnapshotTable[[#This Row],[LP Premium]] &gt; 0,SnapshotTable[[#This Row],[LP Exp Date]]-MAX(SnapshotTable[[#This Row],[LP Book Date]], SnapshotTable[[#This Row],[LP Fill Date]]),"")</f>
        <v/>
      </c>
      <c r="BN95" s="385" t="str">
        <f>IF(ISNUMBER( SnapshotTable[[#This Row],[LP Term]]), SnapshotTable[[#This Row],[LP Exp Date]] - MockToday,"")</f>
        <v/>
      </c>
      <c r="BO95" s="163"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7"/>
      <c r="BU95" s="13"/>
      <c r="BV95" s="5"/>
      <c r="BW95" s="419" t="b">
        <f>AND(ISNUMBER(SnapshotTable[[#This Row],[SP Exp Date]]), ISNUMBER(SnapshotTable[[#This Row],[SP Strike Price]]), ISNUMBER(SnapshotTable[[#This Row],[SP Qty]]), ISNUMBER(SnapshotTable[[#This Row],[SP Book Date]]), ISNUMBER(SnapshotTable[[#This Row],[SP Book Price]]))</f>
        <v>0</v>
      </c>
      <c r="BX95" s="419" t="b">
        <f>AND(SnapshotTable[[#This Row],[SP Is Booked]], NOT(ISBLANK(SnapshotTable[[#This Row],[SP Fill Date]])))</f>
        <v>0</v>
      </c>
      <c r="BY95" s="33">
        <f>IF(SnapshotTable[[#This Row],[SP Is Booked]], SnapshotTable[[#This Row],[SP Qty]] * SnapshotTable[[#This Row],[SP Book Price]] * 100, 0)</f>
        <v>0</v>
      </c>
      <c r="BZ95" s="369"/>
      <c r="CA95" s="368">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3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44"/>
      <c r="CK95" s="31">
        <f>IF(ISNUMBER(SnapshotTable[[#This Row],[SP Potential Spend]]),IF(ISNUMBER(SnapshotTable[[#This Row],[SP POW]]), SnapshotTable[[#This Row],[SP POW]] * SnapshotTable[[#This Row],[SP Potential Spend]], SnapshotTable[[#This Row],[SP Potential Spend]]), "")</f>
        <v>0</v>
      </c>
      <c r="CL95" s="164">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18"/>
      <c r="CO95" s="369"/>
      <c r="CP95" s="4" t="str">
        <f>IF(SnapshotTable[[#This Row],[SP Is Filled]], btc_max_buyback_amount(SnapshotTable[[#This Row],[SP Fill Date]],SnapshotTable[[#This Row],[SP Exp Date]], SnapshotTable[[#This Row],[SP Book Price]]),"")</f>
        <v/>
      </c>
      <c r="CQ95" s="78"/>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5" t="str">
        <f>IF(SnapshotTable[[#This Row],[SP Is Filled]], btc_next_cutoff_date(SnapshotTable[[#This Row],[SP Fill Date]],SnapshotTable[[#This Row],[SP Exp Date]]),"")</f>
        <v/>
      </c>
      <c r="CT95" s="23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3"/>
      <c r="CV95" s="235"/>
      <c r="CW95" s="378"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294" t="str">
        <f>IF(ISNUMBER((SnapshotTable[[#This Row],[SP Total Value]])), SnapshotTable[[#This Row],[SP Gain Loss]] / SnapshotTable[[#This Row],[SP Premium]], "")</f>
        <v/>
      </c>
      <c r="DI95" s="406"/>
      <c r="DJ95" s="138"/>
      <c r="DK95" s="148"/>
      <c r="DL95" s="13"/>
      <c r="DM95" s="13"/>
      <c r="DN95" s="5"/>
      <c r="DO95" s="31">
        <f>IF(SnapshotTable[[#This Row],[LC Symbol Count]]=1, SnapshotTable[[#This Row],[LC Qty]] * SnapshotTable[[#This Row],[LC Book Price]] * 100, 0)</f>
        <v>0</v>
      </c>
      <c r="DP95" s="163" t="str">
        <f>IF(AND(SnapshotTable[[#This Row],[LC Exp Date]]&gt;0, SnapshotTable[[#This Row],[LC Strike Price]]&gt;0,SnapshotTable[[#This Row],[LC Qty]]&gt;0,SnapshotTable[[#This Row],[LC Book Date]]&gt;0,SnapshotTable[[#This Row],[LC Book Price]]&gt;0,SnapshotTable[[#This Row],[LC Fill Date]]=0),"Y","")</f>
        <v/>
      </c>
      <c r="DQ95" s="386" t="str">
        <f>IF(SnapshotTable[[#This Row],[LC Premium]] &gt; 0,SnapshotTable[[#This Row],[LC Exp Date]]-MAX(SnapshotTable[[#This Row],[LC Book Date]], SnapshotTable[[#This Row],[LC Fill Date]]),"")</f>
        <v/>
      </c>
      <c r="DR95" s="386" t="str">
        <f>IF(ISNUMBER(SnapshotTable[[#This Row],[LC Term]]), SnapshotTable[[#This Row],[LC Exp Date]] - MockToday, "")</f>
        <v/>
      </c>
      <c r="DS95" s="23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40" t="str">
        <f>IF(ISNUMBER(SnapshotTable[[#This Row],[LC Actual Gain Loss]]), SnapshotTable[[#This Row],[LC Actual Gain Loss]] / SnapshotTable[[#This Row],[LC Premium]],"")</f>
        <v/>
      </c>
      <c r="DX95" s="284" t="str">
        <f>IF(ISNUMBER(SnapshotTable[[#This Row],[LC Book Price]]),SnapshotTable[[#This Row],[LC Book Price]] * 1.5,"")</f>
        <v/>
      </c>
      <c r="DY95" s="265" t="str">
        <f>IF(SnapshotTable[[#This Row],[LC Premium]]&gt;0, SnapshotTable[[#This Row],[LC Next Target]] * SnapshotTable[[#This Row],[LC Qty]] * 100,"")</f>
        <v/>
      </c>
      <c r="DZ95" s="265" t="str">
        <f>IF(ISNUMBER(SnapshotTable[[#This Row],[LC Target Gross]]), SnapshotTable[[#This Row],[LC Target Gross]] - SnapshotTable[[#This Row],[LC Premium]], "")</f>
        <v/>
      </c>
      <c r="EA95" s="305" t="str">
        <f>IF(ISNUMBER(SnapshotTable[[#This Row],[LC Target Gain Loss]]), SnapshotTable[[#This Row],[LC Target Gain Loss]]/SnapshotTable[[#This Row],[LC Premium]], "")</f>
        <v/>
      </c>
      <c r="EB95" s="262"/>
      <c r="EC95" s="283" t="str">
        <f>IF(SnapshotTable[[#This Row],[LC Premium]]&gt;0, SnapshotTable[[#This Row],[LC Book Price]] * (1 - LC_StopLoss_Pct),"")</f>
        <v/>
      </c>
      <c r="ED95" s="284"/>
      <c r="EE95" s="28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4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7"/>
      <c r="EL95" s="138"/>
      <c r="EM95" s="148"/>
      <c r="EN95" s="147"/>
      <c r="EO95" s="147"/>
      <c r="EP95" s="138"/>
      <c r="EQ95" s="419" t="b">
        <f>AND(ISNUMBER(SnapshotTable[[#This Row],[SC Exp Date]]), ISNUMBER(SnapshotTable[[#This Row],[SC Strike Price]]), ISNUMBER(SnapshotTable[[#This Row],[SC Qty]]), ISNUMBER(SnapshotTable[[#This Row],[SC Book Date]]), ISNUMBER(SnapshotTable[[#This Row],[SC Book Price]]))</f>
        <v>0</v>
      </c>
      <c r="ER95" s="419" t="b">
        <f>AND(SnapshotTable[[#This Row],[SC Is Booked]], NOT(ISBLANK(SnapshotTable[[#This Row],[SC Fill Date]])))</f>
        <v>0</v>
      </c>
      <c r="ES95" s="370"/>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3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283"/>
      <c r="FA95" s="218"/>
      <c r="FB95" s="370"/>
      <c r="FC95" s="4">
        <f>IF(SnapshotTable[[#This Row],[SC Is Filled]], btc_max_buyback_amount(SnapshotTable[[#This Row],[SC Fill Date]],SnapshotTable[[#This Row],[SC Exp Date]], SnapshotTable[[#This Row],[SC Book Price]]),0)</f>
        <v>0</v>
      </c>
      <c r="FD95" s="5"/>
      <c r="FE95" s="144"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382">
        <f>IF(SnapshotTable[[#This Row],[SC Is Filled]], IF(ISNUMBER(SnapshotTable[[#This Row],[SC Current Ask]]), SnapshotTable[[#This Row],[SC Current Ask]], SnapshotTable[[#This Row],[SC Book Price]]) - SnapshotTable[[#This Row],[SC Intrinsic Value]], 0)</f>
        <v>0</v>
      </c>
      <c r="FI95" s="143"/>
      <c r="FJ95" s="32" t="str">
        <f>IF(SnapshotTable[[#This Row],[SC Is Filled]],100 * SnapshotTable[[#This Row],[SC Qty]] * IF(ISNUMBER(SnapshotTable[[#This Row],[SC Buyback Override]]), SnapshotTable[[#This Row],[SC Buyback Override]], SnapshotTable[[#This Row],[SC Current Ask]]), "")</f>
        <v/>
      </c>
      <c r="FK95" s="250" t="str">
        <f>IF(SnapshotTable[[#This Row],[SC Time Val]]&gt;0, SnapshotTable[[#This Row],[SC Time Val]] / SnapshotTable[[#This Row],[Last Price]],"")</f>
        <v/>
      </c>
      <c r="FL95" s="302" t="str">
        <f>IF(SnapshotTable[[#This Row],[SC Is Booked]], ((SnapshotTable[[#This Row],[Last Price]] -SnapshotTable[[#This Row],[SC Strike Price]]) / SnapshotTable[[#This Row],[Last Price]]) * -1, "")</f>
        <v/>
      </c>
      <c r="FM95" s="157"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33"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36" t="str">
        <f>IF(AND(ISNUMBER(SnapshotTable[[#This Row],[SC Simple ROO]]),SnapshotTable[[#This Row],[SC Simple ROO]] &gt; 0), SnapshotTable[[#This Row],[SC Premium]] + (SnapshotTable[[#This Row],[SC Qty]] * SnapshotTable[[#This Row],[SC Upside Potential]]), "")</f>
        <v/>
      </c>
      <c r="FX95" s="302" t="str" cm="1">
        <f t="array" ref="FX95">IF(ISNUMBER(SnapshotTable[[#This Row],[SC Max Dollars]]), annualize(SnapshotTable[[#This Row],[SC Term]],(SnapshotTable[[#This Row],[SC Max Dollars]]/SnapshotTable[[#This Row],[SC Basis]])),"")</f>
        <v/>
      </c>
      <c r="FY95" s="23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29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323.93400000000003</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1058</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31">
        <f>MAX(SnapshotTable[[#This Row],[Equity Basis Total]],SnapshotTable[[#This Row],[Equity Value]]) + (SnapshotTable[[#This Row],[SP Potential Spend]]- SnapshotTable[[#This Row],[SP Premium]] + SnapshotTable[[#This Row],[LP Premium]])+ (SnapshotTable[[#This Row],[LC Premium]] - SnapshotTable[[#This Row],[SC Premium]])</f>
        <v>0</v>
      </c>
      <c r="GW95" s="139" t="str">
        <f>IF(AND(SnapshotTable[[#This Row],[Exposure]] &lt;&gt; 0),SnapshotTable[[#This Row],[Exposure]] / SnapshotTable[[#Totals],[Exposure]], "")</f>
        <v/>
      </c>
      <c r="GY95" s="381"/>
      <c r="HE95" s="268"/>
      <c r="HF95" s="268"/>
      <c r="HG95" s="381"/>
      <c r="HH95" s="381"/>
      <c r="HI95" s="381"/>
      <c r="HJ95" s="381"/>
    </row>
    <row r="96" spans="2:224" ht="12.75" hidden="1" customHeight="1" x14ac:dyDescent="0.25">
      <c r="B96" s="12" t="s">
        <v>1182</v>
      </c>
      <c r="C96" s="422">
        <v>11.26</v>
      </c>
      <c r="D96" s="208" t="s">
        <v>578</v>
      </c>
      <c r="E96" s="39">
        <f>SnapshotTable[[#This Row],[Last Price]]*(1 -CrashDiscount)</f>
        <v>9.5709999999999997</v>
      </c>
      <c r="F96" s="26" t="s">
        <v>963</v>
      </c>
      <c r="G96" s="26" t="s">
        <v>882</v>
      </c>
      <c r="H96" s="149"/>
      <c r="I96" s="194"/>
      <c r="J96" s="195"/>
      <c r="K96" s="196"/>
      <c r="L96" s="326"/>
      <c r="M96" s="140"/>
      <c r="N96" s="140"/>
      <c r="O96" s="140"/>
      <c r="P96" s="22"/>
      <c r="Q96" s="25"/>
      <c r="R96" s="4" t="str">
        <f>IF(SnapshotTable[[#This Row],[Equity Basis Total]] &gt; 0, SnapshotTable[[#This Row],[Equity Basis Total]] / SnapshotTable[[#This Row],[Equity Shares]], "")</f>
        <v/>
      </c>
      <c r="S96" s="269">
        <f>SnapshotTable[[#This Row],[Last Price]] * SnapshotTable[[#This Row],[Equity Shares]]</f>
        <v>0</v>
      </c>
      <c r="T96" s="269">
        <f>SnapshotTable[[#This Row],[Equity Value]] - SnapshotTable[[#This Row],[Equity Basis Total]]</f>
        <v>0</v>
      </c>
      <c r="U96" s="270" t="str">
        <f>IF(SnapshotTable[[#This Row],[Equity Basis Total]] &gt; 0, SnapshotTable[[#This Row],[Equity G/L]] / SnapshotTable[[#This Row],[Equity Basis Total]], "")</f>
        <v/>
      </c>
      <c r="V96" s="268"/>
      <c r="W96" s="26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7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0"/>
      <c r="AD96" s="151"/>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1"/>
      <c r="AI96" s="5"/>
      <c r="AJ96" s="138"/>
      <c r="AK96" s="152" t="str">
        <f>IF(ISNUMBER( SnapshotTable[[#This Row],[EBF Target]]),(SnapshotTable[[#This Row],[EBF Target]] - SnapshotTable[[#This Row],[Last Price]]) / SnapshotTable[[#This Row],[Last Price]], "")</f>
        <v/>
      </c>
      <c r="AL96" s="152"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2" t="str">
        <f>IF(AND(ISNUMBER( SnapshotTable[[#This Row],[Long Term Target]]), ISNUMBER(SnapshotTable[[#This Row],[Last Price]])),(SnapshotTable[[#This Row],[Long Term Target]] - SnapshotTable[[#This Row],[Last Price]]) / SnapshotTable[[#This Row],[Last Price]], "")</f>
        <v/>
      </c>
      <c r="AP96" s="5"/>
      <c r="AQ96" s="38"/>
      <c r="AR96" s="5"/>
      <c r="AS96" s="38"/>
      <c r="AT96" s="146"/>
      <c r="AU96" s="187" t="str">
        <f>IF(OR(SnapshotTable[[#This Row],[LP No Fill]]="Y",SnapshotTable[[#This Row],[SP Is Filled]],SnapshotTable[[#This Row],[LC Not Filled]]="Y",SnapshotTable[[#This Row],[SC Is Filled]]),"Y","")</f>
        <v/>
      </c>
      <c r="AV96" s="219"/>
      <c r="AW96" s="225"/>
      <c r="AX96" s="220"/>
      <c r="AY96" s="219" t="str">
        <f>IF(SnapshotTable[[#This Row],[Implied Move]]&gt;0, SnapshotTable[[#This Row],[Last Price]]-SnapshotTable[[#This Row],[Implied Move]],"")</f>
        <v/>
      </c>
      <c r="AZ96" s="219" t="str">
        <f>IF(SnapshotTable[[#This Row],[Implied Move]]&gt;0, SnapshotTable[[#This Row],[Last Price]] + SnapshotTable[[#This Row],[Implied Move]],"")</f>
        <v/>
      </c>
      <c r="BA96" s="331">
        <v>5.72</v>
      </c>
      <c r="BB96" s="347"/>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51"/>
      <c r="BE96" s="5"/>
      <c r="BF96" s="14"/>
      <c r="BG96" s="13"/>
      <c r="BH96" s="13"/>
      <c r="BI96" s="5"/>
      <c r="BJ96" s="136">
        <f>IF(SnapshotTable[[#This Row],[LP Qty]] &gt; 0, SnapshotTable[[#This Row],[LP Qty]] * SnapshotTable[[#This Row],[LP Book Price]] * 100,0)</f>
        <v>0</v>
      </c>
      <c r="BK96" s="136">
        <f>IF(SnapshotTable[[#This Row],[LP Premium]] &gt; 0, SnapshotTable[[#This Row],[LP Qty]] * SnapshotTable[[#This Row],[LP Strike Price]] * 100,0)</f>
        <v>0</v>
      </c>
      <c r="BL96" s="154"/>
      <c r="BM96" s="385" t="str">
        <f>IF(SnapshotTable[[#This Row],[LP Premium]] &gt; 0,SnapshotTable[[#This Row],[LP Exp Date]]-MAX(SnapshotTable[[#This Row],[LP Book Date]], SnapshotTable[[#This Row],[LP Fill Date]]),"")</f>
        <v/>
      </c>
      <c r="BN96" s="385" t="str">
        <f>IF(ISNUMBER( SnapshotTable[[#This Row],[LP Term]]), SnapshotTable[[#This Row],[LP Exp Date]] - MockToday,"")</f>
        <v/>
      </c>
      <c r="BO96" s="163"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7"/>
      <c r="BU96" s="13"/>
      <c r="BV96" s="5"/>
      <c r="BW96" s="419" t="b">
        <f>AND(ISNUMBER(SnapshotTable[[#This Row],[SP Exp Date]]), ISNUMBER(SnapshotTable[[#This Row],[SP Strike Price]]), ISNUMBER(SnapshotTable[[#This Row],[SP Qty]]), ISNUMBER(SnapshotTable[[#This Row],[SP Book Date]]), ISNUMBER(SnapshotTable[[#This Row],[SP Book Price]]))</f>
        <v>0</v>
      </c>
      <c r="BX96" s="419" t="b">
        <f>AND(SnapshotTable[[#This Row],[SP Is Booked]], NOT(ISBLANK(SnapshotTable[[#This Row],[SP Fill Date]])))</f>
        <v>0</v>
      </c>
      <c r="BY96" s="33">
        <f>IF(SnapshotTable[[#This Row],[SP Is Booked]], SnapshotTable[[#This Row],[SP Qty]] * SnapshotTable[[#This Row],[SP Book Price]] * 100, 0)</f>
        <v>0</v>
      </c>
      <c r="BZ96" s="369"/>
      <c r="CA96" s="368">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3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44"/>
      <c r="CK96" s="31">
        <f>IF(ISNUMBER(SnapshotTable[[#This Row],[SP Potential Spend]]),IF(ISNUMBER(SnapshotTable[[#This Row],[SP POW]]), SnapshotTable[[#This Row],[SP POW]] * SnapshotTable[[#This Row],[SP Potential Spend]], SnapshotTable[[#This Row],[SP Potential Spend]]), "")</f>
        <v>0</v>
      </c>
      <c r="CL96" s="164">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8"/>
      <c r="CO96" s="369"/>
      <c r="CP96" s="4" t="str">
        <f>IF(SnapshotTable[[#This Row],[SP Is Filled]], btc_max_buyback_amount(SnapshotTable[[#This Row],[SP Fill Date]],SnapshotTable[[#This Row],[SP Exp Date]], SnapshotTable[[#This Row],[SP Book Price]]),"")</f>
        <v/>
      </c>
      <c r="CQ96" s="78"/>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5" t="str">
        <f>IF(SnapshotTable[[#This Row],[SP Is Filled]], btc_next_cutoff_date(SnapshotTable[[#This Row],[SP Fill Date]],SnapshotTable[[#This Row],[SP Exp Date]]),"")</f>
        <v/>
      </c>
      <c r="CT96" s="23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3"/>
      <c r="CV96" s="235"/>
      <c r="CW96" s="378"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294" t="str">
        <f>IF(ISNUMBER((SnapshotTable[[#This Row],[SP Total Value]])), SnapshotTable[[#This Row],[SP Gain Loss]] / SnapshotTable[[#This Row],[SP Premium]], "")</f>
        <v/>
      </c>
      <c r="DI96" s="406"/>
      <c r="DJ96" s="138"/>
      <c r="DK96" s="148"/>
      <c r="DL96" s="13"/>
      <c r="DM96" s="13"/>
      <c r="DO96" s="31">
        <f>IF(SnapshotTable[[#This Row],[LC Symbol Count]]=1, SnapshotTable[[#This Row],[LC Qty]] * SnapshotTable[[#This Row],[LC Book Price]] * 100, 0)</f>
        <v>0</v>
      </c>
      <c r="DP96" s="163" t="str">
        <f>IF(AND(SnapshotTable[[#This Row],[LC Exp Date]]&gt;0, SnapshotTable[[#This Row],[LC Strike Price]]&gt;0,SnapshotTable[[#This Row],[LC Qty]]&gt;0,SnapshotTable[[#This Row],[LC Book Date]]&gt;0,SnapshotTable[[#This Row],[LC Book Price]]&gt;0,SnapshotTable[[#This Row],[LC Fill Date]]=0),"Y","")</f>
        <v/>
      </c>
      <c r="DQ96" s="386" t="str">
        <f>IF(SnapshotTable[[#This Row],[LC Premium]] &gt; 0,SnapshotTable[[#This Row],[LC Exp Date]]-MAX(SnapshotTable[[#This Row],[LC Book Date]], SnapshotTable[[#This Row],[LC Fill Date]]),"")</f>
        <v/>
      </c>
      <c r="DR96" s="386" t="str">
        <f>IF(ISNUMBER(SnapshotTable[[#This Row],[LC Term]]), SnapshotTable[[#This Row],[LC Exp Date]] - MockToday, "")</f>
        <v/>
      </c>
      <c r="DS96" s="23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40" t="str">
        <f>IF(ISNUMBER(SnapshotTable[[#This Row],[LC Actual Gain Loss]]), SnapshotTable[[#This Row],[LC Actual Gain Loss]] / SnapshotTable[[#This Row],[LC Premium]],"")</f>
        <v/>
      </c>
      <c r="DX96" s="284" t="str">
        <f>IF(ISNUMBER(SnapshotTable[[#This Row],[LC Book Price]]),SnapshotTable[[#This Row],[LC Book Price]] * 1.5,"")</f>
        <v/>
      </c>
      <c r="DY96" s="265" t="str">
        <f>IF(SnapshotTable[[#This Row],[LC Premium]]&gt;0, SnapshotTable[[#This Row],[LC Next Target]] * SnapshotTable[[#This Row],[LC Qty]] * 100,"")</f>
        <v/>
      </c>
      <c r="DZ96" s="265" t="str">
        <f>IF(ISNUMBER(SnapshotTable[[#This Row],[LC Target Gross]]), SnapshotTable[[#This Row],[LC Target Gross]] - SnapshotTable[[#This Row],[LC Premium]], "")</f>
        <v/>
      </c>
      <c r="EA96" s="305" t="str">
        <f>IF(ISNUMBER(SnapshotTable[[#This Row],[LC Target Gain Loss]]), SnapshotTable[[#This Row],[LC Target Gain Loss]]/SnapshotTable[[#This Row],[LC Premium]], "")</f>
        <v/>
      </c>
      <c r="EB96" s="262"/>
      <c r="EC96" s="283" t="str">
        <f>IF(SnapshotTable[[#This Row],[LC Premium]]&gt;0, SnapshotTable[[#This Row],[LC Book Price]] * (1 - LC_StopLoss_Pct),"")</f>
        <v/>
      </c>
      <c r="ED96" s="284"/>
      <c r="EE96" s="28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4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7"/>
      <c r="EL96" s="138"/>
      <c r="EM96" s="148"/>
      <c r="EN96" s="147"/>
      <c r="EO96" s="147"/>
      <c r="EP96" s="138"/>
      <c r="EQ96" s="419" t="b">
        <f>AND(ISNUMBER(SnapshotTable[[#This Row],[SC Exp Date]]), ISNUMBER(SnapshotTable[[#This Row],[SC Strike Price]]), ISNUMBER(SnapshotTable[[#This Row],[SC Qty]]), ISNUMBER(SnapshotTable[[#This Row],[SC Book Date]]), ISNUMBER(SnapshotTable[[#This Row],[SC Book Price]]))</f>
        <v>0</v>
      </c>
      <c r="ER96" s="419" t="b">
        <f>AND(SnapshotTable[[#This Row],[SC Is Booked]], NOT(ISBLANK(SnapshotTable[[#This Row],[SC Fill Date]])))</f>
        <v>0</v>
      </c>
      <c r="ES96" s="370"/>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3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283"/>
      <c r="FA96" s="218"/>
      <c r="FB96" s="370"/>
      <c r="FC96" s="4">
        <f>IF(SnapshotTable[[#This Row],[SC Is Filled]], btc_max_buyback_amount(SnapshotTable[[#This Row],[SC Fill Date]],SnapshotTable[[#This Row],[SC Exp Date]], SnapshotTable[[#This Row],[SC Book Price]]),0)</f>
        <v>0</v>
      </c>
      <c r="FD96" s="5"/>
      <c r="FE96" s="144"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382">
        <f>IF(SnapshotTable[[#This Row],[SC Is Filled]], IF(ISNUMBER(SnapshotTable[[#This Row],[SC Current Ask]]), SnapshotTable[[#This Row],[SC Current Ask]], SnapshotTable[[#This Row],[SC Book Price]]) - SnapshotTable[[#This Row],[SC Intrinsic Value]], 0)</f>
        <v>0</v>
      </c>
      <c r="FI96" s="143">
        <v>45786</v>
      </c>
      <c r="FJ96" s="32" t="str">
        <f>IF(SnapshotTable[[#This Row],[SC Is Filled]],100 * SnapshotTable[[#This Row],[SC Qty]] * IF(ISNUMBER(SnapshotTable[[#This Row],[SC Buyback Override]]), SnapshotTable[[#This Row],[SC Buyback Override]], SnapshotTable[[#This Row],[SC Current Ask]]), "")</f>
        <v/>
      </c>
      <c r="FK96" s="250" t="str">
        <f>IF(SnapshotTable[[#This Row],[SC Time Val]]&gt;0, SnapshotTable[[#This Row],[SC Time Val]] / SnapshotTable[[#This Row],[Last Price]],"")</f>
        <v/>
      </c>
      <c r="FL96" s="302" t="str">
        <f>IF(SnapshotTable[[#This Row],[SC Is Booked]], ((SnapshotTable[[#This Row],[Last Price]] -SnapshotTable[[#This Row],[SC Strike Price]]) / SnapshotTable[[#This Row],[Last Price]]) * -1, "")</f>
        <v/>
      </c>
      <c r="FM96" s="157"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33"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36" t="str">
        <f>IF(AND(ISNUMBER(SnapshotTable[[#This Row],[SC Simple ROO]]),SnapshotTable[[#This Row],[SC Simple ROO]] &gt; 0), SnapshotTable[[#This Row],[SC Premium]] + (SnapshotTable[[#This Row],[SC Qty]] * SnapshotTable[[#This Row],[SC Upside Potential]]), "")</f>
        <v/>
      </c>
      <c r="FX96" s="302" t="str" cm="1">
        <f t="array" ref="FX96">IF(ISNUMBER(SnapshotTable[[#This Row],[SC Max Dollars]]), annualize(SnapshotTable[[#This Row],[SC Term]],(SnapshotTable[[#This Row],[SC Max Dollars]]/SnapshotTable[[#This Row],[SC Basis]])),"")</f>
        <v/>
      </c>
      <c r="FY96" s="23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29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21.957000000000001</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31">
        <f>MAX(SnapshotTable[[#This Row],[Equity Basis Total]],SnapshotTable[[#This Row],[Equity Value]]) + (SnapshotTable[[#This Row],[SP Potential Spend]]- SnapshotTable[[#This Row],[SP Premium]] + SnapshotTable[[#This Row],[LP Premium]])+ (SnapshotTable[[#This Row],[LC Premium]] - SnapshotTable[[#This Row],[SC Premium]])</f>
        <v>0</v>
      </c>
      <c r="GW96" s="139" t="str">
        <f>IF(AND(SnapshotTable[[#This Row],[Exposure]] &lt;&gt; 0),SnapshotTable[[#This Row],[Exposure]] / SnapshotTable[[#Totals],[Exposure]], "")</f>
        <v/>
      </c>
      <c r="HE96" s="268"/>
      <c r="HF96" s="268"/>
      <c r="HK96" s="1"/>
      <c r="HL96" s="1"/>
      <c r="HM96" s="1"/>
      <c r="HN96" s="1"/>
      <c r="HO96" s="1"/>
      <c r="HP96" s="1"/>
    </row>
    <row r="97" spans="2:224" ht="12.75" hidden="1" customHeight="1" x14ac:dyDescent="0.25">
      <c r="B97" s="12" t="s">
        <v>1129</v>
      </c>
      <c r="C97" s="422">
        <v>118.79</v>
      </c>
      <c r="D97" s="208"/>
      <c r="E97" s="39">
        <f>SnapshotTable[[#This Row],[Last Price]]*(1 -CrashDiscount)</f>
        <v>100.97150000000001</v>
      </c>
      <c r="F97" s="26"/>
      <c r="G97" s="325"/>
      <c r="H97" s="149"/>
      <c r="I97" s="372"/>
      <c r="J97" s="352"/>
      <c r="K97" s="353"/>
      <c r="L97" s="327"/>
      <c r="M97" s="140"/>
      <c r="N97" s="140"/>
      <c r="O97" s="140"/>
      <c r="P97" s="328"/>
      <c r="Q97" s="354"/>
      <c r="R97" s="4" t="str">
        <f>IF(SnapshotTable[[#This Row],[Equity Basis Total]] &gt; 0, SnapshotTable[[#This Row],[Equity Basis Total]] / SnapshotTable[[#This Row],[Equity Shares]], "")</f>
        <v/>
      </c>
      <c r="S97" s="329">
        <f>SnapshotTable[[#This Row],[Last Price]] * SnapshotTable[[#This Row],[Equity Shares]]</f>
        <v>0</v>
      </c>
      <c r="T97" s="269">
        <f>SnapshotTable[[#This Row],[Equity Value]] - SnapshotTable[[#This Row],[Equity Basis Total]]</f>
        <v>0</v>
      </c>
      <c r="U97" s="270" t="str">
        <f>IF(SnapshotTable[[#This Row],[Equity Basis Total]] &gt; 0, SnapshotTable[[#This Row],[Equity G/L]] / SnapshotTable[[#This Row],[Equity Basis Total]], "")</f>
        <v/>
      </c>
      <c r="V97" s="268">
        <v>127.3</v>
      </c>
      <c r="W97" s="26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7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0"/>
      <c r="AD97" s="350"/>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50"/>
      <c r="AI97" s="330"/>
      <c r="AJ97" s="138"/>
      <c r="AK97" s="152" t="str">
        <f>IF(ISNUMBER( SnapshotTable[[#This Row],[EBF Target]]),(SnapshotTable[[#This Row],[EBF Target]] - SnapshotTable[[#This Row],[Last Price]]) / SnapshotTable[[#This Row],[Last Price]], "")</f>
        <v/>
      </c>
      <c r="AL97" s="152"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2" t="str">
        <f>IF(AND(ISNUMBER( SnapshotTable[[#This Row],[Long Term Target]]), ISNUMBER(SnapshotTable[[#This Row],[Last Price]])),(SnapshotTable[[#This Row],[Long Term Target]] - SnapshotTable[[#This Row],[Last Price]]) / SnapshotTable[[#This Row],[Last Price]], "")</f>
        <v/>
      </c>
      <c r="AP97" s="5"/>
      <c r="AQ97" s="38"/>
      <c r="AR97" s="5"/>
      <c r="AS97" s="38"/>
      <c r="AT97" s="146"/>
      <c r="AU97" s="187" t="str">
        <f>IF(OR(SnapshotTable[[#This Row],[LP No Fill]]="Y",SnapshotTable[[#This Row],[SP Is Filled]],SnapshotTable[[#This Row],[LC Not Filled]]="Y",SnapshotTable[[#This Row],[SC Is Filled]]),"Y","")</f>
        <v/>
      </c>
      <c r="AV97" s="338"/>
      <c r="AW97" s="339"/>
      <c r="AX97" s="220"/>
      <c r="AY97" s="219" t="str">
        <f>IF(SnapshotTable[[#This Row],[Implied Move]]&gt;0, SnapshotTable[[#This Row],[Last Price]]-SnapshotTable[[#This Row],[Implied Move]],"")</f>
        <v/>
      </c>
      <c r="AZ97" s="219" t="str">
        <f>IF(SnapshotTable[[#This Row],[Implied Move]]&gt;0, SnapshotTable[[#This Row],[Last Price]] + SnapshotTable[[#This Row],[Implied Move]],"")</f>
        <v/>
      </c>
      <c r="BA97" s="331"/>
      <c r="BB97" s="347"/>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51"/>
      <c r="BE97" s="138"/>
      <c r="BF97" s="166"/>
      <c r="BG97" s="167"/>
      <c r="BH97" s="167"/>
      <c r="BI97" s="221"/>
      <c r="BJ97" s="153">
        <f>IF(SnapshotTable[[#This Row],[LP Qty]] &gt; 0, SnapshotTable[[#This Row],[LP Qty]] * SnapshotTable[[#This Row],[LP Book Price]] * 100,0)</f>
        <v>0</v>
      </c>
      <c r="BK97" s="136">
        <f>IF(SnapshotTable[[#This Row],[LP Premium]] &gt; 0, SnapshotTable[[#This Row],[LP Qty]] * SnapshotTable[[#This Row],[LP Strike Price]] * 100,0)</f>
        <v>0</v>
      </c>
      <c r="BL97" s="154"/>
      <c r="BM97" s="385" t="str">
        <f>IF(SnapshotTable[[#This Row],[LP Premium]] &gt; 0,SnapshotTable[[#This Row],[LP Exp Date]]-MAX(SnapshotTable[[#This Row],[LP Book Date]], SnapshotTable[[#This Row],[LP Fill Date]]),"")</f>
        <v/>
      </c>
      <c r="BN97" s="385" t="str">
        <f>IF(ISNUMBER( SnapshotTable[[#This Row],[LP Term]]), SnapshotTable[[#This Row],[LP Exp Date]] - MockToday,"")</f>
        <v/>
      </c>
      <c r="BO97" s="163"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7"/>
      <c r="BU97" s="13"/>
      <c r="BV97" s="5"/>
      <c r="BW97" s="419" t="b">
        <f>AND(ISNUMBER(SnapshotTable[[#This Row],[SP Exp Date]]), ISNUMBER(SnapshotTable[[#This Row],[SP Strike Price]]), ISNUMBER(SnapshotTable[[#This Row],[SP Qty]]), ISNUMBER(SnapshotTable[[#This Row],[SP Book Date]]), ISNUMBER(SnapshotTable[[#This Row],[SP Book Price]]))</f>
        <v>0</v>
      </c>
      <c r="BX97" s="419" t="b">
        <f>AND(SnapshotTable[[#This Row],[SP Is Booked]], NOT(ISBLANK(SnapshotTable[[#This Row],[SP Fill Date]])))</f>
        <v>0</v>
      </c>
      <c r="BY97" s="33">
        <f>IF(SnapshotTable[[#This Row],[SP Is Booked]], SnapshotTable[[#This Row],[SP Qty]] * SnapshotTable[[#This Row],[SP Book Price]] * 100, 0)</f>
        <v>0</v>
      </c>
      <c r="BZ97" s="373"/>
      <c r="CA97" s="368">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3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44"/>
      <c r="CK97" s="31">
        <f>IF(ISNUMBER(SnapshotTable[[#This Row],[SP Potential Spend]]),IF(ISNUMBER(SnapshotTable[[#This Row],[SP POW]]), SnapshotTable[[#This Row],[SP POW]] * SnapshotTable[[#This Row],[SP Potential Spend]], SnapshotTable[[#This Row],[SP Potential Spend]]), "")</f>
        <v>0</v>
      </c>
      <c r="CL97" s="164">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4"/>
      <c r="CO97" s="369"/>
      <c r="CP97" s="320" t="str">
        <f>IF(SnapshotTable[[#This Row],[SP Is Filled]], btc_max_buyback_amount(SnapshotTable[[#This Row],[SP Fill Date]],SnapshotTable[[#This Row],[SP Exp Date]], SnapshotTable[[#This Row],[SP Book Price]]),"")</f>
        <v/>
      </c>
      <c r="CQ97" s="78"/>
      <c r="CR9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5" t="str">
        <f>IF(SnapshotTable[[#This Row],[SP Is Filled]], btc_next_cutoff_date(SnapshotTable[[#This Row],[SP Fill Date]],SnapshotTable[[#This Row],[SP Exp Date]]),"")</f>
        <v/>
      </c>
      <c r="CT97" s="23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6"/>
      <c r="CV97" s="235"/>
      <c r="CW97" s="378"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294" t="str">
        <f>IF(ISNUMBER((SnapshotTable[[#This Row],[SP Total Value]])), SnapshotTable[[#This Row],[SP Gain Loss]] / SnapshotTable[[#This Row],[SP Premium]], "")</f>
        <v/>
      </c>
      <c r="DI97" s="406"/>
      <c r="DJ97" s="138"/>
      <c r="DK97" s="148"/>
      <c r="DL97" s="147"/>
      <c r="DM97" s="147"/>
      <c r="DO97" s="31">
        <f>IF(SnapshotTable[[#This Row],[LC Symbol Count]]=1, SnapshotTable[[#This Row],[LC Qty]] * SnapshotTable[[#This Row],[LC Book Price]] * 100, 0)</f>
        <v>0</v>
      </c>
      <c r="DP97" s="289" t="str">
        <f>IF(AND(SnapshotTable[[#This Row],[LC Exp Date]]&gt;0, SnapshotTable[[#This Row],[LC Strike Price]]&gt;0,SnapshotTable[[#This Row],[LC Qty]]&gt;0,SnapshotTable[[#This Row],[LC Book Date]]&gt;0,SnapshotTable[[#This Row],[LC Book Price]]&gt;0,SnapshotTable[[#This Row],[LC Fill Date]]=0),"Y","")</f>
        <v/>
      </c>
      <c r="DQ97" s="386" t="str">
        <f>IF(SnapshotTable[[#This Row],[LC Premium]] &gt; 0,SnapshotTable[[#This Row],[LC Exp Date]]-MAX(SnapshotTable[[#This Row],[LC Book Date]], SnapshotTable[[#This Row],[LC Fill Date]]),"")</f>
        <v/>
      </c>
      <c r="DR97" s="386" t="str">
        <f>IF(ISNUMBER(SnapshotTable[[#This Row],[LC Term]]), SnapshotTable[[#This Row],[LC Exp Date]] - MockToday, "")</f>
        <v/>
      </c>
      <c r="DS97" s="355" t="str">
        <f>IF(SnapshotTable[[#This Row],[LC Premium]]&gt;0,SnapshotTable[[#This Row],[LC Strike Price]] + SnapshotTable[[#This Row],[LC Book Price]],"")</f>
        <v/>
      </c>
      <c r="DT97" s="163"/>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40" t="str">
        <f>IF(ISNUMBER(SnapshotTable[[#This Row],[LC Actual Gain Loss]]), SnapshotTable[[#This Row],[LC Actual Gain Loss]] / SnapshotTable[[#This Row],[LC Premium]],"")</f>
        <v/>
      </c>
      <c r="DX97" s="284" t="str">
        <f>IF(ISNUMBER(SnapshotTable[[#This Row],[LC Book Price]]),SnapshotTable[[#This Row],[LC Book Price]] * 1.5,"")</f>
        <v/>
      </c>
      <c r="DY97" s="265" t="str">
        <f>IF(SnapshotTable[[#This Row],[LC Premium]]&gt;0, SnapshotTable[[#This Row],[LC Next Target]] * SnapshotTable[[#This Row],[LC Qty]] * 100,"")</f>
        <v/>
      </c>
      <c r="DZ97" s="265" t="str">
        <f>IF(ISNUMBER(SnapshotTable[[#This Row],[LC Target Gross]]), SnapshotTable[[#This Row],[LC Target Gross]] - SnapshotTable[[#This Row],[LC Premium]], "")</f>
        <v/>
      </c>
      <c r="EA97" s="305" t="str">
        <f>IF(ISNUMBER(SnapshotTable[[#This Row],[LC Target Gain Loss]]), SnapshotTable[[#This Row],[LC Target Gain Loss]]/SnapshotTable[[#This Row],[LC Premium]], "")</f>
        <v/>
      </c>
      <c r="EB97" s="262"/>
      <c r="EC97" s="290" t="str">
        <f>IF(SnapshotTable[[#This Row],[LC Premium]]&gt;0, SnapshotTable[[#This Row],[LC Book Price]] * (1 - LC_StopLoss_Pct),"")</f>
        <v/>
      </c>
      <c r="ED97" s="284"/>
      <c r="EE97" s="290" t="str">
        <f>IF(ISNUMBER(SnapshotTable[[#This Row],[LC Contract Value]]),IF(ISNUMBER(SnapshotTable[[#This Row],[LC Stop Loss Override]]), SnapshotTable[[#This Row],[LC Stop Loss Override]],SnapshotTable[[#This Row],[LC Stop Loss Calc Target]]),"")</f>
        <v/>
      </c>
      <c r="EF97" s="321"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4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7"/>
      <c r="EL97" s="138"/>
      <c r="EM97" s="148"/>
      <c r="EN97" s="147"/>
      <c r="EO97" s="147"/>
      <c r="EP97" s="138"/>
      <c r="EQ97" s="419" t="b">
        <f>AND(ISNUMBER(SnapshotTable[[#This Row],[SC Exp Date]]), ISNUMBER(SnapshotTable[[#This Row],[SC Strike Price]]), ISNUMBER(SnapshotTable[[#This Row],[SC Qty]]), ISNUMBER(SnapshotTable[[#This Row],[SC Book Date]]), ISNUMBER(SnapshotTable[[#This Row],[SC Book Price]]))</f>
        <v>0</v>
      </c>
      <c r="ER97" s="419" t="b">
        <f>AND(SnapshotTable[[#This Row],[SC Is Booked]], NOT(ISBLANK(SnapshotTable[[#This Row],[SC Fill Date]])))</f>
        <v>0</v>
      </c>
      <c r="ES97" s="370"/>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374"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283"/>
      <c r="FA97" s="218"/>
      <c r="FB97" s="370"/>
      <c r="FC97" s="4">
        <f>IF(SnapshotTable[[#This Row],[SC Is Filled]], btc_max_buyback_amount(SnapshotTable[[#This Row],[SC Fill Date]],SnapshotTable[[#This Row],[SC Exp Date]], SnapshotTable[[#This Row],[SC Book Price]]),0)</f>
        <v>0</v>
      </c>
      <c r="FD97" s="5"/>
      <c r="FE97" s="144"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382">
        <f>IF(SnapshotTable[[#This Row],[SC Is Filled]], IF(ISNUMBER(SnapshotTable[[#This Row],[SC Current Ask]]), SnapshotTable[[#This Row],[SC Current Ask]], SnapshotTable[[#This Row],[SC Book Price]]) - SnapshotTable[[#This Row],[SC Intrinsic Value]], 0)</f>
        <v>0</v>
      </c>
      <c r="FI97" s="143"/>
      <c r="FJ97" s="32" t="str">
        <f>IF(SnapshotTable[[#This Row],[SC Is Filled]],100 * SnapshotTable[[#This Row],[SC Qty]] * IF(ISNUMBER(SnapshotTable[[#This Row],[SC Buyback Override]]), SnapshotTable[[#This Row],[SC Buyback Override]], SnapshotTable[[#This Row],[SC Current Ask]]), "")</f>
        <v/>
      </c>
      <c r="FK97" s="250" t="str">
        <f>IF(SnapshotTable[[#This Row],[SC Time Val]]&gt;0, SnapshotTable[[#This Row],[SC Time Val]] / SnapshotTable[[#This Row],[Last Price]],"")</f>
        <v/>
      </c>
      <c r="FL97" s="302" t="str">
        <f>IF(SnapshotTable[[#This Row],[SC Is Booked]], ((SnapshotTable[[#This Row],[Last Price]] -SnapshotTable[[#This Row],[SC Strike Price]]) / SnapshotTable[[#This Row],[Last Price]]) * -1, "")</f>
        <v/>
      </c>
      <c r="FM97" s="157" t="str">
        <f>IF(SnapshotTable[[#This Row],[SC Is Booked]],  (SnapshotTable[[#This Row],[SC Qty]] * 100 * SnapshotTable[[#This Row],[SC Strike Price]]) - SnapshotTable[[#This Row],[SC Current Ask]], "")</f>
        <v/>
      </c>
      <c r="FN9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7"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33"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36" t="str">
        <f>IF(AND(ISNUMBER(SnapshotTable[[#This Row],[SC Simple ROO]]),SnapshotTable[[#This Row],[SC Simple ROO]] &gt; 0), SnapshotTable[[#This Row],[SC Premium]] + (SnapshotTable[[#This Row],[SC Qty]] * SnapshotTable[[#This Row],[SC Upside Potential]]), "")</f>
        <v/>
      </c>
      <c r="FX97" s="302" t="str" cm="1">
        <f t="array" ref="FX97">IF(ISNUMBER(SnapshotTable[[#This Row],[SC Max Dollars]]), annualize(SnapshotTable[[#This Row],[SC Term]],(SnapshotTable[[#This Row],[SC Max Dollars]]/SnapshotTable[[#This Row],[SC Basis]])),"")</f>
        <v/>
      </c>
      <c r="FY97" s="236" t="str">
        <f>IF(AND(SnapshotTable[[#This Row],[SC Qty]]&gt;0,SnapshotTable[[#This Row],[SC Current Ask]]&gt;0), SnapshotTable[[#This Row],[SC Qty]] * SnapshotTable[[#This Row],[SC Current Ask]] * -100, "")</f>
        <v/>
      </c>
      <c r="FZ97" s="235" t="str">
        <f>IF(ISNUMBER((SnapshotTable[[#This Row],[SC Current Value]])), SnapshotTable[[#This Row],[SC Premium]] + SnapshotTable[[#This Row],[SC Current Value]], "")</f>
        <v/>
      </c>
      <c r="GA97" s="29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231.6405</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8" t="str">
        <f>IF(SnapshotTable[[#This Row],[Sale G/L]]&gt;0, SnapshotTable[[#This Row],[Sale G/L]] / SnapshotTable[[#This Row],[Sale Basis]], IF(ISNUMBER(SnapshotTable[[#This Row],[SC Exercise P&amp;L (TAX)]]), SnapshotTable[[#This Row],[SC Exercise P&amp;L (TAX)]] / SnapshotTable[[#This Row],[SC Basis]], ""))</f>
        <v/>
      </c>
      <c r="GK97" s="27"/>
      <c r="GL97" s="159"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59" t="str">
        <f>IF(AND(SnapshotTable[[#This Row],[LC Exp Date]]&gt;0,SnapshotTable[[#This Row],[LC Strike Price]]&gt;0), [1]!ToOptionSymbol(SnapshotTable[[#This Row],[Symbol]], SnapshotTable[[#This Row],[LC Strike Price]],SnapshotTable[[#This Row],[LC Exp Date]],0), "")</f>
        <v/>
      </c>
      <c r="GQ97" s="160" t="str">
        <f>IF(LEN(SnapshotTable[[#This Row],[LC Symbol]])&gt;0, 1, "")</f>
        <v/>
      </c>
      <c r="GR97" s="159" t="str">
        <f>IF(AND(SnapshotTable[[#This Row],[SC Exp Date]]&gt;0,SnapshotTable[[#This Row],[SC Strike Price]]&gt;0), [1]!ToOptionSymbol(SnapshotTable[[#This Row],[Symbol]], SnapshotTable[[#This Row],[SC Strike Price]],SnapshotTable[[#This Row],[SC Exp Date]],0), "")</f>
        <v/>
      </c>
      <c r="GS97" s="160" t="str">
        <f>IF(LEN(SnapshotTable[[#This Row],[SC Symbol]])&gt;0, 1, "")</f>
        <v/>
      </c>
      <c r="GT97" s="161"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31">
        <f>MAX(SnapshotTable[[#This Row],[Equity Basis Total]],SnapshotTable[[#This Row],[Equity Value]]) + (SnapshotTable[[#This Row],[SP Potential Spend]]- SnapshotTable[[#This Row],[SP Premium]] + SnapshotTable[[#This Row],[LP Premium]])+ (SnapshotTable[[#This Row],[LC Premium]] - SnapshotTable[[#This Row],[SC Premium]])</f>
        <v>0</v>
      </c>
      <c r="GW97" s="139" t="str">
        <f>IF(AND(SnapshotTable[[#This Row],[Exposure]] &lt;&gt; 0),SnapshotTable[[#This Row],[Exposure]] / SnapshotTable[[#Totals],[Exposure]], "")</f>
        <v/>
      </c>
      <c r="HE97" s="268"/>
      <c r="HF97" s="268"/>
      <c r="HK97" s="1"/>
      <c r="HL97" s="1"/>
      <c r="HM97" s="1"/>
      <c r="HN97" s="1"/>
      <c r="HO97" s="1"/>
      <c r="HP97" s="1"/>
    </row>
    <row r="98" spans="2:224" ht="12.75" hidden="1" customHeight="1" x14ac:dyDescent="0.25">
      <c r="B98" s="12" t="s">
        <v>52</v>
      </c>
      <c r="C98" s="422">
        <v>103.98</v>
      </c>
      <c r="D98" s="208"/>
      <c r="E98" s="39">
        <f>SnapshotTable[[#This Row],[Last Price]]*(1 -CrashDiscount)</f>
        <v>88.382999999999996</v>
      </c>
      <c r="F98" s="26" t="s">
        <v>51</v>
      </c>
      <c r="G98" s="26" t="s">
        <v>14</v>
      </c>
      <c r="H98" s="149"/>
      <c r="I98" s="194">
        <v>44775.673611111109</v>
      </c>
      <c r="J98" s="195">
        <v>44775.673611111109</v>
      </c>
      <c r="K98" s="196"/>
      <c r="L98" s="326"/>
      <c r="M98" s="140">
        <v>1</v>
      </c>
      <c r="N98" s="140" t="b">
        <v>1</v>
      </c>
      <c r="O98" s="140"/>
      <c r="P98" s="22"/>
      <c r="Q98" s="25"/>
      <c r="R98" s="4" t="str">
        <f>IF(SnapshotTable[[#This Row],[Equity Basis Total]] &gt; 0, SnapshotTable[[#This Row],[Equity Basis Total]] / SnapshotTable[[#This Row],[Equity Shares]], "")</f>
        <v/>
      </c>
      <c r="S98" s="269">
        <f>SnapshotTable[[#This Row],[Last Price]] * SnapshotTable[[#This Row],[Equity Shares]]</f>
        <v>0</v>
      </c>
      <c r="T98" s="269">
        <f>SnapshotTable[[#This Row],[Equity Value]] - SnapshotTable[[#This Row],[Equity Basis Total]]</f>
        <v>0</v>
      </c>
      <c r="U98" s="270" t="str">
        <f>IF(SnapshotTable[[#This Row],[Equity Basis Total]] &gt; 0, SnapshotTable[[#This Row],[Equity G/L]] / SnapshotTable[[#This Row],[Equity Basis Total]], "")</f>
        <v/>
      </c>
      <c r="V98" s="268"/>
      <c r="W98" s="26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7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0">
        <v>0.8</v>
      </c>
      <c r="AD98" s="151">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7.6937872667820735E-3</v>
      </c>
      <c r="AH98" s="151">
        <v>42583</v>
      </c>
      <c r="AI98" s="5">
        <v>95</v>
      </c>
      <c r="AJ98" s="138">
        <v>80.28</v>
      </c>
      <c r="AK98" s="152">
        <f>IF(ISNUMBER( SnapshotTable[[#This Row],[EBF Target]]),(SnapshotTable[[#This Row],[EBF Target]] - SnapshotTable[[#This Row],[Last Price]]) / SnapshotTable[[#This Row],[Last Price]], "")</f>
        <v>-8.6362762069628812E-2</v>
      </c>
      <c r="AL98" s="152"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2">
        <f>IF(AND(ISNUMBER( SnapshotTable[[#This Row],[Long Term Target]]), ISNUMBER(SnapshotTable[[#This Row],[Last Price]])),(SnapshotTable[[#This Row],[Long Term Target]] - SnapshotTable[[#This Row],[Last Price]]) / SnapshotTable[[#This Row],[Last Price]], "")</f>
        <v>-0.22792844777841895</v>
      </c>
      <c r="AP98" s="5">
        <v>82.5</v>
      </c>
      <c r="AQ98" s="38" t="s">
        <v>38</v>
      </c>
      <c r="AR98" s="5">
        <v>82.5</v>
      </c>
      <c r="AS98" s="38" t="s">
        <v>26</v>
      </c>
      <c r="AT98" s="146" t="s">
        <v>538</v>
      </c>
      <c r="AU98" s="187" t="str">
        <f>IF(OR(SnapshotTable[[#This Row],[LP No Fill]]="Y",SnapshotTable[[#This Row],[SP Is Filled]],SnapshotTable[[#This Row],[LC Not Filled]]="Y",SnapshotTable[[#This Row],[SC Is Filled]]),"Y","")</f>
        <v/>
      </c>
      <c r="AV98" s="219"/>
      <c r="AW98" s="225"/>
      <c r="AX98" s="220"/>
      <c r="AY98" s="219" t="str">
        <f>IF(SnapshotTable[[#This Row],[Implied Move]]&gt;0, SnapshotTable[[#This Row],[Last Price]]-SnapshotTable[[#This Row],[Implied Move]],"")</f>
        <v/>
      </c>
      <c r="AZ98" s="219" t="str">
        <f>IF(SnapshotTable[[#This Row],[Implied Move]]&gt;0, SnapshotTable[[#This Row],[Last Price]] + SnapshotTable[[#This Row],[Implied Move]],"")</f>
        <v/>
      </c>
      <c r="BA98" s="331"/>
      <c r="BB98" s="347"/>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51"/>
      <c r="BE98" s="5"/>
      <c r="BF98" s="14"/>
      <c r="BG98" s="13"/>
      <c r="BH98" s="13"/>
      <c r="BI98" s="5"/>
      <c r="BJ98" s="136">
        <f>IF(SnapshotTable[[#This Row],[LP Qty]] &gt; 0, SnapshotTable[[#This Row],[LP Qty]] * SnapshotTable[[#This Row],[LP Book Price]] * 100,0)</f>
        <v>0</v>
      </c>
      <c r="BK98" s="136">
        <f>IF(SnapshotTable[[#This Row],[LP Premium]] &gt; 0, SnapshotTable[[#This Row],[LP Qty]] * SnapshotTable[[#This Row],[LP Strike Price]] * 100,0)</f>
        <v>0</v>
      </c>
      <c r="BL98" s="154"/>
      <c r="BM98" s="385" t="str">
        <f>IF(SnapshotTable[[#This Row],[LP Premium]] &gt; 0,SnapshotTable[[#This Row],[LP Exp Date]]-MAX(SnapshotTable[[#This Row],[LP Book Date]], SnapshotTable[[#This Row],[LP Fill Date]]),"")</f>
        <v/>
      </c>
      <c r="BN98" s="385" t="str">
        <f>IF(ISNUMBER( SnapshotTable[[#This Row],[LP Term]]), SnapshotTable[[#This Row],[LP Exp Date]] - MockToday,"")</f>
        <v/>
      </c>
      <c r="BO98" s="163"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7"/>
      <c r="BU98" s="13"/>
      <c r="BV98" s="5"/>
      <c r="BW98" s="419" t="b">
        <f>AND(ISNUMBER(SnapshotTable[[#This Row],[SP Exp Date]]), ISNUMBER(SnapshotTable[[#This Row],[SP Strike Price]]), ISNUMBER(SnapshotTable[[#This Row],[SP Qty]]), ISNUMBER(SnapshotTable[[#This Row],[SP Book Date]]), ISNUMBER(SnapshotTable[[#This Row],[SP Book Price]]))</f>
        <v>0</v>
      </c>
      <c r="BX98" s="419" t="b">
        <f>AND(SnapshotTable[[#This Row],[SP Is Booked]], NOT(ISBLANK(SnapshotTable[[#This Row],[SP Fill Date]])))</f>
        <v>0</v>
      </c>
      <c r="BY98" s="33">
        <f>IF(SnapshotTable[[#This Row],[SP Is Booked]], SnapshotTable[[#This Row],[SP Qty]] * SnapshotTable[[#This Row],[SP Book Price]] * 100, 0)</f>
        <v>0</v>
      </c>
      <c r="BZ98" s="369"/>
      <c r="CA98" s="368">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3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44"/>
      <c r="CK98" s="31">
        <f>IF(ISNUMBER(SnapshotTable[[#This Row],[SP Potential Spend]]),IF(ISNUMBER(SnapshotTable[[#This Row],[SP POW]]), SnapshotTable[[#This Row],[SP POW]] * SnapshotTable[[#This Row],[SP Potential Spend]], SnapshotTable[[#This Row],[SP Potential Spend]]), "")</f>
        <v>0</v>
      </c>
      <c r="CL98" s="164">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8">
        <v>0</v>
      </c>
      <c r="CO98" s="369"/>
      <c r="CP98" s="4" t="str">
        <f>IF(SnapshotTable[[#This Row],[SP Is Filled]], btc_max_buyback_amount(SnapshotTable[[#This Row],[SP Fill Date]],SnapshotTable[[#This Row],[SP Exp Date]], SnapshotTable[[#This Row],[SP Book Price]]),"")</f>
        <v/>
      </c>
      <c r="CQ98" s="78"/>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5" t="str">
        <f>IF(SnapshotTable[[#This Row],[SP Is Filled]], btc_next_cutoff_date(SnapshotTable[[#This Row],[SP Fill Date]],SnapshotTable[[#This Row],[SP Exp Date]]),"")</f>
        <v/>
      </c>
      <c r="CT98" s="23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3"/>
      <c r="CV98" s="235"/>
      <c r="CW98" s="378"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294" t="str">
        <f>IF(ISNUMBER((SnapshotTable[[#This Row],[SP Total Value]])), SnapshotTable[[#This Row],[SP Gain Loss]] / SnapshotTable[[#This Row],[SP Premium]], "")</f>
        <v/>
      </c>
      <c r="DI98" s="406"/>
      <c r="DJ98" s="138"/>
      <c r="DK98" s="148"/>
      <c r="DL98" s="13"/>
      <c r="DM98" s="13"/>
      <c r="DO98" s="31">
        <f>IF(SnapshotTable[[#This Row],[LC Symbol Count]]=1, SnapshotTable[[#This Row],[LC Qty]] * SnapshotTable[[#This Row],[LC Book Price]] * 100, 0)</f>
        <v>0</v>
      </c>
      <c r="DP98" s="163" t="str">
        <f>IF(AND(SnapshotTable[[#This Row],[LC Exp Date]]&gt;0, SnapshotTable[[#This Row],[LC Strike Price]]&gt;0,SnapshotTable[[#This Row],[LC Qty]]&gt;0,SnapshotTable[[#This Row],[LC Book Date]]&gt;0,SnapshotTable[[#This Row],[LC Book Price]]&gt;0,SnapshotTable[[#This Row],[LC Fill Date]]=0),"Y","")</f>
        <v/>
      </c>
      <c r="DQ98" s="386" t="str">
        <f>IF(SnapshotTable[[#This Row],[LC Premium]] &gt; 0,SnapshotTable[[#This Row],[LC Exp Date]]-MAX(SnapshotTable[[#This Row],[LC Book Date]], SnapshotTable[[#This Row],[LC Fill Date]]),"")</f>
        <v/>
      </c>
      <c r="DR98" s="386" t="str">
        <f>IF(ISNUMBER(SnapshotTable[[#This Row],[LC Term]]), SnapshotTable[[#This Row],[LC Exp Date]] - MockToday, "")</f>
        <v/>
      </c>
      <c r="DS98" s="23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40" t="str">
        <f>IF(ISNUMBER(SnapshotTable[[#This Row],[LC Actual Gain Loss]]), SnapshotTable[[#This Row],[LC Actual Gain Loss]] / SnapshotTable[[#This Row],[LC Premium]],"")</f>
        <v/>
      </c>
      <c r="DX98" s="284" t="str">
        <f>IF(ISNUMBER(SnapshotTable[[#This Row],[LC Book Price]]),SnapshotTable[[#This Row],[LC Book Price]] * 1.5,"")</f>
        <v/>
      </c>
      <c r="DY98" s="265" t="str">
        <f>IF(SnapshotTable[[#This Row],[LC Premium]]&gt;0, SnapshotTable[[#This Row],[LC Next Target]] * SnapshotTable[[#This Row],[LC Qty]] * 100,"")</f>
        <v/>
      </c>
      <c r="DZ98" s="265" t="str">
        <f>IF(ISNUMBER(SnapshotTable[[#This Row],[LC Target Gross]]), SnapshotTable[[#This Row],[LC Target Gross]] - SnapshotTable[[#This Row],[LC Premium]], "")</f>
        <v/>
      </c>
      <c r="EA98" s="305" t="str">
        <f>IF(ISNUMBER(SnapshotTable[[#This Row],[LC Target Gain Loss]]), SnapshotTable[[#This Row],[LC Target Gain Loss]]/SnapshotTable[[#This Row],[LC Premium]], "")</f>
        <v/>
      </c>
      <c r="EB98" s="262"/>
      <c r="EC98" s="283" t="str">
        <f>IF(SnapshotTable[[#This Row],[LC Premium]]&gt;0, SnapshotTable[[#This Row],[LC Book Price]] * (1 - LC_StopLoss_Pct),"")</f>
        <v/>
      </c>
      <c r="ED98" s="284"/>
      <c r="EE98" s="28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4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7"/>
      <c r="EL98" s="138"/>
      <c r="EM98" s="148"/>
      <c r="EN98" s="147"/>
      <c r="EO98" s="147"/>
      <c r="EP98" s="138"/>
      <c r="EQ98" s="419" t="b">
        <f>AND(ISNUMBER(SnapshotTable[[#This Row],[SC Exp Date]]), ISNUMBER(SnapshotTable[[#This Row],[SC Strike Price]]), ISNUMBER(SnapshotTable[[#This Row],[SC Qty]]), ISNUMBER(SnapshotTable[[#This Row],[SC Book Date]]), ISNUMBER(SnapshotTable[[#This Row],[SC Book Price]]))</f>
        <v>0</v>
      </c>
      <c r="ER98" s="419" t="b">
        <f>AND(SnapshotTable[[#This Row],[SC Is Booked]], NOT(ISBLANK(SnapshotTable[[#This Row],[SC Fill Date]])))</f>
        <v>0</v>
      </c>
      <c r="ES98" s="370"/>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3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283"/>
      <c r="FA98" s="218"/>
      <c r="FB98" s="370"/>
      <c r="FC98" s="4">
        <f>IF(SnapshotTable[[#This Row],[SC Is Filled]], btc_max_buyback_amount(SnapshotTable[[#This Row],[SC Fill Date]],SnapshotTable[[#This Row],[SC Exp Date]], SnapshotTable[[#This Row],[SC Book Price]]),0)</f>
        <v>0</v>
      </c>
      <c r="FD98" s="5"/>
      <c r="FE98" s="144"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382">
        <f>IF(SnapshotTable[[#This Row],[SC Is Filled]], IF(ISNUMBER(SnapshotTable[[#This Row],[SC Current Ask]]), SnapshotTable[[#This Row],[SC Current Ask]], SnapshotTable[[#This Row],[SC Book Price]]) - SnapshotTable[[#This Row],[SC Intrinsic Value]], 0)</f>
        <v>0</v>
      </c>
      <c r="FI98" s="143"/>
      <c r="FJ98" s="32" t="str">
        <f>IF(SnapshotTable[[#This Row],[SC Is Filled]],100 * SnapshotTable[[#This Row],[SC Qty]] * IF(ISNUMBER(SnapshotTable[[#This Row],[SC Buyback Override]]), SnapshotTable[[#This Row],[SC Buyback Override]], SnapshotTable[[#This Row],[SC Current Ask]]), "")</f>
        <v/>
      </c>
      <c r="FK98" s="250" t="str">
        <f>IF(SnapshotTable[[#This Row],[SC Time Val]]&gt;0, SnapshotTable[[#This Row],[SC Time Val]] / SnapshotTable[[#This Row],[Last Price]],"")</f>
        <v/>
      </c>
      <c r="FL98" s="302" t="str">
        <f>IF(SnapshotTable[[#This Row],[SC Is Booked]], ((SnapshotTable[[#This Row],[Last Price]] -SnapshotTable[[#This Row],[SC Strike Price]]) / SnapshotTable[[#This Row],[Last Price]]) * -1, "")</f>
        <v/>
      </c>
      <c r="FM98" s="157"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33"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36" t="str">
        <f>IF(AND(ISNUMBER(SnapshotTable[[#This Row],[SC Simple ROO]]),SnapshotTable[[#This Row],[SC Simple ROO]] &gt; 0), SnapshotTable[[#This Row],[SC Premium]] + (SnapshotTable[[#This Row],[SC Qty]] * SnapshotTable[[#This Row],[SC Upside Potential]]), "")</f>
        <v/>
      </c>
      <c r="FX98" s="302" t="str" cm="1">
        <f t="array" ref="FX98">IF(ISNUMBER(SnapshotTable[[#This Row],[SC Max Dollars]]), annualize(SnapshotTable[[#This Row],[SC Term]],(SnapshotTable[[#This Row],[SC Max Dollars]]/SnapshotTable[[#This Row],[SC Basis]])),"")</f>
        <v/>
      </c>
      <c r="FY98" s="23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29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202.761</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753</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31">
        <f>MAX(SnapshotTable[[#This Row],[Equity Basis Total]],SnapshotTable[[#This Row],[Equity Value]]) + (SnapshotTable[[#This Row],[SP Potential Spend]]- SnapshotTable[[#This Row],[SP Premium]] + SnapshotTable[[#This Row],[LP Premium]])+ (SnapshotTable[[#This Row],[LC Premium]] - SnapshotTable[[#This Row],[SC Premium]])</f>
        <v>0</v>
      </c>
      <c r="GW98" s="139" t="str">
        <f>IF(AND(SnapshotTable[[#This Row],[Exposure]] &lt;&gt; 0),SnapshotTable[[#This Row],[Exposure]] / SnapshotTable[[#Totals],[Exposure]], "")</f>
        <v/>
      </c>
      <c r="HE98" s="268"/>
      <c r="HF98" s="268"/>
      <c r="HK98" s="1"/>
      <c r="HL98" s="1"/>
      <c r="HM98" s="1"/>
      <c r="HN98" s="1"/>
      <c r="HO98" s="1"/>
      <c r="HP98" s="1"/>
    </row>
    <row r="99" spans="2:224" ht="12.75" hidden="1" customHeight="1" x14ac:dyDescent="0.25">
      <c r="B99" s="12" t="s">
        <v>1109</v>
      </c>
      <c r="C99" s="422">
        <v>21.88</v>
      </c>
      <c r="D99" s="208"/>
      <c r="E99" s="39">
        <f>SnapshotTable[[#This Row],[Last Price]]*(1 -CrashDiscount)</f>
        <v>18.597999999999999</v>
      </c>
      <c r="F99" s="26"/>
      <c r="G99" s="26"/>
      <c r="H99" s="149"/>
      <c r="I99" s="194"/>
      <c r="J99" s="195"/>
      <c r="K99" s="196"/>
      <c r="L99" s="326"/>
      <c r="M99" s="140"/>
      <c r="N99" s="140"/>
      <c r="O99" s="140"/>
      <c r="P99" s="22"/>
      <c r="Q99" s="25"/>
      <c r="R99" s="4" t="str">
        <f>IF(SnapshotTable[[#This Row],[Equity Basis Total]] &gt; 0, SnapshotTable[[#This Row],[Equity Basis Total]] / SnapshotTable[[#This Row],[Equity Shares]], "")</f>
        <v/>
      </c>
      <c r="S99" s="269">
        <f>SnapshotTable[[#This Row],[Last Price]] * SnapshotTable[[#This Row],[Equity Shares]]</f>
        <v>0</v>
      </c>
      <c r="T99" s="269">
        <f>SnapshotTable[[#This Row],[Equity Value]] - SnapshotTable[[#This Row],[Equity Basis Total]]</f>
        <v>0</v>
      </c>
      <c r="U99" s="270" t="str">
        <f>IF(SnapshotTable[[#This Row],[Equity Basis Total]] &gt; 0, SnapshotTable[[#This Row],[Equity G/L]] / SnapshotTable[[#This Row],[Equity Basis Total]], "")</f>
        <v/>
      </c>
      <c r="V99" s="268"/>
      <c r="W99" s="26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7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0"/>
      <c r="AD99" s="151"/>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1"/>
      <c r="AI99" s="5"/>
      <c r="AJ99" s="138"/>
      <c r="AK99" s="152" t="str">
        <f>IF(ISNUMBER( SnapshotTable[[#This Row],[EBF Target]]),(SnapshotTable[[#This Row],[EBF Target]] - SnapshotTable[[#This Row],[Last Price]]) / SnapshotTable[[#This Row],[Last Price]], "")</f>
        <v/>
      </c>
      <c r="AL99" s="152"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2" t="str">
        <f>IF(AND(ISNUMBER( SnapshotTable[[#This Row],[Long Term Target]]), ISNUMBER(SnapshotTable[[#This Row],[Last Price]])),(SnapshotTable[[#This Row],[Long Term Target]] - SnapshotTable[[#This Row],[Last Price]]) / SnapshotTable[[#This Row],[Last Price]], "")</f>
        <v/>
      </c>
      <c r="AP99" s="5"/>
      <c r="AQ99" s="38"/>
      <c r="AR99" s="5"/>
      <c r="AS99" s="38"/>
      <c r="AT99" s="146"/>
      <c r="AU99" s="187" t="str">
        <f>IF(OR(SnapshotTable[[#This Row],[LP No Fill]]="Y",SnapshotTable[[#This Row],[SP Is Filled]],SnapshotTable[[#This Row],[LC Not Filled]]="Y",SnapshotTable[[#This Row],[SC Is Filled]]),"Y","")</f>
        <v/>
      </c>
      <c r="AV99" s="219"/>
      <c r="AW99" s="225"/>
      <c r="AX99" s="220"/>
      <c r="AY99" s="219" t="str">
        <f>IF(SnapshotTable[[#This Row],[Implied Move]]&gt;0, SnapshotTable[[#This Row],[Last Price]]-SnapshotTable[[#This Row],[Implied Move]],"")</f>
        <v/>
      </c>
      <c r="AZ99" s="219" t="str">
        <f>IF(SnapshotTable[[#This Row],[Implied Move]]&gt;0, SnapshotTable[[#This Row],[Last Price]] + SnapshotTable[[#This Row],[Implied Move]],"")</f>
        <v/>
      </c>
      <c r="BA99" s="331"/>
      <c r="BB99" s="347"/>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51"/>
      <c r="BE99" s="5"/>
      <c r="BF99" s="14"/>
      <c r="BG99" s="13"/>
      <c r="BH99" s="13"/>
      <c r="BI99" s="5"/>
      <c r="BJ99" s="136">
        <f>IF(SnapshotTable[[#This Row],[LP Qty]] &gt; 0, SnapshotTable[[#This Row],[LP Qty]] * SnapshotTable[[#This Row],[LP Book Price]] * 100,0)</f>
        <v>0</v>
      </c>
      <c r="BK99" s="136">
        <f>IF(SnapshotTable[[#This Row],[LP Premium]] &gt; 0, SnapshotTable[[#This Row],[LP Qty]] * SnapshotTable[[#This Row],[LP Strike Price]] * 100,0)</f>
        <v>0</v>
      </c>
      <c r="BL99" s="154"/>
      <c r="BM99" s="385" t="str">
        <f>IF(SnapshotTable[[#This Row],[LP Premium]] &gt; 0,SnapshotTable[[#This Row],[LP Exp Date]]-MAX(SnapshotTable[[#This Row],[LP Book Date]], SnapshotTable[[#This Row],[LP Fill Date]]),"")</f>
        <v/>
      </c>
      <c r="BN99" s="385" t="str">
        <f>IF(ISNUMBER( SnapshotTable[[#This Row],[LP Term]]), SnapshotTable[[#This Row],[LP Exp Date]] - MockToday,"")</f>
        <v/>
      </c>
      <c r="BO99" s="163"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7"/>
      <c r="BU99" s="13"/>
      <c r="BV99" s="5"/>
      <c r="BW99" s="419" t="b">
        <f>AND(ISNUMBER(SnapshotTable[[#This Row],[SP Exp Date]]), ISNUMBER(SnapshotTable[[#This Row],[SP Strike Price]]), ISNUMBER(SnapshotTable[[#This Row],[SP Qty]]), ISNUMBER(SnapshotTable[[#This Row],[SP Book Date]]), ISNUMBER(SnapshotTable[[#This Row],[SP Book Price]]))</f>
        <v>0</v>
      </c>
      <c r="BX99" s="419" t="b">
        <f>AND(SnapshotTable[[#This Row],[SP Is Booked]], NOT(ISBLANK(SnapshotTable[[#This Row],[SP Fill Date]])))</f>
        <v>0</v>
      </c>
      <c r="BY99" s="33">
        <f>IF(SnapshotTable[[#This Row],[SP Is Booked]], SnapshotTable[[#This Row],[SP Qty]] * SnapshotTable[[#This Row],[SP Book Price]] * 100, 0)</f>
        <v>0</v>
      </c>
      <c r="BZ99" s="369"/>
      <c r="CA99" s="368">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3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44"/>
      <c r="CK99" s="31">
        <f>IF(ISNUMBER(SnapshotTable[[#This Row],[SP Potential Spend]]),IF(ISNUMBER(SnapshotTable[[#This Row],[SP POW]]), SnapshotTable[[#This Row],[SP POW]] * SnapshotTable[[#This Row],[SP Potential Spend]], SnapshotTable[[#This Row],[SP Potential Spend]]), "")</f>
        <v>0</v>
      </c>
      <c r="CL99" s="164">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8"/>
      <c r="CO99" s="369"/>
      <c r="CP99" s="4" t="str">
        <f>IF(SnapshotTable[[#This Row],[SP Is Filled]], btc_max_buyback_amount(SnapshotTable[[#This Row],[SP Fill Date]],SnapshotTable[[#This Row],[SP Exp Date]], SnapshotTable[[#This Row],[SP Book Price]]),"")</f>
        <v/>
      </c>
      <c r="CQ99" s="78"/>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5" t="str">
        <f>IF(SnapshotTable[[#This Row],[SP Is Filled]], btc_next_cutoff_date(SnapshotTable[[#This Row],[SP Fill Date]],SnapshotTable[[#This Row],[SP Exp Date]]),"")</f>
        <v/>
      </c>
      <c r="CT99" s="23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6"/>
      <c r="CV99" s="235"/>
      <c r="CW99" s="378"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294" t="str">
        <f>IF(ISNUMBER((SnapshotTable[[#This Row],[SP Total Value]])), SnapshotTable[[#This Row],[SP Gain Loss]] / SnapshotTable[[#This Row],[SP Premium]], "")</f>
        <v/>
      </c>
      <c r="DI99" s="406"/>
      <c r="DJ99" s="138"/>
      <c r="DK99" s="148"/>
      <c r="DL99" s="13"/>
      <c r="DM99" s="13"/>
      <c r="DO99" s="31">
        <f>IF(SnapshotTable[[#This Row],[LC Symbol Count]]=1, SnapshotTable[[#This Row],[LC Qty]] * SnapshotTable[[#This Row],[LC Book Price]] * 100, 0)</f>
        <v>0</v>
      </c>
      <c r="DP99" s="163" t="str">
        <f>IF(AND(SnapshotTable[[#This Row],[LC Exp Date]]&gt;0, SnapshotTable[[#This Row],[LC Strike Price]]&gt;0,SnapshotTable[[#This Row],[LC Qty]]&gt;0,SnapshotTable[[#This Row],[LC Book Date]]&gt;0,SnapshotTable[[#This Row],[LC Book Price]]&gt;0,SnapshotTable[[#This Row],[LC Fill Date]]=0),"Y","")</f>
        <v/>
      </c>
      <c r="DQ99" s="386" t="str">
        <f>IF(SnapshotTable[[#This Row],[LC Premium]] &gt; 0,SnapshotTable[[#This Row],[LC Exp Date]]-MAX(SnapshotTable[[#This Row],[LC Book Date]], SnapshotTable[[#This Row],[LC Fill Date]]),"")</f>
        <v/>
      </c>
      <c r="DR99" s="386" t="str">
        <f>IF(ISNUMBER(SnapshotTable[[#This Row],[LC Term]]), SnapshotTable[[#This Row],[LC Exp Date]] - MockToday, "")</f>
        <v/>
      </c>
      <c r="DS99" s="23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40" t="str">
        <f>IF(ISNUMBER(SnapshotTable[[#This Row],[LC Actual Gain Loss]]), SnapshotTable[[#This Row],[LC Actual Gain Loss]] / SnapshotTable[[#This Row],[LC Premium]],"")</f>
        <v/>
      </c>
      <c r="DX99" s="284" t="str">
        <f>IF(ISNUMBER(SnapshotTable[[#This Row],[LC Book Price]]),SnapshotTable[[#This Row],[LC Book Price]] * 1.5,"")</f>
        <v/>
      </c>
      <c r="DY99" s="265" t="str">
        <f>IF(SnapshotTable[[#This Row],[LC Premium]]&gt;0, SnapshotTable[[#This Row],[LC Next Target]] * SnapshotTable[[#This Row],[LC Qty]] * 100,"")</f>
        <v/>
      </c>
      <c r="DZ99" s="265" t="str">
        <f>IF(ISNUMBER(SnapshotTable[[#This Row],[LC Target Gross]]), SnapshotTable[[#This Row],[LC Target Gross]] - SnapshotTable[[#This Row],[LC Premium]], "")</f>
        <v/>
      </c>
      <c r="EA99" s="305" t="str">
        <f>IF(ISNUMBER(SnapshotTable[[#This Row],[LC Target Gain Loss]]), SnapshotTable[[#This Row],[LC Target Gain Loss]]/SnapshotTable[[#This Row],[LC Premium]], "")</f>
        <v/>
      </c>
      <c r="EB99" s="262"/>
      <c r="EC99" s="283" t="str">
        <f>IF(SnapshotTable[[#This Row],[LC Premium]]&gt;0, SnapshotTable[[#This Row],[LC Book Price]] * (1 - LC_StopLoss_Pct),"")</f>
        <v/>
      </c>
      <c r="ED99" s="284"/>
      <c r="EE99" s="28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4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7"/>
      <c r="EL99" s="138"/>
      <c r="EM99" s="148"/>
      <c r="EN99" s="147"/>
      <c r="EO99" s="147"/>
      <c r="EP99" s="138"/>
      <c r="EQ99" s="419" t="b">
        <f>AND(ISNUMBER(SnapshotTable[[#This Row],[SC Exp Date]]), ISNUMBER(SnapshotTable[[#This Row],[SC Strike Price]]), ISNUMBER(SnapshotTable[[#This Row],[SC Qty]]), ISNUMBER(SnapshotTable[[#This Row],[SC Book Date]]), ISNUMBER(SnapshotTable[[#This Row],[SC Book Price]]))</f>
        <v>0</v>
      </c>
      <c r="ER99" s="419" t="b">
        <f>AND(SnapshotTable[[#This Row],[SC Is Booked]], NOT(ISBLANK(SnapshotTable[[#This Row],[SC Fill Date]])))</f>
        <v>0</v>
      </c>
      <c r="ES99" s="370"/>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3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283"/>
      <c r="FA99" s="218"/>
      <c r="FB99" s="370"/>
      <c r="FC99" s="4">
        <f>IF(SnapshotTable[[#This Row],[SC Is Filled]], btc_max_buyback_amount(SnapshotTable[[#This Row],[SC Fill Date]],SnapshotTable[[#This Row],[SC Exp Date]], SnapshotTable[[#This Row],[SC Book Price]]),0)</f>
        <v>0</v>
      </c>
      <c r="FD99" s="5"/>
      <c r="FE99" s="144"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382">
        <f>IF(SnapshotTable[[#This Row],[SC Is Filled]], IF(ISNUMBER(SnapshotTable[[#This Row],[SC Current Ask]]), SnapshotTable[[#This Row],[SC Current Ask]], SnapshotTable[[#This Row],[SC Book Price]]) - SnapshotTable[[#This Row],[SC Intrinsic Value]], 0)</f>
        <v>0</v>
      </c>
      <c r="FI99" s="143"/>
      <c r="FJ99" s="32" t="str">
        <f>IF(SnapshotTable[[#This Row],[SC Is Filled]],100 * SnapshotTable[[#This Row],[SC Qty]] * IF(ISNUMBER(SnapshotTable[[#This Row],[SC Buyback Override]]), SnapshotTable[[#This Row],[SC Buyback Override]], SnapshotTable[[#This Row],[SC Current Ask]]), "")</f>
        <v/>
      </c>
      <c r="FK99" s="250" t="str">
        <f>IF(SnapshotTable[[#This Row],[SC Time Val]]&gt;0, SnapshotTable[[#This Row],[SC Time Val]] / SnapshotTable[[#This Row],[Last Price]],"")</f>
        <v/>
      </c>
      <c r="FL99" s="302" t="str">
        <f>IF(SnapshotTable[[#This Row],[SC Is Booked]], ((SnapshotTable[[#This Row],[Last Price]] -SnapshotTable[[#This Row],[SC Strike Price]]) / SnapshotTable[[#This Row],[Last Price]]) * -1, "")</f>
        <v/>
      </c>
      <c r="FM99" s="157"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33"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36" t="str">
        <f>IF(AND(ISNUMBER(SnapshotTable[[#This Row],[SC Simple ROO]]),SnapshotTable[[#This Row],[SC Simple ROO]] &gt; 0), SnapshotTable[[#This Row],[SC Premium]] + (SnapshotTable[[#This Row],[SC Qty]] * SnapshotTable[[#This Row],[SC Upside Potential]]), "")</f>
        <v/>
      </c>
      <c r="FX99" s="302" t="str" cm="1">
        <f t="array" ref="FX99">IF(ISNUMBER(SnapshotTable[[#This Row],[SC Max Dollars]]), annualize(SnapshotTable[[#This Row],[SC Term]],(SnapshotTable[[#This Row],[SC Max Dollars]]/SnapshotTable[[#This Row],[SC Basis]])),"")</f>
        <v/>
      </c>
      <c r="FY99" s="23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29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42.665999999999997</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1113</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31">
        <f>MAX(SnapshotTable[[#This Row],[Equity Basis Total]],SnapshotTable[[#This Row],[Equity Value]]) + (SnapshotTable[[#This Row],[SP Potential Spend]]- SnapshotTable[[#This Row],[SP Premium]] + SnapshotTable[[#This Row],[LP Premium]])+ (SnapshotTable[[#This Row],[LC Premium]] - SnapshotTable[[#This Row],[SC Premium]])</f>
        <v>0</v>
      </c>
      <c r="GW99" s="139" t="str">
        <f>IF(AND(SnapshotTable[[#This Row],[Exposure]] &lt;&gt; 0),SnapshotTable[[#This Row],[Exposure]] / SnapshotTable[[#Totals],[Exposure]], "")</f>
        <v/>
      </c>
      <c r="HE99" s="268"/>
      <c r="HF99" s="268"/>
      <c r="HK99" s="1"/>
      <c r="HL99" s="1"/>
      <c r="HM99" s="1"/>
      <c r="HN99" s="1"/>
      <c r="HO99" s="1"/>
      <c r="HP99" s="1"/>
    </row>
    <row r="100" spans="2:224" ht="12.75" hidden="1" customHeight="1" x14ac:dyDescent="0.25">
      <c r="B100" s="12" t="s">
        <v>1109</v>
      </c>
      <c r="C100" s="422">
        <v>21.88</v>
      </c>
      <c r="D100" s="208"/>
      <c r="E100" s="39">
        <f>SnapshotTable[[#This Row],[Last Price]]*(1 -CrashDiscount)</f>
        <v>18.597999999999999</v>
      </c>
      <c r="F100" s="26" t="s">
        <v>842</v>
      </c>
      <c r="G100" s="26" t="s">
        <v>821</v>
      </c>
      <c r="H100" s="149"/>
      <c r="I100" s="194">
        <v>45161</v>
      </c>
      <c r="J100" s="195"/>
      <c r="K100" s="196"/>
      <c r="L100" s="326"/>
      <c r="M100" s="140"/>
      <c r="N100" s="140"/>
      <c r="O100" s="140"/>
      <c r="P100" s="22"/>
      <c r="Q100" s="25"/>
      <c r="R100" s="4" t="str">
        <f>IF(SnapshotTable[[#This Row],[Equity Basis Total]] &gt; 0, SnapshotTable[[#This Row],[Equity Basis Total]] / SnapshotTable[[#This Row],[Equity Shares]], "")</f>
        <v/>
      </c>
      <c r="S100" s="269">
        <f>SnapshotTable[[#This Row],[Last Price]] * SnapshotTable[[#This Row],[Equity Shares]]</f>
        <v>0</v>
      </c>
      <c r="T100" s="269">
        <f>SnapshotTable[[#This Row],[Equity Value]] - SnapshotTable[[#This Row],[Equity Basis Total]]</f>
        <v>0</v>
      </c>
      <c r="U100" s="270" t="str">
        <f>IF(SnapshotTable[[#This Row],[Equity Basis Total]] &gt; 0, SnapshotTable[[#This Row],[Equity G/L]] / SnapshotTable[[#This Row],[Equity Basis Total]], "")</f>
        <v/>
      </c>
      <c r="V100" s="268">
        <v>48.68</v>
      </c>
      <c r="W100" s="26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7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0"/>
      <c r="AD100" s="151"/>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1"/>
      <c r="AI100" s="5"/>
      <c r="AJ100" s="138"/>
      <c r="AK100" s="152" t="str">
        <f>IF(ISNUMBER( SnapshotTable[[#This Row],[EBF Target]]),(SnapshotTable[[#This Row],[EBF Target]] - SnapshotTable[[#This Row],[Last Price]]) / SnapshotTable[[#This Row],[Last Price]], "")</f>
        <v/>
      </c>
      <c r="AL100" s="152"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2" t="str">
        <f>IF(AND(ISNUMBER( SnapshotTable[[#This Row],[Long Term Target]]), ISNUMBER(SnapshotTable[[#This Row],[Last Price]])),(SnapshotTable[[#This Row],[Long Term Target]] - SnapshotTable[[#This Row],[Last Price]]) / SnapshotTable[[#This Row],[Last Price]], "")</f>
        <v/>
      </c>
      <c r="AP100" s="5">
        <v>48.68</v>
      </c>
      <c r="AQ100" s="38" t="s">
        <v>89</v>
      </c>
      <c r="AR100" s="5">
        <v>44.76</v>
      </c>
      <c r="AS100" s="38" t="s">
        <v>32</v>
      </c>
      <c r="AT100" s="146"/>
      <c r="AU100" s="187" t="str">
        <f>IF(OR(SnapshotTable[[#This Row],[LP No Fill]]="Y",SnapshotTable[[#This Row],[SP Is Filled]],SnapshotTable[[#This Row],[LC Not Filled]]="Y",SnapshotTable[[#This Row],[SC Is Filled]]),"Y","")</f>
        <v/>
      </c>
      <c r="AV100" s="219"/>
      <c r="AW100" s="225"/>
      <c r="AX100" s="220"/>
      <c r="AY100" s="219" t="str">
        <f>IF(SnapshotTable[[#This Row],[Implied Move]]&gt;0, SnapshotTable[[#This Row],[Last Price]]-SnapshotTable[[#This Row],[Implied Move]],"")</f>
        <v/>
      </c>
      <c r="AZ100" s="219" t="str">
        <f>IF(SnapshotTable[[#This Row],[Implied Move]]&gt;0, SnapshotTable[[#This Row],[Last Price]] + SnapshotTable[[#This Row],[Implied Move]],"")</f>
        <v/>
      </c>
      <c r="BA100" s="331">
        <v>46.13</v>
      </c>
      <c r="BB100" s="347"/>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51"/>
      <c r="BE100" s="5"/>
      <c r="BF100" s="14"/>
      <c r="BG100" s="13"/>
      <c r="BH100" s="13"/>
      <c r="BI100" s="5"/>
      <c r="BJ100" s="136">
        <f>IF(SnapshotTable[[#This Row],[LP Qty]] &gt; 0, SnapshotTable[[#This Row],[LP Qty]] * SnapshotTable[[#This Row],[LP Book Price]] * 100,0)</f>
        <v>0</v>
      </c>
      <c r="BK100" s="136">
        <f>IF(SnapshotTable[[#This Row],[LP Premium]] &gt; 0, SnapshotTable[[#This Row],[LP Qty]] * SnapshotTable[[#This Row],[LP Strike Price]] * 100,0)</f>
        <v>0</v>
      </c>
      <c r="BL100" s="154"/>
      <c r="BM100" s="385" t="str">
        <f>IF(SnapshotTable[[#This Row],[LP Premium]] &gt; 0,SnapshotTable[[#This Row],[LP Exp Date]]-MAX(SnapshotTable[[#This Row],[LP Book Date]], SnapshotTable[[#This Row],[LP Fill Date]]),"")</f>
        <v/>
      </c>
      <c r="BN100" s="385" t="str">
        <f>IF(ISNUMBER( SnapshotTable[[#This Row],[LP Term]]), SnapshotTable[[#This Row],[LP Exp Date]] - MockToday,"")</f>
        <v/>
      </c>
      <c r="BO100" s="163"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7"/>
      <c r="BU100" s="13"/>
      <c r="BV100" s="5"/>
      <c r="BW100" s="419" t="b">
        <f>AND(ISNUMBER(SnapshotTable[[#This Row],[SP Exp Date]]), ISNUMBER(SnapshotTable[[#This Row],[SP Strike Price]]), ISNUMBER(SnapshotTable[[#This Row],[SP Qty]]), ISNUMBER(SnapshotTable[[#This Row],[SP Book Date]]), ISNUMBER(SnapshotTable[[#This Row],[SP Book Price]]))</f>
        <v>0</v>
      </c>
      <c r="BX100" s="419" t="b">
        <f>AND(SnapshotTable[[#This Row],[SP Is Booked]], NOT(ISBLANK(SnapshotTable[[#This Row],[SP Fill Date]])))</f>
        <v>0</v>
      </c>
      <c r="BY100" s="33">
        <f>IF(SnapshotTable[[#This Row],[SP Is Booked]], SnapshotTable[[#This Row],[SP Qty]] * SnapshotTable[[#This Row],[SP Book Price]] * 100, 0)</f>
        <v>0</v>
      </c>
      <c r="BZ100" s="369"/>
      <c r="CA100" s="368">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3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44"/>
      <c r="CK100" s="31">
        <f>IF(ISNUMBER(SnapshotTable[[#This Row],[SP Potential Spend]]),IF(ISNUMBER(SnapshotTable[[#This Row],[SP POW]]), SnapshotTable[[#This Row],[SP POW]] * SnapshotTable[[#This Row],[SP Potential Spend]], SnapshotTable[[#This Row],[SP Potential Spend]]), "")</f>
        <v>0</v>
      </c>
      <c r="CL100" s="164">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8"/>
      <c r="CO100" s="369"/>
      <c r="CP100" s="4" t="str">
        <f>IF(SnapshotTable[[#This Row],[SP Is Filled]], btc_max_buyback_amount(SnapshotTable[[#This Row],[SP Fill Date]],SnapshotTable[[#This Row],[SP Exp Date]], SnapshotTable[[#This Row],[SP Book Price]]),"")</f>
        <v/>
      </c>
      <c r="CQ100" s="78"/>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5" t="str">
        <f>IF(SnapshotTable[[#This Row],[SP Is Filled]], btc_next_cutoff_date(SnapshotTable[[#This Row],[SP Fill Date]],SnapshotTable[[#This Row],[SP Exp Date]]),"")</f>
        <v/>
      </c>
      <c r="CT100" s="23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3"/>
      <c r="CV100" s="235"/>
      <c r="CW100" s="378"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294" t="str">
        <f>IF(ISNUMBER((SnapshotTable[[#This Row],[SP Total Value]])), SnapshotTable[[#This Row],[SP Gain Loss]] / SnapshotTable[[#This Row],[SP Premium]], "")</f>
        <v/>
      </c>
      <c r="DI100" s="406"/>
      <c r="DJ100" s="138"/>
      <c r="DK100" s="148"/>
      <c r="DL100" s="13"/>
      <c r="DM100" s="13"/>
      <c r="DO100" s="31">
        <f>IF(SnapshotTable[[#This Row],[LC Symbol Count]]=1, SnapshotTable[[#This Row],[LC Qty]] * SnapshotTable[[#This Row],[LC Book Price]] * 100, 0)</f>
        <v>0</v>
      </c>
      <c r="DP100" s="163" t="str">
        <f>IF(AND(SnapshotTable[[#This Row],[LC Exp Date]]&gt;0, SnapshotTable[[#This Row],[LC Strike Price]]&gt;0,SnapshotTable[[#This Row],[LC Qty]]&gt;0,SnapshotTable[[#This Row],[LC Book Date]]&gt;0,SnapshotTable[[#This Row],[LC Book Price]]&gt;0,SnapshotTable[[#This Row],[LC Fill Date]]=0),"Y","")</f>
        <v/>
      </c>
      <c r="DQ100" s="386" t="str">
        <f>IF(SnapshotTable[[#This Row],[LC Premium]] &gt; 0,SnapshotTable[[#This Row],[LC Exp Date]]-MAX(SnapshotTable[[#This Row],[LC Book Date]], SnapshotTable[[#This Row],[LC Fill Date]]),"")</f>
        <v/>
      </c>
      <c r="DR100" s="386" t="str">
        <f>IF(ISNUMBER(SnapshotTable[[#This Row],[LC Term]]), SnapshotTable[[#This Row],[LC Exp Date]] - MockToday, "")</f>
        <v/>
      </c>
      <c r="DS100" s="23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40" t="str">
        <f>IF(ISNUMBER(SnapshotTable[[#This Row],[LC Actual Gain Loss]]), SnapshotTable[[#This Row],[LC Actual Gain Loss]] / SnapshotTable[[#This Row],[LC Premium]],"")</f>
        <v/>
      </c>
      <c r="DX100" s="284" t="str">
        <f>IF(ISNUMBER(SnapshotTable[[#This Row],[LC Book Price]]),SnapshotTable[[#This Row],[LC Book Price]] * 1.5,"")</f>
        <v/>
      </c>
      <c r="DY100" s="265" t="str">
        <f>IF(SnapshotTable[[#This Row],[LC Premium]]&gt;0, SnapshotTable[[#This Row],[LC Next Target]] * SnapshotTable[[#This Row],[LC Qty]] * 100,"")</f>
        <v/>
      </c>
      <c r="DZ100" s="265" t="str">
        <f>IF(ISNUMBER(SnapshotTable[[#This Row],[LC Target Gross]]), SnapshotTable[[#This Row],[LC Target Gross]] - SnapshotTable[[#This Row],[LC Premium]], "")</f>
        <v/>
      </c>
      <c r="EA100" s="305" t="str">
        <f>IF(ISNUMBER(SnapshotTable[[#This Row],[LC Target Gain Loss]]), SnapshotTable[[#This Row],[LC Target Gain Loss]]/SnapshotTable[[#This Row],[LC Premium]], "")</f>
        <v/>
      </c>
      <c r="EB100" s="262"/>
      <c r="EC100" s="283" t="str">
        <f>IF(SnapshotTable[[#This Row],[LC Premium]]&gt;0, SnapshotTable[[#This Row],[LC Book Price]] * (1 - LC_StopLoss_Pct),"")</f>
        <v/>
      </c>
      <c r="ED100" s="284"/>
      <c r="EE100" s="28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4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7"/>
      <c r="EL100" s="138"/>
      <c r="EM100" s="148"/>
      <c r="EN100" s="147"/>
      <c r="EO100" s="147"/>
      <c r="EP100" s="138"/>
      <c r="EQ100" s="419" t="b">
        <f>AND(ISNUMBER(SnapshotTable[[#This Row],[SC Exp Date]]), ISNUMBER(SnapshotTable[[#This Row],[SC Strike Price]]), ISNUMBER(SnapshotTable[[#This Row],[SC Qty]]), ISNUMBER(SnapshotTable[[#This Row],[SC Book Date]]), ISNUMBER(SnapshotTable[[#This Row],[SC Book Price]]))</f>
        <v>0</v>
      </c>
      <c r="ER100" s="419" t="b">
        <f>AND(SnapshotTable[[#This Row],[SC Is Booked]], NOT(ISBLANK(SnapshotTable[[#This Row],[SC Fill Date]])))</f>
        <v>0</v>
      </c>
      <c r="ES100" s="370"/>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3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283"/>
      <c r="FA100" s="218"/>
      <c r="FB100" s="370"/>
      <c r="FC100" s="4">
        <f>IF(SnapshotTable[[#This Row],[SC Is Filled]], btc_max_buyback_amount(SnapshotTable[[#This Row],[SC Fill Date]],SnapshotTable[[#This Row],[SC Exp Date]], SnapshotTable[[#This Row],[SC Book Price]]),0)</f>
        <v>0</v>
      </c>
      <c r="FD100" s="5"/>
      <c r="FE100" s="144"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382">
        <f>IF(SnapshotTable[[#This Row],[SC Is Filled]], IF(ISNUMBER(SnapshotTable[[#This Row],[SC Current Ask]]), SnapshotTable[[#This Row],[SC Current Ask]], SnapshotTable[[#This Row],[SC Book Price]]) - SnapshotTable[[#This Row],[SC Intrinsic Value]], 0)</f>
        <v>0</v>
      </c>
      <c r="FI100" s="143"/>
      <c r="FJ100" s="32" t="str">
        <f>IF(SnapshotTable[[#This Row],[SC Is Filled]],100 * SnapshotTable[[#This Row],[SC Qty]] * IF(ISNUMBER(SnapshotTable[[#This Row],[SC Buyback Override]]), SnapshotTable[[#This Row],[SC Buyback Override]], SnapshotTable[[#This Row],[SC Current Ask]]), "")</f>
        <v/>
      </c>
      <c r="FK100" s="250" t="str">
        <f>IF(SnapshotTable[[#This Row],[SC Time Val]]&gt;0, SnapshotTable[[#This Row],[SC Time Val]] / SnapshotTable[[#This Row],[Last Price]],"")</f>
        <v/>
      </c>
      <c r="FL100" s="302" t="str">
        <f>IF(SnapshotTable[[#This Row],[SC Is Booked]], ((SnapshotTable[[#This Row],[Last Price]] -SnapshotTable[[#This Row],[SC Strike Price]]) / SnapshotTable[[#This Row],[Last Price]]) * -1, "")</f>
        <v/>
      </c>
      <c r="FM100" s="157"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33"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36" t="str">
        <f>IF(AND(ISNUMBER(SnapshotTable[[#This Row],[SC Simple ROO]]),SnapshotTable[[#This Row],[SC Simple ROO]] &gt; 0), SnapshotTable[[#This Row],[SC Premium]] + (SnapshotTable[[#This Row],[SC Qty]] * SnapshotTable[[#This Row],[SC Upside Potential]]), "")</f>
        <v/>
      </c>
      <c r="FX100" s="302" t="str" cm="1">
        <f t="array" ref="FX100">IF(ISNUMBER(SnapshotTable[[#This Row],[SC Max Dollars]]), annualize(SnapshotTable[[#This Row],[SC Term]],(SnapshotTable[[#This Row],[SC Max Dollars]]/SnapshotTable[[#This Row],[SC Basis]])),"")</f>
        <v/>
      </c>
      <c r="FY100" s="23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29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42.665999999999997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31">
        <f>MAX(SnapshotTable[[#This Row],[Equity Basis Total]],SnapshotTable[[#This Row],[Equity Value]]) + (SnapshotTable[[#This Row],[SP Potential Spend]]- SnapshotTable[[#This Row],[SP Premium]] + SnapshotTable[[#This Row],[LP Premium]])+ (SnapshotTable[[#This Row],[LC Premium]] - SnapshotTable[[#This Row],[SC Premium]])</f>
        <v>0</v>
      </c>
      <c r="GW100" s="139" t="str">
        <f>IF(AND(SnapshotTable[[#This Row],[Exposure]] &lt;&gt; 0),SnapshotTable[[#This Row],[Exposure]] / SnapshotTable[[#Totals],[Exposure]], "")</f>
        <v/>
      </c>
      <c r="HE100" s="268"/>
      <c r="HF100" s="268"/>
      <c r="HK100" s="1"/>
      <c r="HL100" s="1"/>
      <c r="HM100" s="1"/>
      <c r="HN100" s="1"/>
      <c r="HO100" s="1"/>
      <c r="HP100" s="1"/>
    </row>
    <row r="101" spans="2:224" ht="12.75" hidden="1" customHeight="1" x14ac:dyDescent="0.25">
      <c r="B101" s="12" t="s">
        <v>561</v>
      </c>
      <c r="C101" s="422">
        <v>27.17</v>
      </c>
      <c r="D101" s="208"/>
      <c r="E101" s="39">
        <f>SnapshotTable[[#This Row],[Last Price]]*(1 -CrashDiscount)</f>
        <v>23.0945</v>
      </c>
      <c r="F101" s="26" t="s">
        <v>239</v>
      </c>
      <c r="G101" s="26" t="s">
        <v>14</v>
      </c>
      <c r="H101" s="149"/>
      <c r="I101" s="194">
        <v>44791.760416666664</v>
      </c>
      <c r="J101" s="195">
        <v>44791.760416666664</v>
      </c>
      <c r="K101" s="196"/>
      <c r="L101" s="326"/>
      <c r="M101" s="140"/>
      <c r="N101" s="140"/>
      <c r="O101" s="140"/>
      <c r="P101" s="22"/>
      <c r="Q101" s="25"/>
      <c r="R101" s="4" t="str">
        <f>IF(SnapshotTable[[#This Row],[Equity Basis Total]] &gt; 0, SnapshotTable[[#This Row],[Equity Basis Total]] / SnapshotTable[[#This Row],[Equity Shares]], "")</f>
        <v/>
      </c>
      <c r="S101" s="269">
        <f>SnapshotTable[[#This Row],[Last Price]] * SnapshotTable[[#This Row],[Equity Shares]]</f>
        <v>0</v>
      </c>
      <c r="T101" s="269">
        <f>SnapshotTable[[#This Row],[Equity Value]] - SnapshotTable[[#This Row],[Equity Basis Total]]</f>
        <v>0</v>
      </c>
      <c r="U101" s="270" t="str">
        <f>IF(SnapshotTable[[#This Row],[Equity Basis Total]] &gt; 0, SnapshotTable[[#This Row],[Equity G/L]] / SnapshotTable[[#This Row],[Equity Basis Total]], "")</f>
        <v/>
      </c>
      <c r="V101" s="268"/>
      <c r="W101" s="26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7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0"/>
      <c r="AD101" s="151"/>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1"/>
      <c r="AI101" s="5"/>
      <c r="AJ101" s="138"/>
      <c r="AK101" s="152" t="str">
        <f>IF(ISNUMBER( SnapshotTable[[#This Row],[EBF Target]]),(SnapshotTable[[#This Row],[EBF Target]] - SnapshotTable[[#This Row],[Last Price]]) / SnapshotTable[[#This Row],[Last Price]], "")</f>
        <v/>
      </c>
      <c r="AL101" s="152"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2" t="str">
        <f>IF(AND(ISNUMBER( SnapshotTable[[#This Row],[Long Term Target]]), ISNUMBER(SnapshotTable[[#This Row],[Last Price]])),(SnapshotTable[[#This Row],[Long Term Target]] - SnapshotTable[[#This Row],[Last Price]]) / SnapshotTable[[#This Row],[Last Price]], "")</f>
        <v/>
      </c>
      <c r="AP101" s="5"/>
      <c r="AQ101" s="38"/>
      <c r="AR101" s="5"/>
      <c r="AS101" s="38"/>
      <c r="AT101" s="146"/>
      <c r="AU101" s="187" t="str">
        <f>IF(OR(SnapshotTable[[#This Row],[LP No Fill]]="Y",SnapshotTable[[#This Row],[SP Is Filled]],SnapshotTable[[#This Row],[LC Not Filled]]="Y",SnapshotTable[[#This Row],[SC Is Filled]]),"Y","")</f>
        <v/>
      </c>
      <c r="AV101" s="219"/>
      <c r="AW101" s="225"/>
      <c r="AX101" s="220"/>
      <c r="AY101" s="219" t="str">
        <f>IF(SnapshotTable[[#This Row],[Implied Move]]&gt;0, SnapshotTable[[#This Row],[Last Price]]-SnapshotTable[[#This Row],[Implied Move]],"")</f>
        <v/>
      </c>
      <c r="AZ101" s="219" t="str">
        <f>IF(SnapshotTable[[#This Row],[Implied Move]]&gt;0, SnapshotTable[[#This Row],[Last Price]] + SnapshotTable[[#This Row],[Implied Move]],"")</f>
        <v/>
      </c>
      <c r="BA101" s="331"/>
      <c r="BB101" s="347"/>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51"/>
      <c r="BE101" s="5"/>
      <c r="BF101" s="14"/>
      <c r="BG101" s="13"/>
      <c r="BH101" s="13"/>
      <c r="BI101" s="5"/>
      <c r="BJ101" s="136">
        <f>IF(SnapshotTable[[#This Row],[LP Qty]] &gt; 0, SnapshotTable[[#This Row],[LP Qty]] * SnapshotTable[[#This Row],[LP Book Price]] * 100,0)</f>
        <v>0</v>
      </c>
      <c r="BK101" s="136">
        <f>IF(SnapshotTable[[#This Row],[LP Premium]] &gt; 0, SnapshotTable[[#This Row],[LP Qty]] * SnapshotTable[[#This Row],[LP Strike Price]] * 100,0)</f>
        <v>0</v>
      </c>
      <c r="BL101" s="154"/>
      <c r="BM101" s="385" t="str">
        <f>IF(SnapshotTable[[#This Row],[LP Premium]] &gt; 0,SnapshotTable[[#This Row],[LP Exp Date]]-MAX(SnapshotTable[[#This Row],[LP Book Date]], SnapshotTable[[#This Row],[LP Fill Date]]),"")</f>
        <v/>
      </c>
      <c r="BN101" s="385" t="str">
        <f>IF(ISNUMBER( SnapshotTable[[#This Row],[LP Term]]), SnapshotTable[[#This Row],[LP Exp Date]] - MockToday,"")</f>
        <v/>
      </c>
      <c r="BO101" s="163"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7"/>
      <c r="BU101" s="13"/>
      <c r="BV101" s="5"/>
      <c r="BW101" s="419" t="b">
        <f>AND(ISNUMBER(SnapshotTable[[#This Row],[SP Exp Date]]), ISNUMBER(SnapshotTable[[#This Row],[SP Strike Price]]), ISNUMBER(SnapshotTable[[#This Row],[SP Qty]]), ISNUMBER(SnapshotTable[[#This Row],[SP Book Date]]), ISNUMBER(SnapshotTable[[#This Row],[SP Book Price]]))</f>
        <v>0</v>
      </c>
      <c r="BX101" s="419" t="b">
        <f>AND(SnapshotTable[[#This Row],[SP Is Booked]], NOT(ISBLANK(SnapshotTable[[#This Row],[SP Fill Date]])))</f>
        <v>0</v>
      </c>
      <c r="BY101" s="33">
        <f>IF(SnapshotTable[[#This Row],[SP Is Booked]], SnapshotTable[[#This Row],[SP Qty]] * SnapshotTable[[#This Row],[SP Book Price]] * 100, 0)</f>
        <v>0</v>
      </c>
      <c r="BZ101" s="369"/>
      <c r="CA101" s="368">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3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44"/>
      <c r="CK101" s="31">
        <f>IF(ISNUMBER(SnapshotTable[[#This Row],[SP Potential Spend]]),IF(ISNUMBER(SnapshotTable[[#This Row],[SP POW]]), SnapshotTable[[#This Row],[SP POW]] * SnapshotTable[[#This Row],[SP Potential Spend]], SnapshotTable[[#This Row],[SP Potential Spend]]), "")</f>
        <v>0</v>
      </c>
      <c r="CL101" s="164">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8"/>
      <c r="CO101" s="369"/>
      <c r="CP101" s="4" t="str">
        <f>IF(SnapshotTable[[#This Row],[SP Is Filled]], btc_max_buyback_amount(SnapshotTable[[#This Row],[SP Fill Date]],SnapshotTable[[#This Row],[SP Exp Date]], SnapshotTable[[#This Row],[SP Book Price]]),"")</f>
        <v/>
      </c>
      <c r="CQ101" s="78"/>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5" t="str">
        <f>IF(SnapshotTable[[#This Row],[SP Is Filled]], btc_next_cutoff_date(SnapshotTable[[#This Row],[SP Fill Date]],SnapshotTable[[#This Row],[SP Exp Date]]),"")</f>
        <v/>
      </c>
      <c r="CT101" s="23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3"/>
      <c r="CV101" s="235"/>
      <c r="CW101" s="378"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294" t="str">
        <f>IF(ISNUMBER((SnapshotTable[[#This Row],[SP Total Value]])), SnapshotTable[[#This Row],[SP Gain Loss]] / SnapshotTable[[#This Row],[SP Premium]], "")</f>
        <v/>
      </c>
      <c r="DI101" s="406"/>
      <c r="DJ101" s="138"/>
      <c r="DK101" s="148"/>
      <c r="DL101" s="13"/>
      <c r="DM101" s="13"/>
      <c r="DO101" s="31">
        <f>IF(SnapshotTable[[#This Row],[LC Symbol Count]]=1, SnapshotTable[[#This Row],[LC Qty]] * SnapshotTable[[#This Row],[LC Book Price]] * 100, 0)</f>
        <v>0</v>
      </c>
      <c r="DP101" s="163" t="str">
        <f>IF(AND(SnapshotTable[[#This Row],[LC Exp Date]]&gt;0, SnapshotTable[[#This Row],[LC Strike Price]]&gt;0,SnapshotTable[[#This Row],[LC Qty]]&gt;0,SnapshotTable[[#This Row],[LC Book Date]]&gt;0,SnapshotTable[[#This Row],[LC Book Price]]&gt;0,SnapshotTable[[#This Row],[LC Fill Date]]=0),"Y","")</f>
        <v/>
      </c>
      <c r="DQ101" s="386" t="str">
        <f>IF(SnapshotTable[[#This Row],[LC Premium]] &gt; 0,SnapshotTable[[#This Row],[LC Exp Date]]-MAX(SnapshotTable[[#This Row],[LC Book Date]], SnapshotTable[[#This Row],[LC Fill Date]]),"")</f>
        <v/>
      </c>
      <c r="DR101" s="386" t="str">
        <f>IF(ISNUMBER(SnapshotTable[[#This Row],[LC Term]]), SnapshotTable[[#This Row],[LC Exp Date]] - MockToday, "")</f>
        <v/>
      </c>
      <c r="DS101" s="23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40" t="str">
        <f>IF(ISNUMBER(SnapshotTable[[#This Row],[LC Actual Gain Loss]]), SnapshotTable[[#This Row],[LC Actual Gain Loss]] / SnapshotTable[[#This Row],[LC Premium]],"")</f>
        <v/>
      </c>
      <c r="DX101" s="284" t="str">
        <f>IF(ISNUMBER(SnapshotTable[[#This Row],[LC Book Price]]),SnapshotTable[[#This Row],[LC Book Price]] * 1.5,"")</f>
        <v/>
      </c>
      <c r="DY101" s="265" t="str">
        <f>IF(SnapshotTable[[#This Row],[LC Premium]]&gt;0, SnapshotTable[[#This Row],[LC Next Target]] * SnapshotTable[[#This Row],[LC Qty]] * 100,"")</f>
        <v/>
      </c>
      <c r="DZ101" s="265" t="str">
        <f>IF(ISNUMBER(SnapshotTable[[#This Row],[LC Target Gross]]), SnapshotTable[[#This Row],[LC Target Gross]] - SnapshotTable[[#This Row],[LC Premium]], "")</f>
        <v/>
      </c>
      <c r="EA101" s="305" t="str">
        <f>IF(ISNUMBER(SnapshotTable[[#This Row],[LC Target Gain Loss]]), SnapshotTable[[#This Row],[LC Target Gain Loss]]/SnapshotTable[[#This Row],[LC Premium]], "")</f>
        <v/>
      </c>
      <c r="EB101" s="262"/>
      <c r="EC101" s="283" t="str">
        <f>IF(SnapshotTable[[#This Row],[LC Premium]]&gt;0, SnapshotTable[[#This Row],[LC Book Price]] * (1 - LC_StopLoss_Pct),"")</f>
        <v/>
      </c>
      <c r="ED101" s="284"/>
      <c r="EE101" s="28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4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7"/>
      <c r="EL101" s="138"/>
      <c r="EM101" s="148"/>
      <c r="EN101" s="147"/>
      <c r="EO101" s="147"/>
      <c r="EP101" s="138"/>
      <c r="EQ101" s="419" t="b">
        <f>AND(ISNUMBER(SnapshotTable[[#This Row],[SC Exp Date]]), ISNUMBER(SnapshotTable[[#This Row],[SC Strike Price]]), ISNUMBER(SnapshotTable[[#This Row],[SC Qty]]), ISNUMBER(SnapshotTable[[#This Row],[SC Book Date]]), ISNUMBER(SnapshotTable[[#This Row],[SC Book Price]]))</f>
        <v>0</v>
      </c>
      <c r="ER101" s="419" t="b">
        <f>AND(SnapshotTable[[#This Row],[SC Is Booked]], NOT(ISBLANK(SnapshotTable[[#This Row],[SC Fill Date]])))</f>
        <v>0</v>
      </c>
      <c r="ES101" s="370"/>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3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283"/>
      <c r="FA101" s="218"/>
      <c r="FB101" s="370"/>
      <c r="FC101" s="4">
        <f>IF(SnapshotTable[[#This Row],[SC Is Filled]], btc_max_buyback_amount(SnapshotTable[[#This Row],[SC Fill Date]],SnapshotTable[[#This Row],[SC Exp Date]], SnapshotTable[[#This Row],[SC Book Price]]),0)</f>
        <v>0</v>
      </c>
      <c r="FD101" s="5"/>
      <c r="FE101" s="144"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382">
        <f>IF(SnapshotTable[[#This Row],[SC Is Filled]], IF(ISNUMBER(SnapshotTable[[#This Row],[SC Current Ask]]), SnapshotTable[[#This Row],[SC Current Ask]], SnapshotTable[[#This Row],[SC Book Price]]) - SnapshotTable[[#This Row],[SC Intrinsic Value]], 0)</f>
        <v>0</v>
      </c>
      <c r="FI101" s="143"/>
      <c r="FJ101" s="32" t="str">
        <f>IF(SnapshotTable[[#This Row],[SC Is Filled]],100 * SnapshotTable[[#This Row],[SC Qty]] * IF(ISNUMBER(SnapshotTable[[#This Row],[SC Buyback Override]]), SnapshotTable[[#This Row],[SC Buyback Override]], SnapshotTable[[#This Row],[SC Current Ask]]), "")</f>
        <v/>
      </c>
      <c r="FK101" s="250" t="str">
        <f>IF(SnapshotTable[[#This Row],[SC Time Val]]&gt;0, SnapshotTable[[#This Row],[SC Time Val]] / SnapshotTable[[#This Row],[Last Price]],"")</f>
        <v/>
      </c>
      <c r="FL101" s="302" t="str">
        <f>IF(SnapshotTable[[#This Row],[SC Is Booked]], ((SnapshotTable[[#This Row],[Last Price]] -SnapshotTable[[#This Row],[SC Strike Price]]) / SnapshotTable[[#This Row],[Last Price]]) * -1, "")</f>
        <v/>
      </c>
      <c r="FM101" s="157"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33"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36" t="str">
        <f>IF(AND(ISNUMBER(SnapshotTable[[#This Row],[SC Simple ROO]]),SnapshotTable[[#This Row],[SC Simple ROO]] &gt; 0), SnapshotTable[[#This Row],[SC Premium]] + (SnapshotTable[[#This Row],[SC Qty]] * SnapshotTable[[#This Row],[SC Upside Potential]]), "")</f>
        <v/>
      </c>
      <c r="FX101" s="302" t="str" cm="1">
        <f t="array" ref="FX101">IF(ISNUMBER(SnapshotTable[[#This Row],[SC Max Dollars]]), annualize(SnapshotTable[[#This Row],[SC Term]],(SnapshotTable[[#This Row],[SC Max Dollars]]/SnapshotTable[[#This Row],[SC Basis]])),"")</f>
        <v/>
      </c>
      <c r="FY101" s="23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29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52.981500000000004</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671</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31">
        <f>MAX(SnapshotTable[[#This Row],[Equity Basis Total]],SnapshotTable[[#This Row],[Equity Value]]) + (SnapshotTable[[#This Row],[SP Potential Spend]]- SnapshotTable[[#This Row],[SP Premium]] + SnapshotTable[[#This Row],[LP Premium]])+ (SnapshotTable[[#This Row],[LC Premium]] - SnapshotTable[[#This Row],[SC Premium]])</f>
        <v>0</v>
      </c>
      <c r="GW101" s="139" t="str">
        <f>IF(AND(SnapshotTable[[#This Row],[Exposure]] &lt;&gt; 0),SnapshotTable[[#This Row],[Exposure]] / SnapshotTable[[#Totals],[Exposure]], "")</f>
        <v/>
      </c>
      <c r="HE101" s="268"/>
      <c r="HF101" s="268"/>
      <c r="HK101" s="1"/>
      <c r="HL101" s="1"/>
      <c r="HM101" s="1"/>
      <c r="HN101" s="1"/>
      <c r="HO101" s="1"/>
      <c r="HP101" s="1"/>
    </row>
    <row r="102" spans="2:224" ht="12.75" hidden="1" customHeight="1" x14ac:dyDescent="0.25">
      <c r="B102" s="12" t="s">
        <v>137</v>
      </c>
      <c r="C102" s="422">
        <v>135.65</v>
      </c>
      <c r="D102" s="208" t="s">
        <v>850</v>
      </c>
      <c r="E102" s="39">
        <f>SnapshotTable[[#This Row],[Last Price]]*(1 -CrashDiscount)</f>
        <v>115.30249999999999</v>
      </c>
      <c r="F102" s="26" t="s">
        <v>940</v>
      </c>
      <c r="G102" s="26" t="s">
        <v>821</v>
      </c>
      <c r="H102" s="149"/>
      <c r="I102" s="194">
        <v>44754.25</v>
      </c>
      <c r="J102" s="195">
        <v>44754.25</v>
      </c>
      <c r="K102" s="196" t="s">
        <v>3</v>
      </c>
      <c r="L102" s="326"/>
      <c r="M102" s="140">
        <v>1</v>
      </c>
      <c r="N102" s="140"/>
      <c r="O102" s="140">
        <v>2</v>
      </c>
      <c r="P102" s="22"/>
      <c r="Q102" s="25"/>
      <c r="R102" s="4" t="str">
        <f>IF(SnapshotTable[[#This Row],[Equity Basis Total]] &gt; 0, SnapshotTable[[#This Row],[Equity Basis Total]] / SnapshotTable[[#This Row],[Equity Shares]], "")</f>
        <v/>
      </c>
      <c r="S102" s="269">
        <f>SnapshotTable[[#This Row],[Last Price]] * SnapshotTable[[#This Row],[Equity Shares]]</f>
        <v>0</v>
      </c>
      <c r="T102" s="269">
        <f>SnapshotTable[[#This Row],[Equity Value]] - SnapshotTable[[#This Row],[Equity Basis Total]]</f>
        <v>0</v>
      </c>
      <c r="U102" s="270" t="str">
        <f>IF(SnapshotTable[[#This Row],[Equity Basis Total]] &gt; 0, SnapshotTable[[#This Row],[Equity G/L]] / SnapshotTable[[#This Row],[Equity Basis Total]], "")</f>
        <v/>
      </c>
      <c r="V102" s="268">
        <v>147</v>
      </c>
      <c r="W102" s="26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7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0">
        <v>3.84</v>
      </c>
      <c r="AD102" s="151">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2.8308145963877623E-2</v>
      </c>
      <c r="AH102" s="151">
        <v>44017</v>
      </c>
      <c r="AI102" s="5">
        <v>175</v>
      </c>
      <c r="AJ102" s="138">
        <v>151.96</v>
      </c>
      <c r="AK102" s="152">
        <f>IF(ISNUMBER( SnapshotTable[[#This Row],[EBF Target]]),(SnapshotTable[[#This Row],[EBF Target]] - SnapshotTable[[#This Row],[Last Price]]) / SnapshotTable[[#This Row],[Last Price]], "")</f>
        <v>0.29008477699963137</v>
      </c>
      <c r="AL102" s="152"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2">
        <f>IF(AND(ISNUMBER( SnapshotTable[[#This Row],[Long Term Target]]), ISNUMBER(SnapshotTable[[#This Row],[Last Price]])),(SnapshotTable[[#This Row],[Long Term Target]] - SnapshotTable[[#This Row],[Last Price]]) / SnapshotTable[[#This Row],[Last Price]], "")</f>
        <v>0.12023590121636565</v>
      </c>
      <c r="AP102" s="5">
        <v>138</v>
      </c>
      <c r="AQ102" s="38" t="s">
        <v>27</v>
      </c>
      <c r="AR102" s="5">
        <v>138</v>
      </c>
      <c r="AS102" s="38" t="s">
        <v>38</v>
      </c>
      <c r="AT102" s="146" t="s">
        <v>542</v>
      </c>
      <c r="AU102" s="187" t="str">
        <f>IF(OR(SnapshotTable[[#This Row],[LP No Fill]]="Y",SnapshotTable[[#This Row],[SP Is Filled]],SnapshotTable[[#This Row],[LC Not Filled]]="Y",SnapshotTable[[#This Row],[SC Is Filled]]),"Y","")</f>
        <v/>
      </c>
      <c r="AV102" s="219"/>
      <c r="AW102" s="225">
        <v>2.91</v>
      </c>
      <c r="AX102" s="220">
        <v>44287</v>
      </c>
      <c r="AY102" s="219">
        <f>IF(SnapshotTable[[#This Row],[Implied Move]]&gt;0, SnapshotTable[[#This Row],[Last Price]]-SnapshotTable[[#This Row],[Implied Move]],"")</f>
        <v>132.74</v>
      </c>
      <c r="AZ102" s="219">
        <f>IF(SnapshotTable[[#This Row],[Implied Move]]&gt;0, SnapshotTable[[#This Row],[Last Price]] + SnapshotTable[[#This Row],[Implied Move]],"")</f>
        <v>138.56</v>
      </c>
      <c r="BA102" s="331">
        <v>139.66999999999999</v>
      </c>
      <c r="BB102" s="404"/>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51"/>
      <c r="BE102" s="5"/>
      <c r="BF102" s="14"/>
      <c r="BG102" s="13"/>
      <c r="BH102" s="13"/>
      <c r="BI102" s="5"/>
      <c r="BJ102" s="136">
        <f>IF(SnapshotTable[[#This Row],[LP Qty]] &gt; 0, SnapshotTable[[#This Row],[LP Qty]] * SnapshotTable[[#This Row],[LP Book Price]] * 100,0)</f>
        <v>0</v>
      </c>
      <c r="BK102" s="136">
        <f>IF(SnapshotTable[[#This Row],[LP Premium]] &gt; 0, SnapshotTable[[#This Row],[LP Qty]] * SnapshotTable[[#This Row],[LP Strike Price]] * 100,0)</f>
        <v>0</v>
      </c>
      <c r="BL102" s="154"/>
      <c r="BM102" s="385" t="str">
        <f>IF(SnapshotTable[[#This Row],[LP Premium]] &gt; 0,SnapshotTable[[#This Row],[LP Exp Date]]-MAX(SnapshotTable[[#This Row],[LP Book Date]], SnapshotTable[[#This Row],[LP Fill Date]]),"")</f>
        <v/>
      </c>
      <c r="BN102" s="385" t="str">
        <f>IF(ISNUMBER( SnapshotTable[[#This Row],[LP Term]]), SnapshotTable[[#This Row],[LP Exp Date]] - MockToday,"")</f>
        <v/>
      </c>
      <c r="BO102" s="163"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7"/>
      <c r="BU102" s="13"/>
      <c r="BV102" s="5"/>
      <c r="BW102" s="419" t="b">
        <f>AND(ISNUMBER(SnapshotTable[[#This Row],[SP Exp Date]]), ISNUMBER(SnapshotTable[[#This Row],[SP Strike Price]]), ISNUMBER(SnapshotTable[[#This Row],[SP Qty]]), ISNUMBER(SnapshotTable[[#This Row],[SP Book Date]]), ISNUMBER(SnapshotTable[[#This Row],[SP Book Price]]))</f>
        <v>0</v>
      </c>
      <c r="BX102" s="419" t="b">
        <f>AND(SnapshotTable[[#This Row],[SP Is Booked]], NOT(ISBLANK(SnapshotTable[[#This Row],[SP Fill Date]])))</f>
        <v>0</v>
      </c>
      <c r="BY102" s="33">
        <f>IF(SnapshotTable[[#This Row],[SP Is Booked]], SnapshotTable[[#This Row],[SP Qty]] * SnapshotTable[[#This Row],[SP Book Price]] * 100, 0)</f>
        <v>0</v>
      </c>
      <c r="BZ102" s="369">
        <v>0.18</v>
      </c>
      <c r="CA102" s="368">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3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44"/>
      <c r="CK102" s="31">
        <f>IF(ISNUMBER(SnapshotTable[[#This Row],[SP Potential Spend]]),IF(ISNUMBER(SnapshotTable[[#This Row],[SP POW]]), SnapshotTable[[#This Row],[SP POW]] * SnapshotTable[[#This Row],[SP Potential Spend]], SnapshotTable[[#This Row],[SP Potential Spend]]), "")</f>
        <v>0</v>
      </c>
      <c r="CL102" s="164">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18"/>
      <c r="CO102" s="369"/>
      <c r="CP102" s="4" t="str">
        <f>IF(SnapshotTable[[#This Row],[SP Is Filled]], btc_max_buyback_amount(SnapshotTable[[#This Row],[SP Fill Date]],SnapshotTable[[#This Row],[SP Exp Date]], SnapshotTable[[#This Row],[SP Book Price]]),"")</f>
        <v/>
      </c>
      <c r="CQ102" s="78"/>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5" t="str">
        <f>IF(SnapshotTable[[#This Row],[SP Is Filled]], btc_next_cutoff_date(SnapshotTable[[#This Row],[SP Fill Date]],SnapshotTable[[#This Row],[SP Exp Date]]),"")</f>
        <v/>
      </c>
      <c r="CT102" s="23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3"/>
      <c r="CV102" s="235"/>
      <c r="CW102" s="378"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294" t="str">
        <f>IF(ISNUMBER((SnapshotTable[[#This Row],[SP Total Value]])), SnapshotTable[[#This Row],[SP Gain Loss]] / SnapshotTable[[#This Row],[SP Premium]], "")</f>
        <v/>
      </c>
      <c r="DI102" s="406"/>
      <c r="DJ102" s="138"/>
      <c r="DK102" s="148"/>
      <c r="DL102" s="13"/>
      <c r="DM102" s="13"/>
      <c r="DO102" s="31">
        <f>IF(SnapshotTable[[#This Row],[LC Symbol Count]]=1, SnapshotTable[[#This Row],[LC Qty]] * SnapshotTable[[#This Row],[LC Book Price]] * 100, 0)</f>
        <v>0</v>
      </c>
      <c r="DP102" s="163" t="str">
        <f>IF(AND(SnapshotTable[[#This Row],[LC Exp Date]]&gt;0, SnapshotTable[[#This Row],[LC Strike Price]]&gt;0,SnapshotTable[[#This Row],[LC Qty]]&gt;0,SnapshotTable[[#This Row],[LC Book Date]]&gt;0,SnapshotTable[[#This Row],[LC Book Price]]&gt;0,SnapshotTable[[#This Row],[LC Fill Date]]=0),"Y","")</f>
        <v/>
      </c>
      <c r="DQ102" s="386" t="str">
        <f>IF(SnapshotTable[[#This Row],[LC Premium]] &gt; 0,SnapshotTable[[#This Row],[LC Exp Date]]-MAX(SnapshotTable[[#This Row],[LC Book Date]], SnapshotTable[[#This Row],[LC Fill Date]]),"")</f>
        <v/>
      </c>
      <c r="DR102" s="386" t="str">
        <f>IF(ISNUMBER(SnapshotTable[[#This Row],[LC Term]]), SnapshotTable[[#This Row],[LC Exp Date]] - MockToday, "")</f>
        <v/>
      </c>
      <c r="DS102" s="23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40" t="str">
        <f>IF(ISNUMBER(SnapshotTable[[#This Row],[LC Actual Gain Loss]]), SnapshotTable[[#This Row],[LC Actual Gain Loss]] / SnapshotTable[[#This Row],[LC Premium]],"")</f>
        <v/>
      </c>
      <c r="DX102" s="284" t="str">
        <f>IF(ISNUMBER(SnapshotTable[[#This Row],[LC Book Price]]),SnapshotTable[[#This Row],[LC Book Price]] * 1.5,"")</f>
        <v/>
      </c>
      <c r="DY102" s="265" t="str">
        <f>IF(SnapshotTable[[#This Row],[LC Premium]]&gt;0, SnapshotTable[[#This Row],[LC Next Target]] * SnapshotTable[[#This Row],[LC Qty]] * 100,"")</f>
        <v/>
      </c>
      <c r="DZ102" s="265" t="str">
        <f>IF(ISNUMBER(SnapshotTable[[#This Row],[LC Target Gross]]), SnapshotTable[[#This Row],[LC Target Gross]] - SnapshotTable[[#This Row],[LC Premium]], "")</f>
        <v/>
      </c>
      <c r="EA102" s="305" t="str">
        <f>IF(ISNUMBER(SnapshotTable[[#This Row],[LC Target Gain Loss]]), SnapshotTable[[#This Row],[LC Target Gain Loss]]/SnapshotTable[[#This Row],[LC Premium]], "")</f>
        <v/>
      </c>
      <c r="EB102" s="262"/>
      <c r="EC102" s="283" t="str">
        <f>IF(SnapshotTable[[#This Row],[LC Premium]]&gt;0, SnapshotTable[[#This Row],[LC Book Price]] * (1 - LC_StopLoss_Pct),"")</f>
        <v/>
      </c>
      <c r="ED102" s="284"/>
      <c r="EE102" s="28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4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7"/>
      <c r="EL102" s="138"/>
      <c r="EM102" s="148"/>
      <c r="EN102" s="147"/>
      <c r="EO102" s="147"/>
      <c r="EP102" s="138"/>
      <c r="EQ102" s="419" t="b">
        <f>AND(ISNUMBER(SnapshotTable[[#This Row],[SC Exp Date]]), ISNUMBER(SnapshotTable[[#This Row],[SC Strike Price]]), ISNUMBER(SnapshotTable[[#This Row],[SC Qty]]), ISNUMBER(SnapshotTable[[#This Row],[SC Book Date]]), ISNUMBER(SnapshotTable[[#This Row],[SC Book Price]]))</f>
        <v>0</v>
      </c>
      <c r="ER102" s="419" t="b">
        <f>AND(SnapshotTable[[#This Row],[SC Is Booked]], NOT(ISBLANK(SnapshotTable[[#This Row],[SC Fill Date]])))</f>
        <v>0</v>
      </c>
      <c r="ES102" s="370"/>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3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283"/>
      <c r="FA102" s="218"/>
      <c r="FB102" s="370"/>
      <c r="FC102" s="4">
        <f>IF(SnapshotTable[[#This Row],[SC Is Filled]], btc_max_buyback_amount(SnapshotTable[[#This Row],[SC Fill Date]],SnapshotTable[[#This Row],[SC Exp Date]], SnapshotTable[[#This Row],[SC Book Price]]),0)</f>
        <v>0</v>
      </c>
      <c r="FD102" s="5"/>
      <c r="FE102" s="144"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382">
        <f>IF(SnapshotTable[[#This Row],[SC Is Filled]], IF(ISNUMBER(SnapshotTable[[#This Row],[SC Current Ask]]), SnapshotTable[[#This Row],[SC Current Ask]], SnapshotTable[[#This Row],[SC Book Price]]) - SnapshotTable[[#This Row],[SC Intrinsic Value]], 0)</f>
        <v>0</v>
      </c>
      <c r="FI102" s="143"/>
      <c r="FJ102" s="32" t="str">
        <f>IF(SnapshotTable[[#This Row],[SC Is Filled]],100 * SnapshotTable[[#This Row],[SC Qty]] * IF(ISNUMBER(SnapshotTable[[#This Row],[SC Buyback Override]]), SnapshotTable[[#This Row],[SC Buyback Override]], SnapshotTable[[#This Row],[SC Current Ask]]), "")</f>
        <v/>
      </c>
      <c r="FK102" s="250" t="str">
        <f>IF(SnapshotTable[[#This Row],[SC Time Val]]&gt;0, SnapshotTable[[#This Row],[SC Time Val]] / SnapshotTable[[#This Row],[Last Price]],"")</f>
        <v/>
      </c>
      <c r="FL102" s="302" t="str">
        <f>IF(SnapshotTable[[#This Row],[SC Is Booked]], ((SnapshotTable[[#This Row],[Last Price]] -SnapshotTable[[#This Row],[SC Strike Price]]) / SnapshotTable[[#This Row],[Last Price]]) * -1, "")</f>
        <v/>
      </c>
      <c r="FM102" s="157"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33"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36" t="str">
        <f>IF(AND(ISNUMBER(SnapshotTable[[#This Row],[SC Simple ROO]]),SnapshotTable[[#This Row],[SC Simple ROO]] &gt; 0), SnapshotTable[[#This Row],[SC Premium]] + (SnapshotTable[[#This Row],[SC Qty]] * SnapshotTable[[#This Row],[SC Upside Potential]]), "")</f>
        <v/>
      </c>
      <c r="FX102" s="302" t="str" cm="1">
        <f t="array" ref="FX102">IF(ISNUMBER(SnapshotTable[[#This Row],[SC Max Dollars]]), annualize(SnapshotTable[[#This Row],[SC Term]],(SnapshotTable[[#This Row],[SC Max Dollars]]/SnapshotTable[[#This Row],[SC Basis]])),"")</f>
        <v/>
      </c>
      <c r="FY102" s="23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29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264.51749999999998</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632</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31">
        <f>MAX(SnapshotTable[[#This Row],[Equity Basis Total]],SnapshotTable[[#This Row],[Equity Value]]) + (SnapshotTable[[#This Row],[SP Potential Spend]]- SnapshotTable[[#This Row],[SP Premium]] + SnapshotTable[[#This Row],[LP Premium]])+ (SnapshotTable[[#This Row],[LC Premium]] - SnapshotTable[[#This Row],[SC Premium]])</f>
        <v>0</v>
      </c>
      <c r="GW102" s="139" t="str">
        <f>IF(AND(SnapshotTable[[#This Row],[Exposure]] &lt;&gt; 0),SnapshotTable[[#This Row],[Exposure]] / SnapshotTable[[#Totals],[Exposure]], "")</f>
        <v/>
      </c>
      <c r="HE102" s="268"/>
      <c r="HF102" s="268"/>
      <c r="HK102" s="1"/>
      <c r="HL102" s="1"/>
      <c r="HM102" s="1"/>
      <c r="HN102" s="1"/>
      <c r="HO102" s="1"/>
      <c r="HP102" s="1"/>
    </row>
    <row r="103" spans="2:224" ht="12.75" hidden="1" customHeight="1" x14ac:dyDescent="0.25">
      <c r="B103" s="12" t="s">
        <v>505</v>
      </c>
      <c r="C103" s="422">
        <v>2.78</v>
      </c>
      <c r="D103" s="208" t="s">
        <v>578</v>
      </c>
      <c r="E103" s="39">
        <f>SnapshotTable[[#This Row],[Last Price]]*(1 -CrashDiscount)</f>
        <v>2.363</v>
      </c>
      <c r="F103" s="26" t="s">
        <v>223</v>
      </c>
      <c r="G103" s="26" t="s">
        <v>49</v>
      </c>
      <c r="H103" s="149"/>
      <c r="I103" s="194">
        <v>44782.3125</v>
      </c>
      <c r="J103" s="195">
        <v>44782.3125</v>
      </c>
      <c r="K103" s="196"/>
      <c r="L103" s="326"/>
      <c r="M103" s="140"/>
      <c r="N103" s="140"/>
      <c r="O103" s="140"/>
      <c r="P103" s="22"/>
      <c r="Q103" s="25"/>
      <c r="R103" s="4" t="str">
        <f>IF(SnapshotTable[[#This Row],[Equity Basis Total]] &gt; 0, SnapshotTable[[#This Row],[Equity Basis Total]] / SnapshotTable[[#This Row],[Equity Shares]], "")</f>
        <v/>
      </c>
      <c r="S103" s="269">
        <f>SnapshotTable[[#This Row],[Last Price]] * SnapshotTable[[#This Row],[Equity Shares]]</f>
        <v>0</v>
      </c>
      <c r="T103" s="269">
        <f>SnapshotTable[[#This Row],[Equity Value]] - SnapshotTable[[#This Row],[Equity Basis Total]]</f>
        <v>0</v>
      </c>
      <c r="U103" s="270" t="str">
        <f>IF(SnapshotTable[[#This Row],[Equity Basis Total]] &gt; 0, SnapshotTable[[#This Row],[Equity G/L]] / SnapshotTable[[#This Row],[Equity Basis Total]], "")</f>
        <v/>
      </c>
      <c r="V103" s="268"/>
      <c r="W103" s="26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7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0"/>
      <c r="AD103" s="151"/>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1"/>
      <c r="AI103" s="5"/>
      <c r="AJ103" s="138" t="s">
        <v>164</v>
      </c>
      <c r="AK103" s="152" t="str">
        <f>IF(ISNUMBER( SnapshotTable[[#This Row],[EBF Target]]),(SnapshotTable[[#This Row],[EBF Target]] - SnapshotTable[[#This Row],[Last Price]]) / SnapshotTable[[#This Row],[Last Price]], "")</f>
        <v/>
      </c>
      <c r="AL103" s="152"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2" t="str">
        <f>IF(AND(ISNUMBER( SnapshotTable[[#This Row],[Long Term Target]]), ISNUMBER(SnapshotTable[[#This Row],[Last Price]])),(SnapshotTable[[#This Row],[Long Term Target]] - SnapshotTable[[#This Row],[Last Price]]) / SnapshotTable[[#This Row],[Last Price]], "")</f>
        <v/>
      </c>
      <c r="AP103" s="5"/>
      <c r="AQ103" s="38"/>
      <c r="AR103" s="5"/>
      <c r="AS103" s="38"/>
      <c r="AT103" s="146"/>
      <c r="AU103" s="187" t="str">
        <f>IF(OR(SnapshotTable[[#This Row],[LP No Fill]]="Y",SnapshotTable[[#This Row],[SP Is Filled]],SnapshotTable[[#This Row],[LC Not Filled]]="Y",SnapshotTable[[#This Row],[SC Is Filled]]),"Y","")</f>
        <v/>
      </c>
      <c r="AV103" s="219"/>
      <c r="AW103" s="225"/>
      <c r="AX103" s="220"/>
      <c r="AY103" s="219" t="str">
        <f>IF(SnapshotTable[[#This Row],[Implied Move]]&gt;0, SnapshotTable[[#This Row],[Last Price]]-SnapshotTable[[#This Row],[Implied Move]],"")</f>
        <v/>
      </c>
      <c r="AZ103" s="219" t="str">
        <f>IF(SnapshotTable[[#This Row],[Implied Move]]&gt;0, SnapshotTable[[#This Row],[Last Price]] + SnapshotTable[[#This Row],[Implied Move]],"")</f>
        <v/>
      </c>
      <c r="BA103" s="331"/>
      <c r="BB103" s="347"/>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51"/>
      <c r="BE103" s="5"/>
      <c r="BF103" s="14"/>
      <c r="BG103" s="13"/>
      <c r="BH103" s="13"/>
      <c r="BI103" s="5"/>
      <c r="BJ103" s="136">
        <f>IF(SnapshotTable[[#This Row],[LP Qty]] &gt; 0, SnapshotTable[[#This Row],[LP Qty]] * SnapshotTable[[#This Row],[LP Book Price]] * 100,0)</f>
        <v>0</v>
      </c>
      <c r="BK103" s="136">
        <f>IF(SnapshotTable[[#This Row],[LP Premium]] &gt; 0, SnapshotTable[[#This Row],[LP Qty]] * SnapshotTable[[#This Row],[LP Strike Price]] * 100,0)</f>
        <v>0</v>
      </c>
      <c r="BL103" s="154"/>
      <c r="BM103" s="385" t="str">
        <f>IF(SnapshotTable[[#This Row],[LP Premium]] &gt; 0,SnapshotTable[[#This Row],[LP Exp Date]]-MAX(SnapshotTable[[#This Row],[LP Book Date]], SnapshotTable[[#This Row],[LP Fill Date]]),"")</f>
        <v/>
      </c>
      <c r="BN103" s="385" t="str">
        <f>IF(ISNUMBER( SnapshotTable[[#This Row],[LP Term]]), SnapshotTable[[#This Row],[LP Exp Date]] - MockToday,"")</f>
        <v/>
      </c>
      <c r="BO103" s="163"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7"/>
      <c r="BU103" s="13"/>
      <c r="BV103" s="5"/>
      <c r="BW103" s="419" t="b">
        <f>AND(ISNUMBER(SnapshotTable[[#This Row],[SP Exp Date]]), ISNUMBER(SnapshotTable[[#This Row],[SP Strike Price]]), ISNUMBER(SnapshotTable[[#This Row],[SP Qty]]), ISNUMBER(SnapshotTable[[#This Row],[SP Book Date]]), ISNUMBER(SnapshotTable[[#This Row],[SP Book Price]]))</f>
        <v>0</v>
      </c>
      <c r="BX103" s="419" t="b">
        <f>AND(SnapshotTable[[#This Row],[SP Is Booked]], NOT(ISBLANK(SnapshotTable[[#This Row],[SP Fill Date]])))</f>
        <v>0</v>
      </c>
      <c r="BY103" s="33">
        <f>IF(SnapshotTable[[#This Row],[SP Is Booked]], SnapshotTable[[#This Row],[SP Qty]] * SnapshotTable[[#This Row],[SP Book Price]] * 100, 0)</f>
        <v>0</v>
      </c>
      <c r="BZ103" s="369"/>
      <c r="CA103" s="368">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3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44"/>
      <c r="CK103" s="31">
        <f>IF(ISNUMBER(SnapshotTable[[#This Row],[SP Potential Spend]]),IF(ISNUMBER(SnapshotTable[[#This Row],[SP POW]]), SnapshotTable[[#This Row],[SP POW]] * SnapshotTable[[#This Row],[SP Potential Spend]], SnapshotTable[[#This Row],[SP Potential Spend]]), "")</f>
        <v>0</v>
      </c>
      <c r="CL103" s="164">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8"/>
      <c r="CO103" s="369"/>
      <c r="CP103" s="4" t="str">
        <f>IF(SnapshotTable[[#This Row],[SP Is Filled]], btc_max_buyback_amount(SnapshotTable[[#This Row],[SP Fill Date]],SnapshotTable[[#This Row],[SP Exp Date]], SnapshotTable[[#This Row],[SP Book Price]]),"")</f>
        <v/>
      </c>
      <c r="CQ103" s="78"/>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5" t="str">
        <f>IF(SnapshotTable[[#This Row],[SP Is Filled]], btc_next_cutoff_date(SnapshotTable[[#This Row],[SP Fill Date]],SnapshotTable[[#This Row],[SP Exp Date]]),"")</f>
        <v/>
      </c>
      <c r="CT103" s="23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3"/>
      <c r="CV103" s="235"/>
      <c r="CW103" s="378"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294" t="str">
        <f>IF(ISNUMBER((SnapshotTable[[#This Row],[SP Total Value]])), SnapshotTable[[#This Row],[SP Gain Loss]] / SnapshotTable[[#This Row],[SP Premium]], "")</f>
        <v/>
      </c>
      <c r="DI103" s="406"/>
      <c r="DJ103" s="138"/>
      <c r="DK103" s="148"/>
      <c r="DL103" s="13"/>
      <c r="DM103" s="13"/>
      <c r="DO103" s="31">
        <f>IF(SnapshotTable[[#This Row],[LC Symbol Count]]=1, SnapshotTable[[#This Row],[LC Qty]] * SnapshotTable[[#This Row],[LC Book Price]] * 100, 0)</f>
        <v>0</v>
      </c>
      <c r="DP103" s="163" t="str">
        <f>IF(AND(SnapshotTable[[#This Row],[LC Exp Date]]&gt;0, SnapshotTable[[#This Row],[LC Strike Price]]&gt;0,SnapshotTable[[#This Row],[LC Qty]]&gt;0,SnapshotTable[[#This Row],[LC Book Date]]&gt;0,SnapshotTable[[#This Row],[LC Book Price]]&gt;0,SnapshotTable[[#This Row],[LC Fill Date]]=0),"Y","")</f>
        <v/>
      </c>
      <c r="DQ103" s="386" t="str">
        <f>IF(SnapshotTable[[#This Row],[LC Premium]] &gt; 0,SnapshotTable[[#This Row],[LC Exp Date]]-MAX(SnapshotTable[[#This Row],[LC Book Date]], SnapshotTable[[#This Row],[LC Fill Date]]),"")</f>
        <v/>
      </c>
      <c r="DR103" s="386" t="str">
        <f>IF(ISNUMBER(SnapshotTable[[#This Row],[LC Term]]), SnapshotTable[[#This Row],[LC Exp Date]] - MockToday, "")</f>
        <v/>
      </c>
      <c r="DS103" s="23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40" t="str">
        <f>IF(ISNUMBER(SnapshotTable[[#This Row],[LC Actual Gain Loss]]), SnapshotTable[[#This Row],[LC Actual Gain Loss]] / SnapshotTable[[#This Row],[LC Premium]],"")</f>
        <v/>
      </c>
      <c r="DX103" s="284" t="str">
        <f>IF(ISNUMBER(SnapshotTable[[#This Row],[LC Book Price]]),SnapshotTable[[#This Row],[LC Book Price]] * 1.5,"")</f>
        <v/>
      </c>
      <c r="DY103" s="265" t="str">
        <f>IF(SnapshotTable[[#This Row],[LC Premium]]&gt;0, SnapshotTable[[#This Row],[LC Next Target]] * SnapshotTable[[#This Row],[LC Qty]] * 100,"")</f>
        <v/>
      </c>
      <c r="DZ103" s="265" t="str">
        <f>IF(ISNUMBER(SnapshotTable[[#This Row],[LC Target Gross]]), SnapshotTable[[#This Row],[LC Target Gross]] - SnapshotTable[[#This Row],[LC Premium]], "")</f>
        <v/>
      </c>
      <c r="EA103" s="305" t="str">
        <f>IF(ISNUMBER(SnapshotTable[[#This Row],[LC Target Gain Loss]]), SnapshotTable[[#This Row],[LC Target Gain Loss]]/SnapshotTable[[#This Row],[LC Premium]], "")</f>
        <v/>
      </c>
      <c r="EB103" s="262"/>
      <c r="EC103" s="283" t="str">
        <f>IF(SnapshotTable[[#This Row],[LC Premium]]&gt;0, SnapshotTable[[#This Row],[LC Book Price]] * (1 - LC_StopLoss_Pct),"")</f>
        <v/>
      </c>
      <c r="ED103" s="284"/>
      <c r="EE103" s="28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4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7"/>
      <c r="EL103" s="138"/>
      <c r="EM103" s="148"/>
      <c r="EN103" s="147"/>
      <c r="EO103" s="147"/>
      <c r="EP103" s="138"/>
      <c r="EQ103" s="419" t="b">
        <f>AND(ISNUMBER(SnapshotTable[[#This Row],[SC Exp Date]]), ISNUMBER(SnapshotTable[[#This Row],[SC Strike Price]]), ISNUMBER(SnapshotTable[[#This Row],[SC Qty]]), ISNUMBER(SnapshotTable[[#This Row],[SC Book Date]]), ISNUMBER(SnapshotTable[[#This Row],[SC Book Price]]))</f>
        <v>0</v>
      </c>
      <c r="ER103" s="419" t="b">
        <f>AND(SnapshotTable[[#This Row],[SC Is Booked]], NOT(ISBLANK(SnapshotTable[[#This Row],[SC Fill Date]])))</f>
        <v>0</v>
      </c>
      <c r="ES103" s="370"/>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3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283"/>
      <c r="FA103" s="218"/>
      <c r="FB103" s="370"/>
      <c r="FC103" s="4">
        <f>IF(SnapshotTable[[#This Row],[SC Is Filled]], btc_max_buyback_amount(SnapshotTable[[#This Row],[SC Fill Date]],SnapshotTable[[#This Row],[SC Exp Date]], SnapshotTable[[#This Row],[SC Book Price]]),0)</f>
        <v>0</v>
      </c>
      <c r="FD103" s="5"/>
      <c r="FE103" s="144"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382">
        <f>IF(SnapshotTable[[#This Row],[SC Is Filled]], IF(ISNUMBER(SnapshotTable[[#This Row],[SC Current Ask]]), SnapshotTable[[#This Row],[SC Current Ask]], SnapshotTable[[#This Row],[SC Book Price]]) - SnapshotTable[[#This Row],[SC Intrinsic Value]], 0)</f>
        <v>0</v>
      </c>
      <c r="FI103" s="143"/>
      <c r="FJ103" s="32" t="str">
        <f>IF(SnapshotTable[[#This Row],[SC Is Filled]],100 * SnapshotTable[[#This Row],[SC Qty]] * IF(ISNUMBER(SnapshotTable[[#This Row],[SC Buyback Override]]), SnapshotTable[[#This Row],[SC Buyback Override]], SnapshotTable[[#This Row],[SC Current Ask]]), "")</f>
        <v/>
      </c>
      <c r="FK103" s="250" t="str">
        <f>IF(SnapshotTable[[#This Row],[SC Time Val]]&gt;0, SnapshotTable[[#This Row],[SC Time Val]] / SnapshotTable[[#This Row],[Last Price]],"")</f>
        <v/>
      </c>
      <c r="FL103" s="302" t="str">
        <f>IF(SnapshotTable[[#This Row],[SC Is Booked]], ((SnapshotTable[[#This Row],[Last Price]] -SnapshotTable[[#This Row],[SC Strike Price]]) / SnapshotTable[[#This Row],[Last Price]]) * -1, "")</f>
        <v/>
      </c>
      <c r="FM103" s="157"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33"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36" t="str">
        <f>IF(AND(ISNUMBER(SnapshotTable[[#This Row],[SC Simple ROO]]),SnapshotTable[[#This Row],[SC Simple ROO]] &gt; 0), SnapshotTable[[#This Row],[SC Premium]] + (SnapshotTable[[#This Row],[SC Qty]] * SnapshotTable[[#This Row],[SC Upside Potential]]), "")</f>
        <v/>
      </c>
      <c r="FX103" s="302" t="str" cm="1">
        <f t="array" ref="FX103">IF(ISNUMBER(SnapshotTable[[#This Row],[SC Max Dollars]]), annualize(SnapshotTable[[#This Row],[SC Term]],(SnapshotTable[[#This Row],[SC Max Dollars]]/SnapshotTable[[#This Row],[SC Basis]])),"")</f>
        <v/>
      </c>
      <c r="FY103" s="23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29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5.4209999999999994</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752</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31">
        <f>MAX(SnapshotTable[[#This Row],[Equity Basis Total]],SnapshotTable[[#This Row],[Equity Value]]) + (SnapshotTable[[#This Row],[SP Potential Spend]]- SnapshotTable[[#This Row],[SP Premium]] + SnapshotTable[[#This Row],[LP Premium]])+ (SnapshotTable[[#This Row],[LC Premium]] - SnapshotTable[[#This Row],[SC Premium]])</f>
        <v>0</v>
      </c>
      <c r="GW103" s="139" t="str">
        <f>IF(AND(SnapshotTable[[#This Row],[Exposure]] &lt;&gt; 0),SnapshotTable[[#This Row],[Exposure]] / SnapshotTable[[#Totals],[Exposure]], "")</f>
        <v/>
      </c>
      <c r="HE103" s="268"/>
      <c r="HF103" s="268"/>
      <c r="HK103" s="1"/>
      <c r="HL103" s="1"/>
      <c r="HM103" s="1"/>
      <c r="HN103" s="1"/>
      <c r="HO103" s="1"/>
      <c r="HP103" s="1"/>
    </row>
    <row r="104" spans="2:224" ht="12.75" hidden="1" customHeight="1" x14ac:dyDescent="0.25">
      <c r="B104" s="12" t="s">
        <v>1076</v>
      </c>
      <c r="C104" s="422">
        <v>136.19999999999999</v>
      </c>
      <c r="D104" s="208" t="s">
        <v>1075</v>
      </c>
      <c r="E104" s="39">
        <f>SnapshotTable[[#This Row],[Last Price]]*(1 -CrashDiscount)</f>
        <v>115.76999999999998</v>
      </c>
      <c r="F104" s="26" t="s">
        <v>1077</v>
      </c>
      <c r="G104" s="26" t="s">
        <v>610</v>
      </c>
      <c r="H104" s="149"/>
      <c r="I104" s="194">
        <v>45064.291666666664</v>
      </c>
      <c r="J104" s="195">
        <v>45064.291666666664</v>
      </c>
      <c r="K104" s="196"/>
      <c r="L104" s="326"/>
      <c r="M104" s="140"/>
      <c r="N104" s="140"/>
      <c r="O104" s="140"/>
      <c r="P104" s="22"/>
      <c r="Q104" s="25"/>
      <c r="R104" s="4" t="str">
        <f>IF(SnapshotTable[[#This Row],[Equity Basis Total]] &gt; 0, SnapshotTable[[#This Row],[Equity Basis Total]] / SnapshotTable[[#This Row],[Equity Shares]], "")</f>
        <v/>
      </c>
      <c r="S104" s="269">
        <f>SnapshotTable[[#This Row],[Last Price]] * SnapshotTable[[#This Row],[Equity Shares]]</f>
        <v>0</v>
      </c>
      <c r="T104" s="269">
        <f>SnapshotTable[[#This Row],[Equity Value]] - SnapshotTable[[#This Row],[Equity Basis Total]]</f>
        <v>0</v>
      </c>
      <c r="U104" s="270" t="str">
        <f>IF(SnapshotTable[[#This Row],[Equity Basis Total]] &gt; 0, SnapshotTable[[#This Row],[Equity G/L]] / SnapshotTable[[#This Row],[Equity Basis Total]], "")</f>
        <v/>
      </c>
      <c r="V104" s="268"/>
      <c r="W104" s="26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7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0"/>
      <c r="AD104" s="151"/>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1"/>
      <c r="AI104" s="5"/>
      <c r="AJ104" s="138">
        <v>150.33000000000001</v>
      </c>
      <c r="AK104" s="152" t="str">
        <f>IF(ISNUMBER( SnapshotTable[[#This Row],[EBF Target]]),(SnapshotTable[[#This Row],[EBF Target]] - SnapshotTable[[#This Row],[Last Price]]) / SnapshotTable[[#This Row],[Last Price]], "")</f>
        <v/>
      </c>
      <c r="AL104" s="152"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2">
        <f>IF(AND(ISNUMBER( SnapshotTable[[#This Row],[Long Term Target]]), ISNUMBER(SnapshotTable[[#This Row],[Last Price]])),(SnapshotTable[[#This Row],[Long Term Target]] - SnapshotTable[[#This Row],[Last Price]]) / SnapshotTable[[#This Row],[Last Price]], "")</f>
        <v>0.10374449339207067</v>
      </c>
      <c r="AP104" s="5">
        <v>119</v>
      </c>
      <c r="AQ104" s="38" t="s">
        <v>38</v>
      </c>
      <c r="AR104" s="5">
        <v>119</v>
      </c>
      <c r="AS104" s="38" t="s">
        <v>26</v>
      </c>
      <c r="AT104" s="146" t="s">
        <v>538</v>
      </c>
      <c r="AU104" s="187" t="str">
        <f>IF(OR(SnapshotTable[[#This Row],[LP No Fill]]="Y",SnapshotTable[[#This Row],[SP Is Filled]],SnapshotTable[[#This Row],[LC Not Filled]]="Y",SnapshotTable[[#This Row],[SC Is Filled]]),"Y","")</f>
        <v/>
      </c>
      <c r="AV104" s="219"/>
      <c r="AW104" s="225"/>
      <c r="AX104" s="220"/>
      <c r="AY104" s="219" t="str">
        <f>IF(SnapshotTable[[#This Row],[Implied Move]]&gt;0, SnapshotTable[[#This Row],[Last Price]]-SnapshotTable[[#This Row],[Implied Move]],"")</f>
        <v/>
      </c>
      <c r="AZ104" s="219" t="str">
        <f>IF(SnapshotTable[[#This Row],[Implied Move]]&gt;0, SnapshotTable[[#This Row],[Last Price]] + SnapshotTable[[#This Row],[Implied Move]],"")</f>
        <v/>
      </c>
      <c r="BA104" s="331">
        <v>116.6</v>
      </c>
      <c r="BB104" s="347"/>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51"/>
      <c r="BE104" s="5"/>
      <c r="BF104" s="14"/>
      <c r="BG104" s="13"/>
      <c r="BH104" s="13"/>
      <c r="BI104" s="5"/>
      <c r="BJ104" s="136">
        <f>IF(SnapshotTable[[#This Row],[LP Qty]] &gt; 0, SnapshotTable[[#This Row],[LP Qty]] * SnapshotTable[[#This Row],[LP Book Price]] * 100,0)</f>
        <v>0</v>
      </c>
      <c r="BK104" s="136">
        <f>IF(SnapshotTable[[#This Row],[LP Premium]] &gt; 0, SnapshotTable[[#This Row],[LP Qty]] * SnapshotTable[[#This Row],[LP Strike Price]] * 100,0)</f>
        <v>0</v>
      </c>
      <c r="BL104" s="154"/>
      <c r="BM104" s="385" t="str">
        <f>IF(SnapshotTable[[#This Row],[LP Premium]] &gt; 0,SnapshotTable[[#This Row],[LP Exp Date]]-MAX(SnapshotTable[[#This Row],[LP Book Date]], SnapshotTable[[#This Row],[LP Fill Date]]),"")</f>
        <v/>
      </c>
      <c r="BN104" s="385" t="str">
        <f>IF(ISNUMBER( SnapshotTable[[#This Row],[LP Term]]), SnapshotTable[[#This Row],[LP Exp Date]] - MockToday,"")</f>
        <v/>
      </c>
      <c r="BO104" s="163"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7"/>
      <c r="BU104" s="13"/>
      <c r="BV104" s="5"/>
      <c r="BW104" s="419" t="b">
        <f>AND(ISNUMBER(SnapshotTable[[#This Row],[SP Exp Date]]), ISNUMBER(SnapshotTable[[#This Row],[SP Strike Price]]), ISNUMBER(SnapshotTable[[#This Row],[SP Qty]]), ISNUMBER(SnapshotTable[[#This Row],[SP Book Date]]), ISNUMBER(SnapshotTable[[#This Row],[SP Book Price]]))</f>
        <v>0</v>
      </c>
      <c r="BX104" s="419" t="b">
        <f>AND(SnapshotTable[[#This Row],[SP Is Booked]], NOT(ISBLANK(SnapshotTable[[#This Row],[SP Fill Date]])))</f>
        <v>0</v>
      </c>
      <c r="BY104" s="33">
        <f>IF(SnapshotTable[[#This Row],[SP Is Booked]], SnapshotTable[[#This Row],[SP Qty]] * SnapshotTable[[#This Row],[SP Book Price]] * 100, 0)</f>
        <v>0</v>
      </c>
      <c r="BZ104" s="369"/>
      <c r="CA104" s="368">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3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44"/>
      <c r="CK104" s="31">
        <f>IF(ISNUMBER(SnapshotTable[[#This Row],[SP Potential Spend]]),IF(ISNUMBER(SnapshotTable[[#This Row],[SP POW]]), SnapshotTable[[#This Row],[SP POW]] * SnapshotTable[[#This Row],[SP Potential Spend]], SnapshotTable[[#This Row],[SP Potential Spend]]), "")</f>
        <v>0</v>
      </c>
      <c r="CL104" s="164">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8"/>
      <c r="CO104" s="369"/>
      <c r="CP104" s="4" t="str">
        <f>IF(SnapshotTable[[#This Row],[SP Is Filled]], btc_max_buyback_amount(SnapshotTable[[#This Row],[SP Fill Date]],SnapshotTable[[#This Row],[SP Exp Date]], SnapshotTable[[#This Row],[SP Book Price]]),"")</f>
        <v/>
      </c>
      <c r="CQ104" s="78"/>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5" t="str">
        <f>IF(SnapshotTable[[#This Row],[SP Is Filled]], btc_next_cutoff_date(SnapshotTable[[#This Row],[SP Fill Date]],SnapshotTable[[#This Row],[SP Exp Date]]),"")</f>
        <v/>
      </c>
      <c r="CT104" s="23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3"/>
      <c r="CV104" s="235"/>
      <c r="CW104" s="378"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294" t="str">
        <f>IF(ISNUMBER((SnapshotTable[[#This Row],[SP Total Value]])), SnapshotTable[[#This Row],[SP Gain Loss]] / SnapshotTable[[#This Row],[SP Premium]], "")</f>
        <v/>
      </c>
      <c r="DI104" s="406"/>
      <c r="DJ104" s="138"/>
      <c r="DK104" s="148"/>
      <c r="DL104" s="13"/>
      <c r="DM104" s="13"/>
      <c r="DO104" s="31">
        <f>IF(SnapshotTable[[#This Row],[LC Symbol Count]]=1, SnapshotTable[[#This Row],[LC Qty]] * SnapshotTable[[#This Row],[LC Book Price]] * 100, 0)</f>
        <v>0</v>
      </c>
      <c r="DP104" s="163" t="str">
        <f>IF(AND(SnapshotTable[[#This Row],[LC Exp Date]]&gt;0, SnapshotTable[[#This Row],[LC Strike Price]]&gt;0,SnapshotTable[[#This Row],[LC Qty]]&gt;0,SnapshotTable[[#This Row],[LC Book Date]]&gt;0,SnapshotTable[[#This Row],[LC Book Price]]&gt;0,SnapshotTable[[#This Row],[LC Fill Date]]=0),"Y","")</f>
        <v/>
      </c>
      <c r="DQ104" s="386" t="str">
        <f>IF(SnapshotTable[[#This Row],[LC Premium]] &gt; 0,SnapshotTable[[#This Row],[LC Exp Date]]-MAX(SnapshotTable[[#This Row],[LC Book Date]], SnapshotTable[[#This Row],[LC Fill Date]]),"")</f>
        <v/>
      </c>
      <c r="DR104" s="386" t="str">
        <f>IF(ISNUMBER(SnapshotTable[[#This Row],[LC Term]]), SnapshotTable[[#This Row],[LC Exp Date]] - MockToday, "")</f>
        <v/>
      </c>
      <c r="DS104" s="23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40" t="str">
        <f>IF(ISNUMBER(SnapshotTable[[#This Row],[LC Actual Gain Loss]]), SnapshotTable[[#This Row],[LC Actual Gain Loss]] / SnapshotTable[[#This Row],[LC Premium]],"")</f>
        <v/>
      </c>
      <c r="DX104" s="284" t="str">
        <f>IF(ISNUMBER(SnapshotTable[[#This Row],[LC Book Price]]),SnapshotTable[[#This Row],[LC Book Price]] * 1.5,"")</f>
        <v/>
      </c>
      <c r="DY104" s="265" t="str">
        <f>IF(SnapshotTable[[#This Row],[LC Premium]]&gt;0, SnapshotTable[[#This Row],[LC Next Target]] * SnapshotTable[[#This Row],[LC Qty]] * 100,"")</f>
        <v/>
      </c>
      <c r="DZ104" s="265" t="str">
        <f>IF(ISNUMBER(SnapshotTable[[#This Row],[LC Target Gross]]), SnapshotTable[[#This Row],[LC Target Gross]] - SnapshotTable[[#This Row],[LC Premium]], "")</f>
        <v/>
      </c>
      <c r="EA104" s="305" t="str">
        <f>IF(ISNUMBER(SnapshotTable[[#This Row],[LC Target Gain Loss]]), SnapshotTable[[#This Row],[LC Target Gain Loss]]/SnapshotTable[[#This Row],[LC Premium]], "")</f>
        <v/>
      </c>
      <c r="EB104" s="262"/>
      <c r="EC104" s="283" t="str">
        <f>IF(SnapshotTable[[#This Row],[LC Premium]]&gt;0, SnapshotTable[[#This Row],[LC Book Price]] * (1 - LC_StopLoss_Pct),"")</f>
        <v/>
      </c>
      <c r="ED104" s="284"/>
      <c r="EE104" s="28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4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7"/>
      <c r="EL104" s="138"/>
      <c r="EM104" s="148"/>
      <c r="EN104" s="147"/>
      <c r="EO104" s="147"/>
      <c r="EP104" s="138"/>
      <c r="EQ104" s="419" t="b">
        <f>AND(ISNUMBER(SnapshotTable[[#This Row],[SC Exp Date]]), ISNUMBER(SnapshotTable[[#This Row],[SC Strike Price]]), ISNUMBER(SnapshotTable[[#This Row],[SC Qty]]), ISNUMBER(SnapshotTable[[#This Row],[SC Book Date]]), ISNUMBER(SnapshotTable[[#This Row],[SC Book Price]]))</f>
        <v>0</v>
      </c>
      <c r="ER104" s="419" t="b">
        <f>AND(SnapshotTable[[#This Row],[SC Is Booked]], NOT(ISBLANK(SnapshotTable[[#This Row],[SC Fill Date]])))</f>
        <v>0</v>
      </c>
      <c r="ES104" s="370"/>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3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283"/>
      <c r="FA104" s="218"/>
      <c r="FB104" s="370"/>
      <c r="FC104" s="4">
        <f>IF(SnapshotTable[[#This Row],[SC Is Filled]], btc_max_buyback_amount(SnapshotTable[[#This Row],[SC Fill Date]],SnapshotTable[[#This Row],[SC Exp Date]], SnapshotTable[[#This Row],[SC Book Price]]),0)</f>
        <v>0</v>
      </c>
      <c r="FD104" s="5"/>
      <c r="FE104" s="144"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382">
        <f>IF(SnapshotTable[[#This Row],[SC Is Filled]], IF(ISNUMBER(SnapshotTable[[#This Row],[SC Current Ask]]), SnapshotTable[[#This Row],[SC Current Ask]], SnapshotTable[[#This Row],[SC Book Price]]) - SnapshotTable[[#This Row],[SC Intrinsic Value]], 0)</f>
        <v>0</v>
      </c>
      <c r="FI104" s="143"/>
      <c r="FJ104" s="32" t="str">
        <f>IF(SnapshotTable[[#This Row],[SC Is Filled]],100 * SnapshotTable[[#This Row],[SC Qty]] * IF(ISNUMBER(SnapshotTable[[#This Row],[SC Buyback Override]]), SnapshotTable[[#This Row],[SC Buyback Override]], SnapshotTable[[#This Row],[SC Current Ask]]), "")</f>
        <v/>
      </c>
      <c r="FK104" s="250" t="str">
        <f>IF(SnapshotTable[[#This Row],[SC Time Val]]&gt;0, SnapshotTable[[#This Row],[SC Time Val]] / SnapshotTable[[#This Row],[Last Price]],"")</f>
        <v/>
      </c>
      <c r="FL104" s="302" t="str">
        <f>IF(SnapshotTable[[#This Row],[SC Is Booked]], ((SnapshotTable[[#This Row],[Last Price]] -SnapshotTable[[#This Row],[SC Strike Price]]) / SnapshotTable[[#This Row],[Last Price]]) * -1, "")</f>
        <v/>
      </c>
      <c r="FM104" s="157"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33"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36" t="str">
        <f>IF(AND(ISNUMBER(SnapshotTable[[#This Row],[SC Simple ROO]]),SnapshotTable[[#This Row],[SC Simple ROO]] &gt; 0), SnapshotTable[[#This Row],[SC Premium]] + (SnapshotTable[[#This Row],[SC Qty]] * SnapshotTable[[#This Row],[SC Upside Potential]]), "")</f>
        <v/>
      </c>
      <c r="FX104" s="302" t="str" cm="1">
        <f t="array" ref="FX104">IF(ISNUMBER(SnapshotTable[[#This Row],[SC Max Dollars]]), annualize(SnapshotTable[[#This Row],[SC Term]],(SnapshotTable[[#This Row],[SC Max Dollars]]/SnapshotTable[[#This Row],[SC Basis]])),"")</f>
        <v/>
      </c>
      <c r="FY104" s="23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29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265.58999999999997</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31">
        <f>MAX(SnapshotTable[[#This Row],[Equity Basis Total]],SnapshotTable[[#This Row],[Equity Value]]) + (SnapshotTable[[#This Row],[SP Potential Spend]]- SnapshotTable[[#This Row],[SP Premium]] + SnapshotTable[[#This Row],[LP Premium]])+ (SnapshotTable[[#This Row],[LC Premium]] - SnapshotTable[[#This Row],[SC Premium]])</f>
        <v>0</v>
      </c>
      <c r="GW104" s="139" t="str">
        <f>IF(AND(SnapshotTable[[#This Row],[Exposure]] &lt;&gt; 0),SnapshotTable[[#This Row],[Exposure]] / SnapshotTable[[#Totals],[Exposure]], "")</f>
        <v/>
      </c>
      <c r="HE104" s="268"/>
      <c r="HF104" s="268"/>
      <c r="HK104" s="1"/>
      <c r="HL104" s="1"/>
      <c r="HM104" s="1"/>
      <c r="HN104" s="1"/>
      <c r="HO104" s="1"/>
      <c r="HP104" s="1"/>
    </row>
    <row r="105" spans="2:224" ht="12.75" hidden="1" customHeight="1" x14ac:dyDescent="0.25">
      <c r="B105" s="12" t="s">
        <v>1244</v>
      </c>
      <c r="C105" s="422">
        <v>3.95</v>
      </c>
      <c r="D105" s="208" t="s">
        <v>258</v>
      </c>
      <c r="E105" s="39">
        <f>SnapshotTable[[#This Row],[Last Price]]*(1 -CrashDiscount)</f>
        <v>3.3574999999999999</v>
      </c>
      <c r="F105" s="26" t="s">
        <v>550</v>
      </c>
      <c r="G105" s="26" t="s">
        <v>41</v>
      </c>
      <c r="H105" s="149"/>
      <c r="I105" s="194"/>
      <c r="J105" s="195"/>
      <c r="K105" s="196"/>
      <c r="L105" s="326"/>
      <c r="M105" s="140"/>
      <c r="N105" s="140"/>
      <c r="O105" s="140"/>
      <c r="P105" s="22"/>
      <c r="Q105" s="25"/>
      <c r="R105" s="4" t="str">
        <f>IF(SnapshotTable[[#This Row],[Equity Basis Total]] &gt; 0, SnapshotTable[[#This Row],[Equity Basis Total]] / SnapshotTable[[#This Row],[Equity Shares]], "")</f>
        <v/>
      </c>
      <c r="S105" s="269">
        <f>SnapshotTable[[#This Row],[Last Price]] * SnapshotTable[[#This Row],[Equity Shares]]</f>
        <v>0</v>
      </c>
      <c r="T105" s="269">
        <f>SnapshotTable[[#This Row],[Equity Value]] - SnapshotTable[[#This Row],[Equity Basis Total]]</f>
        <v>0</v>
      </c>
      <c r="U105" s="270" t="str">
        <f>IF(SnapshotTable[[#This Row],[Equity Basis Total]] &gt; 0, SnapshotTable[[#This Row],[Equity G/L]] / SnapshotTable[[#This Row],[Equity Basis Total]], "")</f>
        <v/>
      </c>
      <c r="V105" s="268"/>
      <c r="W105" s="26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7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0"/>
      <c r="AD105" s="151"/>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1"/>
      <c r="AI105" s="5"/>
      <c r="AJ105" s="138"/>
      <c r="AK105" s="152" t="str">
        <f>IF(ISNUMBER( SnapshotTable[[#This Row],[EBF Target]]),(SnapshotTable[[#This Row],[EBF Target]] - SnapshotTable[[#This Row],[Last Price]]) / SnapshotTable[[#This Row],[Last Price]], "")</f>
        <v/>
      </c>
      <c r="AL105" s="152"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2" t="str">
        <f>IF(AND(ISNUMBER( SnapshotTable[[#This Row],[Long Term Target]]), ISNUMBER(SnapshotTable[[#This Row],[Last Price]])),(SnapshotTable[[#This Row],[Long Term Target]] - SnapshotTable[[#This Row],[Last Price]]) / SnapshotTable[[#This Row],[Last Price]], "")</f>
        <v/>
      </c>
      <c r="AP105" s="5">
        <v>4</v>
      </c>
      <c r="AQ105" s="38" t="s">
        <v>27</v>
      </c>
      <c r="AR105" s="5">
        <v>2</v>
      </c>
      <c r="AS105" s="38" t="s">
        <v>1083</v>
      </c>
      <c r="AT105" s="146" t="s">
        <v>533</v>
      </c>
      <c r="AU105" s="187" t="str">
        <f>IF(OR(SnapshotTable[[#This Row],[LP No Fill]]="Y",SnapshotTable[[#This Row],[SP Is Filled]],SnapshotTable[[#This Row],[LC Not Filled]]="Y",SnapshotTable[[#This Row],[SC Is Filled]]),"Y","")</f>
        <v/>
      </c>
      <c r="AV105" s="219"/>
      <c r="AW105" s="225"/>
      <c r="AX105" s="220"/>
      <c r="AY105" s="219" t="str">
        <f>IF(SnapshotTable[[#This Row],[Implied Move]]&gt;0, SnapshotTable[[#This Row],[Last Price]]-SnapshotTable[[#This Row],[Implied Move]],"")</f>
        <v/>
      </c>
      <c r="AZ105" s="219" t="str">
        <f>IF(SnapshotTable[[#This Row],[Implied Move]]&gt;0, SnapshotTable[[#This Row],[Last Price]] + SnapshotTable[[#This Row],[Implied Move]],"")</f>
        <v/>
      </c>
      <c r="BA105" s="331">
        <v>0.19</v>
      </c>
      <c r="BB105" s="347"/>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51"/>
      <c r="BE105" s="5"/>
      <c r="BF105" s="14"/>
      <c r="BG105" s="13"/>
      <c r="BH105" s="13"/>
      <c r="BI105" s="5"/>
      <c r="BJ105" s="136">
        <f>IF(SnapshotTable[[#This Row],[LP Qty]] &gt; 0, SnapshotTable[[#This Row],[LP Qty]] * SnapshotTable[[#This Row],[LP Book Price]] * 100,0)</f>
        <v>0</v>
      </c>
      <c r="BK105" s="136">
        <f>IF(SnapshotTable[[#This Row],[LP Premium]] &gt; 0, SnapshotTable[[#This Row],[LP Qty]] * SnapshotTable[[#This Row],[LP Strike Price]] * 100,0)</f>
        <v>0</v>
      </c>
      <c r="BL105" s="154"/>
      <c r="BM105" s="385" t="str">
        <f>IF(SnapshotTable[[#This Row],[LP Premium]] &gt; 0,SnapshotTable[[#This Row],[LP Exp Date]]-MAX(SnapshotTable[[#This Row],[LP Book Date]], SnapshotTable[[#This Row],[LP Fill Date]]),"")</f>
        <v/>
      </c>
      <c r="BN105" s="385" t="str">
        <f>IF(ISNUMBER( SnapshotTable[[#This Row],[LP Term]]), SnapshotTable[[#This Row],[LP Exp Date]] - MockToday,"")</f>
        <v/>
      </c>
      <c r="BO105" s="163"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7"/>
      <c r="BU105" s="13"/>
      <c r="BV105" s="5"/>
      <c r="BW105" s="419" t="b">
        <f>AND(ISNUMBER(SnapshotTable[[#This Row],[SP Exp Date]]), ISNUMBER(SnapshotTable[[#This Row],[SP Strike Price]]), ISNUMBER(SnapshotTable[[#This Row],[SP Qty]]), ISNUMBER(SnapshotTable[[#This Row],[SP Book Date]]), ISNUMBER(SnapshotTable[[#This Row],[SP Book Price]]))</f>
        <v>0</v>
      </c>
      <c r="BX105" s="419" t="b">
        <f>AND(SnapshotTable[[#This Row],[SP Is Booked]], NOT(ISBLANK(SnapshotTable[[#This Row],[SP Fill Date]])))</f>
        <v>0</v>
      </c>
      <c r="BY105" s="33">
        <f>IF(SnapshotTable[[#This Row],[SP Is Booked]], SnapshotTable[[#This Row],[SP Qty]] * SnapshotTable[[#This Row],[SP Book Price]] * 100, 0)</f>
        <v>0</v>
      </c>
      <c r="BZ105" s="369"/>
      <c r="CA105" s="368">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3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44">
        <v>0.8</v>
      </c>
      <c r="CK105" s="31">
        <f>IF(ISNUMBER(SnapshotTable[[#This Row],[SP Potential Spend]]),IF(ISNUMBER(SnapshotTable[[#This Row],[SP POW]]), SnapshotTable[[#This Row],[SP POW]] * SnapshotTable[[#This Row],[SP Potential Spend]], SnapshotTable[[#This Row],[SP Potential Spend]]), "")</f>
        <v>0</v>
      </c>
      <c r="CL105" s="164">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8"/>
      <c r="CO105" s="369"/>
      <c r="CP105" s="4" t="str">
        <f>IF(SnapshotTable[[#This Row],[SP Is Filled]], btc_max_buyback_amount(SnapshotTable[[#This Row],[SP Fill Date]],SnapshotTable[[#This Row],[SP Exp Date]], SnapshotTable[[#This Row],[SP Book Price]]),"")</f>
        <v/>
      </c>
      <c r="CQ105" s="78"/>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5" t="str">
        <f>IF(SnapshotTable[[#This Row],[SP Is Filled]], btc_next_cutoff_date(SnapshotTable[[#This Row],[SP Fill Date]],SnapshotTable[[#This Row],[SP Exp Date]]),"")</f>
        <v/>
      </c>
      <c r="CT105" s="23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6"/>
      <c r="CV105" s="235"/>
      <c r="CW105" s="378"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294" t="str">
        <f>IF(ISNUMBER((SnapshotTable[[#This Row],[SP Total Value]])), SnapshotTable[[#This Row],[SP Gain Loss]] / SnapshotTable[[#This Row],[SP Premium]], "")</f>
        <v/>
      </c>
      <c r="DI105" s="406"/>
      <c r="DJ105" s="138"/>
      <c r="DK105" s="148"/>
      <c r="DL105" s="13"/>
      <c r="DM105" s="13"/>
      <c r="DO105" s="31">
        <f>IF(SnapshotTable[[#This Row],[LC Symbol Count]]=1, SnapshotTable[[#This Row],[LC Qty]] * SnapshotTable[[#This Row],[LC Book Price]] * 100, 0)</f>
        <v>0</v>
      </c>
      <c r="DP105" s="163" t="str">
        <f>IF(AND(SnapshotTable[[#This Row],[LC Exp Date]]&gt;0, SnapshotTable[[#This Row],[LC Strike Price]]&gt;0,SnapshotTable[[#This Row],[LC Qty]]&gt;0,SnapshotTable[[#This Row],[LC Book Date]]&gt;0,SnapshotTable[[#This Row],[LC Book Price]]&gt;0,SnapshotTable[[#This Row],[LC Fill Date]]=0),"Y","")</f>
        <v/>
      </c>
      <c r="DQ105" s="386" t="str">
        <f>IF(SnapshotTable[[#This Row],[LC Premium]] &gt; 0,SnapshotTable[[#This Row],[LC Exp Date]]-MAX(SnapshotTable[[#This Row],[LC Book Date]], SnapshotTable[[#This Row],[LC Fill Date]]),"")</f>
        <v/>
      </c>
      <c r="DR105" s="386" t="str">
        <f>IF(ISNUMBER(SnapshotTable[[#This Row],[LC Term]]), SnapshotTable[[#This Row],[LC Exp Date]] - MockToday, "")</f>
        <v/>
      </c>
      <c r="DS105" s="23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40" t="str">
        <f>IF(ISNUMBER(SnapshotTable[[#This Row],[LC Actual Gain Loss]]), SnapshotTable[[#This Row],[LC Actual Gain Loss]] / SnapshotTable[[#This Row],[LC Premium]],"")</f>
        <v/>
      </c>
      <c r="DX105" s="284" t="str">
        <f>IF(ISNUMBER(SnapshotTable[[#This Row],[LC Book Price]]),SnapshotTable[[#This Row],[LC Book Price]] * 1.5,"")</f>
        <v/>
      </c>
      <c r="DY105" s="265" t="str">
        <f>IF(SnapshotTable[[#This Row],[LC Premium]]&gt;0, SnapshotTable[[#This Row],[LC Next Target]] * SnapshotTable[[#This Row],[LC Qty]] * 100,"")</f>
        <v/>
      </c>
      <c r="DZ105" s="265" t="str">
        <f>IF(ISNUMBER(SnapshotTable[[#This Row],[LC Target Gross]]), SnapshotTable[[#This Row],[LC Target Gross]] - SnapshotTable[[#This Row],[LC Premium]], "")</f>
        <v/>
      </c>
      <c r="EA105" s="305" t="str">
        <f>IF(ISNUMBER(SnapshotTable[[#This Row],[LC Target Gain Loss]]), SnapshotTable[[#This Row],[LC Target Gain Loss]]/SnapshotTable[[#This Row],[LC Premium]], "")</f>
        <v/>
      </c>
      <c r="EB105" s="262"/>
      <c r="EC105" s="283" t="str">
        <f>IF(SnapshotTable[[#This Row],[LC Premium]]&gt;0, SnapshotTable[[#This Row],[LC Book Price]] * (1 - LC_StopLoss_Pct),"")</f>
        <v/>
      </c>
      <c r="ED105" s="284"/>
      <c r="EE105" s="28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4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7"/>
      <c r="EL105" s="138"/>
      <c r="EM105" s="148"/>
      <c r="EN105" s="147"/>
      <c r="EO105" s="147"/>
      <c r="EP105" s="138"/>
      <c r="EQ105" s="419" t="b">
        <f>AND(ISNUMBER(SnapshotTable[[#This Row],[SC Exp Date]]), ISNUMBER(SnapshotTable[[#This Row],[SC Strike Price]]), ISNUMBER(SnapshotTable[[#This Row],[SC Qty]]), ISNUMBER(SnapshotTable[[#This Row],[SC Book Date]]), ISNUMBER(SnapshotTable[[#This Row],[SC Book Price]]))</f>
        <v>0</v>
      </c>
      <c r="ER105" s="419" t="b">
        <f>AND(SnapshotTable[[#This Row],[SC Is Booked]], NOT(ISBLANK(SnapshotTable[[#This Row],[SC Fill Date]])))</f>
        <v>0</v>
      </c>
      <c r="ES105" s="370"/>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3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283"/>
      <c r="FA105" s="218"/>
      <c r="FB105" s="370"/>
      <c r="FC105" s="4">
        <f>IF(SnapshotTable[[#This Row],[SC Is Filled]], btc_max_buyback_amount(SnapshotTable[[#This Row],[SC Fill Date]],SnapshotTable[[#This Row],[SC Exp Date]], SnapshotTable[[#This Row],[SC Book Price]]),0)</f>
        <v>0</v>
      </c>
      <c r="FD105" s="5"/>
      <c r="FE105" s="144"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382">
        <f>IF(SnapshotTable[[#This Row],[SC Is Filled]], IF(ISNUMBER(SnapshotTable[[#This Row],[SC Current Ask]]), SnapshotTable[[#This Row],[SC Current Ask]], SnapshotTable[[#This Row],[SC Book Price]]) - SnapshotTable[[#This Row],[SC Intrinsic Value]], 0)</f>
        <v>0</v>
      </c>
      <c r="FI105" s="143"/>
      <c r="FJ105" s="32" t="str">
        <f>IF(SnapshotTable[[#This Row],[SC Is Filled]],100 * SnapshotTable[[#This Row],[SC Qty]] * IF(ISNUMBER(SnapshotTable[[#This Row],[SC Buyback Override]]), SnapshotTable[[#This Row],[SC Buyback Override]], SnapshotTable[[#This Row],[SC Current Ask]]), "")</f>
        <v/>
      </c>
      <c r="FK105" s="250" t="str">
        <f>IF(SnapshotTable[[#This Row],[SC Time Val]]&gt;0, SnapshotTable[[#This Row],[SC Time Val]] / SnapshotTable[[#This Row],[Last Price]],"")</f>
        <v/>
      </c>
      <c r="FL105" s="302" t="str">
        <f>IF(SnapshotTable[[#This Row],[SC Is Booked]], ((SnapshotTable[[#This Row],[Last Price]] -SnapshotTable[[#This Row],[SC Strike Price]]) / SnapshotTable[[#This Row],[Last Price]]) * -1, "")</f>
        <v/>
      </c>
      <c r="FM105" s="157"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33"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36" t="str">
        <f>IF(AND(ISNUMBER(SnapshotTable[[#This Row],[SC Simple ROO]]),SnapshotTable[[#This Row],[SC Simple ROO]] &gt; 0), SnapshotTable[[#This Row],[SC Premium]] + (SnapshotTable[[#This Row],[SC Qty]] * SnapshotTable[[#This Row],[SC Upside Potential]]), "")</f>
        <v/>
      </c>
      <c r="FX105" s="302" t="str" cm="1">
        <f t="array" ref="FX105">IF(ISNUMBER(SnapshotTable[[#This Row],[SC Max Dollars]]), annualize(SnapshotTable[[#This Row],[SC Term]],(SnapshotTable[[#This Row],[SC Max Dollars]]/SnapshotTable[[#This Row],[SC Basis]])),"")</f>
        <v/>
      </c>
      <c r="FY105" s="23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29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7.7025000000000006</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1243</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31">
        <f>MAX(SnapshotTable[[#This Row],[Equity Basis Total]],SnapshotTable[[#This Row],[Equity Value]]) + (SnapshotTable[[#This Row],[SP Potential Spend]]- SnapshotTable[[#This Row],[SP Premium]] + SnapshotTable[[#This Row],[LP Premium]])+ (SnapshotTable[[#This Row],[LC Premium]] - SnapshotTable[[#This Row],[SC Premium]])</f>
        <v>0</v>
      </c>
      <c r="GW105" s="139" t="str">
        <f>IF(AND(SnapshotTable[[#This Row],[Exposure]] &lt;&gt; 0),SnapshotTable[[#This Row],[Exposure]] / SnapshotTable[[#Totals],[Exposure]], "")</f>
        <v/>
      </c>
      <c r="HE105" s="268"/>
      <c r="HF105" s="268"/>
      <c r="HK105" s="1"/>
      <c r="HL105" s="1"/>
      <c r="HM105" s="1"/>
      <c r="HN105" s="1"/>
      <c r="HO105" s="1"/>
      <c r="HP105" s="1"/>
    </row>
    <row r="106" spans="2:224" ht="12.75" hidden="1" customHeight="1" x14ac:dyDescent="0.25">
      <c r="B106" s="12" t="s">
        <v>1240</v>
      </c>
      <c r="C106" s="422">
        <v>82.64</v>
      </c>
      <c r="D106" s="208"/>
      <c r="E106" s="39">
        <f>SnapshotTable[[#This Row],[Last Price]]*(1 -CrashDiscount)</f>
        <v>70.244</v>
      </c>
      <c r="F106" s="26" t="s">
        <v>840</v>
      </c>
      <c r="G106" s="325" t="s">
        <v>9</v>
      </c>
      <c r="H106" s="149"/>
      <c r="I106" s="194"/>
      <c r="J106" s="195"/>
      <c r="K106" s="196"/>
      <c r="L106" s="326"/>
      <c r="M106" s="140"/>
      <c r="N106" s="140"/>
      <c r="O106" s="140"/>
      <c r="P106" s="22"/>
      <c r="Q106" s="25"/>
      <c r="R106" s="4" t="str">
        <f>IF(SnapshotTable[[#This Row],[Equity Basis Total]] &gt; 0, SnapshotTable[[#This Row],[Equity Basis Total]] / SnapshotTable[[#This Row],[Equity Shares]], "")</f>
        <v/>
      </c>
      <c r="S106" s="269">
        <f>SnapshotTable[[#This Row],[Last Price]] * SnapshotTable[[#This Row],[Equity Shares]]</f>
        <v>0</v>
      </c>
      <c r="T106" s="269">
        <f>SnapshotTable[[#This Row],[Equity Value]] - SnapshotTable[[#This Row],[Equity Basis Total]]</f>
        <v>0</v>
      </c>
      <c r="U106" s="270" t="str">
        <f>IF(SnapshotTable[[#This Row],[Equity Basis Total]] &gt; 0, SnapshotTable[[#This Row],[Equity G/L]] / SnapshotTable[[#This Row],[Equity Basis Total]], "")</f>
        <v/>
      </c>
      <c r="V106" s="268"/>
      <c r="W106" s="26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7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0"/>
      <c r="AD106" s="151"/>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1"/>
      <c r="AI106" s="5"/>
      <c r="AJ106" s="138"/>
      <c r="AK106" s="152" t="str">
        <f>IF(ISNUMBER( SnapshotTable[[#This Row],[EBF Target]]),(SnapshotTable[[#This Row],[EBF Target]] - SnapshotTable[[#This Row],[Last Price]]) / SnapshotTable[[#This Row],[Last Price]], "")</f>
        <v/>
      </c>
      <c r="AL106" s="152"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2" t="str">
        <f>IF(AND(ISNUMBER( SnapshotTable[[#This Row],[Long Term Target]]), ISNUMBER(SnapshotTable[[#This Row],[Last Price]])),(SnapshotTable[[#This Row],[Long Term Target]] - SnapshotTable[[#This Row],[Last Price]]) / SnapshotTable[[#This Row],[Last Price]], "")</f>
        <v/>
      </c>
      <c r="AP106" s="5"/>
      <c r="AQ106" s="38"/>
      <c r="AR106" s="5"/>
      <c r="AS106" s="38"/>
      <c r="AT106" s="146"/>
      <c r="AU106" s="187" t="str">
        <f>IF(OR(SnapshotTable[[#This Row],[LP No Fill]]="Y",SnapshotTable[[#This Row],[SP Is Filled]],SnapshotTable[[#This Row],[LC Not Filled]]="Y",SnapshotTable[[#This Row],[SC Is Filled]]),"Y","")</f>
        <v/>
      </c>
      <c r="AV106" s="219"/>
      <c r="AW106" s="225"/>
      <c r="AX106" s="220"/>
      <c r="AY106" s="219" t="str">
        <f>IF(SnapshotTable[[#This Row],[Implied Move]]&gt;0, SnapshotTable[[#This Row],[Last Price]]-SnapshotTable[[#This Row],[Implied Move]],"")</f>
        <v/>
      </c>
      <c r="AZ106" s="219" t="str">
        <f>IF(SnapshotTable[[#This Row],[Implied Move]]&gt;0, SnapshotTable[[#This Row],[Last Price]] + SnapshotTable[[#This Row],[Implied Move]],"")</f>
        <v/>
      </c>
      <c r="BA106" s="331">
        <v>136.15</v>
      </c>
      <c r="BB106" s="347" t="s">
        <v>1242</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51"/>
      <c r="BE106" s="5"/>
      <c r="BF106" s="14"/>
      <c r="BG106" s="13"/>
      <c r="BH106" s="13"/>
      <c r="BI106" s="5"/>
      <c r="BJ106" s="136">
        <f>IF(SnapshotTable[[#This Row],[LP Qty]] &gt; 0, SnapshotTable[[#This Row],[LP Qty]] * SnapshotTable[[#This Row],[LP Book Price]] * 100,0)</f>
        <v>0</v>
      </c>
      <c r="BK106" s="136">
        <f>IF(SnapshotTable[[#This Row],[LP Premium]] &gt; 0, SnapshotTable[[#This Row],[LP Qty]] * SnapshotTable[[#This Row],[LP Strike Price]] * 100,0)</f>
        <v>0</v>
      </c>
      <c r="BL106" s="154"/>
      <c r="BM106" s="385" t="str">
        <f>IF(SnapshotTable[[#This Row],[LP Premium]] &gt; 0,SnapshotTable[[#This Row],[LP Exp Date]]-MAX(SnapshotTable[[#This Row],[LP Book Date]], SnapshotTable[[#This Row],[LP Fill Date]]),"")</f>
        <v/>
      </c>
      <c r="BN106" s="385" t="str">
        <f>IF(ISNUMBER( SnapshotTable[[#This Row],[LP Term]]), SnapshotTable[[#This Row],[LP Exp Date]] - MockToday,"")</f>
        <v/>
      </c>
      <c r="BO106" s="163"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7"/>
      <c r="BU106" s="13"/>
      <c r="BV106" s="5"/>
      <c r="BW106" s="419" t="b">
        <f>AND(ISNUMBER(SnapshotTable[[#This Row],[SP Exp Date]]), ISNUMBER(SnapshotTable[[#This Row],[SP Strike Price]]), ISNUMBER(SnapshotTable[[#This Row],[SP Qty]]), ISNUMBER(SnapshotTable[[#This Row],[SP Book Date]]), ISNUMBER(SnapshotTable[[#This Row],[SP Book Price]]))</f>
        <v>0</v>
      </c>
      <c r="BX106" s="419" t="b">
        <f>AND(SnapshotTable[[#This Row],[SP Is Booked]], NOT(ISBLANK(SnapshotTable[[#This Row],[SP Fill Date]])))</f>
        <v>0</v>
      </c>
      <c r="BY106" s="33">
        <f>IF(SnapshotTable[[#This Row],[SP Is Booked]], SnapshotTable[[#This Row],[SP Qty]] * SnapshotTable[[#This Row],[SP Book Price]] * 100, 0)</f>
        <v>0</v>
      </c>
      <c r="BZ106" s="369"/>
      <c r="CA106" s="368">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3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44"/>
      <c r="CK106" s="31">
        <f>IF(ISNUMBER(SnapshotTable[[#This Row],[SP Potential Spend]]),IF(ISNUMBER(SnapshotTable[[#This Row],[SP POW]]), SnapshotTable[[#This Row],[SP POW]] * SnapshotTable[[#This Row],[SP Potential Spend]], SnapshotTable[[#This Row],[SP Potential Spend]]), "")</f>
        <v>0</v>
      </c>
      <c r="CL106" s="164">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8"/>
      <c r="CO106" s="369"/>
      <c r="CP106" s="4" t="str">
        <f>IF(SnapshotTable[[#This Row],[SP Is Filled]], btc_max_buyback_amount(SnapshotTable[[#This Row],[SP Fill Date]],SnapshotTable[[#This Row],[SP Exp Date]], SnapshotTable[[#This Row],[SP Book Price]]),"")</f>
        <v/>
      </c>
      <c r="CQ106" s="78"/>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5" t="str">
        <f>IF(SnapshotTable[[#This Row],[SP Is Filled]], btc_next_cutoff_date(SnapshotTable[[#This Row],[SP Fill Date]],SnapshotTable[[#This Row],[SP Exp Date]]),"")</f>
        <v/>
      </c>
      <c r="CT106" s="23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3"/>
      <c r="CV106" s="235"/>
      <c r="CW106" s="378"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294" t="str">
        <f>IF(ISNUMBER((SnapshotTable[[#This Row],[SP Total Value]])), SnapshotTable[[#This Row],[SP Gain Loss]] / SnapshotTable[[#This Row],[SP Premium]], "")</f>
        <v/>
      </c>
      <c r="DI106" s="406"/>
      <c r="DJ106" s="138"/>
      <c r="DK106" s="148"/>
      <c r="DL106" s="13"/>
      <c r="DM106" s="13"/>
      <c r="DO106" s="31">
        <f>IF(SnapshotTable[[#This Row],[LC Symbol Count]]=1, SnapshotTable[[#This Row],[LC Qty]] * SnapshotTable[[#This Row],[LC Book Price]] * 100, 0)</f>
        <v>0</v>
      </c>
      <c r="DP106" s="163" t="str">
        <f>IF(AND(SnapshotTable[[#This Row],[LC Exp Date]]&gt;0, SnapshotTable[[#This Row],[LC Strike Price]]&gt;0,SnapshotTable[[#This Row],[LC Qty]]&gt;0,SnapshotTable[[#This Row],[LC Book Date]]&gt;0,SnapshotTable[[#This Row],[LC Book Price]]&gt;0,SnapshotTable[[#This Row],[LC Fill Date]]=0),"Y","")</f>
        <v/>
      </c>
      <c r="DQ106" s="386" t="str">
        <f>IF(SnapshotTable[[#This Row],[LC Premium]] &gt; 0,SnapshotTable[[#This Row],[LC Exp Date]]-MAX(SnapshotTable[[#This Row],[LC Book Date]], SnapshotTable[[#This Row],[LC Fill Date]]),"")</f>
        <v/>
      </c>
      <c r="DR106" s="386" t="str">
        <f>IF(ISNUMBER(SnapshotTable[[#This Row],[LC Term]]), SnapshotTable[[#This Row],[LC Exp Date]] - MockToday, "")</f>
        <v/>
      </c>
      <c r="DS106" s="23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40" t="str">
        <f>IF(ISNUMBER(SnapshotTable[[#This Row],[LC Actual Gain Loss]]), SnapshotTable[[#This Row],[LC Actual Gain Loss]] / SnapshotTable[[#This Row],[LC Premium]],"")</f>
        <v/>
      </c>
      <c r="DX106" s="284" t="str">
        <f>IF(ISNUMBER(SnapshotTable[[#This Row],[LC Book Price]]),SnapshotTable[[#This Row],[LC Book Price]] * 1.5,"")</f>
        <v/>
      </c>
      <c r="DY106" s="265" t="str">
        <f>IF(SnapshotTable[[#This Row],[LC Premium]]&gt;0, SnapshotTable[[#This Row],[LC Next Target]] * SnapshotTable[[#This Row],[LC Qty]] * 100,"")</f>
        <v/>
      </c>
      <c r="DZ106" s="265" t="str">
        <f>IF(ISNUMBER(SnapshotTable[[#This Row],[LC Target Gross]]), SnapshotTable[[#This Row],[LC Target Gross]] - SnapshotTable[[#This Row],[LC Premium]], "")</f>
        <v/>
      </c>
      <c r="EA106" s="305" t="str">
        <f>IF(ISNUMBER(SnapshotTable[[#This Row],[LC Target Gain Loss]]), SnapshotTable[[#This Row],[LC Target Gain Loss]]/SnapshotTable[[#This Row],[LC Premium]], "")</f>
        <v/>
      </c>
      <c r="EB106" s="262"/>
      <c r="EC106" s="283" t="str">
        <f>IF(SnapshotTable[[#This Row],[LC Premium]]&gt;0, SnapshotTable[[#This Row],[LC Book Price]] * (1 - LC_StopLoss_Pct),"")</f>
        <v/>
      </c>
      <c r="ED106" s="284"/>
      <c r="EE106" s="28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4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7"/>
      <c r="EL106" s="138"/>
      <c r="EM106" s="148"/>
      <c r="EN106" s="147"/>
      <c r="EO106" s="147"/>
      <c r="EP106" s="138"/>
      <c r="EQ106" s="419" t="b">
        <f>AND(ISNUMBER(SnapshotTable[[#This Row],[SC Exp Date]]), ISNUMBER(SnapshotTable[[#This Row],[SC Strike Price]]), ISNUMBER(SnapshotTable[[#This Row],[SC Qty]]), ISNUMBER(SnapshotTable[[#This Row],[SC Book Date]]), ISNUMBER(SnapshotTable[[#This Row],[SC Book Price]]))</f>
        <v>0</v>
      </c>
      <c r="ER106" s="419" t="b">
        <f>AND(SnapshotTable[[#This Row],[SC Is Booked]], NOT(ISBLANK(SnapshotTable[[#This Row],[SC Fill Date]])))</f>
        <v>0</v>
      </c>
      <c r="ES106" s="370"/>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3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283"/>
      <c r="FA106" s="218"/>
      <c r="FB106" s="370"/>
      <c r="FC106" s="4">
        <f>IF(SnapshotTable[[#This Row],[SC Is Filled]], btc_max_buyback_amount(SnapshotTable[[#This Row],[SC Fill Date]],SnapshotTable[[#This Row],[SC Exp Date]], SnapshotTable[[#This Row],[SC Book Price]]),0)</f>
        <v>0</v>
      </c>
      <c r="FD106" s="5"/>
      <c r="FE106" s="144"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382">
        <f>IF(SnapshotTable[[#This Row],[SC Is Filled]], IF(ISNUMBER(SnapshotTable[[#This Row],[SC Current Ask]]), SnapshotTable[[#This Row],[SC Current Ask]], SnapshotTable[[#This Row],[SC Book Price]]) - SnapshotTable[[#This Row],[SC Intrinsic Value]], 0)</f>
        <v>0</v>
      </c>
      <c r="FI106" s="143"/>
      <c r="FJ106" s="32" t="str">
        <f>IF(SnapshotTable[[#This Row],[SC Is Filled]],100 * SnapshotTable[[#This Row],[SC Qty]] * IF(ISNUMBER(SnapshotTable[[#This Row],[SC Buyback Override]]), SnapshotTable[[#This Row],[SC Buyback Override]], SnapshotTable[[#This Row],[SC Current Ask]]), "")</f>
        <v/>
      </c>
      <c r="FK106" s="250" t="str">
        <f>IF(SnapshotTable[[#This Row],[SC Time Val]]&gt;0, SnapshotTable[[#This Row],[SC Time Val]] / SnapshotTable[[#This Row],[Last Price]],"")</f>
        <v/>
      </c>
      <c r="FL106" s="302" t="str">
        <f>IF(SnapshotTable[[#This Row],[SC Is Booked]], ((SnapshotTable[[#This Row],[Last Price]] -SnapshotTable[[#This Row],[SC Strike Price]]) / SnapshotTable[[#This Row],[Last Price]]) * -1, "")</f>
        <v/>
      </c>
      <c r="FM106" s="157"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33"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36" t="str">
        <f>IF(AND(ISNUMBER(SnapshotTable[[#This Row],[SC Simple ROO]]),SnapshotTable[[#This Row],[SC Simple ROO]] &gt; 0), SnapshotTable[[#This Row],[SC Premium]] + (SnapshotTable[[#This Row],[SC Qty]] * SnapshotTable[[#This Row],[SC Upside Potential]]), "")</f>
        <v/>
      </c>
      <c r="FX106" s="302" t="str" cm="1">
        <f t="array" ref="FX106">IF(ISNUMBER(SnapshotTable[[#This Row],[SC Max Dollars]]), annualize(SnapshotTable[[#This Row],[SC Term]],(SnapshotTable[[#This Row],[SC Max Dollars]]/SnapshotTable[[#This Row],[SC Basis]])),"")</f>
        <v/>
      </c>
      <c r="FY106" s="23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29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161.148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31">
        <f>MAX(SnapshotTable[[#This Row],[Equity Basis Total]],SnapshotTable[[#This Row],[Equity Value]]) + (SnapshotTable[[#This Row],[SP Potential Spend]]- SnapshotTable[[#This Row],[SP Premium]] + SnapshotTable[[#This Row],[LP Premium]])+ (SnapshotTable[[#This Row],[LC Premium]] - SnapshotTable[[#This Row],[SC Premium]])</f>
        <v>0</v>
      </c>
      <c r="GW106" s="139" t="str">
        <f>IF(AND(SnapshotTable[[#This Row],[Exposure]] &lt;&gt; 0),SnapshotTable[[#This Row],[Exposure]] / SnapshotTable[[#Totals],[Exposure]], "")</f>
        <v/>
      </c>
      <c r="HE106" s="268"/>
      <c r="HF106" s="268"/>
      <c r="HK106" s="1"/>
      <c r="HL106" s="1"/>
      <c r="HM106" s="1"/>
      <c r="HN106" s="1"/>
      <c r="HO106" s="1"/>
      <c r="HP106" s="1"/>
    </row>
    <row r="107" spans="2:224" ht="12.75" hidden="1" customHeight="1" x14ac:dyDescent="0.25">
      <c r="B107" s="12" t="s">
        <v>157</v>
      </c>
      <c r="C107" s="422">
        <v>11.58</v>
      </c>
      <c r="D107" s="208"/>
      <c r="E107" s="39">
        <f>SnapshotTable[[#This Row],[Last Price]]*(1 -CrashDiscount)</f>
        <v>9.843</v>
      </c>
      <c r="F107" s="26" t="s">
        <v>155</v>
      </c>
      <c r="G107" s="26" t="s">
        <v>4</v>
      </c>
      <c r="H107" s="149"/>
      <c r="I107" s="194">
        <v>44769</v>
      </c>
      <c r="J107" s="195">
        <v>44769</v>
      </c>
      <c r="K107" s="196"/>
      <c r="L107" s="326"/>
      <c r="M107" s="140"/>
      <c r="N107" s="140"/>
      <c r="O107" s="140"/>
      <c r="P107" s="22"/>
      <c r="Q107" s="25"/>
      <c r="R107" s="4" t="str">
        <f>IF(SnapshotTable[[#This Row],[Equity Basis Total]] &gt; 0, SnapshotTable[[#This Row],[Equity Basis Total]] / SnapshotTable[[#This Row],[Equity Shares]], "")</f>
        <v/>
      </c>
      <c r="S107" s="269">
        <f>SnapshotTable[[#This Row],[Last Price]] * SnapshotTable[[#This Row],[Equity Shares]]</f>
        <v>0</v>
      </c>
      <c r="T107" s="269">
        <f>SnapshotTable[[#This Row],[Equity Value]] - SnapshotTable[[#This Row],[Equity Basis Total]]</f>
        <v>0</v>
      </c>
      <c r="U107" s="270" t="str">
        <f>IF(SnapshotTable[[#This Row],[Equity Basis Total]] &gt; 0, SnapshotTable[[#This Row],[Equity G/L]] / SnapshotTable[[#This Row],[Equity Basis Total]], "")</f>
        <v/>
      </c>
      <c r="V107" s="268"/>
      <c r="W107" s="26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7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0">
        <v>0.72</v>
      </c>
      <c r="AD107" s="151">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1">
        <v>42863</v>
      </c>
      <c r="AI107" s="5"/>
      <c r="AJ107" s="138">
        <v>11.2</v>
      </c>
      <c r="AK107" s="152" t="str">
        <f>IF(ISNUMBER( SnapshotTable[[#This Row],[EBF Target]]),(SnapshotTable[[#This Row],[EBF Target]] - SnapshotTable[[#This Row],[Last Price]]) / SnapshotTable[[#This Row],[Last Price]], "")</f>
        <v/>
      </c>
      <c r="AL107" s="152"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2">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6"/>
      <c r="AU107" s="187" t="str">
        <f>IF(OR(SnapshotTable[[#This Row],[LP No Fill]]="Y",SnapshotTable[[#This Row],[SP Is Filled]],SnapshotTable[[#This Row],[LC Not Filled]]="Y",SnapshotTable[[#This Row],[SC Is Filled]]),"Y","")</f>
        <v/>
      </c>
      <c r="AV107" s="219"/>
      <c r="AW107" s="225"/>
      <c r="AX107" s="220"/>
      <c r="AY107" s="219" t="str">
        <f>IF(SnapshotTable[[#This Row],[Implied Move]]&gt;0, SnapshotTable[[#This Row],[Last Price]]-SnapshotTable[[#This Row],[Implied Move]],"")</f>
        <v/>
      </c>
      <c r="AZ107" s="219" t="str">
        <f>IF(SnapshotTable[[#This Row],[Implied Move]]&gt;0, SnapshotTable[[#This Row],[Last Price]] + SnapshotTable[[#This Row],[Implied Move]],"")</f>
        <v/>
      </c>
      <c r="BA107" s="331"/>
      <c r="BB107" s="347"/>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51"/>
      <c r="BE107" s="5"/>
      <c r="BF107" s="14"/>
      <c r="BG107" s="13"/>
      <c r="BH107" s="13"/>
      <c r="BI107" s="5"/>
      <c r="BJ107" s="136">
        <f>IF(SnapshotTable[[#This Row],[LP Qty]] &gt; 0, SnapshotTable[[#This Row],[LP Qty]] * SnapshotTable[[#This Row],[LP Book Price]] * 100,0)</f>
        <v>0</v>
      </c>
      <c r="BK107" s="136">
        <f>IF(SnapshotTable[[#This Row],[LP Premium]] &gt; 0, SnapshotTable[[#This Row],[LP Qty]] * SnapshotTable[[#This Row],[LP Strike Price]] * 100,0)</f>
        <v>0</v>
      </c>
      <c r="BL107" s="154"/>
      <c r="BM107" s="385" t="str">
        <f>IF(SnapshotTable[[#This Row],[LP Premium]] &gt; 0,SnapshotTable[[#This Row],[LP Exp Date]]-MAX(SnapshotTable[[#This Row],[LP Book Date]], SnapshotTable[[#This Row],[LP Fill Date]]),"")</f>
        <v/>
      </c>
      <c r="BN107" s="385" t="str">
        <f>IF(ISNUMBER( SnapshotTable[[#This Row],[LP Term]]), SnapshotTable[[#This Row],[LP Exp Date]] - MockToday,"")</f>
        <v/>
      </c>
      <c r="BO107" s="163"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7"/>
      <c r="BU107" s="13"/>
      <c r="BV107" s="5"/>
      <c r="BW107" s="419" t="b">
        <f>AND(ISNUMBER(SnapshotTable[[#This Row],[SP Exp Date]]), ISNUMBER(SnapshotTable[[#This Row],[SP Strike Price]]), ISNUMBER(SnapshotTable[[#This Row],[SP Qty]]), ISNUMBER(SnapshotTable[[#This Row],[SP Book Date]]), ISNUMBER(SnapshotTable[[#This Row],[SP Book Price]]))</f>
        <v>0</v>
      </c>
      <c r="BX107" s="419" t="b">
        <f>AND(SnapshotTable[[#This Row],[SP Is Booked]], NOT(ISBLANK(SnapshotTable[[#This Row],[SP Fill Date]])))</f>
        <v>0</v>
      </c>
      <c r="BY107" s="33">
        <f>IF(SnapshotTable[[#This Row],[SP Is Booked]], SnapshotTable[[#This Row],[SP Qty]] * SnapshotTable[[#This Row],[SP Book Price]] * 100, 0)</f>
        <v>0</v>
      </c>
      <c r="BZ107" s="369"/>
      <c r="CA107" s="368">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3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44"/>
      <c r="CK107" s="31">
        <f>IF(ISNUMBER(SnapshotTable[[#This Row],[SP Potential Spend]]),IF(ISNUMBER(SnapshotTable[[#This Row],[SP POW]]), SnapshotTable[[#This Row],[SP POW]] * SnapshotTable[[#This Row],[SP Potential Spend]], SnapshotTable[[#This Row],[SP Potential Spend]]), "")</f>
        <v>0</v>
      </c>
      <c r="CL107" s="164">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8"/>
      <c r="CO107" s="369"/>
      <c r="CP107" s="4" t="str">
        <f>IF(SnapshotTable[[#This Row],[SP Is Filled]], btc_max_buyback_amount(SnapshotTable[[#This Row],[SP Fill Date]],SnapshotTable[[#This Row],[SP Exp Date]], SnapshotTable[[#This Row],[SP Book Price]]),"")</f>
        <v/>
      </c>
      <c r="CQ107" s="78"/>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5" t="str">
        <f>IF(SnapshotTable[[#This Row],[SP Is Filled]], btc_next_cutoff_date(SnapshotTable[[#This Row],[SP Fill Date]],SnapshotTable[[#This Row],[SP Exp Date]]),"")</f>
        <v/>
      </c>
      <c r="CT107" s="23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3"/>
      <c r="CV107" s="235"/>
      <c r="CW107" s="378"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294" t="str">
        <f>IF(ISNUMBER((SnapshotTable[[#This Row],[SP Total Value]])), SnapshotTable[[#This Row],[SP Gain Loss]] / SnapshotTable[[#This Row],[SP Premium]], "")</f>
        <v/>
      </c>
      <c r="DI107" s="406"/>
      <c r="DJ107" s="138"/>
      <c r="DK107" s="148"/>
      <c r="DL107" s="13"/>
      <c r="DM107" s="13"/>
      <c r="DO107" s="31">
        <f>IF(SnapshotTable[[#This Row],[LC Symbol Count]]=1, SnapshotTable[[#This Row],[LC Qty]] * SnapshotTable[[#This Row],[LC Book Price]] * 100, 0)</f>
        <v>0</v>
      </c>
      <c r="DP107" s="163" t="str">
        <f>IF(AND(SnapshotTable[[#This Row],[LC Exp Date]]&gt;0, SnapshotTable[[#This Row],[LC Strike Price]]&gt;0,SnapshotTable[[#This Row],[LC Qty]]&gt;0,SnapshotTable[[#This Row],[LC Book Date]]&gt;0,SnapshotTable[[#This Row],[LC Book Price]]&gt;0,SnapshotTable[[#This Row],[LC Fill Date]]=0),"Y","")</f>
        <v/>
      </c>
      <c r="DQ107" s="386" t="str">
        <f>IF(SnapshotTable[[#This Row],[LC Premium]] &gt; 0,SnapshotTable[[#This Row],[LC Exp Date]]-MAX(SnapshotTable[[#This Row],[LC Book Date]], SnapshotTable[[#This Row],[LC Fill Date]]),"")</f>
        <v/>
      </c>
      <c r="DR107" s="386" t="str">
        <f>IF(ISNUMBER(SnapshotTable[[#This Row],[LC Term]]), SnapshotTable[[#This Row],[LC Exp Date]] - MockToday, "")</f>
        <v/>
      </c>
      <c r="DS107" s="23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40" t="str">
        <f>IF(ISNUMBER(SnapshotTable[[#This Row],[LC Actual Gain Loss]]), SnapshotTable[[#This Row],[LC Actual Gain Loss]] / SnapshotTable[[#This Row],[LC Premium]],"")</f>
        <v/>
      </c>
      <c r="DX107" s="284" t="str">
        <f>IF(ISNUMBER(SnapshotTable[[#This Row],[LC Book Price]]),SnapshotTable[[#This Row],[LC Book Price]] * 1.5,"")</f>
        <v/>
      </c>
      <c r="DY107" s="265" t="str">
        <f>IF(SnapshotTable[[#This Row],[LC Premium]]&gt;0, SnapshotTable[[#This Row],[LC Next Target]] * SnapshotTable[[#This Row],[LC Qty]] * 100,"")</f>
        <v/>
      </c>
      <c r="DZ107" s="265" t="str">
        <f>IF(ISNUMBER(SnapshotTable[[#This Row],[LC Target Gross]]), SnapshotTable[[#This Row],[LC Target Gross]] - SnapshotTable[[#This Row],[LC Premium]], "")</f>
        <v/>
      </c>
      <c r="EA107" s="305" t="str">
        <f>IF(ISNUMBER(SnapshotTable[[#This Row],[LC Target Gain Loss]]), SnapshotTable[[#This Row],[LC Target Gain Loss]]/SnapshotTable[[#This Row],[LC Premium]], "")</f>
        <v/>
      </c>
      <c r="EB107" s="262"/>
      <c r="EC107" s="283" t="str">
        <f>IF(SnapshotTable[[#This Row],[LC Premium]]&gt;0, SnapshotTable[[#This Row],[LC Book Price]] * (1 - LC_StopLoss_Pct),"")</f>
        <v/>
      </c>
      <c r="ED107" s="284"/>
      <c r="EE107" s="28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4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7"/>
      <c r="EL107" s="138"/>
      <c r="EM107" s="148"/>
      <c r="EN107" s="147"/>
      <c r="EO107" s="147"/>
      <c r="EP107" s="138"/>
      <c r="EQ107" s="419" t="b">
        <f>AND(ISNUMBER(SnapshotTable[[#This Row],[SC Exp Date]]), ISNUMBER(SnapshotTable[[#This Row],[SC Strike Price]]), ISNUMBER(SnapshotTable[[#This Row],[SC Qty]]), ISNUMBER(SnapshotTable[[#This Row],[SC Book Date]]), ISNUMBER(SnapshotTable[[#This Row],[SC Book Price]]))</f>
        <v>0</v>
      </c>
      <c r="ER107" s="419" t="b">
        <f>AND(SnapshotTable[[#This Row],[SC Is Booked]], NOT(ISBLANK(SnapshotTable[[#This Row],[SC Fill Date]])))</f>
        <v>0</v>
      </c>
      <c r="ES107" s="370"/>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3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283"/>
      <c r="FA107" s="218"/>
      <c r="FB107" s="370"/>
      <c r="FC107" s="4">
        <f>IF(SnapshotTable[[#This Row],[SC Is Filled]], btc_max_buyback_amount(SnapshotTable[[#This Row],[SC Fill Date]],SnapshotTable[[#This Row],[SC Exp Date]], SnapshotTable[[#This Row],[SC Book Price]]),0)</f>
        <v>0</v>
      </c>
      <c r="FD107" s="5"/>
      <c r="FE107" s="144"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382">
        <f>IF(SnapshotTable[[#This Row],[SC Is Filled]], IF(ISNUMBER(SnapshotTable[[#This Row],[SC Current Ask]]), SnapshotTable[[#This Row],[SC Current Ask]], SnapshotTable[[#This Row],[SC Book Price]]) - SnapshotTable[[#This Row],[SC Intrinsic Value]], 0)</f>
        <v>0</v>
      </c>
      <c r="FI107" s="143"/>
      <c r="FJ107" s="32" t="str">
        <f>IF(SnapshotTable[[#This Row],[SC Is Filled]],100 * SnapshotTable[[#This Row],[SC Qty]] * IF(ISNUMBER(SnapshotTable[[#This Row],[SC Buyback Override]]), SnapshotTable[[#This Row],[SC Buyback Override]], SnapshotTable[[#This Row],[SC Current Ask]]), "")</f>
        <v/>
      </c>
      <c r="FK107" s="250" t="str">
        <f>IF(SnapshotTable[[#This Row],[SC Time Val]]&gt;0, SnapshotTable[[#This Row],[SC Time Val]] / SnapshotTable[[#This Row],[Last Price]],"")</f>
        <v/>
      </c>
      <c r="FL107" s="302" t="str">
        <f>IF(SnapshotTable[[#This Row],[SC Is Booked]], ((SnapshotTable[[#This Row],[Last Price]] -SnapshotTable[[#This Row],[SC Strike Price]]) / SnapshotTable[[#This Row],[Last Price]]) * -1, "")</f>
        <v/>
      </c>
      <c r="FM107" s="157"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33"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36" t="str">
        <f>IF(AND(ISNUMBER(SnapshotTable[[#This Row],[SC Simple ROO]]),SnapshotTable[[#This Row],[SC Simple ROO]] &gt; 0), SnapshotTable[[#This Row],[SC Premium]] + (SnapshotTable[[#This Row],[SC Qty]] * SnapshotTable[[#This Row],[SC Upside Potential]]), "")</f>
        <v/>
      </c>
      <c r="FX107" s="302" t="str" cm="1">
        <f t="array" ref="FX107">IF(ISNUMBER(SnapshotTable[[#This Row],[SC Max Dollars]]), annualize(SnapshotTable[[#This Row],[SC Term]],(SnapshotTable[[#This Row],[SC Max Dollars]]/SnapshotTable[[#This Row],[SC Basis]])),"")</f>
        <v/>
      </c>
      <c r="FY107" s="23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29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674</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31">
        <f>MAX(SnapshotTable[[#This Row],[Equity Basis Total]],SnapshotTable[[#This Row],[Equity Value]]) + (SnapshotTable[[#This Row],[SP Potential Spend]]- SnapshotTable[[#This Row],[SP Premium]] + SnapshotTable[[#This Row],[LP Premium]])+ (SnapshotTable[[#This Row],[LC Premium]] - SnapshotTable[[#This Row],[SC Premium]])</f>
        <v>0</v>
      </c>
      <c r="GW107" s="139" t="str">
        <f>IF(AND(SnapshotTable[[#This Row],[Exposure]] &lt;&gt; 0),SnapshotTable[[#This Row],[Exposure]] / SnapshotTable[[#Totals],[Exposure]], "")</f>
        <v/>
      </c>
      <c r="HE107" s="268"/>
      <c r="HF107" s="268"/>
      <c r="HK107" s="1"/>
      <c r="HL107" s="1"/>
      <c r="HM107" s="1"/>
      <c r="HN107" s="1"/>
      <c r="HO107" s="1"/>
      <c r="HP107" s="1"/>
    </row>
    <row r="108" spans="2:224" ht="12.75" hidden="1" customHeight="1" x14ac:dyDescent="0.25">
      <c r="B108" s="12" t="s">
        <v>99</v>
      </c>
      <c r="C108" s="422">
        <v>112.21</v>
      </c>
      <c r="D108" s="208" t="s">
        <v>586</v>
      </c>
      <c r="E108" s="39">
        <f>SnapshotTable[[#This Row],[Last Price]]*(1 -CrashDiscount)</f>
        <v>95.378499999999988</v>
      </c>
      <c r="F108" s="26" t="s">
        <v>210</v>
      </c>
      <c r="G108" s="26" t="s">
        <v>9</v>
      </c>
      <c r="H108" s="149"/>
      <c r="I108" s="194">
        <v>44790.670138888891</v>
      </c>
      <c r="J108" s="195">
        <v>44790.670138888891</v>
      </c>
      <c r="K108" s="196"/>
      <c r="L108" s="326"/>
      <c r="M108" s="140"/>
      <c r="N108" s="140"/>
      <c r="O108" s="140">
        <v>1</v>
      </c>
      <c r="P108" s="22"/>
      <c r="Q108" s="25"/>
      <c r="R108" s="4" t="str">
        <f>IF(SnapshotTable[[#This Row],[Equity Basis Total]] &gt; 0, SnapshotTable[[#This Row],[Equity Basis Total]] / SnapshotTable[[#This Row],[Equity Shares]], "")</f>
        <v/>
      </c>
      <c r="S108" s="269">
        <f>SnapshotTable[[#This Row],[Last Price]] * SnapshotTable[[#This Row],[Equity Shares]]</f>
        <v>0</v>
      </c>
      <c r="T108" s="269">
        <f>SnapshotTable[[#This Row],[Equity Value]] - SnapshotTable[[#This Row],[Equity Basis Total]]</f>
        <v>0</v>
      </c>
      <c r="U108" s="270" t="str">
        <f>IF(SnapshotTable[[#This Row],[Equity Basis Total]] &gt; 0, SnapshotTable[[#This Row],[Equity G/L]] / SnapshotTable[[#This Row],[Equity Basis Total]], "")</f>
        <v/>
      </c>
      <c r="V108" s="268"/>
      <c r="W108" s="26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7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0">
        <v>1.4</v>
      </c>
      <c r="AD108" s="151">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1.2476606363069244E-2</v>
      </c>
      <c r="AH108" s="151">
        <v>43833</v>
      </c>
      <c r="AI108" s="5">
        <v>56</v>
      </c>
      <c r="AJ108" s="138">
        <v>49.35</v>
      </c>
      <c r="AK108" s="152">
        <f>IF(ISNUMBER( SnapshotTable[[#This Row],[EBF Target]]),(SnapshotTable[[#This Row],[EBF Target]] - SnapshotTable[[#This Row],[Last Price]]) / SnapshotTable[[#This Row],[Last Price]], "")</f>
        <v>-0.50093574547723019</v>
      </c>
      <c r="AL108" s="152"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2">
        <f>IF(AND(ISNUMBER( SnapshotTable[[#This Row],[Long Term Target]]), ISNUMBER(SnapshotTable[[#This Row],[Last Price]])),(SnapshotTable[[#This Row],[Long Term Target]] - SnapshotTable[[#This Row],[Last Price]]) / SnapshotTable[[#This Row],[Last Price]], "")</f>
        <v>-0.56019962570180903</v>
      </c>
      <c r="AP108" s="5">
        <v>47.5</v>
      </c>
      <c r="AQ108" s="38" t="s">
        <v>38</v>
      </c>
      <c r="AR108" s="5">
        <v>47.5</v>
      </c>
      <c r="AS108" s="38" t="s">
        <v>26</v>
      </c>
      <c r="AT108" s="146" t="s">
        <v>538</v>
      </c>
      <c r="AU108" s="187" t="str">
        <f>IF(OR(SnapshotTable[[#This Row],[LP No Fill]]="Y",SnapshotTable[[#This Row],[SP Is Filled]],SnapshotTable[[#This Row],[LC Not Filled]]="Y",SnapshotTable[[#This Row],[SC Is Filled]]),"Y","")</f>
        <v/>
      </c>
      <c r="AV108" s="219"/>
      <c r="AW108" s="225"/>
      <c r="AX108" s="220"/>
      <c r="AY108" s="219" t="str">
        <f>IF(SnapshotTable[[#This Row],[Implied Move]]&gt;0, SnapshotTable[[#This Row],[Last Price]]-SnapshotTable[[#This Row],[Implied Move]],"")</f>
        <v/>
      </c>
      <c r="AZ108" s="219" t="str">
        <f>IF(SnapshotTable[[#This Row],[Implied Move]]&gt;0, SnapshotTable[[#This Row],[Last Price]] + SnapshotTable[[#This Row],[Implied Move]],"")</f>
        <v/>
      </c>
      <c r="BA108" s="331"/>
      <c r="BB108" s="347"/>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51"/>
      <c r="BE108" s="5"/>
      <c r="BF108" s="14"/>
      <c r="BG108" s="13"/>
      <c r="BH108" s="13"/>
      <c r="BI108" s="5"/>
      <c r="BJ108" s="136">
        <f>IF(SnapshotTable[[#This Row],[LP Qty]] &gt; 0, SnapshotTable[[#This Row],[LP Qty]] * SnapshotTable[[#This Row],[LP Book Price]] * 100,0)</f>
        <v>0</v>
      </c>
      <c r="BK108" s="136">
        <f>IF(SnapshotTable[[#This Row],[LP Premium]] &gt; 0, SnapshotTable[[#This Row],[LP Qty]] * SnapshotTable[[#This Row],[LP Strike Price]] * 100,0)</f>
        <v>0</v>
      </c>
      <c r="BL108" s="154"/>
      <c r="BM108" s="385" t="str">
        <f>IF(SnapshotTable[[#This Row],[LP Premium]] &gt; 0,SnapshotTable[[#This Row],[LP Exp Date]]-MAX(SnapshotTable[[#This Row],[LP Book Date]], SnapshotTable[[#This Row],[LP Fill Date]]),"")</f>
        <v/>
      </c>
      <c r="BN108" s="385" t="str">
        <f>IF(ISNUMBER( SnapshotTable[[#This Row],[LP Term]]), SnapshotTable[[#This Row],[LP Exp Date]] - MockToday,"")</f>
        <v/>
      </c>
      <c r="BO108" s="163"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7"/>
      <c r="BU108" s="13"/>
      <c r="BV108" s="5"/>
      <c r="BW108" s="419" t="b">
        <f>AND(ISNUMBER(SnapshotTable[[#This Row],[SP Exp Date]]), ISNUMBER(SnapshotTable[[#This Row],[SP Strike Price]]), ISNUMBER(SnapshotTable[[#This Row],[SP Qty]]), ISNUMBER(SnapshotTable[[#This Row],[SP Book Date]]), ISNUMBER(SnapshotTable[[#This Row],[SP Book Price]]))</f>
        <v>0</v>
      </c>
      <c r="BX108" s="419" t="b">
        <f>AND(SnapshotTable[[#This Row],[SP Is Booked]], NOT(ISBLANK(SnapshotTable[[#This Row],[SP Fill Date]])))</f>
        <v>0</v>
      </c>
      <c r="BY108" s="33">
        <f>IF(SnapshotTable[[#This Row],[SP Is Booked]], SnapshotTable[[#This Row],[SP Qty]] * SnapshotTable[[#This Row],[SP Book Price]] * 100, 0)</f>
        <v>0</v>
      </c>
      <c r="BZ108" s="369"/>
      <c r="CA108" s="368">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3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44"/>
      <c r="CK108" s="31">
        <f>IF(ISNUMBER(SnapshotTable[[#This Row],[SP Potential Spend]]),IF(ISNUMBER(SnapshotTable[[#This Row],[SP POW]]), SnapshotTable[[#This Row],[SP POW]] * SnapshotTable[[#This Row],[SP Potential Spend]], SnapshotTable[[#This Row],[SP Potential Spend]]), "")</f>
        <v>0</v>
      </c>
      <c r="CL108" s="164">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8"/>
      <c r="CO108" s="369"/>
      <c r="CP108" s="4" t="str">
        <f>IF(SnapshotTable[[#This Row],[SP Is Filled]], btc_max_buyback_amount(SnapshotTable[[#This Row],[SP Fill Date]],SnapshotTable[[#This Row],[SP Exp Date]], SnapshotTable[[#This Row],[SP Book Price]]),"")</f>
        <v/>
      </c>
      <c r="CQ108" s="78"/>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5" t="str">
        <f>IF(SnapshotTable[[#This Row],[SP Is Filled]], btc_next_cutoff_date(SnapshotTable[[#This Row],[SP Fill Date]],SnapshotTable[[#This Row],[SP Exp Date]]),"")</f>
        <v/>
      </c>
      <c r="CT108" s="23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3"/>
      <c r="CV108" s="235"/>
      <c r="CW108" s="378"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294" t="str">
        <f>IF(ISNUMBER((SnapshotTable[[#This Row],[SP Total Value]])), SnapshotTable[[#This Row],[SP Gain Loss]] / SnapshotTable[[#This Row],[SP Premium]], "")</f>
        <v/>
      </c>
      <c r="DI108" s="406"/>
      <c r="DJ108" s="138"/>
      <c r="DK108" s="148"/>
      <c r="DL108" s="13"/>
      <c r="DM108" s="13"/>
      <c r="DO108" s="31">
        <f>IF(SnapshotTable[[#This Row],[LC Symbol Count]]=1, SnapshotTable[[#This Row],[LC Qty]] * SnapshotTable[[#This Row],[LC Book Price]] * 100, 0)</f>
        <v>0</v>
      </c>
      <c r="DP108" s="163" t="str">
        <f>IF(AND(SnapshotTable[[#This Row],[LC Exp Date]]&gt;0, SnapshotTable[[#This Row],[LC Strike Price]]&gt;0,SnapshotTable[[#This Row],[LC Qty]]&gt;0,SnapshotTable[[#This Row],[LC Book Date]]&gt;0,SnapshotTable[[#This Row],[LC Book Price]]&gt;0,SnapshotTable[[#This Row],[LC Fill Date]]=0),"Y","")</f>
        <v/>
      </c>
      <c r="DQ108" s="386" t="str">
        <f>IF(SnapshotTable[[#This Row],[LC Premium]] &gt; 0,SnapshotTable[[#This Row],[LC Exp Date]]-MAX(SnapshotTable[[#This Row],[LC Book Date]], SnapshotTable[[#This Row],[LC Fill Date]]),"")</f>
        <v/>
      </c>
      <c r="DR108" s="386" t="str">
        <f>IF(ISNUMBER(SnapshotTable[[#This Row],[LC Term]]), SnapshotTable[[#This Row],[LC Exp Date]] - MockToday, "")</f>
        <v/>
      </c>
      <c r="DS108" s="23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40" t="str">
        <f>IF(ISNUMBER(SnapshotTable[[#This Row],[LC Actual Gain Loss]]), SnapshotTable[[#This Row],[LC Actual Gain Loss]] / SnapshotTable[[#This Row],[LC Premium]],"")</f>
        <v/>
      </c>
      <c r="DX108" s="284" t="str">
        <f>IF(ISNUMBER(SnapshotTable[[#This Row],[LC Book Price]]),SnapshotTable[[#This Row],[LC Book Price]] * 1.5,"")</f>
        <v/>
      </c>
      <c r="DY108" s="265" t="str">
        <f>IF(SnapshotTable[[#This Row],[LC Premium]]&gt;0, SnapshotTable[[#This Row],[LC Next Target]] * SnapshotTable[[#This Row],[LC Qty]] * 100,"")</f>
        <v/>
      </c>
      <c r="DZ108" s="265" t="str">
        <f>IF(ISNUMBER(SnapshotTable[[#This Row],[LC Target Gross]]), SnapshotTable[[#This Row],[LC Target Gross]] - SnapshotTable[[#This Row],[LC Premium]], "")</f>
        <v/>
      </c>
      <c r="EA108" s="305" t="str">
        <f>IF(ISNUMBER(SnapshotTable[[#This Row],[LC Target Gain Loss]]), SnapshotTable[[#This Row],[LC Target Gain Loss]]/SnapshotTable[[#This Row],[LC Premium]], "")</f>
        <v/>
      </c>
      <c r="EB108" s="262"/>
      <c r="EC108" s="283" t="str">
        <f>IF(SnapshotTable[[#This Row],[LC Premium]]&gt;0, SnapshotTable[[#This Row],[LC Book Price]] * (1 - LC_StopLoss_Pct),"")</f>
        <v/>
      </c>
      <c r="ED108" s="284"/>
      <c r="EE108" s="28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4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7"/>
      <c r="EL108" s="138"/>
      <c r="EM108" s="148"/>
      <c r="EN108" s="147"/>
      <c r="EO108" s="147"/>
      <c r="EP108" s="138"/>
      <c r="EQ108" s="419" t="b">
        <f>AND(ISNUMBER(SnapshotTable[[#This Row],[SC Exp Date]]), ISNUMBER(SnapshotTable[[#This Row],[SC Strike Price]]), ISNUMBER(SnapshotTable[[#This Row],[SC Qty]]), ISNUMBER(SnapshotTable[[#This Row],[SC Book Date]]), ISNUMBER(SnapshotTable[[#This Row],[SC Book Price]]))</f>
        <v>0</v>
      </c>
      <c r="ER108" s="419" t="b">
        <f>AND(SnapshotTable[[#This Row],[SC Is Booked]], NOT(ISBLANK(SnapshotTable[[#This Row],[SC Fill Date]])))</f>
        <v>0</v>
      </c>
      <c r="ES108" s="370"/>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3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283"/>
      <c r="FA108" s="218"/>
      <c r="FB108" s="370"/>
      <c r="FC108" s="4">
        <f>IF(SnapshotTable[[#This Row],[SC Is Filled]], btc_max_buyback_amount(SnapshotTable[[#This Row],[SC Fill Date]],SnapshotTable[[#This Row],[SC Exp Date]], SnapshotTable[[#This Row],[SC Book Price]]),0)</f>
        <v>0</v>
      </c>
      <c r="FD108" s="5"/>
      <c r="FE108" s="144"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382">
        <f>IF(SnapshotTable[[#This Row],[SC Is Filled]], IF(ISNUMBER(SnapshotTable[[#This Row],[SC Current Ask]]), SnapshotTable[[#This Row],[SC Current Ask]], SnapshotTable[[#This Row],[SC Book Price]]) - SnapshotTable[[#This Row],[SC Intrinsic Value]], 0)</f>
        <v>0</v>
      </c>
      <c r="FI108" s="143"/>
      <c r="FJ108" s="32" t="str">
        <f>IF(SnapshotTable[[#This Row],[SC Is Filled]],100 * SnapshotTable[[#This Row],[SC Qty]] * IF(ISNUMBER(SnapshotTable[[#This Row],[SC Buyback Override]]), SnapshotTable[[#This Row],[SC Buyback Override]], SnapshotTable[[#This Row],[SC Current Ask]]), "")</f>
        <v/>
      </c>
      <c r="FK108" s="250" t="str">
        <f>IF(SnapshotTable[[#This Row],[SC Time Val]]&gt;0, SnapshotTable[[#This Row],[SC Time Val]] / SnapshotTable[[#This Row],[Last Price]],"")</f>
        <v/>
      </c>
      <c r="FL108" s="302" t="str">
        <f>IF(SnapshotTable[[#This Row],[SC Is Booked]], ((SnapshotTable[[#This Row],[Last Price]] -SnapshotTable[[#This Row],[SC Strike Price]]) / SnapshotTable[[#This Row],[Last Price]]) * -1, "")</f>
        <v/>
      </c>
      <c r="FM108" s="157"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33"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36" t="str">
        <f>IF(AND(ISNUMBER(SnapshotTable[[#This Row],[SC Simple ROO]]),SnapshotTable[[#This Row],[SC Simple ROO]] &gt; 0), SnapshotTable[[#This Row],[SC Premium]] + (SnapshotTable[[#This Row],[SC Qty]] * SnapshotTable[[#This Row],[SC Upside Potential]]), "")</f>
        <v/>
      </c>
      <c r="FX108" s="302" t="str" cm="1">
        <f t="array" ref="FX108">IF(ISNUMBER(SnapshotTable[[#This Row],[SC Max Dollars]]), annualize(SnapshotTable[[#This Row],[SC Term]],(SnapshotTable[[#This Row],[SC Max Dollars]]/SnapshotTable[[#This Row],[SC Basis]])),"")</f>
        <v/>
      </c>
      <c r="FY108" s="23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29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218.80949999999999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675</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31">
        <f>MAX(SnapshotTable[[#This Row],[Equity Basis Total]],SnapshotTable[[#This Row],[Equity Value]]) + (SnapshotTable[[#This Row],[SP Potential Spend]]- SnapshotTable[[#This Row],[SP Premium]] + SnapshotTable[[#This Row],[LP Premium]])+ (SnapshotTable[[#This Row],[LC Premium]] - SnapshotTable[[#This Row],[SC Premium]])</f>
        <v>0</v>
      </c>
      <c r="GW108" s="139" t="str">
        <f>IF(AND(SnapshotTable[[#This Row],[Exposure]] &lt;&gt; 0),SnapshotTable[[#This Row],[Exposure]] / SnapshotTable[[#Totals],[Exposure]], "")</f>
        <v/>
      </c>
      <c r="HE108" s="268"/>
      <c r="HF108" s="268"/>
      <c r="HK108" s="1"/>
      <c r="HL108" s="1"/>
      <c r="HM108" s="1"/>
      <c r="HN108" s="1"/>
      <c r="HO108" s="1"/>
      <c r="HP108" s="1"/>
    </row>
    <row r="109" spans="2:224" ht="12.75" hidden="1" customHeight="1" x14ac:dyDescent="0.25">
      <c r="B109" s="12" t="s">
        <v>73</v>
      </c>
      <c r="C109" s="422">
        <v>22.96</v>
      </c>
      <c r="D109" s="208"/>
      <c r="E109" s="39">
        <f>SnapshotTable[[#This Row],[Last Price]]*(1 -CrashDiscount)</f>
        <v>19.516000000000002</v>
      </c>
      <c r="F109" s="26" t="s">
        <v>72</v>
      </c>
      <c r="G109" s="26" t="s">
        <v>4</v>
      </c>
      <c r="H109" s="149"/>
      <c r="I109" s="194">
        <v>44790.670138888891</v>
      </c>
      <c r="J109" s="195">
        <v>44790.670138888891</v>
      </c>
      <c r="K109" s="196"/>
      <c r="L109" s="326"/>
      <c r="M109" s="140"/>
      <c r="N109" s="140"/>
      <c r="O109" s="140"/>
      <c r="P109" s="22"/>
      <c r="Q109" s="25"/>
      <c r="R109" s="4" t="str">
        <f>IF(SnapshotTable[[#This Row],[Equity Basis Total]] &gt; 0, SnapshotTable[[#This Row],[Equity Basis Total]] / SnapshotTable[[#This Row],[Equity Shares]], "")</f>
        <v/>
      </c>
      <c r="S109" s="269">
        <f>SnapshotTable[[#This Row],[Last Price]] * SnapshotTable[[#This Row],[Equity Shares]]</f>
        <v>0</v>
      </c>
      <c r="T109" s="269">
        <f>SnapshotTable[[#This Row],[Equity Value]] - SnapshotTable[[#This Row],[Equity Basis Total]]</f>
        <v>0</v>
      </c>
      <c r="U109" s="270" t="str">
        <f>IF(SnapshotTable[[#This Row],[Equity Basis Total]] &gt; 0, SnapshotTable[[#This Row],[Equity G/L]] / SnapshotTable[[#This Row],[Equity Basis Total]], "")</f>
        <v/>
      </c>
      <c r="V109" s="268"/>
      <c r="W109" s="26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7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0">
        <v>0.08</v>
      </c>
      <c r="AD109" s="151">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1">
        <v>42256</v>
      </c>
      <c r="AI109" s="5"/>
      <c r="AJ109" s="138">
        <v>16</v>
      </c>
      <c r="AK109" s="152" t="str">
        <f>IF(ISNUMBER( SnapshotTable[[#This Row],[EBF Target]]),(SnapshotTable[[#This Row],[EBF Target]] - SnapshotTable[[#This Row],[Last Price]]) / SnapshotTable[[#This Row],[Last Price]], "")</f>
        <v/>
      </c>
      <c r="AL109" s="152"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2">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6"/>
      <c r="AU109" s="187" t="str">
        <f>IF(OR(SnapshotTable[[#This Row],[LP No Fill]]="Y",SnapshotTable[[#This Row],[SP Is Filled]],SnapshotTable[[#This Row],[LC Not Filled]]="Y",SnapshotTable[[#This Row],[SC Is Filled]]),"Y","")</f>
        <v/>
      </c>
      <c r="AV109" s="219"/>
      <c r="AW109" s="225"/>
      <c r="AX109" s="220"/>
      <c r="AY109" s="219" t="str">
        <f>IF(SnapshotTable[[#This Row],[Implied Move]]&gt;0, SnapshotTable[[#This Row],[Last Price]]-SnapshotTable[[#This Row],[Implied Move]],"")</f>
        <v/>
      </c>
      <c r="AZ109" s="219" t="str">
        <f>IF(SnapshotTable[[#This Row],[Implied Move]]&gt;0, SnapshotTable[[#This Row],[Last Price]] + SnapshotTable[[#This Row],[Implied Move]],"")</f>
        <v/>
      </c>
      <c r="BA109" s="331"/>
      <c r="BB109" s="347"/>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51"/>
      <c r="BE109" s="5"/>
      <c r="BF109" s="14"/>
      <c r="BG109" s="13"/>
      <c r="BH109" s="13"/>
      <c r="BI109" s="5"/>
      <c r="BJ109" s="136">
        <f>IF(SnapshotTable[[#This Row],[LP Qty]] &gt; 0, SnapshotTable[[#This Row],[LP Qty]] * SnapshotTable[[#This Row],[LP Book Price]] * 100,0)</f>
        <v>0</v>
      </c>
      <c r="BK109" s="136">
        <f>IF(SnapshotTable[[#This Row],[LP Premium]] &gt; 0, SnapshotTable[[#This Row],[LP Qty]] * SnapshotTable[[#This Row],[LP Strike Price]] * 100,0)</f>
        <v>0</v>
      </c>
      <c r="BL109" s="154"/>
      <c r="BM109" s="385" t="str">
        <f>IF(SnapshotTable[[#This Row],[LP Premium]] &gt; 0,SnapshotTable[[#This Row],[LP Exp Date]]-MAX(SnapshotTable[[#This Row],[LP Book Date]], SnapshotTable[[#This Row],[LP Fill Date]]),"")</f>
        <v/>
      </c>
      <c r="BN109" s="385" t="str">
        <f>IF(ISNUMBER( SnapshotTable[[#This Row],[LP Term]]), SnapshotTable[[#This Row],[LP Exp Date]] - MockToday,"")</f>
        <v/>
      </c>
      <c r="BO109" s="163"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7"/>
      <c r="BU109" s="13"/>
      <c r="BV109" s="5"/>
      <c r="BW109" s="419" t="b">
        <f>AND(ISNUMBER(SnapshotTable[[#This Row],[SP Exp Date]]), ISNUMBER(SnapshotTable[[#This Row],[SP Strike Price]]), ISNUMBER(SnapshotTable[[#This Row],[SP Qty]]), ISNUMBER(SnapshotTable[[#This Row],[SP Book Date]]), ISNUMBER(SnapshotTable[[#This Row],[SP Book Price]]))</f>
        <v>0</v>
      </c>
      <c r="BX109" s="419" t="b">
        <f>AND(SnapshotTable[[#This Row],[SP Is Booked]], NOT(ISBLANK(SnapshotTable[[#This Row],[SP Fill Date]])))</f>
        <v>0</v>
      </c>
      <c r="BY109" s="33">
        <f>IF(SnapshotTable[[#This Row],[SP Is Booked]], SnapshotTable[[#This Row],[SP Qty]] * SnapshotTable[[#This Row],[SP Book Price]] * 100, 0)</f>
        <v>0</v>
      </c>
      <c r="BZ109" s="369"/>
      <c r="CA109" s="368">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3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44"/>
      <c r="CK109" s="31">
        <f>IF(ISNUMBER(SnapshotTable[[#This Row],[SP Potential Spend]]),IF(ISNUMBER(SnapshotTable[[#This Row],[SP POW]]), SnapshotTable[[#This Row],[SP POW]] * SnapshotTable[[#This Row],[SP Potential Spend]], SnapshotTable[[#This Row],[SP Potential Spend]]), "")</f>
        <v>0</v>
      </c>
      <c r="CL109" s="164">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8"/>
      <c r="CO109" s="369"/>
      <c r="CP109" s="4" t="str">
        <f>IF(SnapshotTable[[#This Row],[SP Is Filled]], btc_max_buyback_amount(SnapshotTable[[#This Row],[SP Fill Date]],SnapshotTable[[#This Row],[SP Exp Date]], SnapshotTable[[#This Row],[SP Book Price]]),"")</f>
        <v/>
      </c>
      <c r="CQ109" s="78"/>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5" t="str">
        <f>IF(SnapshotTable[[#This Row],[SP Is Filled]], btc_next_cutoff_date(SnapshotTable[[#This Row],[SP Fill Date]],SnapshotTable[[#This Row],[SP Exp Date]]),"")</f>
        <v/>
      </c>
      <c r="CT109" s="23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3"/>
      <c r="CV109" s="235"/>
      <c r="CW109" s="378"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294" t="str">
        <f>IF(ISNUMBER((SnapshotTable[[#This Row],[SP Total Value]])), SnapshotTable[[#This Row],[SP Gain Loss]] / SnapshotTable[[#This Row],[SP Premium]], "")</f>
        <v/>
      </c>
      <c r="DI109" s="406"/>
      <c r="DJ109" s="138"/>
      <c r="DK109" s="148"/>
      <c r="DL109" s="13"/>
      <c r="DM109" s="13"/>
      <c r="DO109" s="31">
        <f>IF(SnapshotTable[[#This Row],[LC Symbol Count]]=1, SnapshotTable[[#This Row],[LC Qty]] * SnapshotTable[[#This Row],[LC Book Price]] * 100, 0)</f>
        <v>0</v>
      </c>
      <c r="DP109" s="163" t="str">
        <f>IF(AND(SnapshotTable[[#This Row],[LC Exp Date]]&gt;0, SnapshotTable[[#This Row],[LC Strike Price]]&gt;0,SnapshotTable[[#This Row],[LC Qty]]&gt;0,SnapshotTable[[#This Row],[LC Book Date]]&gt;0,SnapshotTable[[#This Row],[LC Book Price]]&gt;0,SnapshotTable[[#This Row],[LC Fill Date]]=0),"Y","")</f>
        <v/>
      </c>
      <c r="DQ109" s="386" t="str">
        <f>IF(SnapshotTable[[#This Row],[LC Premium]] &gt; 0,SnapshotTable[[#This Row],[LC Exp Date]]-MAX(SnapshotTable[[#This Row],[LC Book Date]], SnapshotTable[[#This Row],[LC Fill Date]]),"")</f>
        <v/>
      </c>
      <c r="DR109" s="386" t="str">
        <f>IF(ISNUMBER(SnapshotTable[[#This Row],[LC Term]]), SnapshotTable[[#This Row],[LC Exp Date]] - MockToday, "")</f>
        <v/>
      </c>
      <c r="DS109" s="23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40" t="str">
        <f>IF(ISNUMBER(SnapshotTable[[#This Row],[LC Actual Gain Loss]]), SnapshotTable[[#This Row],[LC Actual Gain Loss]] / SnapshotTable[[#This Row],[LC Premium]],"")</f>
        <v/>
      </c>
      <c r="DX109" s="284" t="str">
        <f>IF(ISNUMBER(SnapshotTable[[#This Row],[LC Book Price]]),SnapshotTable[[#This Row],[LC Book Price]] * 1.5,"")</f>
        <v/>
      </c>
      <c r="DY109" s="265" t="str">
        <f>IF(SnapshotTable[[#This Row],[LC Premium]]&gt;0, SnapshotTable[[#This Row],[LC Next Target]] * SnapshotTable[[#This Row],[LC Qty]] * 100,"")</f>
        <v/>
      </c>
      <c r="DZ109" s="265" t="str">
        <f>IF(ISNUMBER(SnapshotTable[[#This Row],[LC Target Gross]]), SnapshotTable[[#This Row],[LC Target Gross]] - SnapshotTable[[#This Row],[LC Premium]], "")</f>
        <v/>
      </c>
      <c r="EA109" s="305" t="str">
        <f>IF(ISNUMBER(SnapshotTable[[#This Row],[LC Target Gain Loss]]), SnapshotTable[[#This Row],[LC Target Gain Loss]]/SnapshotTable[[#This Row],[LC Premium]], "")</f>
        <v/>
      </c>
      <c r="EB109" s="262"/>
      <c r="EC109" s="283" t="str">
        <f>IF(SnapshotTable[[#This Row],[LC Premium]]&gt;0, SnapshotTable[[#This Row],[LC Book Price]] * (1 - LC_StopLoss_Pct),"")</f>
        <v/>
      </c>
      <c r="ED109" s="284"/>
      <c r="EE109" s="28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4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7"/>
      <c r="EL109" s="138"/>
      <c r="EM109" s="148"/>
      <c r="EN109" s="147"/>
      <c r="EO109" s="147"/>
      <c r="EP109" s="138"/>
      <c r="EQ109" s="419" t="b">
        <f>AND(ISNUMBER(SnapshotTable[[#This Row],[SC Exp Date]]), ISNUMBER(SnapshotTable[[#This Row],[SC Strike Price]]), ISNUMBER(SnapshotTable[[#This Row],[SC Qty]]), ISNUMBER(SnapshotTable[[#This Row],[SC Book Date]]), ISNUMBER(SnapshotTable[[#This Row],[SC Book Price]]))</f>
        <v>0</v>
      </c>
      <c r="ER109" s="419" t="b">
        <f>AND(SnapshotTable[[#This Row],[SC Is Booked]], NOT(ISBLANK(SnapshotTable[[#This Row],[SC Fill Date]])))</f>
        <v>0</v>
      </c>
      <c r="ES109" s="370"/>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3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283"/>
      <c r="FA109" s="218"/>
      <c r="FB109" s="370"/>
      <c r="FC109" s="4">
        <f>IF(SnapshotTable[[#This Row],[SC Is Filled]], btc_max_buyback_amount(SnapshotTable[[#This Row],[SC Fill Date]],SnapshotTable[[#This Row],[SC Exp Date]], SnapshotTable[[#This Row],[SC Book Price]]),0)</f>
        <v>0</v>
      </c>
      <c r="FD109" s="5"/>
      <c r="FE109" s="144"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382">
        <f>IF(SnapshotTable[[#This Row],[SC Is Filled]], IF(ISNUMBER(SnapshotTable[[#This Row],[SC Current Ask]]), SnapshotTable[[#This Row],[SC Current Ask]], SnapshotTable[[#This Row],[SC Book Price]]) - SnapshotTable[[#This Row],[SC Intrinsic Value]], 0)</f>
        <v>0</v>
      </c>
      <c r="FI109" s="143"/>
      <c r="FJ109" s="32" t="str">
        <f>IF(SnapshotTable[[#This Row],[SC Is Filled]],100 * SnapshotTable[[#This Row],[SC Qty]] * IF(ISNUMBER(SnapshotTable[[#This Row],[SC Buyback Override]]), SnapshotTable[[#This Row],[SC Buyback Override]], SnapshotTable[[#This Row],[SC Current Ask]]), "")</f>
        <v/>
      </c>
      <c r="FK109" s="250" t="str">
        <f>IF(SnapshotTable[[#This Row],[SC Time Val]]&gt;0, SnapshotTable[[#This Row],[SC Time Val]] / SnapshotTable[[#This Row],[Last Price]],"")</f>
        <v/>
      </c>
      <c r="FL109" s="302" t="str">
        <f>IF(SnapshotTable[[#This Row],[SC Is Booked]], ((SnapshotTable[[#This Row],[Last Price]] -SnapshotTable[[#This Row],[SC Strike Price]]) / SnapshotTable[[#This Row],[Last Price]]) * -1, "")</f>
        <v/>
      </c>
      <c r="FM109" s="157"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33"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36" t="str">
        <f>IF(AND(ISNUMBER(SnapshotTable[[#This Row],[SC Simple ROO]]),SnapshotTable[[#This Row],[SC Simple ROO]] &gt; 0), SnapshotTable[[#This Row],[SC Premium]] + (SnapshotTable[[#This Row],[SC Qty]] * SnapshotTable[[#This Row],[SC Upside Potential]]), "")</f>
        <v/>
      </c>
      <c r="FX109" s="302" t="str" cm="1">
        <f t="array" ref="FX109">IF(ISNUMBER(SnapshotTable[[#This Row],[SC Max Dollars]]), annualize(SnapshotTable[[#This Row],[SC Term]],(SnapshotTable[[#This Row],[SC Max Dollars]]/SnapshotTable[[#This Row],[SC Basis]])),"")</f>
        <v/>
      </c>
      <c r="FY109" s="23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29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676</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31">
        <f>MAX(SnapshotTable[[#This Row],[Equity Basis Total]],SnapshotTable[[#This Row],[Equity Value]]) + (SnapshotTable[[#This Row],[SP Potential Spend]]- SnapshotTable[[#This Row],[SP Premium]] + SnapshotTable[[#This Row],[LP Premium]])+ (SnapshotTable[[#This Row],[LC Premium]] - SnapshotTable[[#This Row],[SC Premium]])</f>
        <v>0</v>
      </c>
      <c r="GW109" s="139" t="str">
        <f>IF(AND(SnapshotTable[[#This Row],[Exposure]] &lt;&gt; 0),SnapshotTable[[#This Row],[Exposure]] / SnapshotTable[[#Totals],[Exposure]], "")</f>
        <v/>
      </c>
      <c r="HE109" s="268"/>
      <c r="HF109" s="268"/>
      <c r="HK109" s="1"/>
      <c r="HL109" s="1"/>
      <c r="HM109" s="1"/>
      <c r="HN109" s="1"/>
      <c r="HO109" s="1"/>
      <c r="HP109" s="1"/>
    </row>
    <row r="110" spans="2:224" ht="12.75" hidden="1" customHeight="1" x14ac:dyDescent="0.25">
      <c r="B110" s="12" t="s">
        <v>526</v>
      </c>
      <c r="C110" s="422">
        <v>88.53</v>
      </c>
      <c r="D110" s="208"/>
      <c r="E110" s="39">
        <f>SnapshotTable[[#This Row],[Last Price]]*(1 -CrashDiscount)</f>
        <v>75.250500000000002</v>
      </c>
      <c r="F110" s="26" t="s">
        <v>187</v>
      </c>
      <c r="G110" s="26" t="s">
        <v>41</v>
      </c>
      <c r="H110" s="149"/>
      <c r="I110" s="194">
        <v>44776.708333333336</v>
      </c>
      <c r="J110" s="195">
        <v>44776.708333333336</v>
      </c>
      <c r="K110" s="196"/>
      <c r="L110" s="326" t="s">
        <v>205</v>
      </c>
      <c r="M110" s="140"/>
      <c r="N110" s="140" t="b">
        <v>1</v>
      </c>
      <c r="O110" s="140">
        <v>3</v>
      </c>
      <c r="P110" s="22"/>
      <c r="Q110" s="25"/>
      <c r="R110" s="4" t="str">
        <f>IF(SnapshotTable[[#This Row],[Equity Basis Total]] &gt; 0, SnapshotTable[[#This Row],[Equity Basis Total]] / SnapshotTable[[#This Row],[Equity Shares]], "")</f>
        <v/>
      </c>
      <c r="S110" s="269">
        <f>SnapshotTable[[#This Row],[Last Price]] * SnapshotTable[[#This Row],[Equity Shares]]</f>
        <v>0</v>
      </c>
      <c r="T110" s="269">
        <f>SnapshotTable[[#This Row],[Equity Value]] - SnapshotTable[[#This Row],[Equity Basis Total]]</f>
        <v>0</v>
      </c>
      <c r="U110" s="270" t="str">
        <f>IF(SnapshotTable[[#This Row],[Equity Basis Total]] &gt; 0, SnapshotTable[[#This Row],[Equity G/L]] / SnapshotTable[[#This Row],[Equity Basis Total]], "")</f>
        <v/>
      </c>
      <c r="V110" s="268"/>
      <c r="W110" s="26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7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0"/>
      <c r="AD110" s="151"/>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1">
        <v>43705</v>
      </c>
      <c r="AI110" s="5">
        <v>70</v>
      </c>
      <c r="AJ110" s="138">
        <v>31.35</v>
      </c>
      <c r="AK110" s="152">
        <f>IF(ISNUMBER( SnapshotTable[[#This Row],[EBF Target]]),(SnapshotTable[[#This Row],[EBF Target]] - SnapshotTable[[#This Row],[Last Price]]) / SnapshotTable[[#This Row],[Last Price]], "")</f>
        <v>-0.20930757935163222</v>
      </c>
      <c r="AL110" s="152"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2">
        <f>IF(AND(ISNUMBER( SnapshotTable[[#This Row],[Long Term Target]]), ISNUMBER(SnapshotTable[[#This Row],[Last Price]])),(SnapshotTable[[#This Row],[Long Term Target]] - SnapshotTable[[#This Row],[Last Price]]) / SnapshotTable[[#This Row],[Last Price]], "")</f>
        <v>-0.64588275160962383</v>
      </c>
      <c r="AP110" s="5">
        <v>180</v>
      </c>
      <c r="AQ110" s="38" t="s">
        <v>46</v>
      </c>
      <c r="AR110" s="5">
        <v>160</v>
      </c>
      <c r="AS110" s="38" t="s">
        <v>26</v>
      </c>
      <c r="AT110" s="146"/>
      <c r="AU110" s="187" t="str">
        <f>IF(OR(SnapshotTable[[#This Row],[LP No Fill]]="Y",SnapshotTable[[#This Row],[SP Is Filled]],SnapshotTable[[#This Row],[LC Not Filled]]="Y",SnapshotTable[[#This Row],[SC Is Filled]]),"Y","")</f>
        <v/>
      </c>
      <c r="AV110" s="219"/>
      <c r="AW110" s="225"/>
      <c r="AX110" s="220"/>
      <c r="AY110" s="219" t="str">
        <f>IF(SnapshotTable[[#This Row],[Implied Move]]&gt;0, SnapshotTable[[#This Row],[Last Price]]-SnapshotTable[[#This Row],[Implied Move]],"")</f>
        <v/>
      </c>
      <c r="AZ110" s="219" t="str">
        <f>IF(SnapshotTable[[#This Row],[Implied Move]]&gt;0, SnapshotTable[[#This Row],[Last Price]] + SnapshotTable[[#This Row],[Implied Move]],"")</f>
        <v/>
      </c>
      <c r="BA110" s="331"/>
      <c r="BB110" s="347"/>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51"/>
      <c r="BE110" s="5"/>
      <c r="BF110" s="14"/>
      <c r="BG110" s="13"/>
      <c r="BH110" s="13"/>
      <c r="BI110" s="5"/>
      <c r="BJ110" s="136">
        <f>IF(SnapshotTable[[#This Row],[LP Qty]] &gt; 0, SnapshotTable[[#This Row],[LP Qty]] * SnapshotTable[[#This Row],[LP Book Price]] * 100,0)</f>
        <v>0</v>
      </c>
      <c r="BK110" s="136">
        <f>IF(SnapshotTable[[#This Row],[LP Premium]] &gt; 0, SnapshotTable[[#This Row],[LP Qty]] * SnapshotTable[[#This Row],[LP Strike Price]] * 100,0)</f>
        <v>0</v>
      </c>
      <c r="BL110" s="154"/>
      <c r="BM110" s="385" t="str">
        <f>IF(SnapshotTable[[#This Row],[LP Premium]] &gt; 0,SnapshotTable[[#This Row],[LP Exp Date]]-MAX(SnapshotTable[[#This Row],[LP Book Date]], SnapshotTable[[#This Row],[LP Fill Date]]),"")</f>
        <v/>
      </c>
      <c r="BN110" s="385" t="str">
        <f>IF(ISNUMBER( SnapshotTable[[#This Row],[LP Term]]), SnapshotTable[[#This Row],[LP Exp Date]] - MockToday,"")</f>
        <v/>
      </c>
      <c r="BO110" s="163"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7"/>
      <c r="BU110" s="13"/>
      <c r="BV110" s="5"/>
      <c r="BW110" s="419" t="b">
        <f>AND(ISNUMBER(SnapshotTable[[#This Row],[SP Exp Date]]), ISNUMBER(SnapshotTable[[#This Row],[SP Strike Price]]), ISNUMBER(SnapshotTable[[#This Row],[SP Qty]]), ISNUMBER(SnapshotTable[[#This Row],[SP Book Date]]), ISNUMBER(SnapshotTable[[#This Row],[SP Book Price]]))</f>
        <v>0</v>
      </c>
      <c r="BX110" s="419" t="b">
        <f>AND(SnapshotTable[[#This Row],[SP Is Booked]], NOT(ISBLANK(SnapshotTable[[#This Row],[SP Fill Date]])))</f>
        <v>0</v>
      </c>
      <c r="BY110" s="33">
        <f>IF(SnapshotTable[[#This Row],[SP Is Booked]], SnapshotTable[[#This Row],[SP Qty]] * SnapshotTable[[#This Row],[SP Book Price]] * 100, 0)</f>
        <v>0</v>
      </c>
      <c r="BZ110" s="369"/>
      <c r="CA110" s="368">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3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44"/>
      <c r="CK110" s="31">
        <f>IF(ISNUMBER(SnapshotTable[[#This Row],[SP Potential Spend]]),IF(ISNUMBER(SnapshotTable[[#This Row],[SP POW]]), SnapshotTable[[#This Row],[SP POW]] * SnapshotTable[[#This Row],[SP Potential Spend]], SnapshotTable[[#This Row],[SP Potential Spend]]), "")</f>
        <v>0</v>
      </c>
      <c r="CL110" s="164">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8"/>
      <c r="CO110" s="369"/>
      <c r="CP110" s="4" t="str">
        <f>IF(SnapshotTable[[#This Row],[SP Is Filled]], btc_max_buyback_amount(SnapshotTable[[#This Row],[SP Fill Date]],SnapshotTable[[#This Row],[SP Exp Date]], SnapshotTable[[#This Row],[SP Book Price]]),"")</f>
        <v/>
      </c>
      <c r="CQ110" s="78"/>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5" t="str">
        <f>IF(SnapshotTable[[#This Row],[SP Is Filled]], btc_next_cutoff_date(SnapshotTable[[#This Row],[SP Fill Date]],SnapshotTable[[#This Row],[SP Exp Date]]),"")</f>
        <v/>
      </c>
      <c r="CT110" s="23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3"/>
      <c r="CV110" s="235"/>
      <c r="CW110" s="378"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294" t="str">
        <f>IF(ISNUMBER((SnapshotTable[[#This Row],[SP Total Value]])), SnapshotTable[[#This Row],[SP Gain Loss]] / SnapshotTable[[#This Row],[SP Premium]], "")</f>
        <v/>
      </c>
      <c r="DI110" s="406"/>
      <c r="DJ110" s="138"/>
      <c r="DK110" s="148"/>
      <c r="DL110" s="13"/>
      <c r="DM110" s="13"/>
      <c r="DO110" s="31">
        <f>IF(SnapshotTable[[#This Row],[LC Symbol Count]]=1, SnapshotTable[[#This Row],[LC Qty]] * SnapshotTable[[#This Row],[LC Book Price]] * 100, 0)</f>
        <v>0</v>
      </c>
      <c r="DP110" s="163" t="str">
        <f>IF(AND(SnapshotTable[[#This Row],[LC Exp Date]]&gt;0, SnapshotTable[[#This Row],[LC Strike Price]]&gt;0,SnapshotTable[[#This Row],[LC Qty]]&gt;0,SnapshotTable[[#This Row],[LC Book Date]]&gt;0,SnapshotTable[[#This Row],[LC Book Price]]&gt;0,SnapshotTable[[#This Row],[LC Fill Date]]=0),"Y","")</f>
        <v/>
      </c>
      <c r="DQ110" s="386" t="str">
        <f>IF(SnapshotTable[[#This Row],[LC Premium]] &gt; 0,SnapshotTable[[#This Row],[LC Exp Date]]-MAX(SnapshotTable[[#This Row],[LC Book Date]], SnapshotTable[[#This Row],[LC Fill Date]]),"")</f>
        <v/>
      </c>
      <c r="DR110" s="386" t="str">
        <f>IF(ISNUMBER(SnapshotTable[[#This Row],[LC Term]]), SnapshotTable[[#This Row],[LC Exp Date]] - MockToday, "")</f>
        <v/>
      </c>
      <c r="DS110" s="23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40" t="str">
        <f>IF(ISNUMBER(SnapshotTable[[#This Row],[LC Actual Gain Loss]]), SnapshotTable[[#This Row],[LC Actual Gain Loss]] / SnapshotTable[[#This Row],[LC Premium]],"")</f>
        <v/>
      </c>
      <c r="DX110" s="284" t="str">
        <f>IF(ISNUMBER(SnapshotTable[[#This Row],[LC Book Price]]),SnapshotTable[[#This Row],[LC Book Price]] * 1.5,"")</f>
        <v/>
      </c>
      <c r="DY110" s="265" t="str">
        <f>IF(SnapshotTable[[#This Row],[LC Premium]]&gt;0, SnapshotTable[[#This Row],[LC Next Target]] * SnapshotTable[[#This Row],[LC Qty]] * 100,"")</f>
        <v/>
      </c>
      <c r="DZ110" s="265" t="str">
        <f>IF(ISNUMBER(SnapshotTable[[#This Row],[LC Target Gross]]), SnapshotTable[[#This Row],[LC Target Gross]] - SnapshotTable[[#This Row],[LC Premium]], "")</f>
        <v/>
      </c>
      <c r="EA110" s="305" t="str">
        <f>IF(ISNUMBER(SnapshotTable[[#This Row],[LC Target Gain Loss]]), SnapshotTable[[#This Row],[LC Target Gain Loss]]/SnapshotTable[[#This Row],[LC Premium]], "")</f>
        <v/>
      </c>
      <c r="EB110" s="262"/>
      <c r="EC110" s="283" t="str">
        <f>IF(SnapshotTable[[#This Row],[LC Premium]]&gt;0, SnapshotTable[[#This Row],[LC Book Price]] * (1 - LC_StopLoss_Pct),"")</f>
        <v/>
      </c>
      <c r="ED110" s="284"/>
      <c r="EE110" s="28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4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7"/>
      <c r="EL110" s="138"/>
      <c r="EM110" s="148"/>
      <c r="EN110" s="147"/>
      <c r="EO110" s="147"/>
      <c r="EP110" s="138"/>
      <c r="EQ110" s="419" t="b">
        <f>AND(ISNUMBER(SnapshotTable[[#This Row],[SC Exp Date]]), ISNUMBER(SnapshotTable[[#This Row],[SC Strike Price]]), ISNUMBER(SnapshotTable[[#This Row],[SC Qty]]), ISNUMBER(SnapshotTable[[#This Row],[SC Book Date]]), ISNUMBER(SnapshotTable[[#This Row],[SC Book Price]]))</f>
        <v>0</v>
      </c>
      <c r="ER110" s="419" t="b">
        <f>AND(SnapshotTable[[#This Row],[SC Is Booked]], NOT(ISBLANK(SnapshotTable[[#This Row],[SC Fill Date]])))</f>
        <v>0</v>
      </c>
      <c r="ES110" s="370"/>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3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283"/>
      <c r="FA110" s="218"/>
      <c r="FB110" s="370"/>
      <c r="FC110" s="4">
        <f>IF(SnapshotTable[[#This Row],[SC Is Filled]], btc_max_buyback_amount(SnapshotTable[[#This Row],[SC Fill Date]],SnapshotTable[[#This Row],[SC Exp Date]], SnapshotTable[[#This Row],[SC Book Price]]),0)</f>
        <v>0</v>
      </c>
      <c r="FD110" s="5"/>
      <c r="FE110" s="144"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382">
        <f>IF(SnapshotTable[[#This Row],[SC Is Filled]], IF(ISNUMBER(SnapshotTable[[#This Row],[SC Current Ask]]), SnapshotTable[[#This Row],[SC Current Ask]], SnapshotTable[[#This Row],[SC Book Price]]) - SnapshotTable[[#This Row],[SC Intrinsic Value]], 0)</f>
        <v>0</v>
      </c>
      <c r="FI110" s="143"/>
      <c r="FJ110" s="32" t="str">
        <f>IF(SnapshotTable[[#This Row],[SC Is Filled]],100 * SnapshotTable[[#This Row],[SC Qty]] * IF(ISNUMBER(SnapshotTable[[#This Row],[SC Buyback Override]]), SnapshotTable[[#This Row],[SC Buyback Override]], SnapshotTable[[#This Row],[SC Current Ask]]), "")</f>
        <v/>
      </c>
      <c r="FK110" s="250" t="str">
        <f>IF(SnapshotTable[[#This Row],[SC Time Val]]&gt;0, SnapshotTable[[#This Row],[SC Time Val]] / SnapshotTable[[#This Row],[Last Price]],"")</f>
        <v/>
      </c>
      <c r="FL110" s="302" t="str">
        <f>IF(SnapshotTable[[#This Row],[SC Is Booked]], ((SnapshotTable[[#This Row],[Last Price]] -SnapshotTable[[#This Row],[SC Strike Price]]) / SnapshotTable[[#This Row],[Last Price]]) * -1, "")</f>
        <v/>
      </c>
      <c r="FM110" s="157"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33"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36" t="str">
        <f>IF(AND(ISNUMBER(SnapshotTable[[#This Row],[SC Simple ROO]]),SnapshotTable[[#This Row],[SC Simple ROO]] &gt; 0), SnapshotTable[[#This Row],[SC Premium]] + (SnapshotTable[[#This Row],[SC Qty]] * SnapshotTable[[#This Row],[SC Upside Potential]]), "")</f>
        <v/>
      </c>
      <c r="FX110" s="302" t="str" cm="1">
        <f t="array" ref="FX110">IF(ISNUMBER(SnapshotTable[[#This Row],[SC Max Dollars]]), annualize(SnapshotTable[[#This Row],[SC Term]],(SnapshotTable[[#This Row],[SC Max Dollars]]/SnapshotTable[[#This Row],[SC Basis]])),"")</f>
        <v/>
      </c>
      <c r="FY110" s="23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29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172.6335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677</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31">
        <f>MAX(SnapshotTable[[#This Row],[Equity Basis Total]],SnapshotTable[[#This Row],[Equity Value]]) + (SnapshotTable[[#This Row],[SP Potential Spend]]- SnapshotTable[[#This Row],[SP Premium]] + SnapshotTable[[#This Row],[LP Premium]])+ (SnapshotTable[[#This Row],[LC Premium]] - SnapshotTable[[#This Row],[SC Premium]])</f>
        <v>0</v>
      </c>
      <c r="GW110" s="139" t="str">
        <f>IF(AND(SnapshotTable[[#This Row],[Exposure]] &lt;&gt; 0),SnapshotTable[[#This Row],[Exposure]] / SnapshotTable[[#Totals],[Exposure]], "")</f>
        <v/>
      </c>
      <c r="HE110" s="268"/>
      <c r="HF110" s="268"/>
      <c r="HK110" s="1"/>
      <c r="HL110" s="1"/>
      <c r="HM110" s="1"/>
      <c r="HN110" s="1"/>
      <c r="HO110" s="1"/>
      <c r="HP110" s="1"/>
    </row>
    <row r="111" spans="2:224" ht="12.75" hidden="1" customHeight="1" x14ac:dyDescent="0.25">
      <c r="B111" s="12" t="s">
        <v>56</v>
      </c>
      <c r="C111" s="422">
        <v>396.81</v>
      </c>
      <c r="D111" s="208"/>
      <c r="E111" s="39">
        <f>SnapshotTable[[#This Row],[Last Price]]*(1 -CrashDiscount)</f>
        <v>337.2885</v>
      </c>
      <c r="F111" s="26" t="s">
        <v>614</v>
      </c>
      <c r="G111" s="26" t="s">
        <v>9</v>
      </c>
      <c r="H111" s="149"/>
      <c r="I111" s="194">
        <v>44798.291666666664</v>
      </c>
      <c r="J111" s="195">
        <v>44798.291666666664</v>
      </c>
      <c r="K111" s="196"/>
      <c r="L111" s="326"/>
      <c r="M111" s="140">
        <v>2</v>
      </c>
      <c r="N111" s="140" t="b">
        <v>1</v>
      </c>
      <c r="O111" s="140">
        <v>2</v>
      </c>
      <c r="P111" s="22"/>
      <c r="Q111" s="25"/>
      <c r="R111" s="4" t="str">
        <f>IF(SnapshotTable[[#This Row],[Equity Basis Total]] &gt; 0, SnapshotTable[[#This Row],[Equity Basis Total]] / SnapshotTable[[#This Row],[Equity Shares]], "")</f>
        <v/>
      </c>
      <c r="S111" s="269">
        <f>SnapshotTable[[#This Row],[Last Price]] * SnapshotTable[[#This Row],[Equity Shares]]</f>
        <v>0</v>
      </c>
      <c r="T111" s="269">
        <f>SnapshotTable[[#This Row],[Equity Value]] - SnapshotTable[[#This Row],[Equity Basis Total]]</f>
        <v>0</v>
      </c>
      <c r="U111" s="270" t="str">
        <f>IF(SnapshotTable[[#This Row],[Equity Basis Total]] &gt; 0, SnapshotTable[[#This Row],[Equity G/L]] / SnapshotTable[[#This Row],[Equity Basis Total]], "")</f>
        <v/>
      </c>
      <c r="V111" s="268"/>
      <c r="W111" s="26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7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0">
        <v>4.08</v>
      </c>
      <c r="AD111" s="151">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1.0281998941558932E-2</v>
      </c>
      <c r="AH111" s="151">
        <v>43266</v>
      </c>
      <c r="AI111" s="5">
        <v>345</v>
      </c>
      <c r="AJ111" s="138">
        <v>476.54</v>
      </c>
      <c r="AK111" s="152">
        <f>IF(ISNUMBER( SnapshotTable[[#This Row],[EBF Target]]),(SnapshotTable[[#This Row],[EBF Target]] - SnapshotTable[[#This Row],[Last Price]]) / SnapshotTable[[#This Row],[Last Price]], "")</f>
        <v>-0.13056626597111967</v>
      </c>
      <c r="AL111" s="152"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2">
        <f>IF(AND(ISNUMBER( SnapshotTable[[#This Row],[Long Term Target]]), ISNUMBER(SnapshotTable[[#This Row],[Last Price]])),(SnapshotTable[[#This Row],[Long Term Target]] - SnapshotTable[[#This Row],[Last Price]]) / SnapshotTable[[#This Row],[Last Price]], "")</f>
        <v>0.20092739598296419</v>
      </c>
      <c r="AP111" s="5">
        <v>8</v>
      </c>
      <c r="AQ111" s="38" t="s">
        <v>27</v>
      </c>
      <c r="AR111" s="5">
        <v>8</v>
      </c>
      <c r="AS111" s="38" t="s">
        <v>38</v>
      </c>
      <c r="AT111" s="146" t="s">
        <v>542</v>
      </c>
      <c r="AU111" s="187" t="str">
        <f>IF(OR(SnapshotTable[[#This Row],[LP No Fill]]="Y",SnapshotTable[[#This Row],[SP Is Filled]],SnapshotTable[[#This Row],[LC Not Filled]]="Y",SnapshotTable[[#This Row],[SC Is Filled]]),"Y","")</f>
        <v/>
      </c>
      <c r="AV111" s="219"/>
      <c r="AW111" s="225"/>
      <c r="AX111" s="220"/>
      <c r="AY111" s="219" t="str">
        <f>IF(SnapshotTable[[#This Row],[Implied Move]]&gt;0, SnapshotTable[[#This Row],[Last Price]]-SnapshotTable[[#This Row],[Implied Move]],"")</f>
        <v/>
      </c>
      <c r="AZ111" s="219" t="str">
        <f>IF(SnapshotTable[[#This Row],[Implied Move]]&gt;0, SnapshotTable[[#This Row],[Last Price]] + SnapshotTable[[#This Row],[Implied Move]],"")</f>
        <v/>
      </c>
      <c r="BA111" s="331">
        <v>232.5</v>
      </c>
      <c r="BB111" s="347"/>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51"/>
      <c r="BE111" s="5"/>
      <c r="BF111" s="14"/>
      <c r="BG111" s="13"/>
      <c r="BH111" s="13"/>
      <c r="BI111" s="5"/>
      <c r="BJ111" s="136">
        <f>IF(SnapshotTable[[#This Row],[LP Qty]] &gt; 0, SnapshotTable[[#This Row],[LP Qty]] * SnapshotTable[[#This Row],[LP Book Price]] * 100,0)</f>
        <v>0</v>
      </c>
      <c r="BK111" s="136">
        <f>IF(SnapshotTable[[#This Row],[LP Premium]] &gt; 0, SnapshotTable[[#This Row],[LP Qty]] * SnapshotTable[[#This Row],[LP Strike Price]] * 100,0)</f>
        <v>0</v>
      </c>
      <c r="BL111" s="154"/>
      <c r="BM111" s="385" t="str">
        <f>IF(SnapshotTable[[#This Row],[LP Premium]] &gt; 0,SnapshotTable[[#This Row],[LP Exp Date]]-MAX(SnapshotTable[[#This Row],[LP Book Date]], SnapshotTable[[#This Row],[LP Fill Date]]),"")</f>
        <v/>
      </c>
      <c r="BN111" s="385" t="str">
        <f>IF(ISNUMBER( SnapshotTable[[#This Row],[LP Term]]), SnapshotTable[[#This Row],[LP Exp Date]] - MockToday,"")</f>
        <v/>
      </c>
      <c r="BO111" s="163"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7"/>
      <c r="BU111" s="13"/>
      <c r="BV111" s="5"/>
      <c r="BW111" s="419" t="b">
        <f>AND(ISNUMBER(SnapshotTable[[#This Row],[SP Exp Date]]), ISNUMBER(SnapshotTable[[#This Row],[SP Strike Price]]), ISNUMBER(SnapshotTable[[#This Row],[SP Qty]]), ISNUMBER(SnapshotTable[[#This Row],[SP Book Date]]), ISNUMBER(SnapshotTable[[#This Row],[SP Book Price]]))</f>
        <v>0</v>
      </c>
      <c r="BX111" s="419" t="b">
        <f>AND(SnapshotTable[[#This Row],[SP Is Booked]], NOT(ISBLANK(SnapshotTable[[#This Row],[SP Fill Date]])))</f>
        <v>0</v>
      </c>
      <c r="BY111" s="33">
        <f>IF(SnapshotTable[[#This Row],[SP Is Booked]], SnapshotTable[[#This Row],[SP Qty]] * SnapshotTable[[#This Row],[SP Book Price]] * 100, 0)</f>
        <v>0</v>
      </c>
      <c r="BZ111" s="369"/>
      <c r="CA111" s="368">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3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44"/>
      <c r="CK111" s="31">
        <f>IF(ISNUMBER(SnapshotTable[[#This Row],[SP Potential Spend]]),IF(ISNUMBER(SnapshotTable[[#This Row],[SP POW]]), SnapshotTable[[#This Row],[SP POW]] * SnapshotTable[[#This Row],[SP Potential Spend]], SnapshotTable[[#This Row],[SP Potential Spend]]), "")</f>
        <v>0</v>
      </c>
      <c r="CL111" s="164">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8">
        <v>0.4</v>
      </c>
      <c r="CO111" s="369"/>
      <c r="CP111" s="4" t="str">
        <f>IF(SnapshotTable[[#This Row],[SP Is Filled]], btc_max_buyback_amount(SnapshotTable[[#This Row],[SP Fill Date]],SnapshotTable[[#This Row],[SP Exp Date]], SnapshotTable[[#This Row],[SP Book Price]]),"")</f>
        <v/>
      </c>
      <c r="CQ111" s="78"/>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5" t="str">
        <f>IF(SnapshotTable[[#This Row],[SP Is Filled]], btc_next_cutoff_date(SnapshotTable[[#This Row],[SP Fill Date]],SnapshotTable[[#This Row],[SP Exp Date]]),"")</f>
        <v/>
      </c>
      <c r="CT111" s="23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3"/>
      <c r="CV111" s="235"/>
      <c r="CW111" s="378"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294" t="str">
        <f>IF(ISNUMBER((SnapshotTable[[#This Row],[SP Total Value]])), SnapshotTable[[#This Row],[SP Gain Loss]] / SnapshotTable[[#This Row],[SP Premium]], "")</f>
        <v/>
      </c>
      <c r="DI111" s="406"/>
      <c r="DJ111" s="138"/>
      <c r="DK111" s="148"/>
      <c r="DL111" s="13"/>
      <c r="DM111" s="13"/>
      <c r="DO111" s="31">
        <f>IF(SnapshotTable[[#This Row],[LC Symbol Count]]=1, SnapshotTable[[#This Row],[LC Qty]] * SnapshotTable[[#This Row],[LC Book Price]] * 100, 0)</f>
        <v>0</v>
      </c>
      <c r="DP111" s="163" t="str">
        <f>IF(AND(SnapshotTable[[#This Row],[LC Exp Date]]&gt;0, SnapshotTable[[#This Row],[LC Strike Price]]&gt;0,SnapshotTable[[#This Row],[LC Qty]]&gt;0,SnapshotTable[[#This Row],[LC Book Date]]&gt;0,SnapshotTable[[#This Row],[LC Book Price]]&gt;0,SnapshotTable[[#This Row],[LC Fill Date]]=0),"Y","")</f>
        <v/>
      </c>
      <c r="DQ111" s="386" t="str">
        <f>IF(SnapshotTable[[#This Row],[LC Premium]] &gt; 0,SnapshotTable[[#This Row],[LC Exp Date]]-MAX(SnapshotTable[[#This Row],[LC Book Date]], SnapshotTable[[#This Row],[LC Fill Date]]),"")</f>
        <v/>
      </c>
      <c r="DR111" s="386" t="str">
        <f>IF(ISNUMBER(SnapshotTable[[#This Row],[LC Term]]), SnapshotTable[[#This Row],[LC Exp Date]] - MockToday, "")</f>
        <v/>
      </c>
      <c r="DS111" s="23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40" t="str">
        <f>IF(ISNUMBER(SnapshotTable[[#This Row],[LC Actual Gain Loss]]), SnapshotTable[[#This Row],[LC Actual Gain Loss]] / SnapshotTable[[#This Row],[LC Premium]],"")</f>
        <v/>
      </c>
      <c r="DX111" s="284" t="str">
        <f>IF(ISNUMBER(SnapshotTable[[#This Row],[LC Book Price]]),SnapshotTable[[#This Row],[LC Book Price]] * 1.5,"")</f>
        <v/>
      </c>
      <c r="DY111" s="265" t="str">
        <f>IF(SnapshotTable[[#This Row],[LC Premium]]&gt;0, SnapshotTable[[#This Row],[LC Next Target]] * SnapshotTable[[#This Row],[LC Qty]] * 100,"")</f>
        <v/>
      </c>
      <c r="DZ111" s="265" t="str">
        <f>IF(ISNUMBER(SnapshotTable[[#This Row],[LC Target Gross]]), SnapshotTable[[#This Row],[LC Target Gross]] - SnapshotTable[[#This Row],[LC Premium]], "")</f>
        <v/>
      </c>
      <c r="EA111" s="305" t="str">
        <f>IF(ISNUMBER(SnapshotTable[[#This Row],[LC Target Gain Loss]]), SnapshotTable[[#This Row],[LC Target Gain Loss]]/SnapshotTable[[#This Row],[LC Premium]], "")</f>
        <v/>
      </c>
      <c r="EB111" s="262"/>
      <c r="EC111" s="283" t="str">
        <f>IF(SnapshotTable[[#This Row],[LC Premium]]&gt;0, SnapshotTable[[#This Row],[LC Book Price]] * (1 - LC_StopLoss_Pct),"")</f>
        <v/>
      </c>
      <c r="ED111" s="284"/>
      <c r="EE111" s="28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4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7"/>
      <c r="EL111" s="138"/>
      <c r="EM111" s="148"/>
      <c r="EN111" s="147"/>
      <c r="EO111" s="147"/>
      <c r="EP111" s="138"/>
      <c r="EQ111" s="419" t="b">
        <f>AND(ISNUMBER(SnapshotTable[[#This Row],[SC Exp Date]]), ISNUMBER(SnapshotTable[[#This Row],[SC Strike Price]]), ISNUMBER(SnapshotTable[[#This Row],[SC Qty]]), ISNUMBER(SnapshotTable[[#This Row],[SC Book Date]]), ISNUMBER(SnapshotTable[[#This Row],[SC Book Price]]))</f>
        <v>0</v>
      </c>
      <c r="ER111" s="419" t="b">
        <f>AND(SnapshotTable[[#This Row],[SC Is Booked]], NOT(ISBLANK(SnapshotTable[[#This Row],[SC Fill Date]])))</f>
        <v>0</v>
      </c>
      <c r="ES111" s="370"/>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3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283"/>
      <c r="FA111" s="218"/>
      <c r="FB111" s="370"/>
      <c r="FC111" s="4">
        <f>IF(SnapshotTable[[#This Row],[SC Is Filled]], btc_max_buyback_amount(SnapshotTable[[#This Row],[SC Fill Date]],SnapshotTable[[#This Row],[SC Exp Date]], SnapshotTable[[#This Row],[SC Book Price]]),0)</f>
        <v>0</v>
      </c>
      <c r="FD111" s="5"/>
      <c r="FE111" s="144"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382">
        <f>IF(SnapshotTable[[#This Row],[SC Is Filled]], IF(ISNUMBER(SnapshotTable[[#This Row],[SC Current Ask]]), SnapshotTable[[#This Row],[SC Current Ask]], SnapshotTable[[#This Row],[SC Book Price]]) - SnapshotTable[[#This Row],[SC Intrinsic Value]], 0)</f>
        <v>0</v>
      </c>
      <c r="FI111" s="143"/>
      <c r="FJ111" s="32" t="str">
        <f>IF(SnapshotTable[[#This Row],[SC Is Filled]],100 * SnapshotTable[[#This Row],[SC Qty]] * IF(ISNUMBER(SnapshotTable[[#This Row],[SC Buyback Override]]), SnapshotTable[[#This Row],[SC Buyback Override]], SnapshotTable[[#This Row],[SC Current Ask]]), "")</f>
        <v/>
      </c>
      <c r="FK111" s="250" t="str">
        <f>IF(SnapshotTable[[#This Row],[SC Time Val]]&gt;0, SnapshotTable[[#This Row],[SC Time Val]] / SnapshotTable[[#This Row],[Last Price]],"")</f>
        <v/>
      </c>
      <c r="FL111" s="302" t="str">
        <f>IF(SnapshotTable[[#This Row],[SC Is Booked]], ((SnapshotTable[[#This Row],[Last Price]] -SnapshotTable[[#This Row],[SC Strike Price]]) / SnapshotTable[[#This Row],[Last Price]]) * -1, "")</f>
        <v/>
      </c>
      <c r="FM111" s="157"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33"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36" t="str">
        <f>IF(AND(ISNUMBER(SnapshotTable[[#This Row],[SC Simple ROO]]),SnapshotTable[[#This Row],[SC Simple ROO]] &gt; 0), SnapshotTable[[#This Row],[SC Premium]] + (SnapshotTable[[#This Row],[SC Qty]] * SnapshotTable[[#This Row],[SC Upside Potential]]), "")</f>
        <v/>
      </c>
      <c r="FX111" s="302" t="str" cm="1">
        <f t="array" ref="FX111">IF(ISNUMBER(SnapshotTable[[#This Row],[SC Max Dollars]]), annualize(SnapshotTable[[#This Row],[SC Term]],(SnapshotTable[[#This Row],[SC Max Dollars]]/SnapshotTable[[#This Row],[SC Basis]])),"")</f>
        <v/>
      </c>
      <c r="FY111" s="23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29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773.77949999999998</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640</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31">
        <f>MAX(SnapshotTable[[#This Row],[Equity Basis Total]],SnapshotTable[[#This Row],[Equity Value]]) + (SnapshotTable[[#This Row],[SP Potential Spend]]- SnapshotTable[[#This Row],[SP Premium]] + SnapshotTable[[#This Row],[LP Premium]])+ (SnapshotTable[[#This Row],[LC Premium]] - SnapshotTable[[#This Row],[SC Premium]])</f>
        <v>0</v>
      </c>
      <c r="GW111" s="139" t="str">
        <f>IF(AND(SnapshotTable[[#This Row],[Exposure]] &lt;&gt; 0),SnapshotTable[[#This Row],[Exposure]] / SnapshotTable[[#Totals],[Exposure]], "")</f>
        <v/>
      </c>
      <c r="HE111" s="268"/>
      <c r="HF111" s="268"/>
      <c r="HK111" s="1"/>
      <c r="HL111" s="1"/>
      <c r="HM111" s="1"/>
      <c r="HN111" s="1"/>
      <c r="HO111" s="1"/>
      <c r="HP111" s="1"/>
    </row>
    <row r="112" spans="2:224" ht="12.75" hidden="1" customHeight="1" x14ac:dyDescent="0.25">
      <c r="B112" s="12" t="s">
        <v>1219</v>
      </c>
      <c r="C112" s="422">
        <v>192.98</v>
      </c>
      <c r="D112" s="208" t="s">
        <v>885</v>
      </c>
      <c r="E112" s="39">
        <f>SnapshotTable[[#This Row],[Last Price]]*(1 -CrashDiscount)</f>
        <v>164.03299999999999</v>
      </c>
      <c r="F112" s="26" t="s">
        <v>1037</v>
      </c>
      <c r="G112" s="26" t="s">
        <v>822</v>
      </c>
      <c r="H112" s="149"/>
      <c r="I112" s="194">
        <v>45318</v>
      </c>
      <c r="J112" s="195">
        <v>45135.260416666664</v>
      </c>
      <c r="K112" s="196"/>
      <c r="L112" s="326"/>
      <c r="M112" s="140"/>
      <c r="N112" s="140"/>
      <c r="O112" s="140"/>
      <c r="P112" s="22"/>
      <c r="Q112" s="25"/>
      <c r="R112" s="4" t="str">
        <f>IF(SnapshotTable[[#This Row],[Equity Basis Total]] &gt; 0, SnapshotTable[[#This Row],[Equity Basis Total]] / SnapshotTable[[#This Row],[Equity Shares]], "")</f>
        <v/>
      </c>
      <c r="S112" s="269">
        <f>SnapshotTable[[#This Row],[Last Price]] * SnapshotTable[[#This Row],[Equity Shares]]</f>
        <v>0</v>
      </c>
      <c r="T112" s="269">
        <f>SnapshotTable[[#This Row],[Equity Value]] - SnapshotTable[[#This Row],[Equity Basis Total]]</f>
        <v>0</v>
      </c>
      <c r="U112" s="270" t="str">
        <f>IF(SnapshotTable[[#This Row],[Equity Basis Total]] &gt; 0, SnapshotTable[[#This Row],[Equity G/L]] / SnapshotTable[[#This Row],[Equity Basis Total]], "")</f>
        <v/>
      </c>
      <c r="V112" s="268">
        <v>200</v>
      </c>
      <c r="W112" s="26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7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0">
        <v>4.28</v>
      </c>
      <c r="AD112" s="151">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2.2178464089542962E-2</v>
      </c>
      <c r="AH112" s="151">
        <v>44791</v>
      </c>
      <c r="AI112" s="5"/>
      <c r="AJ112" s="138">
        <v>195</v>
      </c>
      <c r="AK112" s="152" t="str">
        <f>IF(ISNUMBER( SnapshotTable[[#This Row],[EBF Target]]),(SnapshotTable[[#This Row],[EBF Target]] - SnapshotTable[[#This Row],[Last Price]]) / SnapshotTable[[#This Row],[Last Price]], "")</f>
        <v/>
      </c>
      <c r="AL112" s="152"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2">
        <f>IF(AND(ISNUMBER( SnapshotTable[[#This Row],[Long Term Target]]), ISNUMBER(SnapshotTable[[#This Row],[Last Price]])),(SnapshotTable[[#This Row],[Long Term Target]] - SnapshotTable[[#This Row],[Last Price]]) / SnapshotTable[[#This Row],[Last Price]], "")</f>
        <v>1.0467405948803039E-2</v>
      </c>
      <c r="AP112" s="5">
        <v>162.5</v>
      </c>
      <c r="AQ112" s="38" t="s">
        <v>27</v>
      </c>
      <c r="AR112" s="5">
        <v>145</v>
      </c>
      <c r="AS112" s="38" t="s">
        <v>26</v>
      </c>
      <c r="AT112" s="146" t="s">
        <v>553</v>
      </c>
      <c r="AU112" s="187" t="str">
        <f>IF(OR(SnapshotTable[[#This Row],[LP No Fill]]="Y",SnapshotTable[[#This Row],[SP Is Filled]],SnapshotTable[[#This Row],[LC Not Filled]]="Y",SnapshotTable[[#This Row],[SC Is Filled]]),"Y","")</f>
        <v/>
      </c>
      <c r="AV112" s="219"/>
      <c r="AW112" s="225"/>
      <c r="AX112" s="220"/>
      <c r="AY112" s="219" t="str">
        <f>IF(SnapshotTable[[#This Row],[Implied Move]]&gt;0, SnapshotTable[[#This Row],[Last Price]]-SnapshotTable[[#This Row],[Implied Move]],"")</f>
        <v/>
      </c>
      <c r="AZ112" s="219" t="str">
        <f>IF(SnapshotTable[[#This Row],[Implied Move]]&gt;0, SnapshotTable[[#This Row],[Last Price]] + SnapshotTable[[#This Row],[Implied Move]],"")</f>
        <v/>
      </c>
      <c r="BA112" s="331">
        <v>147.38999999999999</v>
      </c>
      <c r="BB112" s="347"/>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51"/>
      <c r="BE112" s="5"/>
      <c r="BF112" s="14"/>
      <c r="BG112" s="13"/>
      <c r="BH112" s="13"/>
      <c r="BI112" s="5"/>
      <c r="BJ112" s="136">
        <f>IF(SnapshotTable[[#This Row],[LP Qty]] &gt; 0, SnapshotTable[[#This Row],[LP Qty]] * SnapshotTable[[#This Row],[LP Book Price]] * 100,0)</f>
        <v>0</v>
      </c>
      <c r="BK112" s="136">
        <f>IF(SnapshotTable[[#This Row],[LP Premium]] &gt; 0, SnapshotTable[[#This Row],[LP Qty]] * SnapshotTable[[#This Row],[LP Strike Price]] * 100,0)</f>
        <v>0</v>
      </c>
      <c r="BL112" s="154"/>
      <c r="BM112" s="385" t="str">
        <f>IF(SnapshotTable[[#This Row],[LP Premium]] &gt; 0,SnapshotTable[[#This Row],[LP Exp Date]]-MAX(SnapshotTable[[#This Row],[LP Book Date]], SnapshotTable[[#This Row],[LP Fill Date]]),"")</f>
        <v/>
      </c>
      <c r="BN112" s="385" t="str">
        <f>IF(ISNUMBER( SnapshotTable[[#This Row],[LP Term]]), SnapshotTable[[#This Row],[LP Exp Date]] - MockToday,"")</f>
        <v/>
      </c>
      <c r="BO112" s="163"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7"/>
      <c r="BU112" s="13"/>
      <c r="BV112" s="5"/>
      <c r="BW112" s="419" t="b">
        <f>AND(ISNUMBER(SnapshotTable[[#This Row],[SP Exp Date]]), ISNUMBER(SnapshotTable[[#This Row],[SP Strike Price]]), ISNUMBER(SnapshotTable[[#This Row],[SP Qty]]), ISNUMBER(SnapshotTable[[#This Row],[SP Book Date]]), ISNUMBER(SnapshotTable[[#This Row],[SP Book Price]]))</f>
        <v>0</v>
      </c>
      <c r="BX112" s="419" t="b">
        <f>AND(SnapshotTable[[#This Row],[SP Is Booked]], NOT(ISBLANK(SnapshotTable[[#This Row],[SP Fill Date]])))</f>
        <v>0</v>
      </c>
      <c r="BY112" s="33">
        <f>IF(SnapshotTable[[#This Row],[SP Is Booked]], SnapshotTable[[#This Row],[SP Qty]] * SnapshotTable[[#This Row],[SP Book Price]] * 100, 0)</f>
        <v>0</v>
      </c>
      <c r="BZ112" s="369"/>
      <c r="CA112" s="368">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3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44"/>
      <c r="CK112" s="31">
        <f>IF(ISNUMBER(SnapshotTable[[#This Row],[SP Potential Spend]]),IF(ISNUMBER(SnapshotTable[[#This Row],[SP POW]]), SnapshotTable[[#This Row],[SP POW]] * SnapshotTable[[#This Row],[SP Potential Spend]], SnapshotTable[[#This Row],[SP Potential Spend]]), "")</f>
        <v>0</v>
      </c>
      <c r="CL112" s="164">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8"/>
      <c r="CO112" s="369"/>
      <c r="CP112" s="4" t="str">
        <f>IF(SnapshotTable[[#This Row],[SP Is Filled]], btc_max_buyback_amount(SnapshotTable[[#This Row],[SP Fill Date]],SnapshotTable[[#This Row],[SP Exp Date]], SnapshotTable[[#This Row],[SP Book Price]]),"")</f>
        <v/>
      </c>
      <c r="CQ112" s="78"/>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5" t="str">
        <f>IF(SnapshotTable[[#This Row],[SP Is Filled]], btc_next_cutoff_date(SnapshotTable[[#This Row],[SP Fill Date]],SnapshotTable[[#This Row],[SP Exp Date]]),"")</f>
        <v/>
      </c>
      <c r="CT112" s="23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6"/>
      <c r="CV112" s="235"/>
      <c r="CW112" s="378"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294" t="str">
        <f>IF(ISNUMBER((SnapshotTable[[#This Row],[SP Total Value]])), SnapshotTable[[#This Row],[SP Gain Loss]] / SnapshotTable[[#This Row],[SP Premium]], "")</f>
        <v/>
      </c>
      <c r="DI112" s="406"/>
      <c r="DJ112" s="138"/>
      <c r="DK112" s="148"/>
      <c r="DL112" s="13"/>
      <c r="DM112" s="13"/>
      <c r="DO112" s="31">
        <f>IF(SnapshotTable[[#This Row],[LC Symbol Count]]=1, SnapshotTable[[#This Row],[LC Qty]] * SnapshotTable[[#This Row],[LC Book Price]] * 100, 0)</f>
        <v>0</v>
      </c>
      <c r="DP112" s="163" t="str">
        <f>IF(AND(SnapshotTable[[#This Row],[LC Exp Date]]&gt;0, SnapshotTable[[#This Row],[LC Strike Price]]&gt;0,SnapshotTable[[#This Row],[LC Qty]]&gt;0,SnapshotTable[[#This Row],[LC Book Date]]&gt;0,SnapshotTable[[#This Row],[LC Book Price]]&gt;0,SnapshotTable[[#This Row],[LC Fill Date]]=0),"Y","")</f>
        <v/>
      </c>
      <c r="DQ112" s="386" t="str">
        <f>IF(SnapshotTable[[#This Row],[LC Premium]] &gt; 0,SnapshotTable[[#This Row],[LC Exp Date]]-MAX(SnapshotTable[[#This Row],[LC Book Date]], SnapshotTable[[#This Row],[LC Fill Date]]),"")</f>
        <v/>
      </c>
      <c r="DR112" s="386" t="str">
        <f>IF(ISNUMBER(SnapshotTable[[#This Row],[LC Term]]), SnapshotTable[[#This Row],[LC Exp Date]] - MockToday, "")</f>
        <v/>
      </c>
      <c r="DS112" s="23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40" t="str">
        <f>IF(ISNUMBER(SnapshotTable[[#This Row],[LC Actual Gain Loss]]), SnapshotTable[[#This Row],[LC Actual Gain Loss]] / SnapshotTable[[#This Row],[LC Premium]],"")</f>
        <v/>
      </c>
      <c r="DX112" s="284" t="str">
        <f>IF(ISNUMBER(SnapshotTable[[#This Row],[LC Book Price]]),SnapshotTable[[#This Row],[LC Book Price]] * 1.5,"")</f>
        <v/>
      </c>
      <c r="DY112" s="265" t="str">
        <f>IF(SnapshotTable[[#This Row],[LC Premium]]&gt;0, SnapshotTable[[#This Row],[LC Next Target]] * SnapshotTable[[#This Row],[LC Qty]] * 100,"")</f>
        <v/>
      </c>
      <c r="DZ112" s="265" t="str">
        <f>IF(ISNUMBER(SnapshotTable[[#This Row],[LC Target Gross]]), SnapshotTable[[#This Row],[LC Target Gross]] - SnapshotTable[[#This Row],[LC Premium]], "")</f>
        <v/>
      </c>
      <c r="EA112" s="305" t="str">
        <f>IF(ISNUMBER(SnapshotTable[[#This Row],[LC Target Gain Loss]]), SnapshotTable[[#This Row],[LC Target Gain Loss]]/SnapshotTable[[#This Row],[LC Premium]], "")</f>
        <v/>
      </c>
      <c r="EB112" s="262"/>
      <c r="EC112" s="283" t="str">
        <f>IF(SnapshotTable[[#This Row],[LC Premium]]&gt;0, SnapshotTable[[#This Row],[LC Book Price]] * (1 - LC_StopLoss_Pct),"")</f>
        <v/>
      </c>
      <c r="ED112" s="284"/>
      <c r="EE112" s="28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4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7"/>
      <c r="EL112" s="138"/>
      <c r="EM112" s="148"/>
      <c r="EN112" s="147"/>
      <c r="EO112" s="147"/>
      <c r="EP112" s="138"/>
      <c r="EQ112" s="419" t="b">
        <f>AND(ISNUMBER(SnapshotTable[[#This Row],[SC Exp Date]]), ISNUMBER(SnapshotTable[[#This Row],[SC Strike Price]]), ISNUMBER(SnapshotTable[[#This Row],[SC Qty]]), ISNUMBER(SnapshotTable[[#This Row],[SC Book Date]]), ISNUMBER(SnapshotTable[[#This Row],[SC Book Price]]))</f>
        <v>0</v>
      </c>
      <c r="ER112" s="419" t="b">
        <f>AND(SnapshotTable[[#This Row],[SC Is Booked]], NOT(ISBLANK(SnapshotTable[[#This Row],[SC Fill Date]])))</f>
        <v>0</v>
      </c>
      <c r="ES112" s="370"/>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3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283"/>
      <c r="FA112" s="218"/>
      <c r="FB112" s="370"/>
      <c r="FC112" s="4">
        <f>IF(SnapshotTable[[#This Row],[SC Is Filled]], btc_max_buyback_amount(SnapshotTable[[#This Row],[SC Fill Date]],SnapshotTable[[#This Row],[SC Exp Date]], SnapshotTable[[#This Row],[SC Book Price]]),0)</f>
        <v>0</v>
      </c>
      <c r="FD112" s="5"/>
      <c r="FE112" s="144"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382">
        <f>IF(SnapshotTable[[#This Row],[SC Is Filled]], IF(ISNUMBER(SnapshotTable[[#This Row],[SC Current Ask]]), SnapshotTable[[#This Row],[SC Current Ask]], SnapshotTable[[#This Row],[SC Book Price]]) - SnapshotTable[[#This Row],[SC Intrinsic Value]], 0)</f>
        <v>0</v>
      </c>
      <c r="FI112" s="143"/>
      <c r="FJ112" s="32" t="str">
        <f>IF(SnapshotTable[[#This Row],[SC Is Filled]],100 * SnapshotTable[[#This Row],[SC Qty]] * IF(ISNUMBER(SnapshotTable[[#This Row],[SC Buyback Override]]), SnapshotTable[[#This Row],[SC Buyback Override]], SnapshotTable[[#This Row],[SC Current Ask]]), "")</f>
        <v/>
      </c>
      <c r="FK112" s="250" t="str">
        <f>IF(SnapshotTable[[#This Row],[SC Time Val]]&gt;0, SnapshotTable[[#This Row],[SC Time Val]] / SnapshotTable[[#This Row],[Last Price]],"")</f>
        <v/>
      </c>
      <c r="FL112" s="302" t="str">
        <f>IF(SnapshotTable[[#This Row],[SC Is Booked]], ((SnapshotTable[[#This Row],[Last Price]] -SnapshotTable[[#This Row],[SC Strike Price]]) / SnapshotTable[[#This Row],[Last Price]]) * -1, "")</f>
        <v/>
      </c>
      <c r="FM112" s="157"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33"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36" t="str">
        <f>IF(AND(ISNUMBER(SnapshotTable[[#This Row],[SC Simple ROO]]),SnapshotTable[[#This Row],[SC Simple ROO]] &gt; 0), SnapshotTable[[#This Row],[SC Premium]] + (SnapshotTable[[#This Row],[SC Qty]] * SnapshotTable[[#This Row],[SC Upside Potential]]), "")</f>
        <v/>
      </c>
      <c r="FX112" s="302" t="str" cm="1">
        <f t="array" ref="FX112">IF(ISNUMBER(SnapshotTable[[#This Row],[SC Max Dollars]]), annualize(SnapshotTable[[#This Row],[SC Term]],(SnapshotTable[[#This Row],[SC Max Dollars]]/SnapshotTable[[#This Row],[SC Basis]])),"")</f>
        <v/>
      </c>
      <c r="FY112" s="23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29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376.31099999999998</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1114</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31">
        <f>MAX(SnapshotTable[[#This Row],[Equity Basis Total]],SnapshotTable[[#This Row],[Equity Value]]) + (SnapshotTable[[#This Row],[SP Potential Spend]]- SnapshotTable[[#This Row],[SP Premium]] + SnapshotTable[[#This Row],[LP Premium]])+ (SnapshotTable[[#This Row],[LC Premium]] - SnapshotTable[[#This Row],[SC Premium]])</f>
        <v>0</v>
      </c>
      <c r="GW112" s="139" t="str">
        <f>IF(AND(SnapshotTable[[#This Row],[Exposure]] &lt;&gt; 0),SnapshotTable[[#This Row],[Exposure]] / SnapshotTable[[#Totals],[Exposure]], "")</f>
        <v/>
      </c>
      <c r="HE112" s="268"/>
      <c r="HF112" s="268"/>
      <c r="HK112" s="1"/>
      <c r="HL112" s="1"/>
      <c r="HM112" s="1"/>
      <c r="HN112" s="1"/>
      <c r="HO112" s="1"/>
      <c r="HP112" s="1"/>
    </row>
    <row r="113" spans="2:224" ht="12.75" hidden="1" customHeight="1" x14ac:dyDescent="0.25">
      <c r="B113" s="12" t="s">
        <v>1174</v>
      </c>
      <c r="C113" s="422">
        <v>90.43</v>
      </c>
      <c r="D113" s="208"/>
      <c r="E113" s="39">
        <f>SnapshotTable[[#This Row],[Last Price]]*(1 -CrashDiscount)</f>
        <v>76.865499999999997</v>
      </c>
      <c r="F113" s="26" t="s">
        <v>120</v>
      </c>
      <c r="G113" s="325" t="s">
        <v>872</v>
      </c>
      <c r="H113" s="149"/>
      <c r="I113" s="194"/>
      <c r="J113" s="195"/>
      <c r="K113" s="196"/>
      <c r="L113" s="326"/>
      <c r="M113" s="140"/>
      <c r="N113" s="140"/>
      <c r="O113" s="140"/>
      <c r="P113" s="22"/>
      <c r="Q113" s="25"/>
      <c r="R113" s="4" t="str">
        <f>IF(SnapshotTable[[#This Row],[Equity Basis Total]] &gt; 0, SnapshotTable[[#This Row],[Equity Basis Total]] / SnapshotTable[[#This Row],[Equity Shares]], "")</f>
        <v/>
      </c>
      <c r="S113" s="269">
        <f>SnapshotTable[[#This Row],[Last Price]] * SnapshotTable[[#This Row],[Equity Shares]]</f>
        <v>0</v>
      </c>
      <c r="T113" s="269">
        <f>SnapshotTable[[#This Row],[Equity Value]] - SnapshotTable[[#This Row],[Equity Basis Total]]</f>
        <v>0</v>
      </c>
      <c r="U113" s="270" t="str">
        <f>IF(SnapshotTable[[#This Row],[Equity Basis Total]] &gt; 0, SnapshotTable[[#This Row],[Equity G/L]] / SnapshotTable[[#This Row],[Equity Basis Total]], "")</f>
        <v/>
      </c>
      <c r="V113" s="268">
        <v>115.75</v>
      </c>
      <c r="W113" s="26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7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0"/>
      <c r="AD113" s="151"/>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1"/>
      <c r="AI113" s="5"/>
      <c r="AJ113" s="138"/>
      <c r="AK113" s="152" t="str">
        <f>IF(ISNUMBER( SnapshotTable[[#This Row],[EBF Target]]),(SnapshotTable[[#This Row],[EBF Target]] - SnapshotTable[[#This Row],[Last Price]]) / SnapshotTable[[#This Row],[Last Price]], "")</f>
        <v/>
      </c>
      <c r="AL113" s="152"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2" t="str">
        <f>IF(AND(ISNUMBER( SnapshotTable[[#This Row],[Long Term Target]]), ISNUMBER(SnapshotTable[[#This Row],[Last Price]])),(SnapshotTable[[#This Row],[Long Term Target]] - SnapshotTable[[#This Row],[Last Price]]) / SnapshotTable[[#This Row],[Last Price]], "")</f>
        <v/>
      </c>
      <c r="AP113" s="5"/>
      <c r="AQ113" s="38"/>
      <c r="AR113" s="5"/>
      <c r="AS113" s="38"/>
      <c r="AT113" s="146"/>
      <c r="AU113" s="187" t="str">
        <f>IF(OR(SnapshotTable[[#This Row],[LP No Fill]]="Y",SnapshotTable[[#This Row],[SP Is Filled]],SnapshotTable[[#This Row],[LC Not Filled]]="Y",SnapshotTable[[#This Row],[SC Is Filled]]),"Y","")</f>
        <v/>
      </c>
      <c r="AV113" s="219"/>
      <c r="AW113" s="225"/>
      <c r="AX113" s="220"/>
      <c r="AY113" s="219" t="str">
        <f>IF(SnapshotTable[[#This Row],[Implied Move]]&gt;0, SnapshotTable[[#This Row],[Last Price]]-SnapshotTable[[#This Row],[Implied Move]],"")</f>
        <v/>
      </c>
      <c r="AZ113" s="219" t="str">
        <f>IF(SnapshotTable[[#This Row],[Implied Move]]&gt;0, SnapshotTable[[#This Row],[Last Price]] + SnapshotTable[[#This Row],[Implied Move]],"")</f>
        <v/>
      </c>
      <c r="BA113" s="331">
        <v>106.59</v>
      </c>
      <c r="BB113" s="347"/>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51"/>
      <c r="BE113" s="5"/>
      <c r="BF113" s="14"/>
      <c r="BG113" s="13"/>
      <c r="BH113" s="13"/>
      <c r="BI113" s="5"/>
      <c r="BJ113" s="136">
        <f>IF(SnapshotTable[[#This Row],[LP Qty]] &gt; 0, SnapshotTable[[#This Row],[LP Qty]] * SnapshotTable[[#This Row],[LP Book Price]] * 100,0)</f>
        <v>0</v>
      </c>
      <c r="BK113" s="136">
        <f>IF(SnapshotTable[[#This Row],[LP Premium]] &gt; 0, SnapshotTable[[#This Row],[LP Qty]] * SnapshotTable[[#This Row],[LP Strike Price]] * 100,0)</f>
        <v>0</v>
      </c>
      <c r="BL113" s="154"/>
      <c r="BM113" s="385" t="str">
        <f>IF(SnapshotTable[[#This Row],[LP Premium]] &gt; 0,SnapshotTable[[#This Row],[LP Exp Date]]-MAX(SnapshotTable[[#This Row],[LP Book Date]], SnapshotTable[[#This Row],[LP Fill Date]]),"")</f>
        <v/>
      </c>
      <c r="BN113" s="385" t="str">
        <f>IF(ISNUMBER( SnapshotTable[[#This Row],[LP Term]]), SnapshotTable[[#This Row],[LP Exp Date]] - MockToday,"")</f>
        <v/>
      </c>
      <c r="BO113" s="163"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7"/>
      <c r="BU113" s="13"/>
      <c r="BV113" s="5"/>
      <c r="BW113" s="419" t="b">
        <f>AND(ISNUMBER(SnapshotTable[[#This Row],[SP Exp Date]]), ISNUMBER(SnapshotTable[[#This Row],[SP Strike Price]]), ISNUMBER(SnapshotTable[[#This Row],[SP Qty]]), ISNUMBER(SnapshotTable[[#This Row],[SP Book Date]]), ISNUMBER(SnapshotTable[[#This Row],[SP Book Price]]))</f>
        <v>0</v>
      </c>
      <c r="BX113" s="419" t="b">
        <f>AND(SnapshotTable[[#This Row],[SP Is Booked]], NOT(ISBLANK(SnapshotTable[[#This Row],[SP Fill Date]])))</f>
        <v>0</v>
      </c>
      <c r="BY113" s="33">
        <f>IF(SnapshotTable[[#This Row],[SP Is Booked]], SnapshotTable[[#This Row],[SP Qty]] * SnapshotTable[[#This Row],[SP Book Price]] * 100, 0)</f>
        <v>0</v>
      </c>
      <c r="BZ113" s="369"/>
      <c r="CA113" s="368">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3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44"/>
      <c r="CK113" s="31">
        <f>IF(ISNUMBER(SnapshotTable[[#This Row],[SP Potential Spend]]),IF(ISNUMBER(SnapshotTable[[#This Row],[SP POW]]), SnapshotTable[[#This Row],[SP POW]] * SnapshotTable[[#This Row],[SP Potential Spend]], SnapshotTable[[#This Row],[SP Potential Spend]]), "")</f>
        <v>0</v>
      </c>
      <c r="CL113" s="164">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8"/>
      <c r="CO113" s="369"/>
      <c r="CP113" s="4" t="str">
        <f>IF(SnapshotTable[[#This Row],[SP Is Filled]], btc_max_buyback_amount(SnapshotTable[[#This Row],[SP Fill Date]],SnapshotTable[[#This Row],[SP Exp Date]], SnapshotTable[[#This Row],[SP Book Price]]),"")</f>
        <v/>
      </c>
      <c r="CQ113" s="78"/>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5" t="str">
        <f>IF(SnapshotTable[[#This Row],[SP Is Filled]], btc_next_cutoff_date(SnapshotTable[[#This Row],[SP Fill Date]],SnapshotTable[[#This Row],[SP Exp Date]]),"")</f>
        <v/>
      </c>
      <c r="CT113" s="23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6"/>
      <c r="CV113" s="235"/>
      <c r="CW113" s="378"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294" t="str">
        <f>IF(ISNUMBER((SnapshotTable[[#This Row],[SP Total Value]])), SnapshotTable[[#This Row],[SP Gain Loss]] / SnapshotTable[[#This Row],[SP Premium]], "")</f>
        <v/>
      </c>
      <c r="DI113" s="406"/>
      <c r="DJ113" s="138"/>
      <c r="DK113" s="148"/>
      <c r="DL113" s="13"/>
      <c r="DM113" s="13"/>
      <c r="DO113" s="31">
        <f>IF(SnapshotTable[[#This Row],[LC Symbol Count]]=1, SnapshotTable[[#This Row],[LC Qty]] * SnapshotTable[[#This Row],[LC Book Price]] * 100, 0)</f>
        <v>0</v>
      </c>
      <c r="DP113" s="163" t="str">
        <f>IF(AND(SnapshotTable[[#This Row],[LC Exp Date]]&gt;0, SnapshotTable[[#This Row],[LC Strike Price]]&gt;0,SnapshotTable[[#This Row],[LC Qty]]&gt;0,SnapshotTable[[#This Row],[LC Book Date]]&gt;0,SnapshotTable[[#This Row],[LC Book Price]]&gt;0,SnapshotTable[[#This Row],[LC Fill Date]]=0),"Y","")</f>
        <v/>
      </c>
      <c r="DQ113" s="386" t="str">
        <f>IF(SnapshotTable[[#This Row],[LC Premium]] &gt; 0,SnapshotTable[[#This Row],[LC Exp Date]]-MAX(SnapshotTable[[#This Row],[LC Book Date]], SnapshotTable[[#This Row],[LC Fill Date]]),"")</f>
        <v/>
      </c>
      <c r="DR113" s="386" t="str">
        <f>IF(ISNUMBER(SnapshotTable[[#This Row],[LC Term]]), SnapshotTable[[#This Row],[LC Exp Date]] - MockToday, "")</f>
        <v/>
      </c>
      <c r="DS113" s="23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40" t="str">
        <f>IF(ISNUMBER(SnapshotTable[[#This Row],[LC Actual Gain Loss]]), SnapshotTable[[#This Row],[LC Actual Gain Loss]] / SnapshotTable[[#This Row],[LC Premium]],"")</f>
        <v/>
      </c>
      <c r="DX113" s="284" t="str">
        <f>IF(ISNUMBER(SnapshotTable[[#This Row],[LC Book Price]]),SnapshotTable[[#This Row],[LC Book Price]] * 1.5,"")</f>
        <v/>
      </c>
      <c r="DY113" s="265" t="str">
        <f>IF(SnapshotTable[[#This Row],[LC Premium]]&gt;0, SnapshotTable[[#This Row],[LC Next Target]] * SnapshotTable[[#This Row],[LC Qty]] * 100,"")</f>
        <v/>
      </c>
      <c r="DZ113" s="265" t="str">
        <f>IF(ISNUMBER(SnapshotTable[[#This Row],[LC Target Gross]]), SnapshotTable[[#This Row],[LC Target Gross]] - SnapshotTable[[#This Row],[LC Premium]], "")</f>
        <v/>
      </c>
      <c r="EA113" s="305" t="str">
        <f>IF(ISNUMBER(SnapshotTable[[#This Row],[LC Target Gain Loss]]), SnapshotTable[[#This Row],[LC Target Gain Loss]]/SnapshotTable[[#This Row],[LC Premium]], "")</f>
        <v/>
      </c>
      <c r="EB113" s="262"/>
      <c r="EC113" s="283" t="str">
        <f>IF(SnapshotTable[[#This Row],[LC Premium]]&gt;0, SnapshotTable[[#This Row],[LC Book Price]] * (1 - LC_StopLoss_Pct),"")</f>
        <v/>
      </c>
      <c r="ED113" s="284"/>
      <c r="EE113" s="28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4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7"/>
      <c r="EL113" s="138"/>
      <c r="EM113" s="148"/>
      <c r="EN113" s="147"/>
      <c r="EO113" s="147"/>
      <c r="EP113" s="138"/>
      <c r="EQ113" s="419" t="b">
        <f>AND(ISNUMBER(SnapshotTable[[#This Row],[SC Exp Date]]), ISNUMBER(SnapshotTable[[#This Row],[SC Strike Price]]), ISNUMBER(SnapshotTable[[#This Row],[SC Qty]]), ISNUMBER(SnapshotTable[[#This Row],[SC Book Date]]), ISNUMBER(SnapshotTable[[#This Row],[SC Book Price]]))</f>
        <v>0</v>
      </c>
      <c r="ER113" s="419" t="b">
        <f>AND(SnapshotTable[[#This Row],[SC Is Booked]], NOT(ISBLANK(SnapshotTable[[#This Row],[SC Fill Date]])))</f>
        <v>0</v>
      </c>
      <c r="ES113" s="370"/>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3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283"/>
      <c r="FA113" s="218"/>
      <c r="FB113" s="370"/>
      <c r="FC113" s="4">
        <f>IF(SnapshotTable[[#This Row],[SC Is Filled]], btc_max_buyback_amount(SnapshotTable[[#This Row],[SC Fill Date]],SnapshotTable[[#This Row],[SC Exp Date]], SnapshotTable[[#This Row],[SC Book Price]]),0)</f>
        <v>0</v>
      </c>
      <c r="FD113" s="5"/>
      <c r="FE113" s="144"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382">
        <f>IF(SnapshotTable[[#This Row],[SC Is Filled]], IF(ISNUMBER(SnapshotTable[[#This Row],[SC Current Ask]]), SnapshotTable[[#This Row],[SC Current Ask]], SnapshotTable[[#This Row],[SC Book Price]]) - SnapshotTable[[#This Row],[SC Intrinsic Value]], 0)</f>
        <v>0</v>
      </c>
      <c r="FI113" s="143">
        <v>45786</v>
      </c>
      <c r="FJ113" s="32" t="str">
        <f>IF(SnapshotTable[[#This Row],[SC Is Filled]],100 * SnapshotTable[[#This Row],[SC Qty]] * IF(ISNUMBER(SnapshotTable[[#This Row],[SC Buyback Override]]), SnapshotTable[[#This Row],[SC Buyback Override]], SnapshotTable[[#This Row],[SC Current Ask]]), "")</f>
        <v/>
      </c>
      <c r="FK113" s="250" t="str">
        <f>IF(SnapshotTable[[#This Row],[SC Time Val]]&gt;0, SnapshotTable[[#This Row],[SC Time Val]] / SnapshotTable[[#This Row],[Last Price]],"")</f>
        <v/>
      </c>
      <c r="FL113" s="302" t="str">
        <f>IF(SnapshotTable[[#This Row],[SC Is Booked]], ((SnapshotTable[[#This Row],[Last Price]] -SnapshotTable[[#This Row],[SC Strike Price]]) / SnapshotTable[[#This Row],[Last Price]]) * -1, "")</f>
        <v/>
      </c>
      <c r="FM113" s="157"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33"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36" t="str">
        <f>IF(AND(ISNUMBER(SnapshotTable[[#This Row],[SC Simple ROO]]),SnapshotTable[[#This Row],[SC Simple ROO]] &gt; 0), SnapshotTable[[#This Row],[SC Premium]] + (SnapshotTable[[#This Row],[SC Qty]] * SnapshotTable[[#This Row],[SC Upside Potential]]), "")</f>
        <v/>
      </c>
      <c r="FX113" s="302" t="str" cm="1">
        <f t="array" ref="FX113">IF(ISNUMBER(SnapshotTable[[#This Row],[SC Max Dollars]]), annualize(SnapshotTable[[#This Row],[SC Term]],(SnapshotTable[[#This Row],[SC Max Dollars]]/SnapshotTable[[#This Row],[SC Basis]])),"")</f>
        <v/>
      </c>
      <c r="FY113" s="23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29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176.33850000000001</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31">
        <f>MAX(SnapshotTable[[#This Row],[Equity Basis Total]],SnapshotTable[[#This Row],[Equity Value]]) + (SnapshotTable[[#This Row],[SP Potential Spend]]- SnapshotTable[[#This Row],[SP Premium]] + SnapshotTable[[#This Row],[LP Premium]])+ (SnapshotTable[[#This Row],[LC Premium]] - SnapshotTable[[#This Row],[SC Premium]])</f>
        <v>0</v>
      </c>
      <c r="GW113" s="139" t="str">
        <f>IF(AND(SnapshotTable[[#This Row],[Exposure]] &lt;&gt; 0),SnapshotTable[[#This Row],[Exposure]] / SnapshotTable[[#Totals],[Exposure]], "")</f>
        <v/>
      </c>
      <c r="HE113" s="268"/>
      <c r="HF113" s="268"/>
      <c r="HK113" s="1"/>
      <c r="HL113" s="1"/>
      <c r="HM113" s="1"/>
      <c r="HN113" s="1"/>
      <c r="HO113" s="1"/>
      <c r="HP113" s="1"/>
    </row>
    <row r="114" spans="2:224" ht="12.75" hidden="1" customHeight="1" x14ac:dyDescent="0.25">
      <c r="B114" s="12" t="s">
        <v>976</v>
      </c>
      <c r="C114" s="422">
        <v>29.94</v>
      </c>
      <c r="D114" s="208" t="s">
        <v>578</v>
      </c>
      <c r="E114" s="39">
        <f>SnapshotTable[[#This Row],[Last Price]]*(1 -CrashDiscount)</f>
        <v>25.449000000000002</v>
      </c>
      <c r="F114" s="26" t="s">
        <v>64</v>
      </c>
      <c r="G114" s="26" t="s">
        <v>610</v>
      </c>
      <c r="H114" s="149"/>
      <c r="I114" s="194">
        <v>44775.666666666664</v>
      </c>
      <c r="J114" s="195">
        <v>44775.666666666664</v>
      </c>
      <c r="K114" s="196"/>
      <c r="L114" s="326"/>
      <c r="M114" s="140"/>
      <c r="N114" s="140"/>
      <c r="O114" s="140"/>
      <c r="P114" s="22"/>
      <c r="Q114" s="25"/>
      <c r="R114" s="4" t="str">
        <f>IF(SnapshotTable[[#This Row],[Equity Basis Total]] &gt; 0, SnapshotTable[[#This Row],[Equity Basis Total]] / SnapshotTable[[#This Row],[Equity Shares]], "")</f>
        <v/>
      </c>
      <c r="S114" s="269">
        <f>SnapshotTable[[#This Row],[Last Price]] * SnapshotTable[[#This Row],[Equity Shares]]</f>
        <v>0</v>
      </c>
      <c r="T114" s="269">
        <f>SnapshotTable[[#This Row],[Equity Value]] - SnapshotTable[[#This Row],[Equity Basis Total]]</f>
        <v>0</v>
      </c>
      <c r="U114" s="270" t="str">
        <f>IF(SnapshotTable[[#This Row],[Equity Basis Total]] &gt; 0, SnapshotTable[[#This Row],[Equity G/L]] / SnapshotTable[[#This Row],[Equity Basis Total]], "")</f>
        <v/>
      </c>
      <c r="V114" s="268">
        <v>100</v>
      </c>
      <c r="W114" s="26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7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0"/>
      <c r="AD114" s="151"/>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1"/>
      <c r="AI114" s="5"/>
      <c r="AJ114" s="138">
        <v>102.64</v>
      </c>
      <c r="AK114" s="152" t="str">
        <f>IF(ISNUMBER( SnapshotTable[[#This Row],[EBF Target]]),(SnapshotTable[[#This Row],[EBF Target]] - SnapshotTable[[#This Row],[Last Price]]) / SnapshotTable[[#This Row],[Last Price]], "")</f>
        <v/>
      </c>
      <c r="AL114" s="152"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2">
        <f>IF(AND(ISNUMBER( SnapshotTable[[#This Row],[Long Term Target]]), ISNUMBER(SnapshotTable[[#This Row],[Last Price]])),(SnapshotTable[[#This Row],[Long Term Target]] - SnapshotTable[[#This Row],[Last Price]]) / SnapshotTable[[#This Row],[Last Price]], "")</f>
        <v>2.4281897127588512</v>
      </c>
      <c r="AP114" s="5">
        <v>94</v>
      </c>
      <c r="AQ114" s="38" t="s">
        <v>27</v>
      </c>
      <c r="AR114" s="5">
        <v>86.5</v>
      </c>
      <c r="AS114" s="38" t="s">
        <v>32</v>
      </c>
      <c r="AT114" s="146" t="s">
        <v>542</v>
      </c>
      <c r="AU114" s="187" t="str">
        <f>IF(OR(SnapshotTable[[#This Row],[LP No Fill]]="Y",SnapshotTable[[#This Row],[SP Is Filled]],SnapshotTable[[#This Row],[LC Not Filled]]="Y",SnapshotTable[[#This Row],[SC Is Filled]]),"Y","")</f>
        <v/>
      </c>
      <c r="AV114" s="219"/>
      <c r="AW114" s="225"/>
      <c r="AX114" s="220"/>
      <c r="AY114" s="219" t="str">
        <f>IF(SnapshotTable[[#This Row],[Implied Move]]&gt;0, SnapshotTable[[#This Row],[Last Price]]-SnapshotTable[[#This Row],[Implied Move]],"")</f>
        <v/>
      </c>
      <c r="AZ114" s="219" t="str">
        <f>IF(SnapshotTable[[#This Row],[Implied Move]]&gt;0, SnapshotTable[[#This Row],[Last Price]] + SnapshotTable[[#This Row],[Implied Move]],"")</f>
        <v/>
      </c>
      <c r="BA114" s="331">
        <v>79.23</v>
      </c>
      <c r="BB114" s="347"/>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51"/>
      <c r="BE114" s="5"/>
      <c r="BF114" s="14"/>
      <c r="BG114" s="13"/>
      <c r="BH114" s="13"/>
      <c r="BI114" s="5"/>
      <c r="BJ114" s="136">
        <f>IF(SnapshotTable[[#This Row],[LP Qty]] &gt; 0, SnapshotTable[[#This Row],[LP Qty]] * SnapshotTable[[#This Row],[LP Book Price]] * 100,0)</f>
        <v>0</v>
      </c>
      <c r="BK114" s="136">
        <f>IF(SnapshotTable[[#This Row],[LP Premium]] &gt; 0, SnapshotTable[[#This Row],[LP Qty]] * SnapshotTable[[#This Row],[LP Strike Price]] * 100,0)</f>
        <v>0</v>
      </c>
      <c r="BL114" s="154"/>
      <c r="BM114" s="385" t="str">
        <f>IF(SnapshotTable[[#This Row],[LP Premium]] &gt; 0,SnapshotTable[[#This Row],[LP Exp Date]]-MAX(SnapshotTable[[#This Row],[LP Book Date]], SnapshotTable[[#This Row],[LP Fill Date]]),"")</f>
        <v/>
      </c>
      <c r="BN114" s="385" t="str">
        <f>IF(ISNUMBER( SnapshotTable[[#This Row],[LP Term]]), SnapshotTable[[#This Row],[LP Exp Date]] - MockToday,"")</f>
        <v/>
      </c>
      <c r="BO114" s="163"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7"/>
      <c r="BU114" s="13"/>
      <c r="BV114" s="5"/>
      <c r="BW114" s="419" t="b">
        <f>AND(ISNUMBER(SnapshotTable[[#This Row],[SP Exp Date]]), ISNUMBER(SnapshotTable[[#This Row],[SP Strike Price]]), ISNUMBER(SnapshotTable[[#This Row],[SP Qty]]), ISNUMBER(SnapshotTable[[#This Row],[SP Book Date]]), ISNUMBER(SnapshotTable[[#This Row],[SP Book Price]]))</f>
        <v>0</v>
      </c>
      <c r="BX114" s="419" t="b">
        <f>AND(SnapshotTable[[#This Row],[SP Is Booked]], NOT(ISBLANK(SnapshotTable[[#This Row],[SP Fill Date]])))</f>
        <v>0</v>
      </c>
      <c r="BY114" s="33">
        <f>IF(SnapshotTable[[#This Row],[SP Is Booked]], SnapshotTable[[#This Row],[SP Qty]] * SnapshotTable[[#This Row],[SP Book Price]] * 100, 0)</f>
        <v>0</v>
      </c>
      <c r="BZ114" s="369"/>
      <c r="CA114" s="368">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3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44"/>
      <c r="CK114" s="31">
        <f>IF(ISNUMBER(SnapshotTable[[#This Row],[SP Potential Spend]]),IF(ISNUMBER(SnapshotTable[[#This Row],[SP POW]]), SnapshotTable[[#This Row],[SP POW]] * SnapshotTable[[#This Row],[SP Potential Spend]], SnapshotTable[[#This Row],[SP Potential Spend]]), "")</f>
        <v>0</v>
      </c>
      <c r="CL114" s="164">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8"/>
      <c r="CO114" s="369"/>
      <c r="CP114" s="4" t="str">
        <f>IF(SnapshotTable[[#This Row],[SP Is Filled]], btc_max_buyback_amount(SnapshotTable[[#This Row],[SP Fill Date]],SnapshotTable[[#This Row],[SP Exp Date]], SnapshotTable[[#This Row],[SP Book Price]]),"")</f>
        <v/>
      </c>
      <c r="CQ114" s="78"/>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5" t="str">
        <f>IF(SnapshotTable[[#This Row],[SP Is Filled]], btc_next_cutoff_date(SnapshotTable[[#This Row],[SP Fill Date]],SnapshotTable[[#This Row],[SP Exp Date]]),"")</f>
        <v/>
      </c>
      <c r="CT114" s="23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3"/>
      <c r="CV114" s="235"/>
      <c r="CW114" s="378"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294" t="str">
        <f>IF(ISNUMBER((SnapshotTable[[#This Row],[SP Total Value]])), SnapshotTable[[#This Row],[SP Gain Loss]] / SnapshotTable[[#This Row],[SP Premium]], "")</f>
        <v/>
      </c>
      <c r="DI114" s="406"/>
      <c r="DJ114" s="138"/>
      <c r="DK114" s="148"/>
      <c r="DL114" s="13"/>
      <c r="DM114" s="13"/>
      <c r="DO114" s="31">
        <f>IF(SnapshotTable[[#This Row],[LC Symbol Count]]=1, SnapshotTable[[#This Row],[LC Qty]] * SnapshotTable[[#This Row],[LC Book Price]] * 100, 0)</f>
        <v>0</v>
      </c>
      <c r="DP114" s="163" t="str">
        <f>IF(AND(SnapshotTable[[#This Row],[LC Exp Date]]&gt;0, SnapshotTable[[#This Row],[LC Strike Price]]&gt;0,SnapshotTable[[#This Row],[LC Qty]]&gt;0,SnapshotTable[[#This Row],[LC Book Date]]&gt;0,SnapshotTable[[#This Row],[LC Book Price]]&gt;0,SnapshotTable[[#This Row],[LC Fill Date]]=0),"Y","")</f>
        <v/>
      </c>
      <c r="DQ114" s="386" t="str">
        <f>IF(SnapshotTable[[#This Row],[LC Premium]] &gt; 0,SnapshotTable[[#This Row],[LC Exp Date]]-MAX(SnapshotTable[[#This Row],[LC Book Date]], SnapshotTable[[#This Row],[LC Fill Date]]),"")</f>
        <v/>
      </c>
      <c r="DR114" s="386" t="str">
        <f>IF(ISNUMBER(SnapshotTable[[#This Row],[LC Term]]), SnapshotTable[[#This Row],[LC Exp Date]] - MockToday, "")</f>
        <v/>
      </c>
      <c r="DS114" s="23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40" t="str">
        <f>IF(ISNUMBER(SnapshotTable[[#This Row],[LC Actual Gain Loss]]), SnapshotTable[[#This Row],[LC Actual Gain Loss]] / SnapshotTable[[#This Row],[LC Premium]],"")</f>
        <v/>
      </c>
      <c r="DX114" s="284" t="str">
        <f>IF(ISNUMBER(SnapshotTable[[#This Row],[LC Book Price]]),SnapshotTable[[#This Row],[LC Book Price]] * 1.5,"")</f>
        <v/>
      </c>
      <c r="DY114" s="265" t="str">
        <f>IF(SnapshotTable[[#This Row],[LC Premium]]&gt;0, SnapshotTable[[#This Row],[LC Next Target]] * SnapshotTable[[#This Row],[LC Qty]] * 100,"")</f>
        <v/>
      </c>
      <c r="DZ114" s="265" t="str">
        <f>IF(ISNUMBER(SnapshotTable[[#This Row],[LC Target Gross]]), SnapshotTable[[#This Row],[LC Target Gross]] - SnapshotTable[[#This Row],[LC Premium]], "")</f>
        <v/>
      </c>
      <c r="EA114" s="305" t="str">
        <f>IF(ISNUMBER(SnapshotTable[[#This Row],[LC Target Gain Loss]]), SnapshotTable[[#This Row],[LC Target Gain Loss]]/SnapshotTable[[#This Row],[LC Premium]], "")</f>
        <v/>
      </c>
      <c r="EB114" s="262"/>
      <c r="EC114" s="283" t="str">
        <f>IF(SnapshotTable[[#This Row],[LC Premium]]&gt;0, SnapshotTable[[#This Row],[LC Book Price]] * (1 - LC_StopLoss_Pct),"")</f>
        <v/>
      </c>
      <c r="ED114" s="284"/>
      <c r="EE114" s="28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4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7"/>
      <c r="EL114" s="138"/>
      <c r="EM114" s="148"/>
      <c r="EN114" s="147"/>
      <c r="EO114" s="147"/>
      <c r="EP114" s="138"/>
      <c r="EQ114" s="419" t="b">
        <f>AND(ISNUMBER(SnapshotTable[[#This Row],[SC Exp Date]]), ISNUMBER(SnapshotTable[[#This Row],[SC Strike Price]]), ISNUMBER(SnapshotTable[[#This Row],[SC Qty]]), ISNUMBER(SnapshotTable[[#This Row],[SC Book Date]]), ISNUMBER(SnapshotTable[[#This Row],[SC Book Price]]))</f>
        <v>0</v>
      </c>
      <c r="ER114" s="419" t="b">
        <f>AND(SnapshotTable[[#This Row],[SC Is Booked]], NOT(ISBLANK(SnapshotTable[[#This Row],[SC Fill Date]])))</f>
        <v>0</v>
      </c>
      <c r="ES114" s="370"/>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3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283"/>
      <c r="FA114" s="218"/>
      <c r="FB114" s="370"/>
      <c r="FC114" s="4">
        <f>IF(SnapshotTable[[#This Row],[SC Is Filled]], btc_max_buyback_amount(SnapshotTable[[#This Row],[SC Fill Date]],SnapshotTable[[#This Row],[SC Exp Date]], SnapshotTable[[#This Row],[SC Book Price]]),0)</f>
        <v>0</v>
      </c>
      <c r="FD114" s="5"/>
      <c r="FE114" s="144"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382">
        <f>IF(SnapshotTable[[#This Row],[SC Is Filled]], IF(ISNUMBER(SnapshotTable[[#This Row],[SC Current Ask]]), SnapshotTable[[#This Row],[SC Current Ask]], SnapshotTable[[#This Row],[SC Book Price]]) - SnapshotTable[[#This Row],[SC Intrinsic Value]], 0)</f>
        <v>0</v>
      </c>
      <c r="FI114" s="143"/>
      <c r="FJ114" s="32" t="str">
        <f>IF(SnapshotTable[[#This Row],[SC Is Filled]],100 * SnapshotTable[[#This Row],[SC Qty]] * IF(ISNUMBER(SnapshotTable[[#This Row],[SC Buyback Override]]), SnapshotTable[[#This Row],[SC Buyback Override]], SnapshotTable[[#This Row],[SC Current Ask]]), "")</f>
        <v/>
      </c>
      <c r="FK114" s="250" t="str">
        <f>IF(SnapshotTable[[#This Row],[SC Time Val]]&gt;0, SnapshotTable[[#This Row],[SC Time Val]] / SnapshotTable[[#This Row],[Last Price]],"")</f>
        <v/>
      </c>
      <c r="FL114" s="302" t="str">
        <f>IF(SnapshotTable[[#This Row],[SC Is Booked]], ((SnapshotTable[[#This Row],[Last Price]] -SnapshotTable[[#This Row],[SC Strike Price]]) / SnapshotTable[[#This Row],[Last Price]]) * -1, "")</f>
        <v/>
      </c>
      <c r="FM114" s="157"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33"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36" t="str">
        <f>IF(AND(ISNUMBER(SnapshotTable[[#This Row],[SC Simple ROO]]),SnapshotTable[[#This Row],[SC Simple ROO]] &gt; 0), SnapshotTable[[#This Row],[SC Premium]] + (SnapshotTable[[#This Row],[SC Qty]] * SnapshotTable[[#This Row],[SC Upside Potential]]), "")</f>
        <v/>
      </c>
      <c r="FX114" s="302" t="str" cm="1">
        <f t="array" ref="FX114">IF(ISNUMBER(SnapshotTable[[#This Row],[SC Max Dollars]]), annualize(SnapshotTable[[#This Row],[SC Term]],(SnapshotTable[[#This Row],[SC Max Dollars]]/SnapshotTable[[#This Row],[SC Basis]])),"")</f>
        <v/>
      </c>
      <c r="FY114" s="23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29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58.383000000000003</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31">
        <f>MAX(SnapshotTable[[#This Row],[Equity Basis Total]],SnapshotTable[[#This Row],[Equity Value]]) + (SnapshotTable[[#This Row],[SP Potential Spend]]- SnapshotTable[[#This Row],[SP Premium]] + SnapshotTable[[#This Row],[LP Premium]])+ (SnapshotTable[[#This Row],[LC Premium]] - SnapshotTable[[#This Row],[SC Premium]])</f>
        <v>0</v>
      </c>
      <c r="GW114" s="139" t="str">
        <f>IF(AND(SnapshotTable[[#This Row],[Exposure]] &lt;&gt; 0),SnapshotTable[[#This Row],[Exposure]] / SnapshotTable[[#Totals],[Exposure]], "")</f>
        <v/>
      </c>
      <c r="HE114" s="268"/>
      <c r="HF114" s="268"/>
      <c r="HK114" s="1"/>
      <c r="HL114" s="1"/>
      <c r="HM114" s="1"/>
      <c r="HN114" s="1"/>
      <c r="HO114" s="1"/>
      <c r="HP114" s="1"/>
    </row>
    <row r="115" spans="2:224" ht="12.75" hidden="1" customHeight="1" x14ac:dyDescent="0.25">
      <c r="B115" s="12" t="s">
        <v>118</v>
      </c>
      <c r="C115" s="422">
        <v>83.52</v>
      </c>
      <c r="D115" s="208"/>
      <c r="E115" s="39">
        <f>SnapshotTable[[#This Row],[Last Price]]*(1 -CrashDiscount)</f>
        <v>70.99199999999999</v>
      </c>
      <c r="F115" s="26" t="s">
        <v>117</v>
      </c>
      <c r="G115" s="26" t="s">
        <v>14</v>
      </c>
      <c r="H115" s="149"/>
      <c r="I115" s="194">
        <v>44755.270833333336</v>
      </c>
      <c r="J115" s="195">
        <v>44755.270833333336</v>
      </c>
      <c r="K115" s="196"/>
      <c r="L115" s="326"/>
      <c r="M115" s="140"/>
      <c r="N115" s="140"/>
      <c r="O115" s="140"/>
      <c r="P115" s="22"/>
      <c r="Q115" s="25"/>
      <c r="R115" s="4" t="str">
        <f>IF(SnapshotTable[[#This Row],[Equity Basis Total]] &gt; 0, SnapshotTable[[#This Row],[Equity Basis Total]] / SnapshotTable[[#This Row],[Equity Shares]], "")</f>
        <v/>
      </c>
      <c r="S115" s="269">
        <f>SnapshotTable[[#This Row],[Last Price]] * SnapshotTable[[#This Row],[Equity Shares]]</f>
        <v>0</v>
      </c>
      <c r="T115" s="269">
        <f>SnapshotTable[[#This Row],[Equity Value]] - SnapshotTable[[#This Row],[Equity Basis Total]]</f>
        <v>0</v>
      </c>
      <c r="U115" s="270" t="str">
        <f>IF(SnapshotTable[[#This Row],[Equity Basis Total]] &gt; 0, SnapshotTable[[#This Row],[Equity G/L]] / SnapshotTable[[#This Row],[Equity Basis Total]], "")</f>
        <v/>
      </c>
      <c r="V115" s="268"/>
      <c r="W115" s="26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7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0">
        <v>0.54</v>
      </c>
      <c r="AD115" s="151">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6.4655172413793111E-3</v>
      </c>
      <c r="AH115" s="151">
        <v>42500</v>
      </c>
      <c r="AI115" s="5"/>
      <c r="AJ115" s="138">
        <v>60</v>
      </c>
      <c r="AK115" s="152" t="str">
        <f>IF(ISNUMBER( SnapshotTable[[#This Row],[EBF Target]]),(SnapshotTable[[#This Row],[EBF Target]] - SnapshotTable[[#This Row],[Last Price]]) / SnapshotTable[[#This Row],[Last Price]], "")</f>
        <v/>
      </c>
      <c r="AL115" s="152"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2">
        <f>IF(AND(ISNUMBER( SnapshotTable[[#This Row],[Long Term Target]]), ISNUMBER(SnapshotTable[[#This Row],[Last Price]])),(SnapshotTable[[#This Row],[Long Term Target]] - SnapshotTable[[#This Row],[Last Price]]) / SnapshotTable[[#This Row],[Last Price]], "")</f>
        <v>-0.28160919540229884</v>
      </c>
      <c r="AP115" s="5">
        <v>39.5</v>
      </c>
      <c r="AQ115" s="38" t="s">
        <v>1069</v>
      </c>
      <c r="AR115" s="5">
        <v>36.200000000000003</v>
      </c>
      <c r="AS115" s="38" t="s">
        <v>89</v>
      </c>
      <c r="AT115" s="146" t="s">
        <v>1070</v>
      </c>
      <c r="AU115" s="187" t="str">
        <f>IF(OR(SnapshotTable[[#This Row],[LP No Fill]]="Y",SnapshotTable[[#This Row],[SP Is Filled]],SnapshotTable[[#This Row],[LC Not Filled]]="Y",SnapshotTable[[#This Row],[SC Is Filled]]),"Y","")</f>
        <v/>
      </c>
      <c r="AV115" s="219"/>
      <c r="AW115" s="225"/>
      <c r="AX115" s="220"/>
      <c r="AY115" s="219" t="str">
        <f>IF(SnapshotTable[[#This Row],[Implied Move]]&gt;0, SnapshotTable[[#This Row],[Last Price]]-SnapshotTable[[#This Row],[Implied Move]],"")</f>
        <v/>
      </c>
      <c r="AZ115" s="219" t="str">
        <f>IF(SnapshotTable[[#This Row],[Implied Move]]&gt;0, SnapshotTable[[#This Row],[Last Price]] + SnapshotTable[[#This Row],[Implied Move]],"")</f>
        <v/>
      </c>
      <c r="BA115" s="331">
        <v>2.1800000000000002</v>
      </c>
      <c r="BB115" s="347"/>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51"/>
      <c r="BE115" s="5"/>
      <c r="BF115" s="14"/>
      <c r="BG115" s="13"/>
      <c r="BH115" s="13"/>
      <c r="BI115" s="5"/>
      <c r="BJ115" s="136">
        <f>IF(SnapshotTable[[#This Row],[LP Qty]] &gt; 0, SnapshotTable[[#This Row],[LP Qty]] * SnapshotTable[[#This Row],[LP Book Price]] * 100,0)</f>
        <v>0</v>
      </c>
      <c r="BK115" s="136">
        <f>IF(SnapshotTable[[#This Row],[LP Premium]] &gt; 0, SnapshotTable[[#This Row],[LP Qty]] * SnapshotTable[[#This Row],[LP Strike Price]] * 100,0)</f>
        <v>0</v>
      </c>
      <c r="BL115" s="154"/>
      <c r="BM115" s="385" t="str">
        <f>IF(SnapshotTable[[#This Row],[LP Premium]] &gt; 0,SnapshotTable[[#This Row],[LP Exp Date]]-MAX(SnapshotTable[[#This Row],[LP Book Date]], SnapshotTable[[#This Row],[LP Fill Date]]),"")</f>
        <v/>
      </c>
      <c r="BN115" s="385" t="str">
        <f>IF(ISNUMBER( SnapshotTable[[#This Row],[LP Term]]), SnapshotTable[[#This Row],[LP Exp Date]] - MockToday,"")</f>
        <v/>
      </c>
      <c r="BO115" s="163"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7"/>
      <c r="BU115" s="13"/>
      <c r="BV115" s="5"/>
      <c r="BW115" s="419" t="b">
        <f>AND(ISNUMBER(SnapshotTable[[#This Row],[SP Exp Date]]), ISNUMBER(SnapshotTable[[#This Row],[SP Strike Price]]), ISNUMBER(SnapshotTable[[#This Row],[SP Qty]]), ISNUMBER(SnapshotTable[[#This Row],[SP Book Date]]), ISNUMBER(SnapshotTable[[#This Row],[SP Book Price]]))</f>
        <v>0</v>
      </c>
      <c r="BX115" s="419" t="b">
        <f>AND(SnapshotTable[[#This Row],[SP Is Booked]], NOT(ISBLANK(SnapshotTable[[#This Row],[SP Fill Date]])))</f>
        <v>0</v>
      </c>
      <c r="BY115" s="33">
        <f>IF(SnapshotTable[[#This Row],[SP Is Booked]], SnapshotTable[[#This Row],[SP Qty]] * SnapshotTable[[#This Row],[SP Book Price]] * 100, 0)</f>
        <v>0</v>
      </c>
      <c r="BZ115" s="369"/>
      <c r="CA115" s="368">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3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44"/>
      <c r="CK115" s="31">
        <f>IF(ISNUMBER(SnapshotTable[[#This Row],[SP Potential Spend]]),IF(ISNUMBER(SnapshotTable[[#This Row],[SP POW]]), SnapshotTable[[#This Row],[SP POW]] * SnapshotTable[[#This Row],[SP Potential Spend]], SnapshotTable[[#This Row],[SP Potential Spend]]), "")</f>
        <v>0</v>
      </c>
      <c r="CL115" s="164">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8"/>
      <c r="CO115" s="369"/>
      <c r="CP115" s="4" t="str">
        <f>IF(SnapshotTable[[#This Row],[SP Is Filled]], btc_max_buyback_amount(SnapshotTable[[#This Row],[SP Fill Date]],SnapshotTable[[#This Row],[SP Exp Date]], SnapshotTable[[#This Row],[SP Book Price]]),"")</f>
        <v/>
      </c>
      <c r="CQ115" s="78"/>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5" t="str">
        <f>IF(SnapshotTable[[#This Row],[SP Is Filled]], btc_next_cutoff_date(SnapshotTable[[#This Row],[SP Fill Date]],SnapshotTable[[#This Row],[SP Exp Date]]),"")</f>
        <v/>
      </c>
      <c r="CT115" s="23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3"/>
      <c r="CV115" s="235"/>
      <c r="CW115" s="378"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294" t="str">
        <f>IF(ISNUMBER((SnapshotTable[[#This Row],[SP Total Value]])), SnapshotTable[[#This Row],[SP Gain Loss]] / SnapshotTable[[#This Row],[SP Premium]], "")</f>
        <v/>
      </c>
      <c r="DI115" s="406"/>
      <c r="DJ115" s="138"/>
      <c r="DK115" s="148"/>
      <c r="DL115" s="13"/>
      <c r="DM115" s="13"/>
      <c r="DO115" s="31">
        <f>IF(SnapshotTable[[#This Row],[LC Symbol Count]]=1, SnapshotTable[[#This Row],[LC Qty]] * SnapshotTable[[#This Row],[LC Book Price]] * 100, 0)</f>
        <v>0</v>
      </c>
      <c r="DP115" s="163" t="str">
        <f>IF(AND(SnapshotTable[[#This Row],[LC Exp Date]]&gt;0, SnapshotTable[[#This Row],[LC Strike Price]]&gt;0,SnapshotTable[[#This Row],[LC Qty]]&gt;0,SnapshotTable[[#This Row],[LC Book Date]]&gt;0,SnapshotTable[[#This Row],[LC Book Price]]&gt;0,SnapshotTable[[#This Row],[LC Fill Date]]=0),"Y","")</f>
        <v/>
      </c>
      <c r="DQ115" s="386" t="str">
        <f>IF(SnapshotTable[[#This Row],[LC Premium]] &gt; 0,SnapshotTable[[#This Row],[LC Exp Date]]-MAX(SnapshotTable[[#This Row],[LC Book Date]], SnapshotTable[[#This Row],[LC Fill Date]]),"")</f>
        <v/>
      </c>
      <c r="DR115" s="386" t="str">
        <f>IF(ISNUMBER(SnapshotTable[[#This Row],[LC Term]]), SnapshotTable[[#This Row],[LC Exp Date]] - MockToday, "")</f>
        <v/>
      </c>
      <c r="DS115" s="23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40" t="str">
        <f>IF(ISNUMBER(SnapshotTable[[#This Row],[LC Actual Gain Loss]]), SnapshotTable[[#This Row],[LC Actual Gain Loss]] / SnapshotTable[[#This Row],[LC Premium]],"")</f>
        <v/>
      </c>
      <c r="DX115" s="284" t="str">
        <f>IF(ISNUMBER(SnapshotTable[[#This Row],[LC Book Price]]),SnapshotTable[[#This Row],[LC Book Price]] * 1.5,"")</f>
        <v/>
      </c>
      <c r="DY115" s="265" t="str">
        <f>IF(SnapshotTable[[#This Row],[LC Premium]]&gt;0, SnapshotTable[[#This Row],[LC Next Target]] * SnapshotTable[[#This Row],[LC Qty]] * 100,"")</f>
        <v/>
      </c>
      <c r="DZ115" s="265" t="str">
        <f>IF(ISNUMBER(SnapshotTable[[#This Row],[LC Target Gross]]), SnapshotTable[[#This Row],[LC Target Gross]] - SnapshotTable[[#This Row],[LC Premium]], "")</f>
        <v/>
      </c>
      <c r="EA115" s="305" t="str">
        <f>IF(ISNUMBER(SnapshotTable[[#This Row],[LC Target Gain Loss]]), SnapshotTable[[#This Row],[LC Target Gain Loss]]/SnapshotTable[[#This Row],[LC Premium]], "")</f>
        <v/>
      </c>
      <c r="EB115" s="262"/>
      <c r="EC115" s="283" t="str">
        <f>IF(SnapshotTable[[#This Row],[LC Premium]]&gt;0, SnapshotTable[[#This Row],[LC Book Price]] * (1 - LC_StopLoss_Pct),"")</f>
        <v/>
      </c>
      <c r="ED115" s="284"/>
      <c r="EE115" s="28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4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7"/>
      <c r="EL115" s="138"/>
      <c r="EM115" s="148"/>
      <c r="EN115" s="147"/>
      <c r="EO115" s="147"/>
      <c r="EP115" s="138"/>
      <c r="EQ115" s="419" t="b">
        <f>AND(ISNUMBER(SnapshotTable[[#This Row],[SC Exp Date]]), ISNUMBER(SnapshotTable[[#This Row],[SC Strike Price]]), ISNUMBER(SnapshotTable[[#This Row],[SC Qty]]), ISNUMBER(SnapshotTable[[#This Row],[SC Book Date]]), ISNUMBER(SnapshotTable[[#This Row],[SC Book Price]]))</f>
        <v>0</v>
      </c>
      <c r="ER115" s="419" t="b">
        <f>AND(SnapshotTable[[#This Row],[SC Is Booked]], NOT(ISBLANK(SnapshotTable[[#This Row],[SC Fill Date]])))</f>
        <v>0</v>
      </c>
      <c r="ES115" s="370"/>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3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283"/>
      <c r="FA115" s="218"/>
      <c r="FB115" s="370"/>
      <c r="FC115" s="4">
        <f>IF(SnapshotTable[[#This Row],[SC Is Filled]], btc_max_buyback_amount(SnapshotTable[[#This Row],[SC Fill Date]],SnapshotTable[[#This Row],[SC Exp Date]], SnapshotTable[[#This Row],[SC Book Price]]),0)</f>
        <v>0</v>
      </c>
      <c r="FD115" s="5"/>
      <c r="FE115" s="144"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382">
        <f>IF(SnapshotTable[[#This Row],[SC Is Filled]], IF(ISNUMBER(SnapshotTable[[#This Row],[SC Current Ask]]), SnapshotTable[[#This Row],[SC Current Ask]], SnapshotTable[[#This Row],[SC Book Price]]) - SnapshotTable[[#This Row],[SC Intrinsic Value]], 0)</f>
        <v>0</v>
      </c>
      <c r="FI115" s="143"/>
      <c r="FJ115" s="32" t="str">
        <f>IF(SnapshotTable[[#This Row],[SC Is Filled]],100 * SnapshotTable[[#This Row],[SC Qty]] * IF(ISNUMBER(SnapshotTable[[#This Row],[SC Buyback Override]]), SnapshotTable[[#This Row],[SC Buyback Override]], SnapshotTable[[#This Row],[SC Current Ask]]), "")</f>
        <v/>
      </c>
      <c r="FK115" s="250" t="str">
        <f>IF(SnapshotTable[[#This Row],[SC Time Val]]&gt;0, SnapshotTable[[#This Row],[SC Time Val]] / SnapshotTable[[#This Row],[Last Price]],"")</f>
        <v/>
      </c>
      <c r="FL115" s="302" t="str">
        <f>IF(SnapshotTable[[#This Row],[SC Is Booked]], ((SnapshotTable[[#This Row],[Last Price]] -SnapshotTable[[#This Row],[SC Strike Price]]) / SnapshotTable[[#This Row],[Last Price]]) * -1, "")</f>
        <v/>
      </c>
      <c r="FM115" s="157"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33"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36" t="str">
        <f>IF(AND(ISNUMBER(SnapshotTable[[#This Row],[SC Simple ROO]]),SnapshotTable[[#This Row],[SC Simple ROO]] &gt; 0), SnapshotTable[[#This Row],[SC Premium]] + (SnapshotTable[[#This Row],[SC Qty]] * SnapshotTable[[#This Row],[SC Upside Potential]]), "")</f>
        <v/>
      </c>
      <c r="FX115" s="302" t="str" cm="1">
        <f t="array" ref="FX115">IF(ISNUMBER(SnapshotTable[[#This Row],[SC Max Dollars]]), annualize(SnapshotTable[[#This Row],[SC Term]],(SnapshotTable[[#This Row],[SC Max Dollars]]/SnapshotTable[[#This Row],[SC Basis]])),"")</f>
        <v/>
      </c>
      <c r="FY115" s="23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29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162.86399999999998</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678</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31">
        <f>MAX(SnapshotTable[[#This Row],[Equity Basis Total]],SnapshotTable[[#This Row],[Equity Value]]) + (SnapshotTable[[#This Row],[SP Potential Spend]]- SnapshotTable[[#This Row],[SP Premium]] + SnapshotTable[[#This Row],[LP Premium]])+ (SnapshotTable[[#This Row],[LC Premium]] - SnapshotTable[[#This Row],[SC Premium]])</f>
        <v>0</v>
      </c>
      <c r="GW115" s="139" t="str">
        <f>IF(AND(SnapshotTable[[#This Row],[Exposure]] &lt;&gt; 0),SnapshotTable[[#This Row],[Exposure]] / SnapshotTable[[#Totals],[Exposure]], "")</f>
        <v/>
      </c>
      <c r="HE115" s="268"/>
      <c r="HF115" s="268"/>
      <c r="HK115" s="1"/>
      <c r="HL115" s="1"/>
      <c r="HM115" s="1"/>
      <c r="HN115" s="1"/>
      <c r="HO115" s="1"/>
      <c r="HP115" s="1"/>
    </row>
    <row r="116" spans="2:224" ht="12.75" hidden="1" customHeight="1" x14ac:dyDescent="0.25">
      <c r="B116" s="12" t="s">
        <v>256</v>
      </c>
      <c r="C116" s="422">
        <v>100.57</v>
      </c>
      <c r="D116" s="208"/>
      <c r="E116" s="39">
        <f>SnapshotTable[[#This Row],[Last Price]]*(1 -CrashDiscount)</f>
        <v>85.484499999999997</v>
      </c>
      <c r="F116" s="26" t="s">
        <v>906</v>
      </c>
      <c r="G116" s="26" t="s">
        <v>49</v>
      </c>
      <c r="H116" s="149"/>
      <c r="I116" s="194">
        <v>44762.3125</v>
      </c>
      <c r="J116" s="195">
        <v>44762.3125</v>
      </c>
      <c r="K116" s="196"/>
      <c r="L116" s="326"/>
      <c r="M116" s="140">
        <v>2</v>
      </c>
      <c r="N116" s="140"/>
      <c r="O116" s="140"/>
      <c r="P116" s="22"/>
      <c r="Q116" s="25"/>
      <c r="R116" s="4" t="str">
        <f>IF(SnapshotTable[[#This Row],[Equity Basis Total]] &gt; 0, SnapshotTable[[#This Row],[Equity Basis Total]] / SnapshotTable[[#This Row],[Equity Shares]], "")</f>
        <v/>
      </c>
      <c r="S116" s="269">
        <f>SnapshotTable[[#This Row],[Last Price]] * SnapshotTable[[#This Row],[Equity Shares]]</f>
        <v>0</v>
      </c>
      <c r="T116" s="269">
        <f>SnapshotTable[[#This Row],[Equity Value]] - SnapshotTable[[#This Row],[Equity Basis Total]]</f>
        <v>0</v>
      </c>
      <c r="U116" s="270" t="str">
        <f>IF(SnapshotTable[[#This Row],[Equity Basis Total]] &gt; 0, SnapshotTable[[#This Row],[Equity G/L]] / SnapshotTable[[#This Row],[Equity Basis Total]], "")</f>
        <v/>
      </c>
      <c r="V116" s="268"/>
      <c r="W116" s="26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7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0">
        <v>1.32</v>
      </c>
      <c r="AD116" s="151">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1.3125186437307349E-2</v>
      </c>
      <c r="AH116" s="151">
        <v>43841</v>
      </c>
      <c r="AI116" s="5">
        <v>110</v>
      </c>
      <c r="AJ116" s="138">
        <v>134.88</v>
      </c>
      <c r="AK116" s="152">
        <f>IF(ISNUMBER( SnapshotTable[[#This Row],[EBF Target]]),(SnapshotTable[[#This Row],[EBF Target]] - SnapshotTable[[#This Row],[Last Price]]) / SnapshotTable[[#This Row],[Last Price]], "")</f>
        <v>9.3765536442279085E-2</v>
      </c>
      <c r="AL116" s="152"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2">
        <f>IF(AND(ISNUMBER( SnapshotTable[[#This Row],[Long Term Target]]), ISNUMBER(SnapshotTable[[#This Row],[Last Price]])),(SnapshotTable[[#This Row],[Long Term Target]] - SnapshotTable[[#This Row],[Last Price]]) / SnapshotTable[[#This Row],[Last Price]], "")</f>
        <v>0.34115541413940542</v>
      </c>
      <c r="AP116" s="5"/>
      <c r="AQ116" s="38"/>
      <c r="AR116" s="5"/>
      <c r="AS116" s="38"/>
      <c r="AT116" s="146"/>
      <c r="AU116" s="187" t="str">
        <f>IF(OR(SnapshotTable[[#This Row],[LP No Fill]]="Y",SnapshotTable[[#This Row],[SP Is Filled]],SnapshotTable[[#This Row],[LC Not Filled]]="Y",SnapshotTable[[#This Row],[SC Is Filled]]),"Y","")</f>
        <v/>
      </c>
      <c r="AV116" s="219"/>
      <c r="AW116" s="225"/>
      <c r="AX116" s="220"/>
      <c r="AY116" s="219" t="str">
        <f>IF(SnapshotTable[[#This Row],[Implied Move]]&gt;0, SnapshotTable[[#This Row],[Last Price]]-SnapshotTable[[#This Row],[Implied Move]],"")</f>
        <v/>
      </c>
      <c r="AZ116" s="219" t="str">
        <f>IF(SnapshotTable[[#This Row],[Implied Move]]&gt;0, SnapshotTable[[#This Row],[Last Price]] + SnapshotTable[[#This Row],[Implied Move]],"")</f>
        <v/>
      </c>
      <c r="BA116" s="331"/>
      <c r="BB116" s="347"/>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51"/>
      <c r="BE116" s="5"/>
      <c r="BF116" s="14"/>
      <c r="BG116" s="13"/>
      <c r="BH116" s="13"/>
      <c r="BI116" s="5"/>
      <c r="BJ116" s="136">
        <f>IF(SnapshotTable[[#This Row],[LP Qty]] &gt; 0, SnapshotTable[[#This Row],[LP Qty]] * SnapshotTable[[#This Row],[LP Book Price]] * 100,0)</f>
        <v>0</v>
      </c>
      <c r="BK116" s="136">
        <f>IF(SnapshotTable[[#This Row],[LP Premium]] &gt; 0, SnapshotTable[[#This Row],[LP Qty]] * SnapshotTable[[#This Row],[LP Strike Price]] * 100,0)</f>
        <v>0</v>
      </c>
      <c r="BL116" s="154"/>
      <c r="BM116" s="385" t="str">
        <f>IF(SnapshotTable[[#This Row],[LP Premium]] &gt; 0,SnapshotTable[[#This Row],[LP Exp Date]]-MAX(SnapshotTable[[#This Row],[LP Book Date]], SnapshotTable[[#This Row],[LP Fill Date]]),"")</f>
        <v/>
      </c>
      <c r="BN116" s="385" t="str">
        <f>IF(ISNUMBER( SnapshotTable[[#This Row],[LP Term]]), SnapshotTable[[#This Row],[LP Exp Date]] - MockToday,"")</f>
        <v/>
      </c>
      <c r="BO116" s="163"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7"/>
      <c r="BU116" s="13"/>
      <c r="BV116" s="5"/>
      <c r="BW116" s="419" t="b">
        <f>AND(ISNUMBER(SnapshotTable[[#This Row],[SP Exp Date]]), ISNUMBER(SnapshotTable[[#This Row],[SP Strike Price]]), ISNUMBER(SnapshotTable[[#This Row],[SP Qty]]), ISNUMBER(SnapshotTable[[#This Row],[SP Book Date]]), ISNUMBER(SnapshotTable[[#This Row],[SP Book Price]]))</f>
        <v>0</v>
      </c>
      <c r="BX116" s="419" t="b">
        <f>AND(SnapshotTable[[#This Row],[SP Is Booked]], NOT(ISBLANK(SnapshotTable[[#This Row],[SP Fill Date]])))</f>
        <v>0</v>
      </c>
      <c r="BY116" s="33">
        <f>IF(SnapshotTable[[#This Row],[SP Is Booked]], SnapshotTable[[#This Row],[SP Qty]] * SnapshotTable[[#This Row],[SP Book Price]] * 100, 0)</f>
        <v>0</v>
      </c>
      <c r="BZ116" s="369"/>
      <c r="CA116" s="368">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3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44"/>
      <c r="CK116" s="31">
        <f>IF(ISNUMBER(SnapshotTable[[#This Row],[SP Potential Spend]]),IF(ISNUMBER(SnapshotTable[[#This Row],[SP POW]]), SnapshotTable[[#This Row],[SP POW]] * SnapshotTable[[#This Row],[SP Potential Spend]], SnapshotTable[[#This Row],[SP Potential Spend]]), "")</f>
        <v>0</v>
      </c>
      <c r="CL116" s="164">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8"/>
      <c r="CO116" s="369"/>
      <c r="CP116" s="4" t="str">
        <f>IF(SnapshotTable[[#This Row],[SP Is Filled]], btc_max_buyback_amount(SnapshotTable[[#This Row],[SP Fill Date]],SnapshotTable[[#This Row],[SP Exp Date]], SnapshotTable[[#This Row],[SP Book Price]]),"")</f>
        <v/>
      </c>
      <c r="CQ116" s="78"/>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5" t="str">
        <f>IF(SnapshotTable[[#This Row],[SP Is Filled]], btc_next_cutoff_date(SnapshotTable[[#This Row],[SP Fill Date]],SnapshotTable[[#This Row],[SP Exp Date]]),"")</f>
        <v/>
      </c>
      <c r="CT116" s="23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3"/>
      <c r="CV116" s="235"/>
      <c r="CW116" s="378"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294" t="str">
        <f>IF(ISNUMBER((SnapshotTable[[#This Row],[SP Total Value]])), SnapshotTable[[#This Row],[SP Gain Loss]] / SnapshotTable[[#This Row],[SP Premium]], "")</f>
        <v/>
      </c>
      <c r="DI116" s="406"/>
      <c r="DJ116" s="138"/>
      <c r="DK116" s="148"/>
      <c r="DL116" s="13"/>
      <c r="DM116" s="13"/>
      <c r="DO116" s="31">
        <f>IF(SnapshotTable[[#This Row],[LC Symbol Count]]=1, SnapshotTable[[#This Row],[LC Qty]] * SnapshotTable[[#This Row],[LC Book Price]] * 100, 0)</f>
        <v>0</v>
      </c>
      <c r="DP116" s="163" t="str">
        <f>IF(AND(SnapshotTable[[#This Row],[LC Exp Date]]&gt;0, SnapshotTable[[#This Row],[LC Strike Price]]&gt;0,SnapshotTable[[#This Row],[LC Qty]]&gt;0,SnapshotTable[[#This Row],[LC Book Date]]&gt;0,SnapshotTable[[#This Row],[LC Book Price]]&gt;0,SnapshotTable[[#This Row],[LC Fill Date]]=0),"Y","")</f>
        <v/>
      </c>
      <c r="DQ116" s="386" t="str">
        <f>IF(SnapshotTable[[#This Row],[LC Premium]] &gt; 0,SnapshotTable[[#This Row],[LC Exp Date]]-MAX(SnapshotTable[[#This Row],[LC Book Date]], SnapshotTable[[#This Row],[LC Fill Date]]),"")</f>
        <v/>
      </c>
      <c r="DR116" s="386" t="str">
        <f>IF(ISNUMBER(SnapshotTable[[#This Row],[LC Term]]), SnapshotTable[[#This Row],[LC Exp Date]] - MockToday, "")</f>
        <v/>
      </c>
      <c r="DS116" s="23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40" t="str">
        <f>IF(ISNUMBER(SnapshotTable[[#This Row],[LC Actual Gain Loss]]), SnapshotTable[[#This Row],[LC Actual Gain Loss]] / SnapshotTable[[#This Row],[LC Premium]],"")</f>
        <v/>
      </c>
      <c r="DX116" s="284" t="str">
        <f>IF(ISNUMBER(SnapshotTable[[#This Row],[LC Book Price]]),SnapshotTable[[#This Row],[LC Book Price]] * 1.5,"")</f>
        <v/>
      </c>
      <c r="DY116" s="265" t="str">
        <f>IF(SnapshotTable[[#This Row],[LC Premium]]&gt;0, SnapshotTable[[#This Row],[LC Next Target]] * SnapshotTable[[#This Row],[LC Qty]] * 100,"")</f>
        <v/>
      </c>
      <c r="DZ116" s="265" t="str">
        <f>IF(ISNUMBER(SnapshotTable[[#This Row],[LC Target Gross]]), SnapshotTable[[#This Row],[LC Target Gross]] - SnapshotTable[[#This Row],[LC Premium]], "")</f>
        <v/>
      </c>
      <c r="EA116" s="305" t="str">
        <f>IF(ISNUMBER(SnapshotTable[[#This Row],[LC Target Gain Loss]]), SnapshotTable[[#This Row],[LC Target Gain Loss]]/SnapshotTable[[#This Row],[LC Premium]], "")</f>
        <v/>
      </c>
      <c r="EB116" s="262"/>
      <c r="EC116" s="283" t="str">
        <f>IF(SnapshotTable[[#This Row],[LC Premium]]&gt;0, SnapshotTable[[#This Row],[LC Book Price]] * (1 - LC_StopLoss_Pct),"")</f>
        <v/>
      </c>
      <c r="ED116" s="284"/>
      <c r="EE116" s="28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4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7"/>
      <c r="EL116" s="138"/>
      <c r="EM116" s="148"/>
      <c r="EN116" s="147"/>
      <c r="EO116" s="147"/>
      <c r="EP116" s="138"/>
      <c r="EQ116" s="419" t="b">
        <f>AND(ISNUMBER(SnapshotTable[[#This Row],[SC Exp Date]]), ISNUMBER(SnapshotTable[[#This Row],[SC Strike Price]]), ISNUMBER(SnapshotTable[[#This Row],[SC Qty]]), ISNUMBER(SnapshotTable[[#This Row],[SC Book Date]]), ISNUMBER(SnapshotTable[[#This Row],[SC Book Price]]))</f>
        <v>0</v>
      </c>
      <c r="ER116" s="419" t="b">
        <f>AND(SnapshotTable[[#This Row],[SC Is Booked]], NOT(ISBLANK(SnapshotTable[[#This Row],[SC Fill Date]])))</f>
        <v>0</v>
      </c>
      <c r="ES116" s="370"/>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3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283"/>
      <c r="FA116" s="218"/>
      <c r="FB116" s="370"/>
      <c r="FC116" s="4">
        <f>IF(SnapshotTable[[#This Row],[SC Is Filled]], btc_max_buyback_amount(SnapshotTable[[#This Row],[SC Fill Date]],SnapshotTable[[#This Row],[SC Exp Date]], SnapshotTable[[#This Row],[SC Book Price]]),0)</f>
        <v>0</v>
      </c>
      <c r="FD116" s="5"/>
      <c r="FE116" s="144"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382">
        <f>IF(SnapshotTable[[#This Row],[SC Is Filled]], IF(ISNUMBER(SnapshotTable[[#This Row],[SC Current Ask]]), SnapshotTable[[#This Row],[SC Current Ask]], SnapshotTable[[#This Row],[SC Book Price]]) - SnapshotTable[[#This Row],[SC Intrinsic Value]], 0)</f>
        <v>0</v>
      </c>
      <c r="FI116" s="143"/>
      <c r="FJ116" s="32" t="str">
        <f>IF(SnapshotTable[[#This Row],[SC Is Filled]],100 * SnapshotTable[[#This Row],[SC Qty]] * IF(ISNUMBER(SnapshotTable[[#This Row],[SC Buyback Override]]), SnapshotTable[[#This Row],[SC Buyback Override]], SnapshotTable[[#This Row],[SC Current Ask]]), "")</f>
        <v/>
      </c>
      <c r="FK116" s="250" t="str">
        <f>IF(SnapshotTable[[#This Row],[SC Time Val]]&gt;0, SnapshotTable[[#This Row],[SC Time Val]] / SnapshotTable[[#This Row],[Last Price]],"")</f>
        <v/>
      </c>
      <c r="FL116" s="302" t="str">
        <f>IF(SnapshotTable[[#This Row],[SC Is Booked]], ((SnapshotTable[[#This Row],[Last Price]] -SnapshotTable[[#This Row],[SC Strike Price]]) / SnapshotTable[[#This Row],[Last Price]]) * -1, "")</f>
        <v/>
      </c>
      <c r="FM116" s="157"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33"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36" t="str">
        <f>IF(AND(ISNUMBER(SnapshotTable[[#This Row],[SC Simple ROO]]),SnapshotTable[[#This Row],[SC Simple ROO]] &gt; 0), SnapshotTable[[#This Row],[SC Premium]] + (SnapshotTable[[#This Row],[SC Qty]] * SnapshotTable[[#This Row],[SC Upside Potential]]), "")</f>
        <v/>
      </c>
      <c r="FX116" s="302" t="str" cm="1">
        <f t="array" ref="FX116">IF(ISNUMBER(SnapshotTable[[#This Row],[SC Max Dollars]]), annualize(SnapshotTable[[#This Row],[SC Term]],(SnapshotTable[[#This Row],[SC Max Dollars]]/SnapshotTable[[#This Row],[SC Basis]])),"")</f>
        <v/>
      </c>
      <c r="FY116" s="23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29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196.11149999999998</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619</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31">
        <f>MAX(SnapshotTable[[#This Row],[Equity Basis Total]],SnapshotTable[[#This Row],[Equity Value]]) + (SnapshotTable[[#This Row],[SP Potential Spend]]- SnapshotTable[[#This Row],[SP Premium]] + SnapshotTable[[#This Row],[LP Premium]])+ (SnapshotTable[[#This Row],[LC Premium]] - SnapshotTable[[#This Row],[SC Premium]])</f>
        <v>0</v>
      </c>
      <c r="GW116" s="139" t="str">
        <f>IF(AND(SnapshotTable[[#This Row],[Exposure]] &lt;&gt; 0),SnapshotTable[[#This Row],[Exposure]] / SnapshotTable[[#Totals],[Exposure]], "")</f>
        <v/>
      </c>
      <c r="HE116" s="268"/>
      <c r="HF116" s="268"/>
      <c r="HK116" s="1"/>
      <c r="HL116" s="1"/>
      <c r="HM116" s="1"/>
      <c r="HN116" s="1"/>
      <c r="HO116" s="1"/>
      <c r="HP116" s="1"/>
    </row>
    <row r="117" spans="2:224" ht="12.75" hidden="1" customHeight="1" x14ac:dyDescent="0.25">
      <c r="B117" s="12" t="s">
        <v>913</v>
      </c>
      <c r="C117" s="422">
        <v>245.77</v>
      </c>
      <c r="D117" s="208"/>
      <c r="E117" s="39">
        <f>SnapshotTable[[#This Row],[Last Price]]*(1 -CrashDiscount)</f>
        <v>208.90450000000001</v>
      </c>
      <c r="F117" s="26" t="s">
        <v>613</v>
      </c>
      <c r="G117" s="26" t="s">
        <v>9</v>
      </c>
      <c r="H117" s="149"/>
      <c r="I117" s="194">
        <v>44777.291666666664</v>
      </c>
      <c r="J117" s="195">
        <v>44777.291666666664</v>
      </c>
      <c r="K117" s="196"/>
      <c r="L117" s="326"/>
      <c r="M117" s="140"/>
      <c r="N117" s="140"/>
      <c r="O117" s="140"/>
      <c r="P117" s="22"/>
      <c r="Q117" s="25"/>
      <c r="R117" s="4" t="str">
        <f>IF(SnapshotTable[[#This Row],[Equity Basis Total]] &gt; 0, SnapshotTable[[#This Row],[Equity Basis Total]] / SnapshotTable[[#This Row],[Equity Shares]], "")</f>
        <v/>
      </c>
      <c r="S117" s="269">
        <f>SnapshotTable[[#This Row],[Last Price]] * SnapshotTable[[#This Row],[Equity Shares]]</f>
        <v>0</v>
      </c>
      <c r="T117" s="269">
        <f>SnapshotTable[[#This Row],[Equity Value]] - SnapshotTable[[#This Row],[Equity Basis Total]]</f>
        <v>0</v>
      </c>
      <c r="U117" s="270" t="str">
        <f>IF(SnapshotTable[[#This Row],[Equity Basis Total]] &gt; 0, SnapshotTable[[#This Row],[Equity G/L]] / SnapshotTable[[#This Row],[Equity Basis Total]], "")</f>
        <v/>
      </c>
      <c r="V117" s="268">
        <v>130</v>
      </c>
      <c r="W117" s="26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7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0"/>
      <c r="AD117" s="151"/>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1"/>
      <c r="AI117" s="5"/>
      <c r="AJ117" s="138">
        <v>95.93</v>
      </c>
      <c r="AK117" s="152" t="str">
        <f>IF(ISNUMBER( SnapshotTable[[#This Row],[EBF Target]]),(SnapshotTable[[#This Row],[EBF Target]] - SnapshotTable[[#This Row],[Last Price]]) / SnapshotTable[[#This Row],[Last Price]], "")</f>
        <v/>
      </c>
      <c r="AL117" s="152"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2">
        <f>IF(AND(ISNUMBER( SnapshotTable[[#This Row],[Long Term Target]]), ISNUMBER(SnapshotTable[[#This Row],[Last Price]])),(SnapshotTable[[#This Row],[Long Term Target]] - SnapshotTable[[#This Row],[Last Price]]) / SnapshotTable[[#This Row],[Last Price]], "")</f>
        <v>-0.60967571306506085</v>
      </c>
      <c r="AP117" s="5"/>
      <c r="AQ117" s="38"/>
      <c r="AR117" s="5"/>
      <c r="AS117" s="38"/>
      <c r="AT117" s="146"/>
      <c r="AU117" s="187" t="str">
        <f>IF(OR(SnapshotTable[[#This Row],[LP No Fill]]="Y",SnapshotTable[[#This Row],[SP Is Filled]],SnapshotTable[[#This Row],[LC Not Filled]]="Y",SnapshotTable[[#This Row],[SC Is Filled]]),"Y","")</f>
        <v/>
      </c>
      <c r="AV117" s="219"/>
      <c r="AW117" s="225"/>
      <c r="AX117" s="220"/>
      <c r="AY117" s="219" t="str">
        <f>IF(SnapshotTable[[#This Row],[Implied Move]]&gt;0, SnapshotTable[[#This Row],[Last Price]]-SnapshotTable[[#This Row],[Implied Move]],"")</f>
        <v/>
      </c>
      <c r="AZ117" s="219" t="str">
        <f>IF(SnapshotTable[[#This Row],[Implied Move]]&gt;0, SnapshotTable[[#This Row],[Last Price]] + SnapshotTable[[#This Row],[Implied Move]],"")</f>
        <v/>
      </c>
      <c r="BA117" s="331"/>
      <c r="BB117" s="347"/>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51"/>
      <c r="BE117" s="5"/>
      <c r="BF117" s="14"/>
      <c r="BG117" s="13"/>
      <c r="BH117" s="13"/>
      <c r="BI117" s="5"/>
      <c r="BJ117" s="136">
        <f>IF(SnapshotTable[[#This Row],[LP Qty]] &gt; 0, SnapshotTable[[#This Row],[LP Qty]] * SnapshotTable[[#This Row],[LP Book Price]] * 100,0)</f>
        <v>0</v>
      </c>
      <c r="BK117" s="136">
        <f>IF(SnapshotTable[[#This Row],[LP Premium]] &gt; 0, SnapshotTable[[#This Row],[LP Qty]] * SnapshotTable[[#This Row],[LP Strike Price]] * 100,0)</f>
        <v>0</v>
      </c>
      <c r="BL117" s="154"/>
      <c r="BM117" s="385" t="str">
        <f>IF(SnapshotTable[[#This Row],[LP Premium]] &gt; 0,SnapshotTable[[#This Row],[LP Exp Date]]-MAX(SnapshotTable[[#This Row],[LP Book Date]], SnapshotTable[[#This Row],[LP Fill Date]]),"")</f>
        <v/>
      </c>
      <c r="BN117" s="385" t="str">
        <f>IF(ISNUMBER( SnapshotTable[[#This Row],[LP Term]]), SnapshotTable[[#This Row],[LP Exp Date]] - MockToday,"")</f>
        <v/>
      </c>
      <c r="BO117" s="163"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7"/>
      <c r="BU117" s="13"/>
      <c r="BV117" s="5"/>
      <c r="BW117" s="419" t="b">
        <f>AND(ISNUMBER(SnapshotTable[[#This Row],[SP Exp Date]]), ISNUMBER(SnapshotTable[[#This Row],[SP Strike Price]]), ISNUMBER(SnapshotTable[[#This Row],[SP Qty]]), ISNUMBER(SnapshotTable[[#This Row],[SP Book Date]]), ISNUMBER(SnapshotTable[[#This Row],[SP Book Price]]))</f>
        <v>0</v>
      </c>
      <c r="BX117" s="419" t="b">
        <f>AND(SnapshotTable[[#This Row],[SP Is Booked]], NOT(ISBLANK(SnapshotTable[[#This Row],[SP Fill Date]])))</f>
        <v>0</v>
      </c>
      <c r="BY117" s="33">
        <f>IF(SnapshotTable[[#This Row],[SP Is Booked]], SnapshotTable[[#This Row],[SP Qty]] * SnapshotTable[[#This Row],[SP Book Price]] * 100, 0)</f>
        <v>0</v>
      </c>
      <c r="BZ117" s="369"/>
      <c r="CA117" s="368">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3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44"/>
      <c r="CK117" s="31">
        <f>IF(ISNUMBER(SnapshotTable[[#This Row],[SP Potential Spend]]),IF(ISNUMBER(SnapshotTable[[#This Row],[SP POW]]), SnapshotTable[[#This Row],[SP POW]] * SnapshotTable[[#This Row],[SP Potential Spend]], SnapshotTable[[#This Row],[SP Potential Spend]]), "")</f>
        <v>0</v>
      </c>
      <c r="CL117" s="164">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4"/>
      <c r="CO117" s="369"/>
      <c r="CP117" s="4" t="str">
        <f>IF(SnapshotTable[[#This Row],[SP Is Filled]], btc_max_buyback_amount(SnapshotTable[[#This Row],[SP Fill Date]],SnapshotTable[[#This Row],[SP Exp Date]], SnapshotTable[[#This Row],[SP Book Price]]),"")</f>
        <v/>
      </c>
      <c r="CQ117" s="78"/>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5" t="str">
        <f>IF(SnapshotTable[[#This Row],[SP Is Filled]], btc_next_cutoff_date(SnapshotTable[[#This Row],[SP Fill Date]],SnapshotTable[[#This Row],[SP Exp Date]]),"")</f>
        <v/>
      </c>
      <c r="CT117" s="23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6"/>
      <c r="CV117" s="235"/>
      <c r="CW117" s="378"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294" t="str">
        <f>IF(ISNUMBER((SnapshotTable[[#This Row],[SP Total Value]])), SnapshotTable[[#This Row],[SP Gain Loss]] / SnapshotTable[[#This Row],[SP Premium]], "")</f>
        <v/>
      </c>
      <c r="DI117" s="406"/>
      <c r="DJ117" s="138"/>
      <c r="DK117" s="148"/>
      <c r="DL117" s="147"/>
      <c r="DM117" s="147"/>
      <c r="DO117" s="31">
        <f>IF(SnapshotTable[[#This Row],[LC Symbol Count]]=1, SnapshotTable[[#This Row],[LC Qty]] * SnapshotTable[[#This Row],[LC Book Price]] * 100, 0)</f>
        <v>0</v>
      </c>
      <c r="DP117" s="289" t="str">
        <f>IF(AND(SnapshotTable[[#This Row],[LC Exp Date]]&gt;0, SnapshotTable[[#This Row],[LC Strike Price]]&gt;0,SnapshotTable[[#This Row],[LC Qty]]&gt;0,SnapshotTable[[#This Row],[LC Book Date]]&gt;0,SnapshotTable[[#This Row],[LC Book Price]]&gt;0,SnapshotTable[[#This Row],[LC Fill Date]]=0),"Y","")</f>
        <v/>
      </c>
      <c r="DQ117" s="386" t="str">
        <f>IF(SnapshotTable[[#This Row],[LC Premium]] &gt; 0,SnapshotTable[[#This Row],[LC Exp Date]]-MAX(SnapshotTable[[#This Row],[LC Book Date]], SnapshotTable[[#This Row],[LC Fill Date]]),"")</f>
        <v/>
      </c>
      <c r="DR117" s="386" t="str">
        <f>IF(ISNUMBER(SnapshotTable[[#This Row],[LC Term]]), SnapshotTable[[#This Row],[LC Exp Date]] - MockToday, "")</f>
        <v/>
      </c>
      <c r="DS117" s="23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40" t="str">
        <f>IF(ISNUMBER(SnapshotTable[[#This Row],[LC Actual Gain Loss]]), SnapshotTable[[#This Row],[LC Actual Gain Loss]] / SnapshotTable[[#This Row],[LC Premium]],"")</f>
        <v/>
      </c>
      <c r="DX117" s="284" t="str">
        <f>IF(ISNUMBER(SnapshotTable[[#This Row],[LC Book Price]]),SnapshotTable[[#This Row],[LC Book Price]] * 1.5,"")</f>
        <v/>
      </c>
      <c r="DY117" s="265" t="str">
        <f>IF(SnapshotTable[[#This Row],[LC Premium]]&gt;0, SnapshotTable[[#This Row],[LC Next Target]] * SnapshotTable[[#This Row],[LC Qty]] * 100,"")</f>
        <v/>
      </c>
      <c r="DZ117" s="265" t="str">
        <f>IF(ISNUMBER(SnapshotTable[[#This Row],[LC Target Gross]]), SnapshotTable[[#This Row],[LC Target Gross]] - SnapshotTable[[#This Row],[LC Premium]], "")</f>
        <v/>
      </c>
      <c r="EA117" s="305" t="str">
        <f>IF(ISNUMBER(SnapshotTable[[#This Row],[LC Target Gain Loss]]), SnapshotTable[[#This Row],[LC Target Gain Loss]]/SnapshotTable[[#This Row],[LC Premium]], "")</f>
        <v/>
      </c>
      <c r="EB117" s="262"/>
      <c r="EC117" s="283" t="str">
        <f>IF(SnapshotTable[[#This Row],[LC Premium]]&gt;0, SnapshotTable[[#This Row],[LC Book Price]] * (1 - LC_StopLoss_Pct),"")</f>
        <v/>
      </c>
      <c r="ED117" s="284"/>
      <c r="EE117" s="28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4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7"/>
      <c r="EL117" s="138"/>
      <c r="EM117" s="148"/>
      <c r="EN117" s="147"/>
      <c r="EO117" s="147"/>
      <c r="EP117" s="138"/>
      <c r="EQ117" s="419" t="b">
        <f>AND(ISNUMBER(SnapshotTable[[#This Row],[SC Exp Date]]), ISNUMBER(SnapshotTable[[#This Row],[SC Strike Price]]), ISNUMBER(SnapshotTable[[#This Row],[SC Qty]]), ISNUMBER(SnapshotTable[[#This Row],[SC Book Date]]), ISNUMBER(SnapshotTable[[#This Row],[SC Book Price]]))</f>
        <v>0</v>
      </c>
      <c r="ER117" s="419" t="b">
        <f>AND(SnapshotTable[[#This Row],[SC Is Booked]], NOT(ISBLANK(SnapshotTable[[#This Row],[SC Fill Date]])))</f>
        <v>0</v>
      </c>
      <c r="ES117" s="370"/>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3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283"/>
      <c r="FA117" s="218"/>
      <c r="FB117" s="370"/>
      <c r="FC117" s="4">
        <f>IF(SnapshotTable[[#This Row],[SC Is Filled]], btc_max_buyback_amount(SnapshotTable[[#This Row],[SC Fill Date]],SnapshotTable[[#This Row],[SC Exp Date]], SnapshotTable[[#This Row],[SC Book Price]]),0)</f>
        <v>0</v>
      </c>
      <c r="FD117" s="5"/>
      <c r="FE117" s="144"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382">
        <f>IF(SnapshotTable[[#This Row],[SC Is Filled]], IF(ISNUMBER(SnapshotTable[[#This Row],[SC Current Ask]]), SnapshotTable[[#This Row],[SC Current Ask]], SnapshotTable[[#This Row],[SC Book Price]]) - SnapshotTable[[#This Row],[SC Intrinsic Value]], 0)</f>
        <v>0</v>
      </c>
      <c r="FI117" s="143"/>
      <c r="FJ117" s="32" t="str">
        <f>IF(SnapshotTable[[#This Row],[SC Is Filled]],100 * SnapshotTable[[#This Row],[SC Qty]] * IF(ISNUMBER(SnapshotTable[[#This Row],[SC Buyback Override]]), SnapshotTable[[#This Row],[SC Buyback Override]], SnapshotTable[[#This Row],[SC Current Ask]]), "")</f>
        <v/>
      </c>
      <c r="FK117" s="250" t="str">
        <f>IF(SnapshotTable[[#This Row],[SC Time Val]]&gt;0, SnapshotTable[[#This Row],[SC Time Val]] / SnapshotTable[[#This Row],[Last Price]],"")</f>
        <v/>
      </c>
      <c r="FL117" s="302" t="str">
        <f>IF(SnapshotTable[[#This Row],[SC Is Booked]], ((SnapshotTable[[#This Row],[Last Price]] -SnapshotTable[[#This Row],[SC Strike Price]]) / SnapshotTable[[#This Row],[Last Price]]) * -1, "")</f>
        <v/>
      </c>
      <c r="FM117" s="157" t="str">
        <f>IF(SnapshotTable[[#This Row],[SC Is Booked]],  (SnapshotTable[[#This Row],[SC Qty]] * 100 * SnapshotTable[[#This Row],[SC Strike Price]]) - SnapshotTable[[#This Row],[SC Current Ask]], "")</f>
        <v/>
      </c>
      <c r="FN11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7"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33"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36" t="str">
        <f>IF(AND(ISNUMBER(SnapshotTable[[#This Row],[SC Simple ROO]]),SnapshotTable[[#This Row],[SC Simple ROO]] &gt; 0), SnapshotTable[[#This Row],[SC Premium]] + (SnapshotTable[[#This Row],[SC Qty]] * SnapshotTable[[#This Row],[SC Upside Potential]]), "")</f>
        <v/>
      </c>
      <c r="FX117" s="302" t="str" cm="1">
        <f t="array" ref="FX117">IF(ISNUMBER(SnapshotTable[[#This Row],[SC Max Dollars]]), annualize(SnapshotTable[[#This Row],[SC Term]],(SnapshotTable[[#This Row],[SC Max Dollars]]/SnapshotTable[[#This Row],[SC Basis]])),"")</f>
        <v/>
      </c>
      <c r="FY117" s="236" t="str">
        <f>IF(AND(SnapshotTable[[#This Row],[SC Qty]]&gt;0,SnapshotTable[[#This Row],[SC Current Ask]]&gt;0), SnapshotTable[[#This Row],[SC Qty]] * SnapshotTable[[#This Row],[SC Current Ask]] * -100, "")</f>
        <v/>
      </c>
      <c r="FZ117" s="235" t="str">
        <f>IF(ISNUMBER((SnapshotTable[[#This Row],[SC Current Value]])), SnapshotTable[[#This Row],[SC Premium]] + SnapshotTable[[#This Row],[SC Current Value]], "")</f>
        <v/>
      </c>
      <c r="GA117" s="294" t="str">
        <f>IFERROR( IF(ISNUMBER((SnapshotTable[[#This Row],[SC Current Value]])), SnapshotTable[[#This Row],[SC Gain Loss]] / SnapshotTable[[#This Row],[SC Premium]], ""), "")</f>
        <v/>
      </c>
      <c r="GB117" s="310">
        <f>SnapshotTable[[#This Row],[Equity Shares]] * SaleSharesToConsiderPercentage</f>
        <v>0</v>
      </c>
      <c r="GC117" s="311">
        <f>SnapshotTable[[#This Row],[Long Term Target]] * SellingPriceToConsiderBasedOnTargetPercentage</f>
        <v>91.133499999999998</v>
      </c>
      <c r="GD117" s="311">
        <f>SnapshotTable[[#This Row],[Last Price]] * (1+ SellingPriceToConsiderBasedOnTargetPercentage)</f>
        <v>479.25150000000002</v>
      </c>
      <c r="GE117" s="312"/>
      <c r="GF117" s="31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8" t="str">
        <f>IF(SnapshotTable[[#This Row],[Sale G/L]]&gt;0, SnapshotTable[[#This Row],[Sale G/L]] / SnapshotTable[[#This Row],[Sale Basis]], IF(ISNUMBER(SnapshotTable[[#This Row],[SC Exercise P&amp;L (TAX)]]), SnapshotTable[[#This Row],[SC Exercise P&amp;L (TAX)]] / SnapshotTable[[#This Row],[SC Basis]], ""))</f>
        <v/>
      </c>
      <c r="GK117" s="27"/>
      <c r="GL117" s="159"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59" t="str">
        <f>IF(AND(SnapshotTable[[#This Row],[LC Exp Date]]&gt;0,SnapshotTable[[#This Row],[LC Strike Price]]&gt;0), [1]!ToOptionSymbol(SnapshotTable[[#This Row],[Symbol]], SnapshotTable[[#This Row],[LC Strike Price]],SnapshotTable[[#This Row],[LC Exp Date]],0), "")</f>
        <v/>
      </c>
      <c r="GQ117" s="160" t="str">
        <f>IF(LEN(SnapshotTable[[#This Row],[LC Symbol]])&gt;0, 1, "")</f>
        <v/>
      </c>
      <c r="GR117" s="159" t="str">
        <f>IF(AND(SnapshotTable[[#This Row],[SC Exp Date]]&gt;0,SnapshotTable[[#This Row],[SC Strike Price]]&gt;0), [1]!ToOptionSymbol(SnapshotTable[[#This Row],[Symbol]], SnapshotTable[[#This Row],[SC Strike Price]],SnapshotTable[[#This Row],[SC Exp Date]],0), "")</f>
        <v/>
      </c>
      <c r="GS117" s="160" t="str">
        <f>IF(LEN(SnapshotTable[[#This Row],[SC Symbol]])&gt;0, 1, "")</f>
        <v/>
      </c>
      <c r="GT117" s="161"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31">
        <f>MAX(SnapshotTable[[#This Row],[Equity Basis Total]],SnapshotTable[[#This Row],[Equity Value]]) + (SnapshotTable[[#This Row],[SP Potential Spend]]- SnapshotTable[[#This Row],[SP Premium]] + SnapshotTable[[#This Row],[LP Premium]])+ (SnapshotTable[[#This Row],[LC Premium]] - SnapshotTable[[#This Row],[SC Premium]])</f>
        <v>0</v>
      </c>
      <c r="GW117" s="139" t="str">
        <f>IF(AND(SnapshotTable[[#This Row],[Exposure]] &lt;&gt; 0),SnapshotTable[[#This Row],[Exposure]] / SnapshotTable[[#Totals],[Exposure]], "")</f>
        <v/>
      </c>
      <c r="HE117" s="268"/>
      <c r="HF117" s="268"/>
      <c r="HK117" s="1"/>
      <c r="HL117" s="1"/>
      <c r="HM117" s="1"/>
      <c r="HN117" s="1"/>
      <c r="HO117" s="1"/>
      <c r="HP117" s="1"/>
    </row>
    <row r="118" spans="2:224" ht="12.75" hidden="1" customHeight="1" x14ac:dyDescent="0.25">
      <c r="B118" s="12" t="s">
        <v>524</v>
      </c>
      <c r="C118" s="422">
        <v>607.33000000000004</v>
      </c>
      <c r="D118" s="208" t="s">
        <v>578</v>
      </c>
      <c r="E118" s="39">
        <f>SnapshotTable[[#This Row],[Last Price]]*(1 -CrashDiscount)</f>
        <v>516.23050000000001</v>
      </c>
      <c r="F118" s="26" t="s">
        <v>525</v>
      </c>
      <c r="G118" s="26" t="s">
        <v>20</v>
      </c>
      <c r="H118" s="149"/>
      <c r="I118" s="194">
        <v>44792.28125</v>
      </c>
      <c r="J118" s="195">
        <v>44792.28125</v>
      </c>
      <c r="K118" s="196" t="s">
        <v>3</v>
      </c>
      <c r="L118" s="326"/>
      <c r="M118" s="140"/>
      <c r="N118" s="140"/>
      <c r="O118" s="140"/>
      <c r="P118" s="22"/>
      <c r="Q118" s="25"/>
      <c r="R118" s="4" t="str">
        <f>IF(SnapshotTable[[#This Row],[Equity Basis Total]] &gt; 0, SnapshotTable[[#This Row],[Equity Basis Total]] / SnapshotTable[[#This Row],[Equity Shares]], "")</f>
        <v/>
      </c>
      <c r="S118" s="269">
        <f>SnapshotTable[[#This Row],[Last Price]] * SnapshotTable[[#This Row],[Equity Shares]]</f>
        <v>0</v>
      </c>
      <c r="T118" s="269">
        <f>SnapshotTable[[#This Row],[Equity Value]] - SnapshotTable[[#This Row],[Equity Basis Total]]</f>
        <v>0</v>
      </c>
      <c r="U118" s="270" t="str">
        <f>IF(SnapshotTable[[#This Row],[Equity Basis Total]] &gt; 0, SnapshotTable[[#This Row],[Equity G/L]] / SnapshotTable[[#This Row],[Equity Basis Total]], "")</f>
        <v/>
      </c>
      <c r="V118" s="268">
        <v>430</v>
      </c>
      <c r="W118" s="26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7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0"/>
      <c r="AD118" s="151"/>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1"/>
      <c r="AI118" s="5"/>
      <c r="AJ118" s="138">
        <v>437.3</v>
      </c>
      <c r="AK118" s="152" t="str">
        <f>IF(ISNUMBER( SnapshotTable[[#This Row],[EBF Target]]),(SnapshotTable[[#This Row],[EBF Target]] - SnapshotTable[[#This Row],[Last Price]]) / SnapshotTable[[#This Row],[Last Price]], "")</f>
        <v/>
      </c>
      <c r="AL118" s="152"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2">
        <f>IF(AND(ISNUMBER( SnapshotTable[[#This Row],[Long Term Target]]), ISNUMBER(SnapshotTable[[#This Row],[Last Price]])),(SnapshotTable[[#This Row],[Long Term Target]] - SnapshotTable[[#This Row],[Last Price]]) / SnapshotTable[[#This Row],[Last Price]], "")</f>
        <v>-0.27996311725091799</v>
      </c>
      <c r="AP118" s="5">
        <v>340</v>
      </c>
      <c r="AQ118" s="38" t="s">
        <v>27</v>
      </c>
      <c r="AR118" s="5">
        <v>340</v>
      </c>
      <c r="AS118" s="38" t="s">
        <v>38</v>
      </c>
      <c r="AT118" s="146" t="s">
        <v>542</v>
      </c>
      <c r="AU118" s="187" t="str">
        <f>IF(OR(SnapshotTable[[#This Row],[LP No Fill]]="Y",SnapshotTable[[#This Row],[SP Is Filled]],SnapshotTable[[#This Row],[LC Not Filled]]="Y",SnapshotTable[[#This Row],[SC Is Filled]]),"Y","")</f>
        <v/>
      </c>
      <c r="AV118" s="219"/>
      <c r="AW118" s="225"/>
      <c r="AX118" s="220"/>
      <c r="AY118" s="219" t="str">
        <f>IF(SnapshotTable[[#This Row],[Implied Move]]&gt;0, SnapshotTable[[#This Row],[Last Price]]-SnapshotTable[[#This Row],[Implied Move]],"")</f>
        <v/>
      </c>
      <c r="AZ118" s="219" t="str">
        <f>IF(SnapshotTable[[#This Row],[Implied Move]]&gt;0, SnapshotTable[[#This Row],[Last Price]] + SnapshotTable[[#This Row],[Implied Move]],"")</f>
        <v/>
      </c>
      <c r="BA118" s="331">
        <v>401.27</v>
      </c>
      <c r="BB118" s="347"/>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51"/>
      <c r="BE118" s="5"/>
      <c r="BF118" s="14"/>
      <c r="BG118" s="13"/>
      <c r="BH118" s="13"/>
      <c r="BI118" s="5"/>
      <c r="BJ118" s="136">
        <f>IF(SnapshotTable[[#This Row],[LP Qty]] &gt; 0, SnapshotTable[[#This Row],[LP Qty]] * SnapshotTable[[#This Row],[LP Book Price]] * 100,0)</f>
        <v>0</v>
      </c>
      <c r="BK118" s="136">
        <f>IF(SnapshotTable[[#This Row],[LP Premium]] &gt; 0, SnapshotTable[[#This Row],[LP Qty]] * SnapshotTable[[#This Row],[LP Strike Price]] * 100,0)</f>
        <v>0</v>
      </c>
      <c r="BL118" s="154"/>
      <c r="BM118" s="385" t="str">
        <f>IF(SnapshotTable[[#This Row],[LP Premium]] &gt; 0,SnapshotTable[[#This Row],[LP Exp Date]]-MAX(SnapshotTable[[#This Row],[LP Book Date]], SnapshotTable[[#This Row],[LP Fill Date]]),"")</f>
        <v/>
      </c>
      <c r="BN118" s="385" t="str">
        <f>IF(ISNUMBER( SnapshotTable[[#This Row],[LP Term]]), SnapshotTable[[#This Row],[LP Exp Date]] - MockToday,"")</f>
        <v/>
      </c>
      <c r="BO118" s="163"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7"/>
      <c r="BU118" s="13"/>
      <c r="BV118" s="5"/>
      <c r="BW118" s="419" t="b">
        <f>AND(ISNUMBER(SnapshotTable[[#This Row],[SP Exp Date]]), ISNUMBER(SnapshotTable[[#This Row],[SP Strike Price]]), ISNUMBER(SnapshotTable[[#This Row],[SP Qty]]), ISNUMBER(SnapshotTable[[#This Row],[SP Book Date]]), ISNUMBER(SnapshotTable[[#This Row],[SP Book Price]]))</f>
        <v>0</v>
      </c>
      <c r="BX118" s="419" t="b">
        <f>AND(SnapshotTable[[#This Row],[SP Is Booked]], NOT(ISBLANK(SnapshotTable[[#This Row],[SP Fill Date]])))</f>
        <v>0</v>
      </c>
      <c r="BY118" s="33">
        <f>IF(SnapshotTable[[#This Row],[SP Is Booked]], SnapshotTable[[#This Row],[SP Qty]] * SnapshotTable[[#This Row],[SP Book Price]] * 100, 0)</f>
        <v>0</v>
      </c>
      <c r="BZ118" s="369"/>
      <c r="CA118" s="368">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3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44"/>
      <c r="CK118" s="31">
        <f>IF(ISNUMBER(SnapshotTable[[#This Row],[SP Potential Spend]]),IF(ISNUMBER(SnapshotTable[[#This Row],[SP POW]]), SnapshotTable[[#This Row],[SP POW]] * SnapshotTable[[#This Row],[SP Potential Spend]], SnapshotTable[[#This Row],[SP Potential Spend]]), "")</f>
        <v>0</v>
      </c>
      <c r="CL118" s="164">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8"/>
      <c r="CO118" s="369"/>
      <c r="CP118" s="4" t="str">
        <f>IF(SnapshotTable[[#This Row],[SP Is Filled]], btc_max_buyback_amount(SnapshotTable[[#This Row],[SP Fill Date]],SnapshotTable[[#This Row],[SP Exp Date]], SnapshotTable[[#This Row],[SP Book Price]]),"")</f>
        <v/>
      </c>
      <c r="CQ118" s="78"/>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5" t="str">
        <f>IF(SnapshotTable[[#This Row],[SP Is Filled]], btc_next_cutoff_date(SnapshotTable[[#This Row],[SP Fill Date]],SnapshotTable[[#This Row],[SP Exp Date]]),"")</f>
        <v/>
      </c>
      <c r="CT118" s="23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3"/>
      <c r="CV118" s="235"/>
      <c r="CW118" s="378"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294" t="str">
        <f>IF(ISNUMBER((SnapshotTable[[#This Row],[SP Total Value]])), SnapshotTable[[#This Row],[SP Gain Loss]] / SnapshotTable[[#This Row],[SP Premium]], "")</f>
        <v/>
      </c>
      <c r="DI118" s="406"/>
      <c r="DJ118" s="138"/>
      <c r="DK118" s="148"/>
      <c r="DL118" s="13"/>
      <c r="DM118" s="13"/>
      <c r="DO118" s="31">
        <f>IF(SnapshotTable[[#This Row],[LC Symbol Count]]=1, SnapshotTable[[#This Row],[LC Qty]] * SnapshotTable[[#This Row],[LC Book Price]] * 100, 0)</f>
        <v>0</v>
      </c>
      <c r="DP118" s="163" t="str">
        <f>IF(AND(SnapshotTable[[#This Row],[LC Exp Date]]&gt;0, SnapshotTable[[#This Row],[LC Strike Price]]&gt;0,SnapshotTable[[#This Row],[LC Qty]]&gt;0,SnapshotTable[[#This Row],[LC Book Date]]&gt;0,SnapshotTable[[#This Row],[LC Book Price]]&gt;0,SnapshotTable[[#This Row],[LC Fill Date]]=0),"Y","")</f>
        <v/>
      </c>
      <c r="DQ118" s="386" t="str">
        <f>IF(SnapshotTable[[#This Row],[LC Premium]] &gt; 0,SnapshotTable[[#This Row],[LC Exp Date]]-MAX(SnapshotTable[[#This Row],[LC Book Date]], SnapshotTable[[#This Row],[LC Fill Date]]),"")</f>
        <v/>
      </c>
      <c r="DR118" s="386" t="str">
        <f>IF(ISNUMBER(SnapshotTable[[#This Row],[LC Term]]), SnapshotTable[[#This Row],[LC Exp Date]] - MockToday, "")</f>
        <v/>
      </c>
      <c r="DS118" s="23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40" t="str">
        <f>IF(ISNUMBER(SnapshotTable[[#This Row],[LC Actual Gain Loss]]), SnapshotTable[[#This Row],[LC Actual Gain Loss]] / SnapshotTable[[#This Row],[LC Premium]],"")</f>
        <v/>
      </c>
      <c r="DX118" s="284" t="str">
        <f>IF(ISNUMBER(SnapshotTable[[#This Row],[LC Book Price]]),SnapshotTable[[#This Row],[LC Book Price]] * 1.5,"")</f>
        <v/>
      </c>
      <c r="DY118" s="265" t="str">
        <f>IF(SnapshotTable[[#This Row],[LC Premium]]&gt;0, SnapshotTable[[#This Row],[LC Next Target]] * SnapshotTable[[#This Row],[LC Qty]] * 100,"")</f>
        <v/>
      </c>
      <c r="DZ118" s="265" t="str">
        <f>IF(ISNUMBER(SnapshotTable[[#This Row],[LC Target Gross]]), SnapshotTable[[#This Row],[LC Target Gross]] - SnapshotTable[[#This Row],[LC Premium]], "")</f>
        <v/>
      </c>
      <c r="EA118" s="305" t="str">
        <f>IF(ISNUMBER(SnapshotTable[[#This Row],[LC Target Gain Loss]]), SnapshotTable[[#This Row],[LC Target Gain Loss]]/SnapshotTable[[#This Row],[LC Premium]], "")</f>
        <v/>
      </c>
      <c r="EB118" s="262"/>
      <c r="EC118" s="283" t="str">
        <f>IF(SnapshotTable[[#This Row],[LC Premium]]&gt;0, SnapshotTable[[#This Row],[LC Book Price]] * (1 - LC_StopLoss_Pct),"")</f>
        <v/>
      </c>
      <c r="ED118" s="284"/>
      <c r="EE118" s="28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4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7"/>
      <c r="EL118" s="138"/>
      <c r="EM118" s="148"/>
      <c r="EN118" s="147"/>
      <c r="EO118" s="147"/>
      <c r="EP118" s="138"/>
      <c r="EQ118" s="419" t="b">
        <f>AND(ISNUMBER(SnapshotTable[[#This Row],[SC Exp Date]]), ISNUMBER(SnapshotTable[[#This Row],[SC Strike Price]]), ISNUMBER(SnapshotTable[[#This Row],[SC Qty]]), ISNUMBER(SnapshotTable[[#This Row],[SC Book Date]]), ISNUMBER(SnapshotTable[[#This Row],[SC Book Price]]))</f>
        <v>0</v>
      </c>
      <c r="ER118" s="419" t="b">
        <f>AND(SnapshotTable[[#This Row],[SC Is Booked]], NOT(ISBLANK(SnapshotTable[[#This Row],[SC Fill Date]])))</f>
        <v>0</v>
      </c>
      <c r="ES118" s="370"/>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3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283"/>
      <c r="FA118" s="218"/>
      <c r="FB118" s="370"/>
      <c r="FC118" s="4">
        <f>IF(SnapshotTable[[#This Row],[SC Is Filled]], btc_max_buyback_amount(SnapshotTable[[#This Row],[SC Fill Date]],SnapshotTable[[#This Row],[SC Exp Date]], SnapshotTable[[#This Row],[SC Book Price]]),0)</f>
        <v>0</v>
      </c>
      <c r="FD118" s="5"/>
      <c r="FE118" s="144"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382">
        <f>IF(SnapshotTable[[#This Row],[SC Is Filled]], IF(ISNUMBER(SnapshotTable[[#This Row],[SC Current Ask]]), SnapshotTable[[#This Row],[SC Current Ask]], SnapshotTable[[#This Row],[SC Book Price]]) - SnapshotTable[[#This Row],[SC Intrinsic Value]], 0)</f>
        <v>0</v>
      </c>
      <c r="FI118" s="143"/>
      <c r="FJ118" s="32" t="str">
        <f>IF(SnapshotTable[[#This Row],[SC Is Filled]],100 * SnapshotTable[[#This Row],[SC Qty]] * IF(ISNUMBER(SnapshotTable[[#This Row],[SC Buyback Override]]), SnapshotTable[[#This Row],[SC Buyback Override]], SnapshotTable[[#This Row],[SC Current Ask]]), "")</f>
        <v/>
      </c>
      <c r="FK118" s="250" t="str">
        <f>IF(SnapshotTable[[#This Row],[SC Time Val]]&gt;0, SnapshotTable[[#This Row],[SC Time Val]] / SnapshotTable[[#This Row],[Last Price]],"")</f>
        <v/>
      </c>
      <c r="FL118" s="302" t="str">
        <f>IF(SnapshotTable[[#This Row],[SC Is Booked]], ((SnapshotTable[[#This Row],[Last Price]] -SnapshotTable[[#This Row],[SC Strike Price]]) / SnapshotTable[[#This Row],[Last Price]]) * -1, "")</f>
        <v/>
      </c>
      <c r="FM118" s="157"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33"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36" t="str">
        <f>IF(AND(ISNUMBER(SnapshotTable[[#This Row],[SC Simple ROO]]),SnapshotTable[[#This Row],[SC Simple ROO]] &gt; 0), SnapshotTable[[#This Row],[SC Premium]] + (SnapshotTable[[#This Row],[SC Qty]] * SnapshotTable[[#This Row],[SC Upside Potential]]), "")</f>
        <v/>
      </c>
      <c r="FX118" s="302" t="str" cm="1">
        <f t="array" ref="FX118">IF(ISNUMBER(SnapshotTable[[#This Row],[SC Max Dollars]]), annualize(SnapshotTable[[#This Row],[SC Term]],(SnapshotTable[[#This Row],[SC Max Dollars]]/SnapshotTable[[#This Row],[SC Basis]])),"")</f>
        <v/>
      </c>
      <c r="FY118" s="23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29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1184.2935</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680</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31">
        <f>MAX(SnapshotTable[[#This Row],[Equity Basis Total]],SnapshotTable[[#This Row],[Equity Value]]) + (SnapshotTable[[#This Row],[SP Potential Spend]]- SnapshotTable[[#This Row],[SP Premium]] + SnapshotTable[[#This Row],[LP Premium]])+ (SnapshotTable[[#This Row],[LC Premium]] - SnapshotTable[[#This Row],[SC Premium]])</f>
        <v>0</v>
      </c>
      <c r="GW118" s="139" t="str">
        <f>IF(AND(SnapshotTable[[#This Row],[Exposure]] &lt;&gt; 0),SnapshotTable[[#This Row],[Exposure]] / SnapshotTable[[#Totals],[Exposure]], "")</f>
        <v/>
      </c>
      <c r="HE118" s="268"/>
      <c r="HF118" s="268"/>
      <c r="HK118" s="1"/>
      <c r="HL118" s="1"/>
      <c r="HM118" s="1"/>
      <c r="HN118" s="1"/>
      <c r="HO118" s="1"/>
      <c r="HP118" s="1"/>
    </row>
    <row r="119" spans="2:224" ht="12.75" hidden="1" customHeight="1" x14ac:dyDescent="0.25">
      <c r="B119" s="12" t="s">
        <v>1216</v>
      </c>
      <c r="C119" s="422">
        <v>102.47</v>
      </c>
      <c r="D119" s="208"/>
      <c r="E119" s="39">
        <f>SnapshotTable[[#This Row],[Last Price]]*(1 -CrashDiscount)</f>
        <v>87.099499999999992</v>
      </c>
      <c r="F119" s="26" t="s">
        <v>610</v>
      </c>
      <c r="G119" s="325" t="s">
        <v>1077</v>
      </c>
      <c r="H119" s="149"/>
      <c r="I119" s="194"/>
      <c r="J119" s="195"/>
      <c r="K119" s="196"/>
      <c r="L119" s="326"/>
      <c r="M119" s="140"/>
      <c r="N119" s="140"/>
      <c r="O119" s="140"/>
      <c r="P119" s="22"/>
      <c r="Q119" s="25"/>
      <c r="R119" s="4" t="str">
        <f>IF(SnapshotTable[[#This Row],[Equity Basis Total]] &gt; 0, SnapshotTable[[#This Row],[Equity Basis Total]] / SnapshotTable[[#This Row],[Equity Shares]], "")</f>
        <v/>
      </c>
      <c r="S119" s="269">
        <f>SnapshotTable[[#This Row],[Last Price]] * SnapshotTable[[#This Row],[Equity Shares]]</f>
        <v>0</v>
      </c>
      <c r="T119" s="269">
        <f>SnapshotTable[[#This Row],[Equity Value]] - SnapshotTable[[#This Row],[Equity Basis Total]]</f>
        <v>0</v>
      </c>
      <c r="U119" s="270" t="str">
        <f>IF(SnapshotTable[[#This Row],[Equity Basis Total]] &gt; 0, SnapshotTable[[#This Row],[Equity G/L]] / SnapshotTable[[#This Row],[Equity Basis Total]], "")</f>
        <v/>
      </c>
      <c r="V119" s="268"/>
      <c r="W119" s="26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7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0"/>
      <c r="AD119" s="151"/>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1"/>
      <c r="AI119" s="5"/>
      <c r="AJ119" s="138"/>
      <c r="AK119" s="152" t="str">
        <f>IF(ISNUMBER( SnapshotTable[[#This Row],[EBF Target]]),(SnapshotTable[[#This Row],[EBF Target]] - SnapshotTable[[#This Row],[Last Price]]) / SnapshotTable[[#This Row],[Last Price]], "")</f>
        <v/>
      </c>
      <c r="AL119" s="152"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2" t="str">
        <f>IF(AND(ISNUMBER( SnapshotTable[[#This Row],[Long Term Target]]), ISNUMBER(SnapshotTable[[#This Row],[Last Price]])),(SnapshotTable[[#This Row],[Long Term Target]] - SnapshotTable[[#This Row],[Last Price]]) / SnapshotTable[[#This Row],[Last Price]], "")</f>
        <v/>
      </c>
      <c r="AP119" s="5"/>
      <c r="AQ119" s="38"/>
      <c r="AR119" s="5"/>
      <c r="AS119" s="38"/>
      <c r="AT119" s="146"/>
      <c r="AU119" s="187" t="str">
        <f>IF(OR(SnapshotTable[[#This Row],[LP No Fill]]="Y",SnapshotTable[[#This Row],[SP Is Filled]],SnapshotTable[[#This Row],[LC Not Filled]]="Y",SnapshotTable[[#This Row],[SC Is Filled]]),"Y","")</f>
        <v/>
      </c>
      <c r="AV119" s="219"/>
      <c r="AW119" s="225"/>
      <c r="AX119" s="220"/>
      <c r="AY119" s="219" t="str">
        <f>IF(SnapshotTable[[#This Row],[Implied Move]]&gt;0, SnapshotTable[[#This Row],[Last Price]]-SnapshotTable[[#This Row],[Implied Move]],"")</f>
        <v/>
      </c>
      <c r="AZ119" s="219" t="str">
        <f>IF(SnapshotTable[[#This Row],[Implied Move]]&gt;0, SnapshotTable[[#This Row],[Last Price]] + SnapshotTable[[#This Row],[Implied Move]],"")</f>
        <v/>
      </c>
      <c r="BA119" s="331">
        <v>94.54</v>
      </c>
      <c r="BB119" s="347"/>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51"/>
      <c r="BE119" s="5"/>
      <c r="BF119" s="14"/>
      <c r="BG119" s="13"/>
      <c r="BH119" s="13"/>
      <c r="BI119" s="5"/>
      <c r="BJ119" s="136">
        <f>IF(SnapshotTable[[#This Row],[LP Qty]] &gt; 0, SnapshotTable[[#This Row],[LP Qty]] * SnapshotTable[[#This Row],[LP Book Price]] * 100,0)</f>
        <v>0</v>
      </c>
      <c r="BK119" s="136">
        <f>IF(SnapshotTable[[#This Row],[LP Premium]] &gt; 0, SnapshotTable[[#This Row],[LP Qty]] * SnapshotTable[[#This Row],[LP Strike Price]] * 100,0)</f>
        <v>0</v>
      </c>
      <c r="BL119" s="154"/>
      <c r="BM119" s="385" t="str">
        <f>IF(SnapshotTable[[#This Row],[LP Premium]] &gt; 0,SnapshotTable[[#This Row],[LP Exp Date]]-MAX(SnapshotTable[[#This Row],[LP Book Date]], SnapshotTable[[#This Row],[LP Fill Date]]),"")</f>
        <v/>
      </c>
      <c r="BN119" s="385" t="str">
        <f>IF(ISNUMBER( SnapshotTable[[#This Row],[LP Term]]), SnapshotTable[[#This Row],[LP Exp Date]] - MockToday,"")</f>
        <v/>
      </c>
      <c r="BO119" s="163"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7"/>
      <c r="BU119" s="13"/>
      <c r="BV119" s="5"/>
      <c r="BW119" s="419" t="b">
        <f>AND(ISNUMBER(SnapshotTable[[#This Row],[SP Exp Date]]), ISNUMBER(SnapshotTable[[#This Row],[SP Strike Price]]), ISNUMBER(SnapshotTable[[#This Row],[SP Qty]]), ISNUMBER(SnapshotTable[[#This Row],[SP Book Date]]), ISNUMBER(SnapshotTable[[#This Row],[SP Book Price]]))</f>
        <v>0</v>
      </c>
      <c r="BX119" s="419" t="b">
        <f>AND(SnapshotTable[[#This Row],[SP Is Booked]], NOT(ISBLANK(SnapshotTable[[#This Row],[SP Fill Date]])))</f>
        <v>0</v>
      </c>
      <c r="BY119" s="33">
        <f>IF(SnapshotTable[[#This Row],[SP Is Booked]], SnapshotTable[[#This Row],[SP Qty]] * SnapshotTable[[#This Row],[SP Book Price]] * 100, 0)</f>
        <v>0</v>
      </c>
      <c r="BZ119" s="369"/>
      <c r="CA119" s="368">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3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44"/>
      <c r="CK119" s="31">
        <f>IF(ISNUMBER(SnapshotTable[[#This Row],[SP Potential Spend]]),IF(ISNUMBER(SnapshotTable[[#This Row],[SP POW]]), SnapshotTable[[#This Row],[SP POW]] * SnapshotTable[[#This Row],[SP Potential Spend]], SnapshotTable[[#This Row],[SP Potential Spend]]), "")</f>
        <v>0</v>
      </c>
      <c r="CL119" s="164">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8"/>
      <c r="CO119" s="369"/>
      <c r="CP119" s="4" t="str">
        <f>IF(SnapshotTable[[#This Row],[SP Is Filled]], btc_max_buyback_amount(SnapshotTable[[#This Row],[SP Fill Date]],SnapshotTable[[#This Row],[SP Exp Date]], SnapshotTable[[#This Row],[SP Book Price]]),"")</f>
        <v/>
      </c>
      <c r="CQ119" s="78"/>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5" t="str">
        <f>IF(SnapshotTable[[#This Row],[SP Is Filled]], btc_next_cutoff_date(SnapshotTable[[#This Row],[SP Fill Date]],SnapshotTable[[#This Row],[SP Exp Date]]),"")</f>
        <v/>
      </c>
      <c r="CT119" s="23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6"/>
      <c r="CV119" s="235"/>
      <c r="CW119" s="378"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294" t="str">
        <f>IF(ISNUMBER((SnapshotTable[[#This Row],[SP Total Value]])), SnapshotTable[[#This Row],[SP Gain Loss]] / SnapshotTable[[#This Row],[SP Premium]], "")</f>
        <v/>
      </c>
      <c r="DI119" s="406"/>
      <c r="DJ119" s="138"/>
      <c r="DK119" s="148"/>
      <c r="DL119" s="13"/>
      <c r="DM119" s="13"/>
      <c r="DO119" s="31">
        <f>IF(SnapshotTable[[#This Row],[LC Symbol Count]]=1, SnapshotTable[[#This Row],[LC Qty]] * SnapshotTable[[#This Row],[LC Book Price]] * 100, 0)</f>
        <v>0</v>
      </c>
      <c r="DP119" s="163" t="str">
        <f>IF(AND(SnapshotTable[[#This Row],[LC Exp Date]]&gt;0, SnapshotTable[[#This Row],[LC Strike Price]]&gt;0,SnapshotTable[[#This Row],[LC Qty]]&gt;0,SnapshotTable[[#This Row],[LC Book Date]]&gt;0,SnapshotTable[[#This Row],[LC Book Price]]&gt;0,SnapshotTable[[#This Row],[LC Fill Date]]=0),"Y","")</f>
        <v/>
      </c>
      <c r="DQ119" s="386" t="str">
        <f>IF(SnapshotTable[[#This Row],[LC Premium]] &gt; 0,SnapshotTable[[#This Row],[LC Exp Date]]-MAX(SnapshotTable[[#This Row],[LC Book Date]], SnapshotTable[[#This Row],[LC Fill Date]]),"")</f>
        <v/>
      </c>
      <c r="DR119" s="386" t="str">
        <f>IF(ISNUMBER(SnapshotTable[[#This Row],[LC Term]]), SnapshotTable[[#This Row],[LC Exp Date]] - MockToday, "")</f>
        <v/>
      </c>
      <c r="DS119" s="23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40" t="str">
        <f>IF(ISNUMBER(SnapshotTable[[#This Row],[LC Actual Gain Loss]]), SnapshotTable[[#This Row],[LC Actual Gain Loss]] / SnapshotTable[[#This Row],[LC Premium]],"")</f>
        <v/>
      </c>
      <c r="DX119" s="284" t="str">
        <f>IF(ISNUMBER(SnapshotTable[[#This Row],[LC Book Price]]),SnapshotTable[[#This Row],[LC Book Price]] * 1.5,"")</f>
        <v/>
      </c>
      <c r="DY119" s="265" t="str">
        <f>IF(SnapshotTable[[#This Row],[LC Premium]]&gt;0, SnapshotTable[[#This Row],[LC Next Target]] * SnapshotTable[[#This Row],[LC Qty]] * 100,"")</f>
        <v/>
      </c>
      <c r="DZ119" s="265" t="str">
        <f>IF(ISNUMBER(SnapshotTable[[#This Row],[LC Target Gross]]), SnapshotTable[[#This Row],[LC Target Gross]] - SnapshotTable[[#This Row],[LC Premium]], "")</f>
        <v/>
      </c>
      <c r="EA119" s="305" t="str">
        <f>IF(ISNUMBER(SnapshotTable[[#This Row],[LC Target Gain Loss]]), SnapshotTable[[#This Row],[LC Target Gain Loss]]/SnapshotTable[[#This Row],[LC Premium]], "")</f>
        <v/>
      </c>
      <c r="EB119" s="262"/>
      <c r="EC119" s="283" t="str">
        <f>IF(SnapshotTable[[#This Row],[LC Premium]]&gt;0, SnapshotTable[[#This Row],[LC Book Price]] * (1 - LC_StopLoss_Pct),"")</f>
        <v/>
      </c>
      <c r="ED119" s="284"/>
      <c r="EE119" s="28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4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7"/>
      <c r="EL119" s="138"/>
      <c r="EM119" s="148"/>
      <c r="EN119" s="147"/>
      <c r="EO119" s="147"/>
      <c r="EP119" s="138"/>
      <c r="EQ119" s="419" t="b">
        <f>AND(ISNUMBER(SnapshotTable[[#This Row],[SC Exp Date]]), ISNUMBER(SnapshotTable[[#This Row],[SC Strike Price]]), ISNUMBER(SnapshotTable[[#This Row],[SC Qty]]), ISNUMBER(SnapshotTable[[#This Row],[SC Book Date]]), ISNUMBER(SnapshotTable[[#This Row],[SC Book Price]]))</f>
        <v>0</v>
      </c>
      <c r="ER119" s="419" t="b">
        <f>AND(SnapshotTable[[#This Row],[SC Is Booked]], NOT(ISBLANK(SnapshotTable[[#This Row],[SC Fill Date]])))</f>
        <v>0</v>
      </c>
      <c r="ES119" s="370"/>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3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283"/>
      <c r="FA119" s="218"/>
      <c r="FB119" s="370"/>
      <c r="FC119" s="4">
        <f>IF(SnapshotTable[[#This Row],[SC Is Filled]], btc_max_buyback_amount(SnapshotTable[[#This Row],[SC Fill Date]],SnapshotTable[[#This Row],[SC Exp Date]], SnapshotTable[[#This Row],[SC Book Price]]),0)</f>
        <v>0</v>
      </c>
      <c r="FD119" s="5"/>
      <c r="FE119" s="144"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382">
        <f>IF(SnapshotTable[[#This Row],[SC Is Filled]], IF(ISNUMBER(SnapshotTable[[#This Row],[SC Current Ask]]), SnapshotTable[[#This Row],[SC Current Ask]], SnapshotTable[[#This Row],[SC Book Price]]) - SnapshotTable[[#This Row],[SC Intrinsic Value]], 0)</f>
        <v>0</v>
      </c>
      <c r="FI119" s="143"/>
      <c r="FJ119" s="32" t="str">
        <f>IF(SnapshotTable[[#This Row],[SC Is Filled]],100 * SnapshotTable[[#This Row],[SC Qty]] * IF(ISNUMBER(SnapshotTable[[#This Row],[SC Buyback Override]]), SnapshotTable[[#This Row],[SC Buyback Override]], SnapshotTable[[#This Row],[SC Current Ask]]), "")</f>
        <v/>
      </c>
      <c r="FK119" s="250" t="str">
        <f>IF(SnapshotTable[[#This Row],[SC Time Val]]&gt;0, SnapshotTable[[#This Row],[SC Time Val]] / SnapshotTable[[#This Row],[Last Price]],"")</f>
        <v/>
      </c>
      <c r="FL119" s="302" t="str">
        <f>IF(SnapshotTable[[#This Row],[SC Is Booked]], ((SnapshotTable[[#This Row],[Last Price]] -SnapshotTable[[#This Row],[SC Strike Price]]) / SnapshotTable[[#This Row],[Last Price]]) * -1, "")</f>
        <v/>
      </c>
      <c r="FM119" s="157"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33"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36" t="str">
        <f>IF(AND(ISNUMBER(SnapshotTable[[#This Row],[SC Simple ROO]]),SnapshotTable[[#This Row],[SC Simple ROO]] &gt; 0), SnapshotTable[[#This Row],[SC Premium]] + (SnapshotTable[[#This Row],[SC Qty]] * SnapshotTable[[#This Row],[SC Upside Potential]]), "")</f>
        <v/>
      </c>
      <c r="FX119" s="302" t="str" cm="1">
        <f t="array" ref="FX119">IF(ISNUMBER(SnapshotTable[[#This Row],[SC Max Dollars]]), annualize(SnapshotTable[[#This Row],[SC Term]],(SnapshotTable[[#This Row],[SC Max Dollars]]/SnapshotTable[[#This Row],[SC Basis]])),"")</f>
        <v/>
      </c>
      <c r="FY119" s="23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29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199.81649999999999</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31">
        <f>MAX(SnapshotTable[[#This Row],[Equity Basis Total]],SnapshotTable[[#This Row],[Equity Value]]) + (SnapshotTable[[#This Row],[SP Potential Spend]]- SnapshotTable[[#This Row],[SP Premium]] + SnapshotTable[[#This Row],[LP Premium]])+ (SnapshotTable[[#This Row],[LC Premium]] - SnapshotTable[[#This Row],[SC Premium]])</f>
        <v>0</v>
      </c>
      <c r="GW119" s="139" t="str">
        <f>IF(AND(SnapshotTable[[#This Row],[Exposure]] &lt;&gt; 0),SnapshotTable[[#This Row],[Exposure]] / SnapshotTable[[#Totals],[Exposure]], "")</f>
        <v/>
      </c>
      <c r="HE119" s="268"/>
      <c r="HF119" s="268"/>
      <c r="HK119" s="1"/>
      <c r="HL119" s="1"/>
      <c r="HM119" s="1"/>
      <c r="HN119" s="1"/>
      <c r="HO119" s="1"/>
      <c r="HP119" s="1"/>
    </row>
    <row r="120" spans="2:224" ht="12.75" hidden="1" customHeight="1" x14ac:dyDescent="0.25">
      <c r="B120" s="12" t="s">
        <v>1241</v>
      </c>
      <c r="C120" s="422">
        <v>3.95</v>
      </c>
      <c r="D120" s="208" t="s">
        <v>258</v>
      </c>
      <c r="E120" s="39">
        <f>SnapshotTable[[#This Row],[Last Price]]*(1 -CrashDiscount)</f>
        <v>3.3574999999999999</v>
      </c>
      <c r="F120" s="26" t="s">
        <v>550</v>
      </c>
      <c r="G120" s="26" t="s">
        <v>41</v>
      </c>
      <c r="H120" s="149"/>
      <c r="I120" s="194"/>
      <c r="J120" s="195"/>
      <c r="K120" s="196"/>
      <c r="L120" s="326"/>
      <c r="M120" s="140"/>
      <c r="N120" s="140"/>
      <c r="O120" s="140"/>
      <c r="P120" s="22"/>
      <c r="Q120" s="25"/>
      <c r="R120" s="4" t="str">
        <f>IF(SnapshotTable[[#This Row],[Equity Basis Total]] &gt; 0, SnapshotTable[[#This Row],[Equity Basis Total]] / SnapshotTable[[#This Row],[Equity Shares]], "")</f>
        <v/>
      </c>
      <c r="S120" s="269">
        <f>SnapshotTable[[#This Row],[Last Price]] * SnapshotTable[[#This Row],[Equity Shares]]</f>
        <v>0</v>
      </c>
      <c r="T120" s="269">
        <f>SnapshotTable[[#This Row],[Equity Value]] - SnapshotTable[[#This Row],[Equity Basis Total]]</f>
        <v>0</v>
      </c>
      <c r="U120" s="270" t="str">
        <f>IF(SnapshotTable[[#This Row],[Equity Basis Total]] &gt; 0, SnapshotTable[[#This Row],[Equity G/L]] / SnapshotTable[[#This Row],[Equity Basis Total]], "")</f>
        <v/>
      </c>
      <c r="V120" s="268"/>
      <c r="W120" s="26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7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0"/>
      <c r="AD120" s="151"/>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1"/>
      <c r="AI120" s="5"/>
      <c r="AJ120" s="138"/>
      <c r="AK120" s="152" t="str">
        <f>IF(ISNUMBER( SnapshotTable[[#This Row],[EBF Target]]),(SnapshotTable[[#This Row],[EBF Target]] - SnapshotTable[[#This Row],[Last Price]]) / SnapshotTable[[#This Row],[Last Price]], "")</f>
        <v/>
      </c>
      <c r="AL120" s="152"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2" t="str">
        <f>IF(AND(ISNUMBER( SnapshotTable[[#This Row],[Long Term Target]]), ISNUMBER(SnapshotTable[[#This Row],[Last Price]])),(SnapshotTable[[#This Row],[Long Term Target]] - SnapshotTable[[#This Row],[Last Price]]) / SnapshotTable[[#This Row],[Last Price]], "")</f>
        <v/>
      </c>
      <c r="AP120" s="5">
        <v>4</v>
      </c>
      <c r="AQ120" s="38" t="s">
        <v>27</v>
      </c>
      <c r="AR120" s="5">
        <v>2</v>
      </c>
      <c r="AS120" s="38" t="s">
        <v>1083</v>
      </c>
      <c r="AT120" s="146" t="s">
        <v>533</v>
      </c>
      <c r="AU120" s="187" t="str">
        <f>IF(OR(SnapshotTable[[#This Row],[LP No Fill]]="Y",SnapshotTable[[#This Row],[SP Is Filled]],SnapshotTable[[#This Row],[LC Not Filled]]="Y",SnapshotTable[[#This Row],[SC Is Filled]]),"Y","")</f>
        <v/>
      </c>
      <c r="AV120" s="219"/>
      <c r="AW120" s="225"/>
      <c r="AX120" s="220"/>
      <c r="AY120" s="219" t="str">
        <f>IF(SnapshotTable[[#This Row],[Implied Move]]&gt;0, SnapshotTable[[#This Row],[Last Price]]-SnapshotTable[[#This Row],[Implied Move]],"")</f>
        <v/>
      </c>
      <c r="AZ120" s="219" t="str">
        <f>IF(SnapshotTable[[#This Row],[Implied Move]]&gt;0, SnapshotTable[[#This Row],[Last Price]] + SnapshotTable[[#This Row],[Implied Move]],"")</f>
        <v/>
      </c>
      <c r="BA120" s="331">
        <v>0.19</v>
      </c>
      <c r="BB120" s="347"/>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51"/>
      <c r="BE120" s="5"/>
      <c r="BF120" s="14"/>
      <c r="BG120" s="13"/>
      <c r="BH120" s="13"/>
      <c r="BI120" s="5"/>
      <c r="BJ120" s="136">
        <f>IF(SnapshotTable[[#This Row],[LP Qty]] &gt; 0, SnapshotTable[[#This Row],[LP Qty]] * SnapshotTable[[#This Row],[LP Book Price]] * 100,0)</f>
        <v>0</v>
      </c>
      <c r="BK120" s="136">
        <f>IF(SnapshotTable[[#This Row],[LP Premium]] &gt; 0, SnapshotTable[[#This Row],[LP Qty]] * SnapshotTable[[#This Row],[LP Strike Price]] * 100,0)</f>
        <v>0</v>
      </c>
      <c r="BL120" s="154"/>
      <c r="BM120" s="385" t="str">
        <f>IF(SnapshotTable[[#This Row],[LP Premium]] &gt; 0,SnapshotTable[[#This Row],[LP Exp Date]]-MAX(SnapshotTable[[#This Row],[LP Book Date]], SnapshotTable[[#This Row],[LP Fill Date]]),"")</f>
        <v/>
      </c>
      <c r="BN120" s="385" t="str">
        <f>IF(ISNUMBER( SnapshotTable[[#This Row],[LP Term]]), SnapshotTable[[#This Row],[LP Exp Date]] - MockToday,"")</f>
        <v/>
      </c>
      <c r="BO120" s="163"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7"/>
      <c r="BU120" s="13"/>
      <c r="BV120" s="5"/>
      <c r="BW120" s="419" t="b">
        <f>AND(ISNUMBER(SnapshotTable[[#This Row],[SP Exp Date]]), ISNUMBER(SnapshotTable[[#This Row],[SP Strike Price]]), ISNUMBER(SnapshotTable[[#This Row],[SP Qty]]), ISNUMBER(SnapshotTable[[#This Row],[SP Book Date]]), ISNUMBER(SnapshotTable[[#This Row],[SP Book Price]]))</f>
        <v>0</v>
      </c>
      <c r="BX120" s="419" t="b">
        <f>AND(SnapshotTable[[#This Row],[SP Is Booked]], NOT(ISBLANK(SnapshotTable[[#This Row],[SP Fill Date]])))</f>
        <v>0</v>
      </c>
      <c r="BY120" s="33">
        <f>IF(SnapshotTable[[#This Row],[SP Is Booked]], SnapshotTable[[#This Row],[SP Qty]] * SnapshotTable[[#This Row],[SP Book Price]] * 100, 0)</f>
        <v>0</v>
      </c>
      <c r="BZ120" s="369"/>
      <c r="CA120" s="368">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3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44">
        <v>0.01</v>
      </c>
      <c r="CK120" s="31">
        <f>IF(ISNUMBER(SnapshotTable[[#This Row],[SP Potential Spend]]),IF(ISNUMBER(SnapshotTable[[#This Row],[SP POW]]), SnapshotTable[[#This Row],[SP POW]] * SnapshotTable[[#This Row],[SP Potential Spend]], SnapshotTable[[#This Row],[SP Potential Spend]]), "")</f>
        <v>0</v>
      </c>
      <c r="CL120" s="164">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8"/>
      <c r="CO120" s="369"/>
      <c r="CP120" s="4" t="str">
        <f>IF(SnapshotTable[[#This Row],[SP Is Filled]], btc_max_buyback_amount(SnapshotTable[[#This Row],[SP Fill Date]],SnapshotTable[[#This Row],[SP Exp Date]], SnapshotTable[[#This Row],[SP Book Price]]),"")</f>
        <v/>
      </c>
      <c r="CQ120" s="78"/>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5" t="str">
        <f>IF(SnapshotTable[[#This Row],[SP Is Filled]], btc_next_cutoff_date(SnapshotTable[[#This Row],[SP Fill Date]],SnapshotTable[[#This Row],[SP Exp Date]]),"")</f>
        <v/>
      </c>
      <c r="CT120" s="23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6"/>
      <c r="CV120" s="235"/>
      <c r="CW120" s="378"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294" t="str">
        <f>IF(ISNUMBER((SnapshotTable[[#This Row],[SP Total Value]])), SnapshotTable[[#This Row],[SP Gain Loss]] / SnapshotTable[[#This Row],[SP Premium]], "")</f>
        <v/>
      </c>
      <c r="DI120" s="406"/>
      <c r="DJ120" s="138"/>
      <c r="DK120" s="148"/>
      <c r="DL120" s="13"/>
      <c r="DM120" s="13"/>
      <c r="DO120" s="31">
        <f>IF(SnapshotTable[[#This Row],[LC Symbol Count]]=1, SnapshotTable[[#This Row],[LC Qty]] * SnapshotTable[[#This Row],[LC Book Price]] * 100, 0)</f>
        <v>0</v>
      </c>
      <c r="DP120" s="163" t="str">
        <f>IF(AND(SnapshotTable[[#This Row],[LC Exp Date]]&gt;0, SnapshotTable[[#This Row],[LC Strike Price]]&gt;0,SnapshotTable[[#This Row],[LC Qty]]&gt;0,SnapshotTable[[#This Row],[LC Book Date]]&gt;0,SnapshotTable[[#This Row],[LC Book Price]]&gt;0,SnapshotTable[[#This Row],[LC Fill Date]]=0),"Y","")</f>
        <v/>
      </c>
      <c r="DQ120" s="386" t="str">
        <f>IF(SnapshotTable[[#This Row],[LC Premium]] &gt; 0,SnapshotTable[[#This Row],[LC Exp Date]]-MAX(SnapshotTable[[#This Row],[LC Book Date]], SnapshotTable[[#This Row],[LC Fill Date]]),"")</f>
        <v/>
      </c>
      <c r="DR120" s="386" t="str">
        <f>IF(ISNUMBER(SnapshotTable[[#This Row],[LC Term]]), SnapshotTable[[#This Row],[LC Exp Date]] - MockToday, "")</f>
        <v/>
      </c>
      <c r="DS120" s="23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40" t="str">
        <f>IF(ISNUMBER(SnapshotTable[[#This Row],[LC Actual Gain Loss]]), SnapshotTable[[#This Row],[LC Actual Gain Loss]] / SnapshotTable[[#This Row],[LC Premium]],"")</f>
        <v/>
      </c>
      <c r="DX120" s="284" t="str">
        <f>IF(ISNUMBER(SnapshotTable[[#This Row],[LC Book Price]]),SnapshotTable[[#This Row],[LC Book Price]] * 1.5,"")</f>
        <v/>
      </c>
      <c r="DY120" s="265" t="str">
        <f>IF(SnapshotTable[[#This Row],[LC Premium]]&gt;0, SnapshotTable[[#This Row],[LC Next Target]] * SnapshotTable[[#This Row],[LC Qty]] * 100,"")</f>
        <v/>
      </c>
      <c r="DZ120" s="265" t="str">
        <f>IF(ISNUMBER(SnapshotTable[[#This Row],[LC Target Gross]]), SnapshotTable[[#This Row],[LC Target Gross]] - SnapshotTable[[#This Row],[LC Premium]], "")</f>
        <v/>
      </c>
      <c r="EA120" s="305" t="str">
        <f>IF(ISNUMBER(SnapshotTable[[#This Row],[LC Target Gain Loss]]), SnapshotTable[[#This Row],[LC Target Gain Loss]]/SnapshotTable[[#This Row],[LC Premium]], "")</f>
        <v/>
      </c>
      <c r="EB120" s="262"/>
      <c r="EC120" s="283" t="str">
        <f>IF(SnapshotTable[[#This Row],[LC Premium]]&gt;0, SnapshotTable[[#This Row],[LC Book Price]] * (1 - LC_StopLoss_Pct),"")</f>
        <v/>
      </c>
      <c r="ED120" s="284"/>
      <c r="EE120" s="28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4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7"/>
      <c r="EL120" s="138"/>
      <c r="EM120" s="148"/>
      <c r="EN120" s="147"/>
      <c r="EO120" s="147"/>
      <c r="EP120" s="138">
        <v>0.17</v>
      </c>
      <c r="EQ120" s="419" t="b">
        <f>AND(ISNUMBER(SnapshotTable[[#This Row],[SC Exp Date]]), ISNUMBER(SnapshotTable[[#This Row],[SC Strike Price]]), ISNUMBER(SnapshotTable[[#This Row],[SC Qty]]), ISNUMBER(SnapshotTable[[#This Row],[SC Book Date]]), ISNUMBER(SnapshotTable[[#This Row],[SC Book Price]]))</f>
        <v>0</v>
      </c>
      <c r="ER120" s="419" t="b">
        <f>AND(SnapshotTable[[#This Row],[SC Is Booked]], NOT(ISBLANK(SnapshotTable[[#This Row],[SC Fill Date]])))</f>
        <v>0</v>
      </c>
      <c r="ES120" s="370"/>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3.7800000000000002</v>
      </c>
      <c r="EX120" s="23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283"/>
      <c r="FA120" s="218"/>
      <c r="FB120" s="370"/>
      <c r="FC120" s="4">
        <f>IF(SnapshotTable[[#This Row],[SC Is Filled]], btc_max_buyback_amount(SnapshotTable[[#This Row],[SC Fill Date]],SnapshotTable[[#This Row],[SC Exp Date]], SnapshotTable[[#This Row],[SC Book Price]]),0)</f>
        <v>0</v>
      </c>
      <c r="FD120" s="5"/>
      <c r="FE120" s="144"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382">
        <f>IF(SnapshotTable[[#This Row],[SC Is Filled]], IF(ISNUMBER(SnapshotTable[[#This Row],[SC Current Ask]]), SnapshotTable[[#This Row],[SC Current Ask]], SnapshotTable[[#This Row],[SC Book Price]]) - SnapshotTable[[#This Row],[SC Intrinsic Value]], 0)</f>
        <v>0</v>
      </c>
      <c r="FI120" s="143"/>
      <c r="FJ120" s="32" t="str">
        <f>IF(SnapshotTable[[#This Row],[SC Is Filled]],100 * SnapshotTable[[#This Row],[SC Qty]] * IF(ISNUMBER(SnapshotTable[[#This Row],[SC Buyback Override]]), SnapshotTable[[#This Row],[SC Buyback Override]], SnapshotTable[[#This Row],[SC Current Ask]]), "")</f>
        <v/>
      </c>
      <c r="FK120" s="250" t="str">
        <f>IF(SnapshotTable[[#This Row],[SC Time Val]]&gt;0, SnapshotTable[[#This Row],[SC Time Val]] / SnapshotTable[[#This Row],[Last Price]],"")</f>
        <v/>
      </c>
      <c r="FL120" s="302" t="str">
        <f>IF(SnapshotTable[[#This Row],[SC Is Booked]], ((SnapshotTable[[#This Row],[Last Price]] -SnapshotTable[[#This Row],[SC Strike Price]]) / SnapshotTable[[#This Row],[Last Price]]) * -1, "")</f>
        <v/>
      </c>
      <c r="FM120" s="157"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33"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36" t="str">
        <f>IF(AND(ISNUMBER(SnapshotTable[[#This Row],[SC Simple ROO]]),SnapshotTable[[#This Row],[SC Simple ROO]] &gt; 0), SnapshotTable[[#This Row],[SC Premium]] + (SnapshotTable[[#This Row],[SC Qty]] * SnapshotTable[[#This Row],[SC Upside Potential]]), "")</f>
        <v/>
      </c>
      <c r="FX120" s="302" t="str" cm="1">
        <f t="array" ref="FX120">IF(ISNUMBER(SnapshotTable[[#This Row],[SC Max Dollars]]), annualize(SnapshotTable[[#This Row],[SC Term]],(SnapshotTable[[#This Row],[SC Max Dollars]]/SnapshotTable[[#This Row],[SC Basis]])),"")</f>
        <v/>
      </c>
      <c r="FY120" s="23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29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7.7025000000000006</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1246</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31">
        <f>MAX(SnapshotTable[[#This Row],[Equity Basis Total]],SnapshotTable[[#This Row],[Equity Value]]) + (SnapshotTable[[#This Row],[SP Potential Spend]]- SnapshotTable[[#This Row],[SP Premium]] + SnapshotTable[[#This Row],[LP Premium]])+ (SnapshotTable[[#This Row],[LC Premium]] - SnapshotTable[[#This Row],[SC Premium]])</f>
        <v>0</v>
      </c>
      <c r="GW120" s="139" t="str">
        <f>IF(AND(SnapshotTable[[#This Row],[Exposure]] &lt;&gt; 0),SnapshotTable[[#This Row],[Exposure]] / SnapshotTable[[#Totals],[Exposure]], "")</f>
        <v/>
      </c>
      <c r="HE120" s="268"/>
      <c r="HF120" s="268"/>
      <c r="HK120" s="1"/>
      <c r="HL120" s="1"/>
      <c r="HM120" s="1"/>
      <c r="HN120" s="1"/>
      <c r="HO120" s="1"/>
      <c r="HP120" s="1"/>
    </row>
    <row r="121" spans="2:224" s="47" customFormat="1" ht="12.75" hidden="1" customHeight="1" x14ac:dyDescent="0.25">
      <c r="B121" s="12" t="s">
        <v>244</v>
      </c>
      <c r="C121" s="422">
        <v>553.91999999999996</v>
      </c>
      <c r="D121" s="208"/>
      <c r="E121" s="39">
        <f>SnapshotTable[[#This Row],[Last Price]]*(1 -CrashDiscount)</f>
        <v>470.83199999999994</v>
      </c>
      <c r="F121" s="26" t="s">
        <v>243</v>
      </c>
      <c r="G121" s="26" t="s">
        <v>9</v>
      </c>
      <c r="H121" s="149"/>
      <c r="I121" s="194">
        <v>44791.666666666664</v>
      </c>
      <c r="J121" s="195">
        <v>44791.666666666664</v>
      </c>
      <c r="K121" s="196"/>
      <c r="L121" s="326"/>
      <c r="M121" s="140"/>
      <c r="N121" s="140"/>
      <c r="O121" s="140"/>
      <c r="P121" s="22"/>
      <c r="Q121" s="25"/>
      <c r="R121" s="4" t="str">
        <f>IF(SnapshotTable[[#This Row],[Equity Basis Total]] &gt; 0, SnapshotTable[[#This Row],[Equity Basis Total]] / SnapshotTable[[#This Row],[Equity Shares]], "")</f>
        <v/>
      </c>
      <c r="S121" s="269">
        <f>SnapshotTable[[#This Row],[Last Price]] * SnapshotTable[[#This Row],[Equity Shares]]</f>
        <v>0</v>
      </c>
      <c r="T121" s="269">
        <f>SnapshotTable[[#This Row],[Equity Value]] - SnapshotTable[[#This Row],[Equity Basis Total]]</f>
        <v>0</v>
      </c>
      <c r="U121" s="270" t="str">
        <f>IF(SnapshotTable[[#This Row],[Equity Basis Total]] &gt; 0, SnapshotTable[[#This Row],[Equity G/L]] / SnapshotTable[[#This Row],[Equity Basis Total]], "")</f>
        <v/>
      </c>
      <c r="V121" s="268">
        <v>270</v>
      </c>
      <c r="W121" s="26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7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0"/>
      <c r="AD121" s="151"/>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1"/>
      <c r="AI121" s="5"/>
      <c r="AJ121" s="138">
        <v>115.32</v>
      </c>
      <c r="AK121" s="152" t="str">
        <f>IF(ISNUMBER( SnapshotTable[[#This Row],[EBF Target]]),(SnapshotTable[[#This Row],[EBF Target]] - SnapshotTable[[#This Row],[Last Price]]) / SnapshotTable[[#This Row],[Last Price]], "")</f>
        <v/>
      </c>
      <c r="AL121" s="152"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2">
        <f>IF(AND(ISNUMBER( SnapshotTable[[#This Row],[Long Term Target]]), ISNUMBER(SnapshotTable[[#This Row],[Last Price]])),(SnapshotTable[[#This Row],[Long Term Target]] - SnapshotTable[[#This Row],[Last Price]]) / SnapshotTable[[#This Row],[Last Price]], "")</f>
        <v>-0.79181109185441945</v>
      </c>
      <c r="AP121" s="5">
        <v>8</v>
      </c>
      <c r="AQ121" s="38" t="s">
        <v>27</v>
      </c>
      <c r="AR121" s="5">
        <v>8</v>
      </c>
      <c r="AS121" s="38" t="s">
        <v>38</v>
      </c>
      <c r="AT121" s="146" t="s">
        <v>1132</v>
      </c>
      <c r="AU121" s="187" t="str">
        <f>IF(OR(SnapshotTable[[#This Row],[LP No Fill]]="Y",SnapshotTable[[#This Row],[SP Is Filled]],SnapshotTable[[#This Row],[LC Not Filled]]="Y",SnapshotTable[[#This Row],[SC Is Filled]]),"Y","")</f>
        <v/>
      </c>
      <c r="AV121" s="219"/>
      <c r="AW121" s="225"/>
      <c r="AX121" s="220"/>
      <c r="AY121" s="219" t="str">
        <f>IF(SnapshotTable[[#This Row],[Implied Move]]&gt;0, SnapshotTable[[#This Row],[Last Price]]-SnapshotTable[[#This Row],[Implied Move]],"")</f>
        <v/>
      </c>
      <c r="AZ121" s="219" t="str">
        <f>IF(SnapshotTable[[#This Row],[Implied Move]]&gt;0, SnapshotTable[[#This Row],[Last Price]] + SnapshotTable[[#This Row],[Implied Move]],"")</f>
        <v/>
      </c>
      <c r="BA121" s="331">
        <v>350.71</v>
      </c>
      <c r="BB121" s="347"/>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51"/>
      <c r="BE121" s="5"/>
      <c r="BF121" s="14"/>
      <c r="BG121" s="13"/>
      <c r="BH121" s="13"/>
      <c r="BI121" s="5"/>
      <c r="BJ121" s="136">
        <f>IF(SnapshotTable[[#This Row],[LP Qty]] &gt; 0, SnapshotTable[[#This Row],[LP Qty]] * SnapshotTable[[#This Row],[LP Book Price]] * 100,0)</f>
        <v>0</v>
      </c>
      <c r="BK121" s="136">
        <f>IF(SnapshotTable[[#This Row],[LP Premium]] &gt; 0, SnapshotTable[[#This Row],[LP Qty]] * SnapshotTable[[#This Row],[LP Strike Price]] * 100,0)</f>
        <v>0</v>
      </c>
      <c r="BL121" s="154"/>
      <c r="BM121" s="385" t="str">
        <f>IF(SnapshotTable[[#This Row],[LP Premium]] &gt; 0,SnapshotTable[[#This Row],[LP Exp Date]]-MAX(SnapshotTable[[#This Row],[LP Book Date]], SnapshotTable[[#This Row],[LP Fill Date]]),"")</f>
        <v/>
      </c>
      <c r="BN121" s="385" t="str">
        <f>IF(ISNUMBER( SnapshotTable[[#This Row],[LP Term]]), SnapshotTable[[#This Row],[LP Exp Date]] - MockToday,"")</f>
        <v/>
      </c>
      <c r="BO121" s="163"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7"/>
      <c r="BU121" s="13"/>
      <c r="BV121" s="5"/>
      <c r="BW121" s="419" t="b">
        <f>AND(ISNUMBER(SnapshotTable[[#This Row],[SP Exp Date]]), ISNUMBER(SnapshotTable[[#This Row],[SP Strike Price]]), ISNUMBER(SnapshotTable[[#This Row],[SP Qty]]), ISNUMBER(SnapshotTable[[#This Row],[SP Book Date]]), ISNUMBER(SnapshotTable[[#This Row],[SP Book Price]]))</f>
        <v>0</v>
      </c>
      <c r="BX121" s="419" t="b">
        <f>AND(SnapshotTable[[#This Row],[SP Is Booked]], NOT(ISBLANK(SnapshotTable[[#This Row],[SP Fill Date]])))</f>
        <v>0</v>
      </c>
      <c r="BY121" s="33">
        <f>IF(SnapshotTable[[#This Row],[SP Is Booked]], SnapshotTable[[#This Row],[SP Qty]] * SnapshotTable[[#This Row],[SP Book Price]] * 100, 0)</f>
        <v>0</v>
      </c>
      <c r="BZ121" s="369"/>
      <c r="CA121" s="368">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3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44"/>
      <c r="CK121" s="31">
        <f>IF(ISNUMBER(SnapshotTable[[#This Row],[SP Potential Spend]]),IF(ISNUMBER(SnapshotTable[[#This Row],[SP POW]]), SnapshotTable[[#This Row],[SP POW]] * SnapshotTable[[#This Row],[SP Potential Spend]], SnapshotTable[[#This Row],[SP Potential Spend]]), "")</f>
        <v>0</v>
      </c>
      <c r="CL121" s="164">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8"/>
      <c r="CO121" s="369"/>
      <c r="CP121" s="4" t="str">
        <f>IF(SnapshotTable[[#This Row],[SP Is Filled]], btc_max_buyback_amount(SnapshotTable[[#This Row],[SP Fill Date]],SnapshotTable[[#This Row],[SP Exp Date]], SnapshotTable[[#This Row],[SP Book Price]]),"")</f>
        <v/>
      </c>
      <c r="CQ121" s="78"/>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5" t="str">
        <f>IF(SnapshotTable[[#This Row],[SP Is Filled]], btc_next_cutoff_date(SnapshotTable[[#This Row],[SP Fill Date]],SnapshotTable[[#This Row],[SP Exp Date]]),"")</f>
        <v/>
      </c>
      <c r="CT121" s="23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3"/>
      <c r="CV121" s="235"/>
      <c r="CW121" s="378"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294" t="str">
        <f>IF(ISNUMBER((SnapshotTable[[#This Row],[SP Total Value]])), SnapshotTable[[#This Row],[SP Gain Loss]] / SnapshotTable[[#This Row],[SP Premium]], "")</f>
        <v/>
      </c>
      <c r="DI121" s="406"/>
      <c r="DJ121" s="138"/>
      <c r="DK121" s="148"/>
      <c r="DL121" s="13"/>
      <c r="DM121" s="13"/>
      <c r="DN121" s="5"/>
      <c r="DO121" s="31">
        <f>IF(SnapshotTable[[#This Row],[LC Symbol Count]]=1, SnapshotTable[[#This Row],[LC Qty]] * SnapshotTable[[#This Row],[LC Book Price]] * 100, 0)</f>
        <v>0</v>
      </c>
      <c r="DP121" s="163" t="str">
        <f>IF(AND(SnapshotTable[[#This Row],[LC Exp Date]]&gt;0, SnapshotTable[[#This Row],[LC Strike Price]]&gt;0,SnapshotTable[[#This Row],[LC Qty]]&gt;0,SnapshotTable[[#This Row],[LC Book Date]]&gt;0,SnapshotTable[[#This Row],[LC Book Price]]&gt;0,SnapshotTable[[#This Row],[LC Fill Date]]=0),"Y","")</f>
        <v/>
      </c>
      <c r="DQ121" s="386" t="str">
        <f>IF(SnapshotTable[[#This Row],[LC Premium]] &gt; 0,SnapshotTable[[#This Row],[LC Exp Date]]-MAX(SnapshotTable[[#This Row],[LC Book Date]], SnapshotTable[[#This Row],[LC Fill Date]]),"")</f>
        <v/>
      </c>
      <c r="DR121" s="386" t="str">
        <f>IF(ISNUMBER(SnapshotTable[[#This Row],[LC Term]]), SnapshotTable[[#This Row],[LC Exp Date]] - MockToday, "")</f>
        <v/>
      </c>
      <c r="DS121" s="23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40" t="str">
        <f>IF(ISNUMBER(SnapshotTable[[#This Row],[LC Actual Gain Loss]]), SnapshotTable[[#This Row],[LC Actual Gain Loss]] / SnapshotTable[[#This Row],[LC Premium]],"")</f>
        <v/>
      </c>
      <c r="DX121" s="284" t="str">
        <f>IF(ISNUMBER(SnapshotTable[[#This Row],[LC Book Price]]),SnapshotTable[[#This Row],[LC Book Price]] * 1.5,"")</f>
        <v/>
      </c>
      <c r="DY121" s="265" t="str">
        <f>IF(SnapshotTable[[#This Row],[LC Premium]]&gt;0, SnapshotTable[[#This Row],[LC Next Target]] * SnapshotTable[[#This Row],[LC Qty]] * 100,"")</f>
        <v/>
      </c>
      <c r="DZ121" s="265" t="str">
        <f>IF(ISNUMBER(SnapshotTable[[#This Row],[LC Target Gross]]), SnapshotTable[[#This Row],[LC Target Gross]] - SnapshotTable[[#This Row],[LC Premium]], "")</f>
        <v/>
      </c>
      <c r="EA121" s="305" t="str">
        <f>IF(ISNUMBER(SnapshotTable[[#This Row],[LC Target Gain Loss]]), SnapshotTable[[#This Row],[LC Target Gain Loss]]/SnapshotTable[[#This Row],[LC Premium]], "")</f>
        <v/>
      </c>
      <c r="EB121" s="262"/>
      <c r="EC121" s="283" t="str">
        <f>IF(SnapshotTable[[#This Row],[LC Premium]]&gt;0, SnapshotTable[[#This Row],[LC Book Price]] * (1 - LC_StopLoss_Pct),"")</f>
        <v/>
      </c>
      <c r="ED121" s="284"/>
      <c r="EE121" s="28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4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7"/>
      <c r="EL121" s="138"/>
      <c r="EM121" s="148"/>
      <c r="EN121" s="147"/>
      <c r="EO121" s="147"/>
      <c r="EP121" s="138"/>
      <c r="EQ121" s="419" t="b">
        <f>AND(ISNUMBER(SnapshotTable[[#This Row],[SC Exp Date]]), ISNUMBER(SnapshotTable[[#This Row],[SC Strike Price]]), ISNUMBER(SnapshotTable[[#This Row],[SC Qty]]), ISNUMBER(SnapshotTable[[#This Row],[SC Book Date]]), ISNUMBER(SnapshotTable[[#This Row],[SC Book Price]]))</f>
        <v>0</v>
      </c>
      <c r="ER121" s="419" t="b">
        <f>AND(SnapshotTable[[#This Row],[SC Is Booked]], NOT(ISBLANK(SnapshotTable[[#This Row],[SC Fill Date]])))</f>
        <v>0</v>
      </c>
      <c r="ES121" s="370"/>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3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283"/>
      <c r="FA121" s="218"/>
      <c r="FB121" s="370"/>
      <c r="FC121" s="4">
        <f>IF(SnapshotTable[[#This Row],[SC Is Filled]], btc_max_buyback_amount(SnapshotTable[[#This Row],[SC Fill Date]],SnapshotTable[[#This Row],[SC Exp Date]], SnapshotTable[[#This Row],[SC Book Price]]),0)</f>
        <v>0</v>
      </c>
      <c r="FD121" s="5"/>
      <c r="FE121" s="144"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382">
        <f>IF(SnapshotTable[[#This Row],[SC Is Filled]], IF(ISNUMBER(SnapshotTable[[#This Row],[SC Current Ask]]), SnapshotTable[[#This Row],[SC Current Ask]], SnapshotTable[[#This Row],[SC Book Price]]) - SnapshotTable[[#This Row],[SC Intrinsic Value]], 0)</f>
        <v>0</v>
      </c>
      <c r="FI121" s="143"/>
      <c r="FJ121" s="32" t="str">
        <f>IF(SnapshotTable[[#This Row],[SC Is Filled]],100 * SnapshotTable[[#This Row],[SC Qty]] * IF(ISNUMBER(SnapshotTable[[#This Row],[SC Buyback Override]]), SnapshotTable[[#This Row],[SC Buyback Override]], SnapshotTable[[#This Row],[SC Current Ask]]), "")</f>
        <v/>
      </c>
      <c r="FK121" s="250" t="str">
        <f>IF(SnapshotTable[[#This Row],[SC Time Val]]&gt;0, SnapshotTable[[#This Row],[SC Time Val]] / SnapshotTable[[#This Row],[Last Price]],"")</f>
        <v/>
      </c>
      <c r="FL121" s="302" t="str">
        <f>IF(SnapshotTable[[#This Row],[SC Is Booked]], ((SnapshotTable[[#This Row],[Last Price]] -SnapshotTable[[#This Row],[SC Strike Price]]) / SnapshotTable[[#This Row],[Last Price]]) * -1, "")</f>
        <v/>
      </c>
      <c r="FM121" s="157"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33"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36" t="str">
        <f>IF(AND(ISNUMBER(SnapshotTable[[#This Row],[SC Simple ROO]]),SnapshotTable[[#This Row],[SC Simple ROO]] &gt; 0), SnapshotTable[[#This Row],[SC Premium]] + (SnapshotTable[[#This Row],[SC Qty]] * SnapshotTable[[#This Row],[SC Upside Potential]]), "")</f>
        <v/>
      </c>
      <c r="FX121" s="302" t="str" cm="1">
        <f t="array" ref="FX121">IF(ISNUMBER(SnapshotTable[[#This Row],[SC Max Dollars]]), annualize(SnapshotTable[[#This Row],[SC Term]],(SnapshotTable[[#This Row],[SC Max Dollars]]/SnapshotTable[[#This Row],[SC Basis]])),"")</f>
        <v/>
      </c>
      <c r="FY121" s="23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29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1080.144</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630</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31">
        <f>MAX(SnapshotTable[[#This Row],[Equity Basis Total]],SnapshotTable[[#This Row],[Equity Value]]) + (SnapshotTable[[#This Row],[SP Potential Spend]]- SnapshotTable[[#This Row],[SP Premium]] + SnapshotTable[[#This Row],[LP Premium]])+ (SnapshotTable[[#This Row],[LC Premium]] - SnapshotTable[[#This Row],[SC Premium]])</f>
        <v>0</v>
      </c>
      <c r="GW121" s="139" t="str">
        <f>IF(AND(SnapshotTable[[#This Row],[Exposure]] &lt;&gt; 0),SnapshotTable[[#This Row],[Exposure]] / SnapshotTable[[#Totals],[Exposure]], "")</f>
        <v/>
      </c>
      <c r="GY121" s="381"/>
      <c r="HE121" s="268"/>
      <c r="HF121" s="268"/>
      <c r="HG121" s="381"/>
      <c r="HH121" s="381"/>
      <c r="HI121" s="381"/>
      <c r="HJ121" s="381"/>
    </row>
    <row r="122" spans="2:224" ht="12.75" hidden="1" customHeight="1" x14ac:dyDescent="0.25">
      <c r="B122" s="12" t="s">
        <v>1054</v>
      </c>
      <c r="C122" s="422">
        <v>22.85</v>
      </c>
      <c r="D122" s="208" t="s">
        <v>578</v>
      </c>
      <c r="E122" s="39">
        <f>SnapshotTable[[#This Row],[Last Price]]*(1 -CrashDiscount)</f>
        <v>19.422499999999999</v>
      </c>
      <c r="F122" s="26" t="s">
        <v>5</v>
      </c>
      <c r="G122" s="26" t="s">
        <v>4</v>
      </c>
      <c r="H122" s="149"/>
      <c r="I122" s="194"/>
      <c r="J122" s="195"/>
      <c r="K122" s="196"/>
      <c r="L122" s="326"/>
      <c r="M122" s="140"/>
      <c r="N122" s="140"/>
      <c r="O122" s="140"/>
      <c r="P122" s="22"/>
      <c r="Q122" s="25"/>
      <c r="R122" s="4" t="str">
        <f>IF(SnapshotTable[[#This Row],[Equity Basis Total]] &gt; 0, SnapshotTable[[#This Row],[Equity Basis Total]] / SnapshotTable[[#This Row],[Equity Shares]], "")</f>
        <v/>
      </c>
      <c r="S122" s="269">
        <f>SnapshotTable[[#This Row],[Last Price]] * SnapshotTable[[#This Row],[Equity Shares]]</f>
        <v>0</v>
      </c>
      <c r="T122" s="269">
        <f>SnapshotTable[[#This Row],[Equity Value]] - SnapshotTable[[#This Row],[Equity Basis Total]]</f>
        <v>0</v>
      </c>
      <c r="U122" s="270" t="str">
        <f>IF(SnapshotTable[[#This Row],[Equity Basis Total]] &gt; 0, SnapshotTable[[#This Row],[Equity G/L]] / SnapshotTable[[#This Row],[Equity Basis Total]], "")</f>
        <v/>
      </c>
      <c r="V122" s="268"/>
      <c r="W122" s="26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7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0"/>
      <c r="AD122" s="151"/>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1"/>
      <c r="AI122" s="5"/>
      <c r="AJ122" s="138"/>
      <c r="AK122" s="152" t="str">
        <f>IF(ISNUMBER( SnapshotTable[[#This Row],[EBF Target]]),(SnapshotTable[[#This Row],[EBF Target]] - SnapshotTable[[#This Row],[Last Price]]) / SnapshotTable[[#This Row],[Last Price]], "")</f>
        <v/>
      </c>
      <c r="AL122" s="152"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2" t="str">
        <f>IF(AND(ISNUMBER( SnapshotTable[[#This Row],[Long Term Target]]), ISNUMBER(SnapshotTable[[#This Row],[Last Price]])),(SnapshotTable[[#This Row],[Long Term Target]] - SnapshotTable[[#This Row],[Last Price]]) / SnapshotTable[[#This Row],[Last Price]], "")</f>
        <v/>
      </c>
      <c r="AP122" s="5"/>
      <c r="AQ122" s="38" t="s">
        <v>27</v>
      </c>
      <c r="AR122" s="5"/>
      <c r="AS122" s="38" t="s">
        <v>38</v>
      </c>
      <c r="AT122" s="146" t="s">
        <v>542</v>
      </c>
      <c r="AU122" s="187" t="str">
        <f>IF(OR(SnapshotTable[[#This Row],[LP No Fill]]="Y",SnapshotTable[[#This Row],[SP Is Filled]],SnapshotTable[[#This Row],[LC Not Filled]]="Y",SnapshotTable[[#This Row],[SC Is Filled]]),"Y","")</f>
        <v/>
      </c>
      <c r="AV122" s="219"/>
      <c r="AW122" s="225"/>
      <c r="AX122" s="220"/>
      <c r="AY122" s="219" t="str">
        <f>IF(SnapshotTable[[#This Row],[Implied Move]]&gt;0, SnapshotTable[[#This Row],[Last Price]]-SnapshotTable[[#This Row],[Implied Move]],"")</f>
        <v/>
      </c>
      <c r="AZ122" s="219" t="str">
        <f>IF(SnapshotTable[[#This Row],[Implied Move]]&gt;0, SnapshotTable[[#This Row],[Last Price]] + SnapshotTable[[#This Row],[Implied Move]],"")</f>
        <v/>
      </c>
      <c r="BA122" s="331">
        <v>722</v>
      </c>
      <c r="BB122" s="347"/>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51"/>
      <c r="BE122" s="5"/>
      <c r="BF122" s="14"/>
      <c r="BG122" s="13"/>
      <c r="BH122" s="13"/>
      <c r="BI122" s="5"/>
      <c r="BJ122" s="136">
        <f>IF(SnapshotTable[[#This Row],[LP Qty]] &gt; 0, SnapshotTable[[#This Row],[LP Qty]] * SnapshotTable[[#This Row],[LP Book Price]] * 100,0)</f>
        <v>0</v>
      </c>
      <c r="BK122" s="136">
        <f>IF(SnapshotTable[[#This Row],[LP Premium]] &gt; 0, SnapshotTable[[#This Row],[LP Qty]] * SnapshotTable[[#This Row],[LP Strike Price]] * 100,0)</f>
        <v>0</v>
      </c>
      <c r="BL122" s="154"/>
      <c r="BM122" s="385" t="str">
        <f>IF(SnapshotTable[[#This Row],[LP Premium]] &gt; 0,SnapshotTable[[#This Row],[LP Exp Date]]-MAX(SnapshotTable[[#This Row],[LP Book Date]], SnapshotTable[[#This Row],[LP Fill Date]]),"")</f>
        <v/>
      </c>
      <c r="BN122" s="385" t="str">
        <f>IF(ISNUMBER( SnapshotTable[[#This Row],[LP Term]]), SnapshotTable[[#This Row],[LP Exp Date]] - MockToday,"")</f>
        <v/>
      </c>
      <c r="BO122" s="163"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7"/>
      <c r="BU122" s="13"/>
      <c r="BV122" s="5"/>
      <c r="BW122" s="419" t="b">
        <f>AND(ISNUMBER(SnapshotTable[[#This Row],[SP Exp Date]]), ISNUMBER(SnapshotTable[[#This Row],[SP Strike Price]]), ISNUMBER(SnapshotTable[[#This Row],[SP Qty]]), ISNUMBER(SnapshotTable[[#This Row],[SP Book Date]]), ISNUMBER(SnapshotTable[[#This Row],[SP Book Price]]))</f>
        <v>0</v>
      </c>
      <c r="BX122" s="419" t="b">
        <f>AND(SnapshotTable[[#This Row],[SP Is Booked]], NOT(ISBLANK(SnapshotTable[[#This Row],[SP Fill Date]])))</f>
        <v>0</v>
      </c>
      <c r="BY122" s="33">
        <f>IF(SnapshotTable[[#This Row],[SP Is Booked]], SnapshotTable[[#This Row],[SP Qty]] * SnapshotTable[[#This Row],[SP Book Price]] * 100, 0)</f>
        <v>0</v>
      </c>
      <c r="BZ122" s="369"/>
      <c r="CA122" s="368">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3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44"/>
      <c r="CK122" s="31">
        <f>IF(ISNUMBER(SnapshotTable[[#This Row],[SP Potential Spend]]),IF(ISNUMBER(SnapshotTable[[#This Row],[SP POW]]), SnapshotTable[[#This Row],[SP POW]] * SnapshotTable[[#This Row],[SP Potential Spend]], SnapshotTable[[#This Row],[SP Potential Spend]]), "")</f>
        <v>0</v>
      </c>
      <c r="CL122" s="164">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8"/>
      <c r="CO122" s="369"/>
      <c r="CP122" s="4" t="str">
        <f>IF(SnapshotTable[[#This Row],[SP Is Filled]], btc_max_buyback_amount(SnapshotTable[[#This Row],[SP Fill Date]],SnapshotTable[[#This Row],[SP Exp Date]], SnapshotTable[[#This Row],[SP Book Price]]),"")</f>
        <v/>
      </c>
      <c r="CQ122" s="78"/>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5" t="str">
        <f>IF(SnapshotTable[[#This Row],[SP Is Filled]], btc_next_cutoff_date(SnapshotTable[[#This Row],[SP Fill Date]],SnapshotTable[[#This Row],[SP Exp Date]]),"")</f>
        <v/>
      </c>
      <c r="CT122" s="23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6"/>
      <c r="CV122" s="235"/>
      <c r="CW122" s="378"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294" t="str">
        <f>IF(ISNUMBER((SnapshotTable[[#This Row],[SP Total Value]])), SnapshotTable[[#This Row],[SP Gain Loss]] / SnapshotTable[[#This Row],[SP Premium]], "")</f>
        <v/>
      </c>
      <c r="DI122" s="406"/>
      <c r="DJ122" s="138"/>
      <c r="DK122" s="148"/>
      <c r="DL122" s="13"/>
      <c r="DM122" s="13"/>
      <c r="DO122" s="31">
        <f>IF(SnapshotTable[[#This Row],[LC Symbol Count]]=1, SnapshotTable[[#This Row],[LC Qty]] * SnapshotTable[[#This Row],[LC Book Price]] * 100, 0)</f>
        <v>0</v>
      </c>
      <c r="DP122" s="163" t="str">
        <f>IF(AND(SnapshotTable[[#This Row],[LC Exp Date]]&gt;0, SnapshotTable[[#This Row],[LC Strike Price]]&gt;0,SnapshotTable[[#This Row],[LC Qty]]&gt;0,SnapshotTable[[#This Row],[LC Book Date]]&gt;0,SnapshotTable[[#This Row],[LC Book Price]]&gt;0,SnapshotTable[[#This Row],[LC Fill Date]]=0),"Y","")</f>
        <v/>
      </c>
      <c r="DQ122" s="386" t="str">
        <f>IF(SnapshotTable[[#This Row],[LC Premium]] &gt; 0,SnapshotTable[[#This Row],[LC Exp Date]]-MAX(SnapshotTable[[#This Row],[LC Book Date]], SnapshotTable[[#This Row],[LC Fill Date]]),"")</f>
        <v/>
      </c>
      <c r="DR122" s="386" t="str">
        <f>IF(ISNUMBER(SnapshotTable[[#This Row],[LC Term]]), SnapshotTable[[#This Row],[LC Exp Date]] - MockToday, "")</f>
        <v/>
      </c>
      <c r="DS122" s="23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40" t="str">
        <f>IF(ISNUMBER(SnapshotTable[[#This Row],[LC Actual Gain Loss]]), SnapshotTable[[#This Row],[LC Actual Gain Loss]] / SnapshotTable[[#This Row],[LC Premium]],"")</f>
        <v/>
      </c>
      <c r="DX122" s="284" t="str">
        <f>IF(ISNUMBER(SnapshotTable[[#This Row],[LC Book Price]]),SnapshotTable[[#This Row],[LC Book Price]] * 1.5,"")</f>
        <v/>
      </c>
      <c r="DY122" s="265" t="str">
        <f>IF(SnapshotTable[[#This Row],[LC Premium]]&gt;0, SnapshotTable[[#This Row],[LC Next Target]] * SnapshotTable[[#This Row],[LC Qty]] * 100,"")</f>
        <v/>
      </c>
      <c r="DZ122" s="265" t="str">
        <f>IF(ISNUMBER(SnapshotTable[[#This Row],[LC Target Gross]]), SnapshotTable[[#This Row],[LC Target Gross]] - SnapshotTable[[#This Row],[LC Premium]], "")</f>
        <v/>
      </c>
      <c r="EA122" s="305" t="str">
        <f>IF(ISNUMBER(SnapshotTable[[#This Row],[LC Target Gain Loss]]), SnapshotTable[[#This Row],[LC Target Gain Loss]]/SnapshotTable[[#This Row],[LC Premium]], "")</f>
        <v/>
      </c>
      <c r="EB122" s="262"/>
      <c r="EC122" s="283" t="str">
        <f>IF(SnapshotTable[[#This Row],[LC Premium]]&gt;0, SnapshotTable[[#This Row],[LC Book Price]] * (1 - LC_StopLoss_Pct),"")</f>
        <v/>
      </c>
      <c r="ED122" s="284"/>
      <c r="EE122" s="28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4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7"/>
      <c r="EL122" s="138"/>
      <c r="EM122" s="148"/>
      <c r="EN122" s="147"/>
      <c r="EO122" s="147"/>
      <c r="EP122" s="138"/>
      <c r="EQ122" s="419" t="b">
        <f>AND(ISNUMBER(SnapshotTable[[#This Row],[SC Exp Date]]), ISNUMBER(SnapshotTable[[#This Row],[SC Strike Price]]), ISNUMBER(SnapshotTable[[#This Row],[SC Qty]]), ISNUMBER(SnapshotTable[[#This Row],[SC Book Date]]), ISNUMBER(SnapshotTable[[#This Row],[SC Book Price]]))</f>
        <v>0</v>
      </c>
      <c r="ER122" s="419" t="b">
        <f>AND(SnapshotTable[[#This Row],[SC Is Booked]], NOT(ISBLANK(SnapshotTable[[#This Row],[SC Fill Date]])))</f>
        <v>0</v>
      </c>
      <c r="ES122" s="370"/>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3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283"/>
      <c r="FA122" s="218"/>
      <c r="FB122" s="370"/>
      <c r="FC122" s="4">
        <f>IF(SnapshotTable[[#This Row],[SC Is Filled]], btc_max_buyback_amount(SnapshotTable[[#This Row],[SC Fill Date]],SnapshotTable[[#This Row],[SC Exp Date]], SnapshotTable[[#This Row],[SC Book Price]]),0)</f>
        <v>0</v>
      </c>
      <c r="FD122" s="5"/>
      <c r="FE122" s="144"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382">
        <f>IF(SnapshotTable[[#This Row],[SC Is Filled]], IF(ISNUMBER(SnapshotTable[[#This Row],[SC Current Ask]]), SnapshotTable[[#This Row],[SC Current Ask]], SnapshotTable[[#This Row],[SC Book Price]]) - SnapshotTable[[#This Row],[SC Intrinsic Value]], 0)</f>
        <v>0</v>
      </c>
      <c r="FI122" s="143"/>
      <c r="FJ122" s="32" t="str">
        <f>IF(SnapshotTable[[#This Row],[SC Is Filled]],100 * SnapshotTable[[#This Row],[SC Qty]] * IF(ISNUMBER(SnapshotTable[[#This Row],[SC Buyback Override]]), SnapshotTable[[#This Row],[SC Buyback Override]], SnapshotTable[[#This Row],[SC Current Ask]]), "")</f>
        <v/>
      </c>
      <c r="FK122" s="250" t="str">
        <f>IF(SnapshotTable[[#This Row],[SC Time Val]]&gt;0, SnapshotTable[[#This Row],[SC Time Val]] / SnapshotTable[[#This Row],[Last Price]],"")</f>
        <v/>
      </c>
      <c r="FL122" s="302" t="str">
        <f>IF(SnapshotTable[[#This Row],[SC Is Booked]], ((SnapshotTable[[#This Row],[Last Price]] -SnapshotTable[[#This Row],[SC Strike Price]]) / SnapshotTable[[#This Row],[Last Price]]) * -1, "")</f>
        <v/>
      </c>
      <c r="FM122" s="157"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33"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36" t="str">
        <f>IF(AND(ISNUMBER(SnapshotTable[[#This Row],[SC Simple ROO]]),SnapshotTable[[#This Row],[SC Simple ROO]] &gt; 0), SnapshotTable[[#This Row],[SC Premium]] + (SnapshotTable[[#This Row],[SC Qty]] * SnapshotTable[[#This Row],[SC Upside Potential]]), "")</f>
        <v/>
      </c>
      <c r="FX122" s="302" t="str" cm="1">
        <f t="array" ref="FX122">IF(ISNUMBER(SnapshotTable[[#This Row],[SC Max Dollars]]), annualize(SnapshotTable[[#This Row],[SC Term]],(SnapshotTable[[#This Row],[SC Max Dollars]]/SnapshotTable[[#This Row],[SC Basis]])),"")</f>
        <v/>
      </c>
      <c r="FY122" s="23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29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44.557500000000005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1112</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31">
        <f>MAX(SnapshotTable[[#This Row],[Equity Basis Total]],SnapshotTable[[#This Row],[Equity Value]]) + (SnapshotTable[[#This Row],[SP Potential Spend]]- SnapshotTable[[#This Row],[SP Premium]] + SnapshotTable[[#This Row],[LP Premium]])+ (SnapshotTable[[#This Row],[LC Premium]] - SnapshotTable[[#This Row],[SC Premium]])</f>
        <v>0</v>
      </c>
      <c r="GW122" s="139" t="str">
        <f>IF(AND(SnapshotTable[[#This Row],[Exposure]] &lt;&gt; 0),SnapshotTable[[#This Row],[Exposure]] / SnapshotTable[[#Totals],[Exposure]], "")</f>
        <v/>
      </c>
      <c r="HE122" s="268"/>
      <c r="HF122" s="268"/>
      <c r="HK122" s="1"/>
      <c r="HL122" s="1"/>
      <c r="HM122" s="1"/>
      <c r="HN122" s="1"/>
      <c r="HO122" s="1"/>
      <c r="HP122" s="1"/>
    </row>
    <row r="123" spans="2:224" ht="12.75" hidden="1" customHeight="1" x14ac:dyDescent="0.25">
      <c r="B123" s="12" t="s">
        <v>1157</v>
      </c>
      <c r="C123" s="422">
        <v>441.8</v>
      </c>
      <c r="D123" s="208"/>
      <c r="E123" s="39">
        <f>SnapshotTable[[#This Row],[Last Price]]*(1 -CrashDiscount)</f>
        <v>375.53</v>
      </c>
      <c r="F123" s="26" t="s">
        <v>958</v>
      </c>
      <c r="G123" s="325" t="s">
        <v>9</v>
      </c>
      <c r="H123" s="149"/>
      <c r="I123" s="194"/>
      <c r="J123" s="195"/>
      <c r="K123" s="196"/>
      <c r="L123" s="326"/>
      <c r="M123" s="140"/>
      <c r="N123" s="140"/>
      <c r="O123" s="140"/>
      <c r="P123" s="22"/>
      <c r="Q123" s="25"/>
      <c r="R123" s="4" t="str">
        <f>IF(SnapshotTable[[#This Row],[Equity Basis Total]] &gt; 0, SnapshotTable[[#This Row],[Equity Basis Total]] / SnapshotTable[[#This Row],[Equity Shares]], "")</f>
        <v/>
      </c>
      <c r="S123" s="269">
        <f>SnapshotTable[[#This Row],[Last Price]] * SnapshotTable[[#This Row],[Equity Shares]]</f>
        <v>0</v>
      </c>
      <c r="T123" s="269">
        <f>SnapshotTable[[#This Row],[Equity Value]] - SnapshotTable[[#This Row],[Equity Basis Total]]</f>
        <v>0</v>
      </c>
      <c r="U123" s="270" t="str">
        <f>IF(SnapshotTable[[#This Row],[Equity Basis Total]] &gt; 0, SnapshotTable[[#This Row],[Equity G/L]] / SnapshotTable[[#This Row],[Equity Basis Total]], "")</f>
        <v/>
      </c>
      <c r="V123" s="268">
        <v>135</v>
      </c>
      <c r="W123" s="26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7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0"/>
      <c r="AD123" s="151"/>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1"/>
      <c r="AI123" s="5"/>
      <c r="AJ123" s="138"/>
      <c r="AK123" s="152" t="str">
        <f>IF(ISNUMBER( SnapshotTable[[#This Row],[EBF Target]]),(SnapshotTable[[#This Row],[EBF Target]] - SnapshotTable[[#This Row],[Last Price]]) / SnapshotTable[[#This Row],[Last Price]], "")</f>
        <v/>
      </c>
      <c r="AL123" s="152"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2" t="str">
        <f>IF(AND(ISNUMBER( SnapshotTable[[#This Row],[Long Term Target]]), ISNUMBER(SnapshotTable[[#This Row],[Last Price]])),(SnapshotTable[[#This Row],[Long Term Target]] - SnapshotTable[[#This Row],[Last Price]]) / SnapshotTable[[#This Row],[Last Price]], "")</f>
        <v/>
      </c>
      <c r="AP123" s="5">
        <v>135</v>
      </c>
      <c r="AQ123" s="38" t="s">
        <v>89</v>
      </c>
      <c r="AR123" s="5">
        <v>121.7</v>
      </c>
      <c r="AS123" s="38" t="s">
        <v>32</v>
      </c>
      <c r="AT123" s="146" t="s">
        <v>1132</v>
      </c>
      <c r="AU123" s="187" t="str">
        <f>IF(OR(SnapshotTable[[#This Row],[LP No Fill]]="Y",SnapshotTable[[#This Row],[SP Is Filled]],SnapshotTable[[#This Row],[LC Not Filled]]="Y",SnapshotTable[[#This Row],[SC Is Filled]]),"Y","")</f>
        <v/>
      </c>
      <c r="AV123" s="219"/>
      <c r="AW123" s="225"/>
      <c r="AX123" s="220"/>
      <c r="AY123" s="219" t="str">
        <f>IF(SnapshotTable[[#This Row],[Implied Move]]&gt;0, SnapshotTable[[#This Row],[Last Price]]-SnapshotTable[[#This Row],[Implied Move]],"")</f>
        <v/>
      </c>
      <c r="AZ123" s="219" t="str">
        <f>IF(SnapshotTable[[#This Row],[Implied Move]]&gt;0, SnapshotTable[[#This Row],[Last Price]] + SnapshotTable[[#This Row],[Implied Move]],"")</f>
        <v/>
      </c>
      <c r="BA123" s="331">
        <v>131.46</v>
      </c>
      <c r="BB123" s="347"/>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51"/>
      <c r="BE123" s="5"/>
      <c r="BF123" s="14"/>
      <c r="BG123" s="13"/>
      <c r="BH123" s="13"/>
      <c r="BI123" s="5"/>
      <c r="BJ123" s="136">
        <f>IF(SnapshotTable[[#This Row],[LP Qty]] &gt; 0, SnapshotTable[[#This Row],[LP Qty]] * SnapshotTable[[#This Row],[LP Book Price]] * 100,0)</f>
        <v>0</v>
      </c>
      <c r="BK123" s="136">
        <f>IF(SnapshotTable[[#This Row],[LP Premium]] &gt; 0, SnapshotTable[[#This Row],[LP Qty]] * SnapshotTable[[#This Row],[LP Strike Price]] * 100,0)</f>
        <v>0</v>
      </c>
      <c r="BL123" s="154"/>
      <c r="BM123" s="385" t="str">
        <f>IF(SnapshotTable[[#This Row],[LP Premium]] &gt; 0,SnapshotTable[[#This Row],[LP Exp Date]]-MAX(SnapshotTable[[#This Row],[LP Book Date]], SnapshotTable[[#This Row],[LP Fill Date]]),"")</f>
        <v/>
      </c>
      <c r="BN123" s="385" t="str">
        <f>IF(ISNUMBER( SnapshotTable[[#This Row],[LP Term]]), SnapshotTable[[#This Row],[LP Exp Date]] - MockToday,"")</f>
        <v/>
      </c>
      <c r="BO123" s="163"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7"/>
      <c r="BU123" s="13"/>
      <c r="BV123" s="5"/>
      <c r="BW123" s="419" t="b">
        <f>AND(ISNUMBER(SnapshotTable[[#This Row],[SP Exp Date]]), ISNUMBER(SnapshotTable[[#This Row],[SP Strike Price]]), ISNUMBER(SnapshotTable[[#This Row],[SP Qty]]), ISNUMBER(SnapshotTable[[#This Row],[SP Book Date]]), ISNUMBER(SnapshotTable[[#This Row],[SP Book Price]]))</f>
        <v>0</v>
      </c>
      <c r="BX123" s="419" t="b">
        <f>AND(SnapshotTable[[#This Row],[SP Is Booked]], NOT(ISBLANK(SnapshotTable[[#This Row],[SP Fill Date]])))</f>
        <v>0</v>
      </c>
      <c r="BY123" s="33">
        <f>IF(SnapshotTable[[#This Row],[SP Is Booked]], SnapshotTable[[#This Row],[SP Qty]] * SnapshotTable[[#This Row],[SP Book Price]] * 100, 0)</f>
        <v>0</v>
      </c>
      <c r="BZ123" s="369"/>
      <c r="CA123" s="368">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3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44"/>
      <c r="CK123" s="31">
        <f>IF(ISNUMBER(SnapshotTable[[#This Row],[SP Potential Spend]]),IF(ISNUMBER(SnapshotTable[[#This Row],[SP POW]]), SnapshotTable[[#This Row],[SP POW]] * SnapshotTable[[#This Row],[SP Potential Spend]], SnapshotTable[[#This Row],[SP Potential Spend]]), "")</f>
        <v>0</v>
      </c>
      <c r="CL123" s="164">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8"/>
      <c r="CO123" s="369"/>
      <c r="CP123" s="4" t="str">
        <f>IF(SnapshotTable[[#This Row],[SP Is Filled]], btc_max_buyback_amount(SnapshotTable[[#This Row],[SP Fill Date]],SnapshotTable[[#This Row],[SP Exp Date]], SnapshotTable[[#This Row],[SP Book Price]]),"")</f>
        <v/>
      </c>
      <c r="CQ123" s="78"/>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5" t="str">
        <f>IF(SnapshotTable[[#This Row],[SP Is Filled]], btc_next_cutoff_date(SnapshotTable[[#This Row],[SP Fill Date]],SnapshotTable[[#This Row],[SP Exp Date]]),"")</f>
        <v/>
      </c>
      <c r="CT123" s="23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6"/>
      <c r="CV123" s="235"/>
      <c r="CW123" s="378"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294" t="str">
        <f>IF(ISNUMBER((SnapshotTable[[#This Row],[SP Total Value]])), SnapshotTable[[#This Row],[SP Gain Loss]] / SnapshotTable[[#This Row],[SP Premium]], "")</f>
        <v/>
      </c>
      <c r="DI123" s="406"/>
      <c r="DJ123" s="138"/>
      <c r="DK123" s="148"/>
      <c r="DL123" s="13"/>
      <c r="DM123" s="13"/>
      <c r="DO123" s="31">
        <f>IF(SnapshotTable[[#This Row],[LC Symbol Count]]=1, SnapshotTable[[#This Row],[LC Qty]] * SnapshotTable[[#This Row],[LC Book Price]] * 100, 0)</f>
        <v>0</v>
      </c>
      <c r="DP123" s="163" t="str">
        <f>IF(AND(SnapshotTable[[#This Row],[LC Exp Date]]&gt;0, SnapshotTable[[#This Row],[LC Strike Price]]&gt;0,SnapshotTable[[#This Row],[LC Qty]]&gt;0,SnapshotTable[[#This Row],[LC Book Date]]&gt;0,SnapshotTable[[#This Row],[LC Book Price]]&gt;0,SnapshotTable[[#This Row],[LC Fill Date]]=0),"Y","")</f>
        <v/>
      </c>
      <c r="DQ123" s="386" t="str">
        <f>IF(SnapshotTable[[#This Row],[LC Premium]] &gt; 0,SnapshotTable[[#This Row],[LC Exp Date]]-MAX(SnapshotTable[[#This Row],[LC Book Date]], SnapshotTable[[#This Row],[LC Fill Date]]),"")</f>
        <v/>
      </c>
      <c r="DR123" s="386" t="str">
        <f>IF(ISNUMBER(SnapshotTable[[#This Row],[LC Term]]), SnapshotTable[[#This Row],[LC Exp Date]] - MockToday, "")</f>
        <v/>
      </c>
      <c r="DS123" s="23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40" t="str">
        <f>IF(ISNUMBER(SnapshotTable[[#This Row],[LC Actual Gain Loss]]), SnapshotTable[[#This Row],[LC Actual Gain Loss]] / SnapshotTable[[#This Row],[LC Premium]],"")</f>
        <v/>
      </c>
      <c r="DX123" s="284" t="str">
        <f>IF(ISNUMBER(SnapshotTable[[#This Row],[LC Book Price]]),SnapshotTable[[#This Row],[LC Book Price]] * 1.5,"")</f>
        <v/>
      </c>
      <c r="DY123" s="265" t="str">
        <f>IF(SnapshotTable[[#This Row],[LC Premium]]&gt;0, SnapshotTable[[#This Row],[LC Next Target]] * SnapshotTable[[#This Row],[LC Qty]] * 100,"")</f>
        <v/>
      </c>
      <c r="DZ123" s="265" t="str">
        <f>IF(ISNUMBER(SnapshotTable[[#This Row],[LC Target Gross]]), SnapshotTable[[#This Row],[LC Target Gross]] - SnapshotTable[[#This Row],[LC Premium]], "")</f>
        <v/>
      </c>
      <c r="EA123" s="305" t="str">
        <f>IF(ISNUMBER(SnapshotTable[[#This Row],[LC Target Gain Loss]]), SnapshotTable[[#This Row],[LC Target Gain Loss]]/SnapshotTable[[#This Row],[LC Premium]], "")</f>
        <v/>
      </c>
      <c r="EB123" s="262"/>
      <c r="EC123" s="283" t="str">
        <f>IF(SnapshotTable[[#This Row],[LC Premium]]&gt;0, SnapshotTable[[#This Row],[LC Book Price]] * (1 - LC_StopLoss_Pct),"")</f>
        <v/>
      </c>
      <c r="ED123" s="284"/>
      <c r="EE123" s="28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4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7"/>
      <c r="EL123" s="138"/>
      <c r="EM123" s="148"/>
      <c r="EN123" s="147"/>
      <c r="EO123" s="147"/>
      <c r="EP123" s="138"/>
      <c r="EQ123" s="419" t="b">
        <f>AND(ISNUMBER(SnapshotTable[[#This Row],[SC Exp Date]]), ISNUMBER(SnapshotTable[[#This Row],[SC Strike Price]]), ISNUMBER(SnapshotTable[[#This Row],[SC Qty]]), ISNUMBER(SnapshotTable[[#This Row],[SC Book Date]]), ISNUMBER(SnapshotTable[[#This Row],[SC Book Price]]))</f>
        <v>0</v>
      </c>
      <c r="ER123" s="419" t="b">
        <f>AND(SnapshotTable[[#This Row],[SC Is Booked]], NOT(ISBLANK(SnapshotTable[[#This Row],[SC Fill Date]])))</f>
        <v>0</v>
      </c>
      <c r="ES123" s="370"/>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3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283"/>
      <c r="FA123" s="218"/>
      <c r="FB123" s="370"/>
      <c r="FC123" s="4">
        <f>IF(SnapshotTable[[#This Row],[SC Is Filled]], btc_max_buyback_amount(SnapshotTable[[#This Row],[SC Fill Date]],SnapshotTable[[#This Row],[SC Exp Date]], SnapshotTable[[#This Row],[SC Book Price]]),0)</f>
        <v>0</v>
      </c>
      <c r="FD123" s="5"/>
      <c r="FE123" s="144"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382">
        <f>IF(SnapshotTable[[#This Row],[SC Is Filled]], IF(ISNUMBER(SnapshotTable[[#This Row],[SC Current Ask]]), SnapshotTable[[#This Row],[SC Current Ask]], SnapshotTable[[#This Row],[SC Book Price]]) - SnapshotTable[[#This Row],[SC Intrinsic Value]], 0)</f>
        <v>0</v>
      </c>
      <c r="FI123" s="143"/>
      <c r="FJ123" s="32" t="str">
        <f>IF(SnapshotTable[[#This Row],[SC Is Filled]],100 * SnapshotTable[[#This Row],[SC Qty]] * IF(ISNUMBER(SnapshotTable[[#This Row],[SC Buyback Override]]), SnapshotTable[[#This Row],[SC Buyback Override]], SnapshotTable[[#This Row],[SC Current Ask]]), "")</f>
        <v/>
      </c>
      <c r="FK123" s="250" t="str">
        <f>IF(SnapshotTable[[#This Row],[SC Time Val]]&gt;0, SnapshotTable[[#This Row],[SC Time Val]] / SnapshotTable[[#This Row],[Last Price]],"")</f>
        <v/>
      </c>
      <c r="FL123" s="302" t="str">
        <f>IF(SnapshotTable[[#This Row],[SC Is Booked]], ((SnapshotTable[[#This Row],[Last Price]] -SnapshotTable[[#This Row],[SC Strike Price]]) / SnapshotTable[[#This Row],[Last Price]]) * -1, "")</f>
        <v/>
      </c>
      <c r="FM123" s="157"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33"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36" t="str">
        <f>IF(AND(ISNUMBER(SnapshotTable[[#This Row],[SC Simple ROO]]),SnapshotTable[[#This Row],[SC Simple ROO]] &gt; 0), SnapshotTable[[#This Row],[SC Premium]] + (SnapshotTable[[#This Row],[SC Qty]] * SnapshotTable[[#This Row],[SC Upside Potential]]), "")</f>
        <v/>
      </c>
      <c r="FX123" s="302" t="str" cm="1">
        <f t="array" ref="FX123">IF(ISNUMBER(SnapshotTable[[#This Row],[SC Max Dollars]]), annualize(SnapshotTable[[#This Row],[SC Term]],(SnapshotTable[[#This Row],[SC Max Dollars]]/SnapshotTable[[#This Row],[SC Basis]])),"")</f>
        <v/>
      </c>
      <c r="FY123" s="23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29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861.51</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31">
        <f>MAX(SnapshotTable[[#This Row],[Equity Basis Total]],SnapshotTable[[#This Row],[Equity Value]]) + (SnapshotTable[[#This Row],[SP Potential Spend]]- SnapshotTable[[#This Row],[SP Premium]] + SnapshotTable[[#This Row],[LP Premium]])+ (SnapshotTable[[#This Row],[LC Premium]] - SnapshotTable[[#This Row],[SC Premium]])</f>
        <v>0</v>
      </c>
      <c r="GW123" s="139" t="str">
        <f>IF(AND(SnapshotTable[[#This Row],[Exposure]] &lt;&gt; 0),SnapshotTable[[#This Row],[Exposure]] / SnapshotTable[[#Totals],[Exposure]], "")</f>
        <v/>
      </c>
      <c r="HE123" s="268"/>
      <c r="HF123" s="268"/>
      <c r="HK123" s="1"/>
      <c r="HL123" s="1"/>
      <c r="HM123" s="1"/>
      <c r="HN123" s="1"/>
      <c r="HO123" s="1"/>
      <c r="HP123" s="1"/>
    </row>
    <row r="124" spans="2:224" ht="12.75" hidden="1" customHeight="1" x14ac:dyDescent="0.25">
      <c r="B124" s="12" t="s">
        <v>1008</v>
      </c>
      <c r="C124" s="422">
        <v>85.75</v>
      </c>
      <c r="D124" s="208" t="s">
        <v>578</v>
      </c>
      <c r="E124" s="39">
        <f>SnapshotTable[[#This Row],[Last Price]]*(1 -CrashDiscount)</f>
        <v>72.887500000000003</v>
      </c>
      <c r="F124" s="26" t="s">
        <v>975</v>
      </c>
      <c r="G124" s="26" t="s">
        <v>822</v>
      </c>
      <c r="H124" s="149"/>
      <c r="I124" s="194">
        <v>44777.270833333336</v>
      </c>
      <c r="J124" s="195">
        <v>44777.270833333336</v>
      </c>
      <c r="K124" s="196"/>
      <c r="L124" s="326"/>
      <c r="M124" s="140"/>
      <c r="N124" s="140"/>
      <c r="O124" s="140"/>
      <c r="P124" s="22"/>
      <c r="Q124" s="25"/>
      <c r="R124" s="4" t="str">
        <f>IF(SnapshotTable[[#This Row],[Equity Basis Total]] &gt; 0, SnapshotTable[[#This Row],[Equity Basis Total]] / SnapshotTable[[#This Row],[Equity Shares]], "")</f>
        <v/>
      </c>
      <c r="S124" s="269">
        <f>SnapshotTable[[#This Row],[Last Price]] * SnapshotTable[[#This Row],[Equity Shares]]</f>
        <v>0</v>
      </c>
      <c r="T124" s="269">
        <f>SnapshotTable[[#This Row],[Equity Value]] - SnapshotTable[[#This Row],[Equity Basis Total]]</f>
        <v>0</v>
      </c>
      <c r="U124" s="270" t="str">
        <f>IF(SnapshotTable[[#This Row],[Equity Basis Total]] &gt; 0, SnapshotTable[[#This Row],[Equity G/L]] / SnapshotTable[[#This Row],[Equity Basis Total]], "")</f>
        <v/>
      </c>
      <c r="V124" s="268">
        <v>100</v>
      </c>
      <c r="W124" s="26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7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0"/>
      <c r="AD124" s="151"/>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1"/>
      <c r="AI124" s="5"/>
      <c r="AJ124" s="138">
        <v>87.82</v>
      </c>
      <c r="AK124" s="152" t="str">
        <f>IF(ISNUMBER( SnapshotTable[[#This Row],[EBF Target]]),(SnapshotTable[[#This Row],[EBF Target]] - SnapshotTable[[#This Row],[Last Price]]) / SnapshotTable[[#This Row],[Last Price]], "")</f>
        <v/>
      </c>
      <c r="AL124" s="152"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2">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6"/>
      <c r="AU124" s="187" t="str">
        <f>IF(OR(SnapshotTable[[#This Row],[LP No Fill]]="Y",SnapshotTable[[#This Row],[SP Is Filled]],SnapshotTable[[#This Row],[LC Not Filled]]="Y",SnapshotTable[[#This Row],[SC Is Filled]]),"Y","")</f>
        <v/>
      </c>
      <c r="AV124" s="219"/>
      <c r="AW124" s="225"/>
      <c r="AX124" s="220"/>
      <c r="AY124" s="219" t="str">
        <f>IF(SnapshotTable[[#This Row],[Implied Move]]&gt;0, SnapshotTable[[#This Row],[Last Price]]-SnapshotTable[[#This Row],[Implied Move]],"")</f>
        <v/>
      </c>
      <c r="AZ124" s="219" t="str">
        <f>IF(SnapshotTable[[#This Row],[Implied Move]]&gt;0, SnapshotTable[[#This Row],[Last Price]] + SnapshotTable[[#This Row],[Implied Move]],"")</f>
        <v/>
      </c>
      <c r="BA124" s="331">
        <v>76.400000000000006</v>
      </c>
      <c r="BB124" s="347"/>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51"/>
      <c r="BE124" s="5"/>
      <c r="BF124" s="14"/>
      <c r="BG124" s="13"/>
      <c r="BH124" s="13"/>
      <c r="BI124" s="5"/>
      <c r="BJ124" s="136">
        <f>IF(SnapshotTable[[#This Row],[LP Qty]] &gt; 0, SnapshotTable[[#This Row],[LP Qty]] * SnapshotTable[[#This Row],[LP Book Price]] * 100,0)</f>
        <v>0</v>
      </c>
      <c r="BK124" s="136">
        <f>IF(SnapshotTable[[#This Row],[LP Premium]] &gt; 0, SnapshotTable[[#This Row],[LP Qty]] * SnapshotTable[[#This Row],[LP Strike Price]] * 100,0)</f>
        <v>0</v>
      </c>
      <c r="BL124" s="154"/>
      <c r="BM124" s="385" t="str">
        <f>IF(SnapshotTable[[#This Row],[LP Premium]] &gt; 0,SnapshotTable[[#This Row],[LP Exp Date]]-MAX(SnapshotTable[[#This Row],[LP Book Date]], SnapshotTable[[#This Row],[LP Fill Date]]),"")</f>
        <v/>
      </c>
      <c r="BN124" s="385" t="str">
        <f>IF(ISNUMBER( SnapshotTable[[#This Row],[LP Term]]), SnapshotTable[[#This Row],[LP Exp Date]] - MockToday,"")</f>
        <v/>
      </c>
      <c r="BO124" s="163"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7"/>
      <c r="BU124" s="13"/>
      <c r="BV124" s="5"/>
      <c r="BW124" s="419" t="b">
        <f>AND(ISNUMBER(SnapshotTable[[#This Row],[SP Exp Date]]), ISNUMBER(SnapshotTable[[#This Row],[SP Strike Price]]), ISNUMBER(SnapshotTable[[#This Row],[SP Qty]]), ISNUMBER(SnapshotTable[[#This Row],[SP Book Date]]), ISNUMBER(SnapshotTable[[#This Row],[SP Book Price]]))</f>
        <v>0</v>
      </c>
      <c r="BX124" s="419" t="b">
        <f>AND(SnapshotTable[[#This Row],[SP Is Booked]], NOT(ISBLANK(SnapshotTable[[#This Row],[SP Fill Date]])))</f>
        <v>0</v>
      </c>
      <c r="BY124" s="33">
        <f>IF(SnapshotTable[[#This Row],[SP Is Booked]], SnapshotTable[[#This Row],[SP Qty]] * SnapshotTable[[#This Row],[SP Book Price]] * 100, 0)</f>
        <v>0</v>
      </c>
      <c r="BZ124" s="369"/>
      <c r="CA124" s="368">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3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44"/>
      <c r="CK124" s="31">
        <f>IF(ISNUMBER(SnapshotTable[[#This Row],[SP Potential Spend]]),IF(ISNUMBER(SnapshotTable[[#This Row],[SP POW]]), SnapshotTable[[#This Row],[SP POW]] * SnapshotTable[[#This Row],[SP Potential Spend]], SnapshotTable[[#This Row],[SP Potential Spend]]), "")</f>
        <v>0</v>
      </c>
      <c r="CL124" s="164">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8"/>
      <c r="CO124" s="369"/>
      <c r="CP124" s="4" t="str">
        <f>IF(SnapshotTable[[#This Row],[SP Is Filled]], btc_max_buyback_amount(SnapshotTable[[#This Row],[SP Fill Date]],SnapshotTable[[#This Row],[SP Exp Date]], SnapshotTable[[#This Row],[SP Book Price]]),"")</f>
        <v/>
      </c>
      <c r="CQ124" s="78"/>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5" t="str">
        <f>IF(SnapshotTable[[#This Row],[SP Is Filled]], btc_next_cutoff_date(SnapshotTable[[#This Row],[SP Fill Date]],SnapshotTable[[#This Row],[SP Exp Date]]),"")</f>
        <v/>
      </c>
      <c r="CT124" s="23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3"/>
      <c r="CV124" s="235"/>
      <c r="CW124" s="378"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294" t="str">
        <f>IF(ISNUMBER((SnapshotTable[[#This Row],[SP Total Value]])), SnapshotTable[[#This Row],[SP Gain Loss]] / SnapshotTable[[#This Row],[SP Premium]], "")</f>
        <v/>
      </c>
      <c r="DI124" s="406"/>
      <c r="DJ124" s="138"/>
      <c r="DK124" s="148"/>
      <c r="DL124" s="13"/>
      <c r="DM124" s="13"/>
      <c r="DO124" s="31">
        <f>IF(SnapshotTable[[#This Row],[LC Symbol Count]]=1, SnapshotTable[[#This Row],[LC Qty]] * SnapshotTable[[#This Row],[LC Book Price]] * 100, 0)</f>
        <v>0</v>
      </c>
      <c r="DP124" s="163" t="str">
        <f>IF(AND(SnapshotTable[[#This Row],[LC Exp Date]]&gt;0, SnapshotTable[[#This Row],[LC Strike Price]]&gt;0,SnapshotTable[[#This Row],[LC Qty]]&gt;0,SnapshotTable[[#This Row],[LC Book Date]]&gt;0,SnapshotTable[[#This Row],[LC Book Price]]&gt;0,SnapshotTable[[#This Row],[LC Fill Date]]=0),"Y","")</f>
        <v/>
      </c>
      <c r="DQ124" s="386" t="str">
        <f>IF(SnapshotTable[[#This Row],[LC Premium]] &gt; 0,SnapshotTable[[#This Row],[LC Exp Date]]-MAX(SnapshotTable[[#This Row],[LC Book Date]], SnapshotTable[[#This Row],[LC Fill Date]]),"")</f>
        <v/>
      </c>
      <c r="DR124" s="386" t="str">
        <f>IF(ISNUMBER(SnapshotTable[[#This Row],[LC Term]]), SnapshotTable[[#This Row],[LC Exp Date]] - MockToday, "")</f>
        <v/>
      </c>
      <c r="DS124" s="23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40" t="str">
        <f>IF(ISNUMBER(SnapshotTable[[#This Row],[LC Actual Gain Loss]]), SnapshotTable[[#This Row],[LC Actual Gain Loss]] / SnapshotTable[[#This Row],[LC Premium]],"")</f>
        <v/>
      </c>
      <c r="DX124" s="284" t="str">
        <f>IF(ISNUMBER(SnapshotTable[[#This Row],[LC Book Price]]),SnapshotTable[[#This Row],[LC Book Price]] * 1.5,"")</f>
        <v/>
      </c>
      <c r="DY124" s="265" t="str">
        <f>IF(SnapshotTable[[#This Row],[LC Premium]]&gt;0, SnapshotTable[[#This Row],[LC Next Target]] * SnapshotTable[[#This Row],[LC Qty]] * 100,"")</f>
        <v/>
      </c>
      <c r="DZ124" s="265" t="str">
        <f>IF(ISNUMBER(SnapshotTable[[#This Row],[LC Target Gross]]), SnapshotTable[[#This Row],[LC Target Gross]] - SnapshotTable[[#This Row],[LC Premium]], "")</f>
        <v/>
      </c>
      <c r="EA124" s="305" t="str">
        <f>IF(ISNUMBER(SnapshotTable[[#This Row],[LC Target Gain Loss]]), SnapshotTable[[#This Row],[LC Target Gain Loss]]/SnapshotTable[[#This Row],[LC Premium]], "")</f>
        <v/>
      </c>
      <c r="EB124" s="262"/>
      <c r="EC124" s="283" t="str">
        <f>IF(SnapshotTable[[#This Row],[LC Premium]]&gt;0, SnapshotTable[[#This Row],[LC Book Price]] * (1 - LC_StopLoss_Pct),"")</f>
        <v/>
      </c>
      <c r="ED124" s="284"/>
      <c r="EE124" s="28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4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7"/>
      <c r="EL124" s="138"/>
      <c r="EM124" s="148"/>
      <c r="EN124" s="147"/>
      <c r="EO124" s="147"/>
      <c r="EP124" s="138"/>
      <c r="EQ124" s="419" t="b">
        <f>AND(ISNUMBER(SnapshotTable[[#This Row],[SC Exp Date]]), ISNUMBER(SnapshotTable[[#This Row],[SC Strike Price]]), ISNUMBER(SnapshotTable[[#This Row],[SC Qty]]), ISNUMBER(SnapshotTable[[#This Row],[SC Book Date]]), ISNUMBER(SnapshotTable[[#This Row],[SC Book Price]]))</f>
        <v>0</v>
      </c>
      <c r="ER124" s="419" t="b">
        <f>AND(SnapshotTable[[#This Row],[SC Is Booked]], NOT(ISBLANK(SnapshotTable[[#This Row],[SC Fill Date]])))</f>
        <v>0</v>
      </c>
      <c r="ES124" s="370"/>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3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283"/>
      <c r="FA124" s="218"/>
      <c r="FB124" s="370"/>
      <c r="FC124" s="4">
        <f>IF(SnapshotTable[[#This Row],[SC Is Filled]], btc_max_buyback_amount(SnapshotTable[[#This Row],[SC Fill Date]],SnapshotTable[[#This Row],[SC Exp Date]], SnapshotTable[[#This Row],[SC Book Price]]),0)</f>
        <v>0</v>
      </c>
      <c r="FD124" s="5"/>
      <c r="FE124" s="144"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382">
        <f>IF(SnapshotTable[[#This Row],[SC Is Filled]], IF(ISNUMBER(SnapshotTable[[#This Row],[SC Current Ask]]), SnapshotTable[[#This Row],[SC Current Ask]], SnapshotTable[[#This Row],[SC Book Price]]) - SnapshotTable[[#This Row],[SC Intrinsic Value]], 0)</f>
        <v>0</v>
      </c>
      <c r="FI124" s="143"/>
      <c r="FJ124" s="32" t="str">
        <f>IF(SnapshotTable[[#This Row],[SC Is Filled]],100 * SnapshotTable[[#This Row],[SC Qty]] * IF(ISNUMBER(SnapshotTable[[#This Row],[SC Buyback Override]]), SnapshotTable[[#This Row],[SC Buyback Override]], SnapshotTable[[#This Row],[SC Current Ask]]), "")</f>
        <v/>
      </c>
      <c r="FK124" s="250" t="str">
        <f>IF(SnapshotTable[[#This Row],[SC Time Val]]&gt;0, SnapshotTable[[#This Row],[SC Time Val]] / SnapshotTable[[#This Row],[Last Price]],"")</f>
        <v/>
      </c>
      <c r="FL124" s="302" t="str">
        <f>IF(SnapshotTable[[#This Row],[SC Is Booked]], ((SnapshotTable[[#This Row],[Last Price]] -SnapshotTable[[#This Row],[SC Strike Price]]) / SnapshotTable[[#This Row],[Last Price]]) * -1, "")</f>
        <v/>
      </c>
      <c r="FM124" s="157"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33"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36" t="str">
        <f>IF(AND(ISNUMBER(SnapshotTable[[#This Row],[SC Simple ROO]]),SnapshotTable[[#This Row],[SC Simple ROO]] &gt; 0), SnapshotTable[[#This Row],[SC Premium]] + (SnapshotTable[[#This Row],[SC Qty]] * SnapshotTable[[#This Row],[SC Upside Potential]]), "")</f>
        <v/>
      </c>
      <c r="FX124" s="302" t="str" cm="1">
        <f t="array" ref="FX124">IF(ISNUMBER(SnapshotTable[[#This Row],[SC Max Dollars]]), annualize(SnapshotTable[[#This Row],[SC Term]],(SnapshotTable[[#This Row],[SC Max Dollars]]/SnapshotTable[[#This Row],[SC Basis]])),"")</f>
        <v/>
      </c>
      <c r="FY124" s="23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29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31">
        <f>MAX(SnapshotTable[[#This Row],[Equity Basis Total]],SnapshotTable[[#This Row],[Equity Value]]) + (SnapshotTable[[#This Row],[SP Potential Spend]]- SnapshotTable[[#This Row],[SP Premium]] + SnapshotTable[[#This Row],[LP Premium]])+ (SnapshotTable[[#This Row],[LC Premium]] - SnapshotTable[[#This Row],[SC Premium]])</f>
        <v>0</v>
      </c>
      <c r="GW124" s="139" t="str">
        <f>IF(AND(SnapshotTable[[#This Row],[Exposure]] &lt;&gt; 0),SnapshotTable[[#This Row],[Exposure]] / SnapshotTable[[#Totals],[Exposure]], "")</f>
        <v/>
      </c>
      <c r="HE124" s="268"/>
      <c r="HF124" s="268"/>
      <c r="HK124" s="1"/>
      <c r="HL124" s="1"/>
      <c r="HM124" s="1"/>
      <c r="HN124" s="1"/>
      <c r="HO124" s="1"/>
      <c r="HP124" s="1"/>
    </row>
    <row r="125" spans="2:224" ht="12.75" hidden="1" customHeight="1" x14ac:dyDescent="0.25">
      <c r="B125" s="12" t="s">
        <v>199</v>
      </c>
      <c r="C125" s="422">
        <v>120.24</v>
      </c>
      <c r="D125" s="208"/>
      <c r="E125" s="39">
        <f>SnapshotTable[[#This Row],[Last Price]]*(1 -CrashDiscount)</f>
        <v>102.20399999999999</v>
      </c>
      <c r="F125" s="26" t="s">
        <v>124</v>
      </c>
      <c r="G125" s="26" t="s">
        <v>14</v>
      </c>
      <c r="H125" s="149"/>
      <c r="I125" s="194">
        <v>44798.288194444445</v>
      </c>
      <c r="J125" s="195">
        <v>44798.288194444445</v>
      </c>
      <c r="K125" s="196"/>
      <c r="L125" s="326"/>
      <c r="M125" s="140"/>
      <c r="N125" s="140"/>
      <c r="O125" s="140"/>
      <c r="P125" s="22"/>
      <c r="Q125" s="25"/>
      <c r="R125" s="4" t="str">
        <f>IF(SnapshotTable[[#This Row],[Equity Basis Total]] &gt; 0, SnapshotTable[[#This Row],[Equity Basis Total]] / SnapshotTable[[#This Row],[Equity Shares]], "")</f>
        <v/>
      </c>
      <c r="S125" s="269">
        <f>SnapshotTable[[#This Row],[Last Price]] * SnapshotTable[[#This Row],[Equity Shares]]</f>
        <v>0</v>
      </c>
      <c r="T125" s="269">
        <f>SnapshotTable[[#This Row],[Equity Value]] - SnapshotTable[[#This Row],[Equity Basis Total]]</f>
        <v>0</v>
      </c>
      <c r="U125" s="270" t="str">
        <f>IF(SnapshotTable[[#This Row],[Equity Basis Total]] &gt; 0, SnapshotTable[[#This Row],[Equity G/L]] / SnapshotTable[[#This Row],[Equity Basis Total]], "")</f>
        <v/>
      </c>
      <c r="V125" s="268"/>
      <c r="W125" s="26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7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0">
        <v>1</v>
      </c>
      <c r="AD125" s="151">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8.3166999334664017E-3</v>
      </c>
      <c r="AH125" s="151">
        <v>42712</v>
      </c>
      <c r="AI125" s="5"/>
      <c r="AJ125" s="138">
        <v>90</v>
      </c>
      <c r="AK125" s="152" t="str">
        <f>IF(ISNUMBER( SnapshotTable[[#This Row],[EBF Target]]),(SnapshotTable[[#This Row],[EBF Target]] - SnapshotTable[[#This Row],[Last Price]]) / SnapshotTable[[#This Row],[Last Price]], "")</f>
        <v/>
      </c>
      <c r="AL125" s="152"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2">
        <f>IF(AND(ISNUMBER( SnapshotTable[[#This Row],[Long Term Target]]), ISNUMBER(SnapshotTable[[#This Row],[Last Price]])),(SnapshotTable[[#This Row],[Long Term Target]] - SnapshotTable[[#This Row],[Last Price]]) / SnapshotTable[[#This Row],[Last Price]], "")</f>
        <v>-0.25149700598802394</v>
      </c>
      <c r="AP125" s="5">
        <v>72.5</v>
      </c>
      <c r="AQ125" s="38" t="s">
        <v>27</v>
      </c>
      <c r="AR125" s="5">
        <v>72.5</v>
      </c>
      <c r="AS125" s="38" t="s">
        <v>198</v>
      </c>
      <c r="AT125" s="146"/>
      <c r="AU125" s="187" t="str">
        <f>IF(OR(SnapshotTable[[#This Row],[LP No Fill]]="Y",SnapshotTable[[#This Row],[SP Is Filled]],SnapshotTable[[#This Row],[LC Not Filled]]="Y",SnapshotTable[[#This Row],[SC Is Filled]]),"Y","")</f>
        <v/>
      </c>
      <c r="AV125" s="219"/>
      <c r="AW125" s="225"/>
      <c r="AX125" s="220"/>
      <c r="AY125" s="219" t="str">
        <f>IF(SnapshotTable[[#This Row],[Implied Move]]&gt;0, SnapshotTable[[#This Row],[Last Price]]-SnapshotTable[[#This Row],[Implied Move]],"")</f>
        <v/>
      </c>
      <c r="AZ125" s="219" t="str">
        <f>IF(SnapshotTable[[#This Row],[Implied Move]]&gt;0, SnapshotTable[[#This Row],[Last Price]] + SnapshotTable[[#This Row],[Implied Move]],"")</f>
        <v/>
      </c>
      <c r="BA125" s="331"/>
      <c r="BB125" s="347"/>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51"/>
      <c r="BE125" s="5"/>
      <c r="BF125" s="14"/>
      <c r="BG125" s="13"/>
      <c r="BH125" s="13"/>
      <c r="BI125" s="5"/>
      <c r="BJ125" s="136">
        <f>IF(SnapshotTable[[#This Row],[LP Qty]] &gt; 0, SnapshotTable[[#This Row],[LP Qty]] * SnapshotTable[[#This Row],[LP Book Price]] * 100,0)</f>
        <v>0</v>
      </c>
      <c r="BK125" s="136">
        <f>IF(SnapshotTable[[#This Row],[LP Premium]] &gt; 0, SnapshotTable[[#This Row],[LP Qty]] * SnapshotTable[[#This Row],[LP Strike Price]] * 100,0)</f>
        <v>0</v>
      </c>
      <c r="BL125" s="154"/>
      <c r="BM125" s="385" t="str">
        <f>IF(SnapshotTable[[#This Row],[LP Premium]] &gt; 0,SnapshotTable[[#This Row],[LP Exp Date]]-MAX(SnapshotTable[[#This Row],[LP Book Date]], SnapshotTable[[#This Row],[LP Fill Date]]),"")</f>
        <v/>
      </c>
      <c r="BN125" s="385" t="str">
        <f>IF(ISNUMBER( SnapshotTable[[#This Row],[LP Term]]), SnapshotTable[[#This Row],[LP Exp Date]] - MockToday,"")</f>
        <v/>
      </c>
      <c r="BO125" s="163"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7"/>
      <c r="BU125" s="13"/>
      <c r="BV125" s="5"/>
      <c r="BW125" s="419" t="b">
        <f>AND(ISNUMBER(SnapshotTable[[#This Row],[SP Exp Date]]), ISNUMBER(SnapshotTable[[#This Row],[SP Strike Price]]), ISNUMBER(SnapshotTable[[#This Row],[SP Qty]]), ISNUMBER(SnapshotTable[[#This Row],[SP Book Date]]), ISNUMBER(SnapshotTable[[#This Row],[SP Book Price]]))</f>
        <v>0</v>
      </c>
      <c r="BX125" s="419" t="b">
        <f>AND(SnapshotTable[[#This Row],[SP Is Booked]], NOT(ISBLANK(SnapshotTable[[#This Row],[SP Fill Date]])))</f>
        <v>0</v>
      </c>
      <c r="BY125" s="33">
        <f>IF(SnapshotTable[[#This Row],[SP Is Booked]], SnapshotTable[[#This Row],[SP Qty]] * SnapshotTable[[#This Row],[SP Book Price]] * 100, 0)</f>
        <v>0</v>
      </c>
      <c r="BZ125" s="369"/>
      <c r="CA125" s="368">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3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44"/>
      <c r="CK125" s="31">
        <f>IF(ISNUMBER(SnapshotTable[[#This Row],[SP Potential Spend]]),IF(ISNUMBER(SnapshotTable[[#This Row],[SP POW]]), SnapshotTable[[#This Row],[SP POW]] * SnapshotTable[[#This Row],[SP Potential Spend]], SnapshotTable[[#This Row],[SP Potential Spend]]), "")</f>
        <v>0</v>
      </c>
      <c r="CL125" s="164">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8"/>
      <c r="CO125" s="369"/>
      <c r="CP125" s="4" t="str">
        <f>IF(SnapshotTable[[#This Row],[SP Is Filled]], btc_max_buyback_amount(SnapshotTable[[#This Row],[SP Fill Date]],SnapshotTable[[#This Row],[SP Exp Date]], SnapshotTable[[#This Row],[SP Book Price]]),"")</f>
        <v/>
      </c>
      <c r="CQ125" s="78"/>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5" t="str">
        <f>IF(SnapshotTable[[#This Row],[SP Is Filled]], btc_next_cutoff_date(SnapshotTable[[#This Row],[SP Fill Date]],SnapshotTable[[#This Row],[SP Exp Date]]),"")</f>
        <v/>
      </c>
      <c r="CT125" s="23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3"/>
      <c r="CV125" s="235"/>
      <c r="CW125" s="378"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294" t="str">
        <f>IF(ISNUMBER((SnapshotTable[[#This Row],[SP Total Value]])), SnapshotTable[[#This Row],[SP Gain Loss]] / SnapshotTable[[#This Row],[SP Premium]], "")</f>
        <v/>
      </c>
      <c r="DI125" s="406"/>
      <c r="DJ125" s="138"/>
      <c r="DK125" s="148"/>
      <c r="DL125" s="13"/>
      <c r="DM125" s="13"/>
      <c r="DO125" s="31">
        <f>IF(SnapshotTable[[#This Row],[LC Symbol Count]]=1, SnapshotTable[[#This Row],[LC Qty]] * SnapshotTable[[#This Row],[LC Book Price]] * 100, 0)</f>
        <v>0</v>
      </c>
      <c r="DP125" s="163" t="str">
        <f>IF(AND(SnapshotTable[[#This Row],[LC Exp Date]]&gt;0, SnapshotTable[[#This Row],[LC Strike Price]]&gt;0,SnapshotTable[[#This Row],[LC Qty]]&gt;0,SnapshotTable[[#This Row],[LC Book Date]]&gt;0,SnapshotTable[[#This Row],[LC Book Price]]&gt;0,SnapshotTable[[#This Row],[LC Fill Date]]=0),"Y","")</f>
        <v/>
      </c>
      <c r="DQ125" s="386" t="str">
        <f>IF(SnapshotTable[[#This Row],[LC Premium]] &gt; 0,SnapshotTable[[#This Row],[LC Exp Date]]-MAX(SnapshotTable[[#This Row],[LC Book Date]], SnapshotTable[[#This Row],[LC Fill Date]]),"")</f>
        <v/>
      </c>
      <c r="DR125" s="386" t="str">
        <f>IF(ISNUMBER(SnapshotTable[[#This Row],[LC Term]]), SnapshotTable[[#This Row],[LC Exp Date]] - MockToday, "")</f>
        <v/>
      </c>
      <c r="DS125" s="23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40" t="str">
        <f>IF(ISNUMBER(SnapshotTable[[#This Row],[LC Actual Gain Loss]]), SnapshotTable[[#This Row],[LC Actual Gain Loss]] / SnapshotTable[[#This Row],[LC Premium]],"")</f>
        <v/>
      </c>
      <c r="DX125" s="284" t="str">
        <f>IF(ISNUMBER(SnapshotTable[[#This Row],[LC Book Price]]),SnapshotTable[[#This Row],[LC Book Price]] * 1.5,"")</f>
        <v/>
      </c>
      <c r="DY125" s="265" t="str">
        <f>IF(SnapshotTable[[#This Row],[LC Premium]]&gt;0, SnapshotTable[[#This Row],[LC Next Target]] * SnapshotTable[[#This Row],[LC Qty]] * 100,"")</f>
        <v/>
      </c>
      <c r="DZ125" s="265" t="str">
        <f>IF(ISNUMBER(SnapshotTable[[#This Row],[LC Target Gross]]), SnapshotTable[[#This Row],[LC Target Gross]] - SnapshotTable[[#This Row],[LC Premium]], "")</f>
        <v/>
      </c>
      <c r="EA125" s="305" t="str">
        <f>IF(ISNUMBER(SnapshotTable[[#This Row],[LC Target Gain Loss]]), SnapshotTable[[#This Row],[LC Target Gain Loss]]/SnapshotTable[[#This Row],[LC Premium]], "")</f>
        <v/>
      </c>
      <c r="EB125" s="262"/>
      <c r="EC125" s="283" t="str">
        <f>IF(SnapshotTable[[#This Row],[LC Premium]]&gt;0, SnapshotTable[[#This Row],[LC Book Price]] * (1 - LC_StopLoss_Pct),"")</f>
        <v/>
      </c>
      <c r="ED125" s="284"/>
      <c r="EE125" s="28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4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7"/>
      <c r="EL125" s="138"/>
      <c r="EM125" s="148"/>
      <c r="EN125" s="147"/>
      <c r="EO125" s="147"/>
      <c r="EP125" s="138"/>
      <c r="EQ125" s="419" t="b">
        <f>AND(ISNUMBER(SnapshotTable[[#This Row],[SC Exp Date]]), ISNUMBER(SnapshotTable[[#This Row],[SC Strike Price]]), ISNUMBER(SnapshotTable[[#This Row],[SC Qty]]), ISNUMBER(SnapshotTable[[#This Row],[SC Book Date]]), ISNUMBER(SnapshotTable[[#This Row],[SC Book Price]]))</f>
        <v>0</v>
      </c>
      <c r="ER125" s="419" t="b">
        <f>AND(SnapshotTable[[#This Row],[SC Is Booked]], NOT(ISBLANK(SnapshotTable[[#This Row],[SC Fill Date]])))</f>
        <v>0</v>
      </c>
      <c r="ES125" s="370"/>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3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283"/>
      <c r="FA125" s="218"/>
      <c r="FB125" s="370"/>
      <c r="FC125" s="4">
        <f>IF(SnapshotTable[[#This Row],[SC Is Filled]], btc_max_buyback_amount(SnapshotTable[[#This Row],[SC Fill Date]],SnapshotTable[[#This Row],[SC Exp Date]], SnapshotTable[[#This Row],[SC Book Price]]),0)</f>
        <v>0</v>
      </c>
      <c r="FD125" s="5"/>
      <c r="FE125" s="144"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382">
        <f>IF(SnapshotTable[[#This Row],[SC Is Filled]], IF(ISNUMBER(SnapshotTable[[#This Row],[SC Current Ask]]), SnapshotTable[[#This Row],[SC Current Ask]], SnapshotTable[[#This Row],[SC Book Price]]) - SnapshotTable[[#This Row],[SC Intrinsic Value]], 0)</f>
        <v>0</v>
      </c>
      <c r="FI125" s="143"/>
      <c r="FJ125" s="32" t="str">
        <f>IF(SnapshotTable[[#This Row],[SC Is Filled]],100 * SnapshotTable[[#This Row],[SC Qty]] * IF(ISNUMBER(SnapshotTable[[#This Row],[SC Buyback Override]]), SnapshotTable[[#This Row],[SC Buyback Override]], SnapshotTable[[#This Row],[SC Current Ask]]), "")</f>
        <v/>
      </c>
      <c r="FK125" s="250" t="str">
        <f>IF(SnapshotTable[[#This Row],[SC Time Val]]&gt;0, SnapshotTable[[#This Row],[SC Time Val]] / SnapshotTable[[#This Row],[Last Price]],"")</f>
        <v/>
      </c>
      <c r="FL125" s="302" t="str">
        <f>IF(SnapshotTable[[#This Row],[SC Is Booked]], ((SnapshotTable[[#This Row],[Last Price]] -SnapshotTable[[#This Row],[SC Strike Price]]) / SnapshotTable[[#This Row],[Last Price]]) * -1, "")</f>
        <v/>
      </c>
      <c r="FM125" s="157"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33"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36" t="str">
        <f>IF(AND(ISNUMBER(SnapshotTable[[#This Row],[SC Simple ROO]]),SnapshotTable[[#This Row],[SC Simple ROO]] &gt; 0), SnapshotTable[[#This Row],[SC Premium]] + (SnapshotTable[[#This Row],[SC Qty]] * SnapshotTable[[#This Row],[SC Upside Potential]]), "")</f>
        <v/>
      </c>
      <c r="FX125" s="302" t="str" cm="1">
        <f t="array" ref="FX125">IF(ISNUMBER(SnapshotTable[[#This Row],[SC Max Dollars]]), annualize(SnapshotTable[[#This Row],[SC Term]],(SnapshotTable[[#This Row],[SC Max Dollars]]/SnapshotTable[[#This Row],[SC Basis]])),"")</f>
        <v/>
      </c>
      <c r="FY125" s="23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29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234.46799999999999</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681</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31">
        <f>MAX(SnapshotTable[[#This Row],[Equity Basis Total]],SnapshotTable[[#This Row],[Equity Value]]) + (SnapshotTable[[#This Row],[SP Potential Spend]]- SnapshotTable[[#This Row],[SP Premium]] + SnapshotTable[[#This Row],[LP Premium]])+ (SnapshotTable[[#This Row],[LC Premium]] - SnapshotTable[[#This Row],[SC Premium]])</f>
        <v>0</v>
      </c>
      <c r="GW125" s="139" t="str">
        <f>IF(AND(SnapshotTable[[#This Row],[Exposure]] &lt;&gt; 0),SnapshotTable[[#This Row],[Exposure]] / SnapshotTable[[#Totals],[Exposure]], "")</f>
        <v/>
      </c>
      <c r="HE125" s="268"/>
      <c r="HF125" s="268"/>
      <c r="HK125" s="1"/>
      <c r="HL125" s="1"/>
      <c r="HM125" s="1"/>
      <c r="HN125" s="1"/>
      <c r="HO125" s="1"/>
      <c r="HP125" s="1"/>
    </row>
    <row r="126" spans="2:224" ht="12.75" hidden="1" customHeight="1" x14ac:dyDescent="0.25">
      <c r="B126" s="12" t="s">
        <v>219</v>
      </c>
      <c r="C126" s="422">
        <v>179.14</v>
      </c>
      <c r="D126" s="208"/>
      <c r="E126" s="39">
        <f>SnapshotTable[[#This Row],[Last Price]]*(1 -CrashDiscount)</f>
        <v>152.26899999999998</v>
      </c>
      <c r="F126" s="26" t="s">
        <v>29</v>
      </c>
      <c r="G126" s="26" t="s">
        <v>20</v>
      </c>
      <c r="H126" s="149"/>
      <c r="I126" s="194">
        <v>44763.25</v>
      </c>
      <c r="J126" s="195">
        <v>44763.25</v>
      </c>
      <c r="K126" s="196"/>
      <c r="L126" s="326"/>
      <c r="M126" s="140"/>
      <c r="N126" s="140" t="b">
        <v>1</v>
      </c>
      <c r="O126" s="140"/>
      <c r="P126" s="22"/>
      <c r="Q126" s="25"/>
      <c r="R126" s="4" t="str">
        <f>IF(SnapshotTable[[#This Row],[Equity Basis Total]] &gt; 0, SnapshotTable[[#This Row],[Equity Basis Total]] / SnapshotTable[[#This Row],[Equity Shares]], "")</f>
        <v/>
      </c>
      <c r="S126" s="269">
        <f>SnapshotTable[[#This Row],[Last Price]] * SnapshotTable[[#This Row],[Equity Shares]]</f>
        <v>0</v>
      </c>
      <c r="T126" s="269">
        <f>SnapshotTable[[#This Row],[Equity Value]] - SnapshotTable[[#This Row],[Equity Basis Total]]</f>
        <v>0</v>
      </c>
      <c r="U126" s="270" t="str">
        <f>IF(SnapshotTable[[#This Row],[Equity Basis Total]] &gt; 0, SnapshotTable[[#This Row],[Equity G/L]] / SnapshotTable[[#This Row],[Equity Basis Total]], "")</f>
        <v/>
      </c>
      <c r="V126" s="268"/>
      <c r="W126" s="26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7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0">
        <v>0.56000000000000005</v>
      </c>
      <c r="AD126" s="151">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3.1260466674109641E-3</v>
      </c>
      <c r="AH126" s="151">
        <v>43278</v>
      </c>
      <c r="AI126" s="5">
        <v>118</v>
      </c>
      <c r="AJ126" s="138">
        <v>154.54</v>
      </c>
      <c r="AK126" s="152">
        <f>IF(ISNUMBER( SnapshotTable[[#This Row],[EBF Target]]),(SnapshotTable[[#This Row],[EBF Target]] - SnapshotTable[[#This Row],[Last Price]]) / SnapshotTable[[#This Row],[Last Price]], "")</f>
        <v>-0.3412973093669755</v>
      </c>
      <c r="AL126" s="152"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2">
        <f>IF(AND(ISNUMBER( SnapshotTable[[#This Row],[Long Term Target]]), ISNUMBER(SnapshotTable[[#This Row],[Last Price]])),(SnapshotTable[[#This Row],[Long Term Target]] - SnapshotTable[[#This Row],[Last Price]]) / SnapshotTable[[#This Row],[Last Price]], "")</f>
        <v>-0.13732276431841017</v>
      </c>
      <c r="AP126" s="5"/>
      <c r="AQ126" s="38"/>
      <c r="AR126" s="5"/>
      <c r="AS126" s="38"/>
      <c r="AT126" s="146"/>
      <c r="AU126" s="187" t="str">
        <f>IF(OR(SnapshotTable[[#This Row],[LP No Fill]]="Y",SnapshotTable[[#This Row],[SP Is Filled]],SnapshotTable[[#This Row],[LC Not Filled]]="Y",SnapshotTable[[#This Row],[SC Is Filled]]),"Y","")</f>
        <v/>
      </c>
      <c r="AV126" s="219"/>
      <c r="AW126" s="225"/>
      <c r="AX126" s="220"/>
      <c r="AY126" s="219" t="str">
        <f>IF(SnapshotTable[[#This Row],[Implied Move]]&gt;0, SnapshotTable[[#This Row],[Last Price]]-SnapshotTable[[#This Row],[Implied Move]],"")</f>
        <v/>
      </c>
      <c r="AZ126" s="219" t="str">
        <f>IF(SnapshotTable[[#This Row],[Implied Move]]&gt;0, SnapshotTable[[#This Row],[Last Price]] + SnapshotTable[[#This Row],[Implied Move]],"")</f>
        <v/>
      </c>
      <c r="BA126" s="331"/>
      <c r="BB126" s="347"/>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51"/>
      <c r="BE126" s="5"/>
      <c r="BF126" s="14"/>
      <c r="BG126" s="13"/>
      <c r="BH126" s="13"/>
      <c r="BI126" s="5"/>
      <c r="BJ126" s="136">
        <f>IF(SnapshotTable[[#This Row],[LP Qty]] &gt; 0, SnapshotTable[[#This Row],[LP Qty]] * SnapshotTable[[#This Row],[LP Book Price]] * 100,0)</f>
        <v>0</v>
      </c>
      <c r="BK126" s="136">
        <f>IF(SnapshotTable[[#This Row],[LP Premium]] &gt; 0, SnapshotTable[[#This Row],[LP Qty]] * SnapshotTable[[#This Row],[LP Strike Price]] * 100,0)</f>
        <v>0</v>
      </c>
      <c r="BL126" s="154"/>
      <c r="BM126" s="385" t="str">
        <f>IF(SnapshotTable[[#This Row],[LP Premium]] &gt; 0,SnapshotTable[[#This Row],[LP Exp Date]]-MAX(SnapshotTable[[#This Row],[LP Book Date]], SnapshotTable[[#This Row],[LP Fill Date]]),"")</f>
        <v/>
      </c>
      <c r="BN126" s="385" t="str">
        <f>IF(ISNUMBER( SnapshotTable[[#This Row],[LP Term]]), SnapshotTable[[#This Row],[LP Exp Date]] - MockToday,"")</f>
        <v/>
      </c>
      <c r="BO126" s="163"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7"/>
      <c r="BU126" s="13"/>
      <c r="BV126" s="5"/>
      <c r="BW126" s="419" t="b">
        <f>AND(ISNUMBER(SnapshotTable[[#This Row],[SP Exp Date]]), ISNUMBER(SnapshotTable[[#This Row],[SP Strike Price]]), ISNUMBER(SnapshotTable[[#This Row],[SP Qty]]), ISNUMBER(SnapshotTable[[#This Row],[SP Book Date]]), ISNUMBER(SnapshotTable[[#This Row],[SP Book Price]]))</f>
        <v>0</v>
      </c>
      <c r="BX126" s="419" t="b">
        <f>AND(SnapshotTable[[#This Row],[SP Is Booked]], NOT(ISBLANK(SnapshotTable[[#This Row],[SP Fill Date]])))</f>
        <v>0</v>
      </c>
      <c r="BY126" s="33">
        <f>IF(SnapshotTable[[#This Row],[SP Is Booked]], SnapshotTable[[#This Row],[SP Qty]] * SnapshotTable[[#This Row],[SP Book Price]] * 100, 0)</f>
        <v>0</v>
      </c>
      <c r="BZ126" s="369"/>
      <c r="CA126" s="368">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3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44"/>
      <c r="CK126" s="31">
        <f>IF(ISNUMBER(SnapshotTable[[#This Row],[SP Potential Spend]]),IF(ISNUMBER(SnapshotTable[[#This Row],[SP POW]]), SnapshotTable[[#This Row],[SP POW]] * SnapshotTable[[#This Row],[SP Potential Spend]], SnapshotTable[[#This Row],[SP Potential Spend]]), "")</f>
        <v>0</v>
      </c>
      <c r="CL126" s="164">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8"/>
      <c r="CO126" s="369"/>
      <c r="CP126" s="4" t="str">
        <f>IF(SnapshotTable[[#This Row],[SP Is Filled]], btc_max_buyback_amount(SnapshotTable[[#This Row],[SP Fill Date]],SnapshotTable[[#This Row],[SP Exp Date]], SnapshotTable[[#This Row],[SP Book Price]]),"")</f>
        <v/>
      </c>
      <c r="CQ126" s="78"/>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5" t="str">
        <f>IF(SnapshotTable[[#This Row],[SP Is Filled]], btc_next_cutoff_date(SnapshotTable[[#This Row],[SP Fill Date]],SnapshotTable[[#This Row],[SP Exp Date]]),"")</f>
        <v/>
      </c>
      <c r="CT126" s="23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3"/>
      <c r="CV126" s="235"/>
      <c r="CW126" s="378"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294" t="str">
        <f>IF(ISNUMBER((SnapshotTable[[#This Row],[SP Total Value]])), SnapshotTable[[#This Row],[SP Gain Loss]] / SnapshotTable[[#This Row],[SP Premium]], "")</f>
        <v/>
      </c>
      <c r="DI126" s="406"/>
      <c r="DJ126" s="138"/>
      <c r="DK126" s="148"/>
      <c r="DL126" s="13"/>
      <c r="DM126" s="13"/>
      <c r="DO126" s="31">
        <f>IF(SnapshotTable[[#This Row],[LC Symbol Count]]=1, SnapshotTable[[#This Row],[LC Qty]] * SnapshotTable[[#This Row],[LC Book Price]] * 100, 0)</f>
        <v>0</v>
      </c>
      <c r="DP126" s="163" t="str">
        <f>IF(AND(SnapshotTable[[#This Row],[LC Exp Date]]&gt;0, SnapshotTable[[#This Row],[LC Strike Price]]&gt;0,SnapshotTable[[#This Row],[LC Qty]]&gt;0,SnapshotTable[[#This Row],[LC Book Date]]&gt;0,SnapshotTable[[#This Row],[LC Book Price]]&gt;0,SnapshotTable[[#This Row],[LC Fill Date]]=0),"Y","")</f>
        <v/>
      </c>
      <c r="DQ126" s="386" t="str">
        <f>IF(SnapshotTable[[#This Row],[LC Premium]] &gt; 0,SnapshotTable[[#This Row],[LC Exp Date]]-MAX(SnapshotTable[[#This Row],[LC Book Date]], SnapshotTable[[#This Row],[LC Fill Date]]),"")</f>
        <v/>
      </c>
      <c r="DR126" s="386" t="str">
        <f>IF(ISNUMBER(SnapshotTable[[#This Row],[LC Term]]), SnapshotTable[[#This Row],[LC Exp Date]] - MockToday, "")</f>
        <v/>
      </c>
      <c r="DS126" s="23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40" t="str">
        <f>IF(ISNUMBER(SnapshotTable[[#This Row],[LC Actual Gain Loss]]), SnapshotTable[[#This Row],[LC Actual Gain Loss]] / SnapshotTable[[#This Row],[LC Premium]],"")</f>
        <v/>
      </c>
      <c r="DX126" s="284" t="str">
        <f>IF(ISNUMBER(SnapshotTable[[#This Row],[LC Book Price]]),SnapshotTable[[#This Row],[LC Book Price]] * 1.5,"")</f>
        <v/>
      </c>
      <c r="DY126" s="265" t="str">
        <f>IF(SnapshotTable[[#This Row],[LC Premium]]&gt;0, SnapshotTable[[#This Row],[LC Next Target]] * SnapshotTable[[#This Row],[LC Qty]] * 100,"")</f>
        <v/>
      </c>
      <c r="DZ126" s="265" t="str">
        <f>IF(ISNUMBER(SnapshotTable[[#This Row],[LC Target Gross]]), SnapshotTable[[#This Row],[LC Target Gross]] - SnapshotTable[[#This Row],[LC Premium]], "")</f>
        <v/>
      </c>
      <c r="EA126" s="305" t="str">
        <f>IF(ISNUMBER(SnapshotTable[[#This Row],[LC Target Gain Loss]]), SnapshotTable[[#This Row],[LC Target Gain Loss]]/SnapshotTable[[#This Row],[LC Premium]], "")</f>
        <v/>
      </c>
      <c r="EB126" s="262"/>
      <c r="EC126" s="283" t="str">
        <f>IF(SnapshotTable[[#This Row],[LC Premium]]&gt;0, SnapshotTable[[#This Row],[LC Book Price]] * (1 - LC_StopLoss_Pct),"")</f>
        <v/>
      </c>
      <c r="ED126" s="284"/>
      <c r="EE126" s="28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4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7"/>
      <c r="EL126" s="138"/>
      <c r="EM126" s="148"/>
      <c r="EN126" s="147"/>
      <c r="EO126" s="147"/>
      <c r="EP126" s="138"/>
      <c r="EQ126" s="419" t="b">
        <f>AND(ISNUMBER(SnapshotTable[[#This Row],[SC Exp Date]]), ISNUMBER(SnapshotTable[[#This Row],[SC Strike Price]]), ISNUMBER(SnapshotTable[[#This Row],[SC Qty]]), ISNUMBER(SnapshotTable[[#This Row],[SC Book Date]]), ISNUMBER(SnapshotTable[[#This Row],[SC Book Price]]))</f>
        <v>0</v>
      </c>
      <c r="ER126" s="419" t="b">
        <f>AND(SnapshotTable[[#This Row],[SC Is Booked]], NOT(ISBLANK(SnapshotTable[[#This Row],[SC Fill Date]])))</f>
        <v>0</v>
      </c>
      <c r="ES126" s="370"/>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3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283"/>
      <c r="FA126" s="218"/>
      <c r="FB126" s="370"/>
      <c r="FC126" s="4">
        <f>IF(SnapshotTable[[#This Row],[SC Is Filled]], btc_max_buyback_amount(SnapshotTable[[#This Row],[SC Fill Date]],SnapshotTable[[#This Row],[SC Exp Date]], SnapshotTable[[#This Row],[SC Book Price]]),0)</f>
        <v>0</v>
      </c>
      <c r="FD126" s="5"/>
      <c r="FE126" s="144"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382">
        <f>IF(SnapshotTable[[#This Row],[SC Is Filled]], IF(ISNUMBER(SnapshotTable[[#This Row],[SC Current Ask]]), SnapshotTable[[#This Row],[SC Current Ask]], SnapshotTable[[#This Row],[SC Book Price]]) - SnapshotTable[[#This Row],[SC Intrinsic Value]], 0)</f>
        <v>0</v>
      </c>
      <c r="FI126" s="143"/>
      <c r="FJ126" s="32" t="str">
        <f>IF(SnapshotTable[[#This Row],[SC Is Filled]],100 * SnapshotTable[[#This Row],[SC Qty]] * IF(ISNUMBER(SnapshotTable[[#This Row],[SC Buyback Override]]), SnapshotTable[[#This Row],[SC Buyback Override]], SnapshotTable[[#This Row],[SC Current Ask]]), "")</f>
        <v/>
      </c>
      <c r="FK126" s="250" t="str">
        <f>IF(SnapshotTable[[#This Row],[SC Time Val]]&gt;0, SnapshotTable[[#This Row],[SC Time Val]] / SnapshotTable[[#This Row],[Last Price]],"")</f>
        <v/>
      </c>
      <c r="FL126" s="302" t="str">
        <f>IF(SnapshotTable[[#This Row],[SC Is Booked]], ((SnapshotTable[[#This Row],[Last Price]] -SnapshotTable[[#This Row],[SC Strike Price]]) / SnapshotTable[[#This Row],[Last Price]]) * -1, "")</f>
        <v/>
      </c>
      <c r="FM126" s="157"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33"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36" t="str">
        <f>IF(AND(ISNUMBER(SnapshotTable[[#This Row],[SC Simple ROO]]),SnapshotTable[[#This Row],[SC Simple ROO]] &gt; 0), SnapshotTable[[#This Row],[SC Premium]] + (SnapshotTable[[#This Row],[SC Qty]] * SnapshotTable[[#This Row],[SC Upside Potential]]), "")</f>
        <v/>
      </c>
      <c r="FX126" s="302" t="str" cm="1">
        <f t="array" ref="FX126">IF(ISNUMBER(SnapshotTable[[#This Row],[SC Max Dollars]]), annualize(SnapshotTable[[#This Row],[SC Term]],(SnapshotTable[[#This Row],[SC Max Dollars]]/SnapshotTable[[#This Row],[SC Basis]])),"")</f>
        <v/>
      </c>
      <c r="FY126" s="23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29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349.32299999999998</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682</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31">
        <f>MAX(SnapshotTable[[#This Row],[Equity Basis Total]],SnapshotTable[[#This Row],[Equity Value]]) + (SnapshotTable[[#This Row],[SP Potential Spend]]- SnapshotTable[[#This Row],[SP Premium]] + SnapshotTable[[#This Row],[LP Premium]])+ (SnapshotTable[[#This Row],[LC Premium]] - SnapshotTable[[#This Row],[SC Premium]])</f>
        <v>0</v>
      </c>
      <c r="GW126" s="139" t="str">
        <f>IF(AND(SnapshotTable[[#This Row],[Exposure]] &lt;&gt; 0),SnapshotTable[[#This Row],[Exposure]] / SnapshotTable[[#Totals],[Exposure]], "")</f>
        <v/>
      </c>
      <c r="HE126" s="268"/>
      <c r="HF126" s="268"/>
      <c r="HK126" s="1"/>
      <c r="HL126" s="1"/>
      <c r="HM126" s="1"/>
      <c r="HN126" s="1"/>
      <c r="HO126" s="1"/>
      <c r="HP126" s="1"/>
    </row>
    <row r="127" spans="2:224" ht="12.75" hidden="1" customHeight="1" x14ac:dyDescent="0.25">
      <c r="B127" s="12" t="s">
        <v>1055</v>
      </c>
      <c r="C127" s="422">
        <v>521.47</v>
      </c>
      <c r="D127" s="208" t="s">
        <v>258</v>
      </c>
      <c r="E127" s="39">
        <f>SnapshotTable[[#This Row],[Last Price]]*(1 -CrashDiscount)</f>
        <v>443.24950000000001</v>
      </c>
      <c r="F127" s="26" t="s">
        <v>5</v>
      </c>
      <c r="G127" s="26" t="s">
        <v>4</v>
      </c>
      <c r="H127" s="149"/>
      <c r="I127" s="194"/>
      <c r="J127" s="195"/>
      <c r="K127" s="196"/>
      <c r="L127" s="326"/>
      <c r="M127" s="140"/>
      <c r="N127" s="140"/>
      <c r="O127" s="140"/>
      <c r="P127" s="22"/>
      <c r="Q127" s="25"/>
      <c r="R127" s="4" t="str">
        <f>IF(SnapshotTable[[#This Row],[Equity Basis Total]] &gt; 0, SnapshotTable[[#This Row],[Equity Basis Total]] / SnapshotTable[[#This Row],[Equity Shares]], "")</f>
        <v/>
      </c>
      <c r="S127" s="269">
        <f>SnapshotTable[[#This Row],[Last Price]] * SnapshotTable[[#This Row],[Equity Shares]]</f>
        <v>0</v>
      </c>
      <c r="T127" s="269">
        <f>SnapshotTable[[#This Row],[Equity Value]] - SnapshotTable[[#This Row],[Equity Basis Total]]</f>
        <v>0</v>
      </c>
      <c r="U127" s="270" t="str">
        <f>IF(SnapshotTable[[#This Row],[Equity Basis Total]] &gt; 0, SnapshotTable[[#This Row],[Equity G/L]] / SnapshotTable[[#This Row],[Equity Basis Total]], "")</f>
        <v/>
      </c>
      <c r="V127" s="268"/>
      <c r="W127" s="26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7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0"/>
      <c r="AD127" s="151"/>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1"/>
      <c r="AI127" s="5"/>
      <c r="AJ127" s="138"/>
      <c r="AK127" s="152" t="str">
        <f>IF(ISNUMBER( SnapshotTable[[#This Row],[EBF Target]]),(SnapshotTable[[#This Row],[EBF Target]] - SnapshotTable[[#This Row],[Last Price]]) / SnapshotTable[[#This Row],[Last Price]], "")</f>
        <v/>
      </c>
      <c r="AL127" s="152"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2" t="str">
        <f>IF(AND(ISNUMBER( SnapshotTable[[#This Row],[Long Term Target]]), ISNUMBER(SnapshotTable[[#This Row],[Last Price]])),(SnapshotTable[[#This Row],[Long Term Target]] - SnapshotTable[[#This Row],[Last Price]]) / SnapshotTable[[#This Row],[Last Price]], "")</f>
        <v/>
      </c>
      <c r="AP127" s="5">
        <v>335</v>
      </c>
      <c r="AQ127" s="38" t="s">
        <v>38</v>
      </c>
      <c r="AR127" s="5">
        <v>335</v>
      </c>
      <c r="AS127" s="38" t="s">
        <v>26</v>
      </c>
      <c r="AT127" s="146" t="s">
        <v>538</v>
      </c>
      <c r="AU127" s="187" t="str">
        <f>IF(OR(SnapshotTable[[#This Row],[LP No Fill]]="Y",SnapshotTable[[#This Row],[SP Is Filled]],SnapshotTable[[#This Row],[LC Not Filled]]="Y",SnapshotTable[[#This Row],[SC Is Filled]]),"Y","")</f>
        <v/>
      </c>
      <c r="AV127" s="219"/>
      <c r="AW127" s="225"/>
      <c r="AX127" s="220"/>
      <c r="AY127" s="219" t="str">
        <f>IF(SnapshotTable[[#This Row],[Implied Move]]&gt;0, SnapshotTable[[#This Row],[Last Price]]-SnapshotTable[[#This Row],[Implied Move]],"")</f>
        <v/>
      </c>
      <c r="AZ127" s="219" t="str">
        <f>IF(SnapshotTable[[#This Row],[Implied Move]]&gt;0, SnapshotTable[[#This Row],[Last Price]] + SnapshotTable[[#This Row],[Implied Move]],"")</f>
        <v/>
      </c>
      <c r="BA127" s="331">
        <v>22.33</v>
      </c>
      <c r="BB127" s="347" t="s">
        <v>1143</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51"/>
      <c r="BE127" s="5"/>
      <c r="BF127" s="14"/>
      <c r="BG127" s="13"/>
      <c r="BH127" s="13"/>
      <c r="BI127" s="5"/>
      <c r="BJ127" s="136">
        <f>IF(SnapshotTable[[#This Row],[LP Qty]] &gt; 0, SnapshotTable[[#This Row],[LP Qty]] * SnapshotTable[[#This Row],[LP Book Price]] * 100,0)</f>
        <v>0</v>
      </c>
      <c r="BK127" s="136">
        <f>IF(SnapshotTable[[#This Row],[LP Premium]] &gt; 0, SnapshotTable[[#This Row],[LP Qty]] * SnapshotTable[[#This Row],[LP Strike Price]] * 100,0)</f>
        <v>0</v>
      </c>
      <c r="BL127" s="154"/>
      <c r="BM127" s="385" t="str">
        <f>IF(SnapshotTable[[#This Row],[LP Premium]] &gt; 0,SnapshotTable[[#This Row],[LP Exp Date]]-MAX(SnapshotTable[[#This Row],[LP Book Date]], SnapshotTable[[#This Row],[LP Fill Date]]),"")</f>
        <v/>
      </c>
      <c r="BN127" s="385" t="str">
        <f>IF(ISNUMBER( SnapshotTable[[#This Row],[LP Term]]), SnapshotTable[[#This Row],[LP Exp Date]] - MockToday,"")</f>
        <v/>
      </c>
      <c r="BO127" s="163"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7"/>
      <c r="BU127" s="13"/>
      <c r="BV127" s="5"/>
      <c r="BW127" s="419" t="b">
        <f>AND(ISNUMBER(SnapshotTable[[#This Row],[SP Exp Date]]), ISNUMBER(SnapshotTable[[#This Row],[SP Strike Price]]), ISNUMBER(SnapshotTable[[#This Row],[SP Qty]]), ISNUMBER(SnapshotTable[[#This Row],[SP Book Date]]), ISNUMBER(SnapshotTable[[#This Row],[SP Book Price]]))</f>
        <v>0</v>
      </c>
      <c r="BX127" s="419" t="b">
        <f>AND(SnapshotTable[[#This Row],[SP Is Booked]], NOT(ISBLANK(SnapshotTable[[#This Row],[SP Fill Date]])))</f>
        <v>0</v>
      </c>
      <c r="BY127" s="33">
        <f>IF(SnapshotTable[[#This Row],[SP Is Booked]], SnapshotTable[[#This Row],[SP Qty]] * SnapshotTable[[#This Row],[SP Book Price]] * 100, 0)</f>
        <v>0</v>
      </c>
      <c r="BZ127" s="369"/>
      <c r="CA127" s="368">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3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44"/>
      <c r="CK127" s="31">
        <f>IF(ISNUMBER(SnapshotTable[[#This Row],[SP Potential Spend]]),IF(ISNUMBER(SnapshotTable[[#This Row],[SP POW]]), SnapshotTable[[#This Row],[SP POW]] * SnapshotTable[[#This Row],[SP Potential Spend]], SnapshotTable[[#This Row],[SP Potential Spend]]), "")</f>
        <v>0</v>
      </c>
      <c r="CL127" s="164">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8"/>
      <c r="CO127" s="369">
        <v>0</v>
      </c>
      <c r="CP127" s="4" t="str">
        <f>IF(SnapshotTable[[#This Row],[SP Is Filled]], btc_max_buyback_amount(SnapshotTable[[#This Row],[SP Fill Date]],SnapshotTable[[#This Row],[SP Exp Date]], SnapshotTable[[#This Row],[SP Book Price]]),"")</f>
        <v/>
      </c>
      <c r="CQ127" s="78"/>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5" t="str">
        <f>IF(SnapshotTable[[#This Row],[SP Is Filled]], btc_next_cutoff_date(SnapshotTable[[#This Row],[SP Fill Date]],SnapshotTable[[#This Row],[SP Exp Date]]),"")</f>
        <v/>
      </c>
      <c r="CT127" s="23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3"/>
      <c r="CV127" s="235"/>
      <c r="CW127" s="378"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294" t="str">
        <f>IF(ISNUMBER((SnapshotTable[[#This Row],[SP Total Value]])), SnapshotTable[[#This Row],[SP Gain Loss]] / SnapshotTable[[#This Row],[SP Premium]], "")</f>
        <v/>
      </c>
      <c r="DI127" s="406"/>
      <c r="DJ127" s="138"/>
      <c r="DK127" s="148"/>
      <c r="DL127" s="13"/>
      <c r="DM127" s="13"/>
      <c r="DO127" s="31">
        <f>IF(SnapshotTable[[#This Row],[LC Symbol Count]]=1, SnapshotTable[[#This Row],[LC Qty]] * SnapshotTable[[#This Row],[LC Book Price]] * 100, 0)</f>
        <v>0</v>
      </c>
      <c r="DP127" s="163" t="str">
        <f>IF(AND(SnapshotTable[[#This Row],[LC Exp Date]]&gt;0, SnapshotTable[[#This Row],[LC Strike Price]]&gt;0,SnapshotTable[[#This Row],[LC Qty]]&gt;0,SnapshotTable[[#This Row],[LC Book Date]]&gt;0,SnapshotTable[[#This Row],[LC Book Price]]&gt;0,SnapshotTable[[#This Row],[LC Fill Date]]=0),"Y","")</f>
        <v/>
      </c>
      <c r="DQ127" s="386" t="str">
        <f>IF(SnapshotTable[[#This Row],[LC Premium]] &gt; 0,SnapshotTable[[#This Row],[LC Exp Date]]-MAX(SnapshotTable[[#This Row],[LC Book Date]], SnapshotTable[[#This Row],[LC Fill Date]]),"")</f>
        <v/>
      </c>
      <c r="DR127" s="386" t="str">
        <f>IF(ISNUMBER(SnapshotTable[[#This Row],[LC Term]]), SnapshotTable[[#This Row],[LC Exp Date]] - MockToday, "")</f>
        <v/>
      </c>
      <c r="DS127" s="23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40" t="str">
        <f>IF(ISNUMBER(SnapshotTable[[#This Row],[LC Actual Gain Loss]]), SnapshotTable[[#This Row],[LC Actual Gain Loss]] / SnapshotTable[[#This Row],[LC Premium]],"")</f>
        <v/>
      </c>
      <c r="DX127" s="284" t="str">
        <f>IF(ISNUMBER(SnapshotTable[[#This Row],[LC Book Price]]),SnapshotTable[[#This Row],[LC Book Price]] * 1.5,"")</f>
        <v/>
      </c>
      <c r="DY127" s="265" t="str">
        <f>IF(SnapshotTable[[#This Row],[LC Premium]]&gt;0, SnapshotTable[[#This Row],[LC Next Target]] * SnapshotTable[[#This Row],[LC Qty]] * 100,"")</f>
        <v/>
      </c>
      <c r="DZ127" s="265" t="str">
        <f>IF(ISNUMBER(SnapshotTable[[#This Row],[LC Target Gross]]), SnapshotTable[[#This Row],[LC Target Gross]] - SnapshotTable[[#This Row],[LC Premium]], "")</f>
        <v/>
      </c>
      <c r="EA127" s="305" t="str">
        <f>IF(ISNUMBER(SnapshotTable[[#This Row],[LC Target Gain Loss]]), SnapshotTable[[#This Row],[LC Target Gain Loss]]/SnapshotTable[[#This Row],[LC Premium]], "")</f>
        <v/>
      </c>
      <c r="EB127" s="262"/>
      <c r="EC127" s="283" t="str">
        <f>IF(SnapshotTable[[#This Row],[LC Premium]]&gt;0, SnapshotTable[[#This Row],[LC Book Price]] * (1 - LC_StopLoss_Pct),"")</f>
        <v/>
      </c>
      <c r="ED127" s="284"/>
      <c r="EE127" s="28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4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7"/>
      <c r="EL127" s="138"/>
      <c r="EM127" s="148"/>
      <c r="EN127" s="147"/>
      <c r="EO127" s="147"/>
      <c r="EP127" s="138"/>
      <c r="EQ127" s="419" t="b">
        <f>AND(ISNUMBER(SnapshotTable[[#This Row],[SC Exp Date]]), ISNUMBER(SnapshotTable[[#This Row],[SC Strike Price]]), ISNUMBER(SnapshotTable[[#This Row],[SC Qty]]), ISNUMBER(SnapshotTable[[#This Row],[SC Book Date]]), ISNUMBER(SnapshotTable[[#This Row],[SC Book Price]]))</f>
        <v>0</v>
      </c>
      <c r="ER127" s="419" t="b">
        <f>AND(SnapshotTable[[#This Row],[SC Is Booked]], NOT(ISBLANK(SnapshotTable[[#This Row],[SC Fill Date]])))</f>
        <v>0</v>
      </c>
      <c r="ES127" s="370"/>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3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283"/>
      <c r="FA127" s="218"/>
      <c r="FB127" s="370"/>
      <c r="FC127" s="4">
        <f>IF(SnapshotTable[[#This Row],[SC Is Filled]], btc_max_buyback_amount(SnapshotTable[[#This Row],[SC Fill Date]],SnapshotTable[[#This Row],[SC Exp Date]], SnapshotTable[[#This Row],[SC Book Price]]),0)</f>
        <v>0</v>
      </c>
      <c r="FD127" s="5"/>
      <c r="FE127" s="144"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382">
        <f>IF(SnapshotTable[[#This Row],[SC Is Filled]], IF(ISNUMBER(SnapshotTable[[#This Row],[SC Current Ask]]), SnapshotTable[[#This Row],[SC Current Ask]], SnapshotTable[[#This Row],[SC Book Price]]) - SnapshotTable[[#This Row],[SC Intrinsic Value]], 0)</f>
        <v>0</v>
      </c>
      <c r="FI127" s="143"/>
      <c r="FJ127" s="32" t="str">
        <f>IF(SnapshotTable[[#This Row],[SC Is Filled]],100 * SnapshotTable[[#This Row],[SC Qty]] * IF(ISNUMBER(SnapshotTable[[#This Row],[SC Buyback Override]]), SnapshotTable[[#This Row],[SC Buyback Override]], SnapshotTable[[#This Row],[SC Current Ask]]), "")</f>
        <v/>
      </c>
      <c r="FK127" s="250" t="str">
        <f>IF(SnapshotTable[[#This Row],[SC Time Val]]&gt;0, SnapshotTable[[#This Row],[SC Time Val]] / SnapshotTable[[#This Row],[Last Price]],"")</f>
        <v/>
      </c>
      <c r="FL127" s="302" t="str">
        <f>IF(SnapshotTable[[#This Row],[SC Is Booked]], ((SnapshotTable[[#This Row],[Last Price]] -SnapshotTable[[#This Row],[SC Strike Price]]) / SnapshotTable[[#This Row],[Last Price]]) * -1, "")</f>
        <v/>
      </c>
      <c r="FM127" s="157"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33"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36" t="str">
        <f>IF(AND(ISNUMBER(SnapshotTable[[#This Row],[SC Simple ROO]]),SnapshotTable[[#This Row],[SC Simple ROO]] &gt; 0), SnapshotTable[[#This Row],[SC Premium]] + (SnapshotTable[[#This Row],[SC Qty]] * SnapshotTable[[#This Row],[SC Upside Potential]]), "")</f>
        <v/>
      </c>
      <c r="FX127" s="302" t="str" cm="1">
        <f t="array" ref="FX127">IF(ISNUMBER(SnapshotTable[[#This Row],[SC Max Dollars]]), annualize(SnapshotTable[[#This Row],[SC Term]],(SnapshotTable[[#This Row],[SC Max Dollars]]/SnapshotTable[[#This Row],[SC Basis]])),"")</f>
        <v/>
      </c>
      <c r="FY127" s="23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29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1016.8665</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1115</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31">
        <f>MAX(SnapshotTable[[#This Row],[Equity Basis Total]],SnapshotTable[[#This Row],[Equity Value]]) + (SnapshotTable[[#This Row],[SP Potential Spend]]- SnapshotTable[[#This Row],[SP Premium]] + SnapshotTable[[#This Row],[LP Premium]])+ (SnapshotTable[[#This Row],[LC Premium]] - SnapshotTable[[#This Row],[SC Premium]])</f>
        <v>0</v>
      </c>
      <c r="GW127" s="139" t="str">
        <f>IF(AND(SnapshotTable[[#This Row],[Exposure]] &lt;&gt; 0),SnapshotTable[[#This Row],[Exposure]] / SnapshotTable[[#Totals],[Exposure]], "")</f>
        <v/>
      </c>
      <c r="HE127" s="268"/>
      <c r="HF127" s="268"/>
      <c r="HK127" s="1"/>
      <c r="HL127" s="1"/>
      <c r="HM127" s="1"/>
      <c r="HN127" s="1"/>
      <c r="HO127" s="1"/>
      <c r="HP127" s="1"/>
    </row>
    <row r="128" spans="2:224" ht="12.75" hidden="1" customHeight="1" x14ac:dyDescent="0.25">
      <c r="B128" s="12" t="s">
        <v>841</v>
      </c>
      <c r="C128" s="422">
        <v>168.82</v>
      </c>
      <c r="D128" s="208"/>
      <c r="E128" s="39">
        <f>SnapshotTable[[#This Row],[Last Price]]*(1 -CrashDiscount)</f>
        <v>143.49699999999999</v>
      </c>
      <c r="F128" s="26" t="s">
        <v>223</v>
      </c>
      <c r="G128" s="26" t="s">
        <v>49</v>
      </c>
      <c r="H128" s="149"/>
      <c r="I128" s="194">
        <v>44770.666666666664</v>
      </c>
      <c r="J128" s="195">
        <v>44770.666666666664</v>
      </c>
      <c r="K128" s="196"/>
      <c r="L128" s="326"/>
      <c r="M128" s="140">
        <v>1</v>
      </c>
      <c r="N128" s="140"/>
      <c r="O128" s="140"/>
      <c r="P128" s="22"/>
      <c r="Q128" s="25"/>
      <c r="R128" s="4" t="str">
        <f>IF(SnapshotTable[[#This Row],[Equity Basis Total]] &gt; 0, SnapshotTable[[#This Row],[Equity Basis Total]] / SnapshotTable[[#This Row],[Equity Shares]], "")</f>
        <v/>
      </c>
      <c r="S128" s="269">
        <f>SnapshotTable[[#This Row],[Last Price]] * SnapshotTable[[#This Row],[Equity Shares]]</f>
        <v>0</v>
      </c>
      <c r="T128" s="269">
        <f>SnapshotTable[[#This Row],[Equity Value]] - SnapshotTable[[#This Row],[Equity Basis Total]]</f>
        <v>0</v>
      </c>
      <c r="U128" s="270" t="str">
        <f>IF(SnapshotTable[[#This Row],[Equity Basis Total]] &gt; 0, SnapshotTable[[#This Row],[Equity G/L]] / SnapshotTable[[#This Row],[Equity Basis Total]], "")</f>
        <v/>
      </c>
      <c r="V128" s="268"/>
      <c r="W128" s="26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7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0"/>
      <c r="AD128" s="151"/>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1"/>
      <c r="AI128" s="5">
        <v>185</v>
      </c>
      <c r="AJ128" s="138">
        <v>167.53</v>
      </c>
      <c r="AK128" s="152">
        <f>IF(ISNUMBER( SnapshotTable[[#This Row],[EBF Target]]),(SnapshotTable[[#This Row],[EBF Target]] - SnapshotTable[[#This Row],[Last Price]]) / SnapshotTable[[#This Row],[Last Price]], "")</f>
        <v>9.5841724914109749E-2</v>
      </c>
      <c r="AL128" s="152"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2">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6"/>
      <c r="AU128" s="187" t="str">
        <f>IF(OR(SnapshotTable[[#This Row],[LP No Fill]]="Y",SnapshotTable[[#This Row],[SP Is Filled]],SnapshotTable[[#This Row],[LC Not Filled]]="Y",SnapshotTable[[#This Row],[SC Is Filled]]),"Y","")</f>
        <v/>
      </c>
      <c r="AV128" s="219"/>
      <c r="AW128" s="225"/>
      <c r="AX128" s="220"/>
      <c r="AY128" s="219" t="str">
        <f>IF(SnapshotTable[[#This Row],[Implied Move]]&gt;0, SnapshotTable[[#This Row],[Last Price]]-SnapshotTable[[#This Row],[Implied Move]],"")</f>
        <v/>
      </c>
      <c r="AZ128" s="219" t="str">
        <f>IF(SnapshotTable[[#This Row],[Implied Move]]&gt;0, SnapshotTable[[#This Row],[Last Price]] + SnapshotTable[[#This Row],[Implied Move]],"")</f>
        <v/>
      </c>
      <c r="BA128" s="331"/>
      <c r="BB128" s="347"/>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51"/>
      <c r="BE128" s="138"/>
      <c r="BF128" s="166"/>
      <c r="BG128" s="167"/>
      <c r="BH128" s="167"/>
      <c r="BI128" s="221"/>
      <c r="BJ128" s="153">
        <f>IF(SnapshotTable[[#This Row],[LP Qty]] &gt; 0, SnapshotTable[[#This Row],[LP Qty]] * SnapshotTable[[#This Row],[LP Book Price]] * 100,0)</f>
        <v>0</v>
      </c>
      <c r="BK128" s="136">
        <f>IF(SnapshotTable[[#This Row],[LP Premium]] &gt; 0, SnapshotTable[[#This Row],[LP Qty]] * SnapshotTable[[#This Row],[LP Strike Price]] * 100,0)</f>
        <v>0</v>
      </c>
      <c r="BL128" s="154"/>
      <c r="BM128" s="385" t="str">
        <f>IF(SnapshotTable[[#This Row],[LP Premium]] &gt; 0,SnapshotTable[[#This Row],[LP Exp Date]]-MAX(SnapshotTable[[#This Row],[LP Book Date]], SnapshotTable[[#This Row],[LP Fill Date]]),"")</f>
        <v/>
      </c>
      <c r="BN128" s="385" t="str">
        <f>IF(ISNUMBER( SnapshotTable[[#This Row],[LP Term]]), SnapshotTable[[#This Row],[LP Exp Date]] - MockToday,"")</f>
        <v/>
      </c>
      <c r="BO128" s="163"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7"/>
      <c r="BU128" s="13"/>
      <c r="BV128" s="5"/>
      <c r="BW128" s="419" t="b">
        <f>AND(ISNUMBER(SnapshotTable[[#This Row],[SP Exp Date]]), ISNUMBER(SnapshotTable[[#This Row],[SP Strike Price]]), ISNUMBER(SnapshotTable[[#This Row],[SP Qty]]), ISNUMBER(SnapshotTable[[#This Row],[SP Book Date]]), ISNUMBER(SnapshotTable[[#This Row],[SP Book Price]]))</f>
        <v>0</v>
      </c>
      <c r="BX128" s="419" t="b">
        <f>AND(SnapshotTable[[#This Row],[SP Is Booked]], NOT(ISBLANK(SnapshotTable[[#This Row],[SP Fill Date]])))</f>
        <v>0</v>
      </c>
      <c r="BY128" s="33">
        <f>IF(SnapshotTable[[#This Row],[SP Is Booked]], SnapshotTable[[#This Row],[SP Qty]] * SnapshotTable[[#This Row],[SP Book Price]] * 100, 0)</f>
        <v>0</v>
      </c>
      <c r="BZ128" s="369"/>
      <c r="CA128" s="368">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3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44"/>
      <c r="CK128" s="31">
        <f>IF(ISNUMBER(SnapshotTable[[#This Row],[SP Potential Spend]]),IF(ISNUMBER(SnapshotTable[[#This Row],[SP POW]]), SnapshotTable[[#This Row],[SP POW]] * SnapshotTable[[#This Row],[SP Potential Spend]], SnapshotTable[[#This Row],[SP Potential Spend]]), "")</f>
        <v>0</v>
      </c>
      <c r="CL128" s="164">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4"/>
      <c r="CO128" s="369"/>
      <c r="CP128" s="4" t="str">
        <f>IF(SnapshotTable[[#This Row],[SP Is Filled]], btc_max_buyback_amount(SnapshotTable[[#This Row],[SP Fill Date]],SnapshotTable[[#This Row],[SP Exp Date]], SnapshotTable[[#This Row],[SP Book Price]]),"")</f>
        <v/>
      </c>
      <c r="CQ128" s="78"/>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5" t="str">
        <f>IF(SnapshotTable[[#This Row],[SP Is Filled]], btc_next_cutoff_date(SnapshotTable[[#This Row],[SP Fill Date]],SnapshotTable[[#This Row],[SP Exp Date]]),"")</f>
        <v/>
      </c>
      <c r="CT128" s="23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6"/>
      <c r="CV128" s="235"/>
      <c r="CW128" s="378"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294" t="str">
        <f>IF(ISNUMBER((SnapshotTable[[#This Row],[SP Total Value]])), SnapshotTable[[#This Row],[SP Gain Loss]] / SnapshotTable[[#This Row],[SP Premium]], "")</f>
        <v/>
      </c>
      <c r="DI128" s="406"/>
      <c r="DJ128" s="138"/>
      <c r="DK128" s="148"/>
      <c r="DL128" s="147"/>
      <c r="DM128" s="147"/>
      <c r="DO128" s="31">
        <f>IF(SnapshotTable[[#This Row],[LC Symbol Count]]=1, SnapshotTable[[#This Row],[LC Qty]] * SnapshotTable[[#This Row],[LC Book Price]] * 100, 0)</f>
        <v>0</v>
      </c>
      <c r="DP128" s="163" t="str">
        <f>IF(AND(SnapshotTable[[#This Row],[LC Exp Date]]&gt;0, SnapshotTable[[#This Row],[LC Strike Price]]&gt;0,SnapshotTable[[#This Row],[LC Qty]]&gt;0,SnapshotTable[[#This Row],[LC Book Date]]&gt;0,SnapshotTable[[#This Row],[LC Book Price]]&gt;0,SnapshotTable[[#This Row],[LC Fill Date]]=0),"Y","")</f>
        <v/>
      </c>
      <c r="DQ128" s="386" t="str">
        <f>IF(SnapshotTable[[#This Row],[LC Premium]] &gt; 0,SnapshotTable[[#This Row],[LC Exp Date]]-MAX(SnapshotTable[[#This Row],[LC Book Date]], SnapshotTable[[#This Row],[LC Fill Date]]),"")</f>
        <v/>
      </c>
      <c r="DR128" s="386" t="str">
        <f>IF(ISNUMBER(SnapshotTable[[#This Row],[LC Term]]), SnapshotTable[[#This Row],[LC Exp Date]] - MockToday, "")</f>
        <v/>
      </c>
      <c r="DS128" s="23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40" t="str">
        <f>IF(ISNUMBER(SnapshotTable[[#This Row],[LC Actual Gain Loss]]), SnapshotTable[[#This Row],[LC Actual Gain Loss]] / SnapshotTable[[#This Row],[LC Premium]],"")</f>
        <v/>
      </c>
      <c r="DX128" s="284" t="str">
        <f>IF(ISNUMBER(SnapshotTable[[#This Row],[LC Book Price]]),SnapshotTable[[#This Row],[LC Book Price]] * 1.5,"")</f>
        <v/>
      </c>
      <c r="DY128" s="265" t="str">
        <f>IF(SnapshotTable[[#This Row],[LC Premium]]&gt;0, SnapshotTable[[#This Row],[LC Next Target]] * SnapshotTable[[#This Row],[LC Qty]] * 100,"")</f>
        <v/>
      </c>
      <c r="DZ128" s="265" t="str">
        <f>IF(ISNUMBER(SnapshotTable[[#This Row],[LC Target Gross]]), SnapshotTable[[#This Row],[LC Target Gross]] - SnapshotTable[[#This Row],[LC Premium]], "")</f>
        <v/>
      </c>
      <c r="EA128" s="305" t="str">
        <f>IF(ISNUMBER(SnapshotTable[[#This Row],[LC Target Gain Loss]]), SnapshotTable[[#This Row],[LC Target Gain Loss]]/SnapshotTable[[#This Row],[LC Premium]], "")</f>
        <v/>
      </c>
      <c r="EB128" s="262"/>
      <c r="EC128" s="283" t="str">
        <f>IF(SnapshotTable[[#This Row],[LC Premium]]&gt;0, SnapshotTable[[#This Row],[LC Book Price]] * (1 - LC_StopLoss_Pct),"")</f>
        <v/>
      </c>
      <c r="ED128" s="284"/>
      <c r="EE128" s="28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4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7"/>
      <c r="EL128" s="138"/>
      <c r="EM128" s="148"/>
      <c r="EN128" s="147"/>
      <c r="EO128" s="147"/>
      <c r="EP128" s="138"/>
      <c r="EQ128" s="419" t="b">
        <f>AND(ISNUMBER(SnapshotTable[[#This Row],[SC Exp Date]]), ISNUMBER(SnapshotTable[[#This Row],[SC Strike Price]]), ISNUMBER(SnapshotTable[[#This Row],[SC Qty]]), ISNUMBER(SnapshotTable[[#This Row],[SC Book Date]]), ISNUMBER(SnapshotTable[[#This Row],[SC Book Price]]))</f>
        <v>0</v>
      </c>
      <c r="ER128" s="419" t="b">
        <f>AND(SnapshotTable[[#This Row],[SC Is Booked]], NOT(ISBLANK(SnapshotTable[[#This Row],[SC Fill Date]])))</f>
        <v>0</v>
      </c>
      <c r="ES128" s="370"/>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3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283"/>
      <c r="FA128" s="218"/>
      <c r="FB128" s="370"/>
      <c r="FC128" s="4">
        <f>IF(SnapshotTable[[#This Row],[SC Is Filled]], btc_max_buyback_amount(SnapshotTable[[#This Row],[SC Fill Date]],SnapshotTable[[#This Row],[SC Exp Date]], SnapshotTable[[#This Row],[SC Book Price]]),0)</f>
        <v>0</v>
      </c>
      <c r="FD128" s="5"/>
      <c r="FE128" s="144"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382">
        <f>IF(SnapshotTable[[#This Row],[SC Is Filled]], IF(ISNUMBER(SnapshotTable[[#This Row],[SC Current Ask]]), SnapshotTable[[#This Row],[SC Current Ask]], SnapshotTable[[#This Row],[SC Book Price]]) - SnapshotTable[[#This Row],[SC Intrinsic Value]], 0)</f>
        <v>0</v>
      </c>
      <c r="FI128" s="143"/>
      <c r="FJ128" s="32" t="str">
        <f>IF(SnapshotTable[[#This Row],[SC Is Filled]],100 * SnapshotTable[[#This Row],[SC Qty]] * IF(ISNUMBER(SnapshotTable[[#This Row],[SC Buyback Override]]), SnapshotTable[[#This Row],[SC Buyback Override]], SnapshotTable[[#This Row],[SC Current Ask]]), "")</f>
        <v/>
      </c>
      <c r="FK128" s="250" t="str">
        <f>IF(SnapshotTable[[#This Row],[SC Time Val]]&gt;0, SnapshotTable[[#This Row],[SC Time Val]] / SnapshotTable[[#This Row],[Last Price]],"")</f>
        <v/>
      </c>
      <c r="FL128" s="302" t="str">
        <f>IF(SnapshotTable[[#This Row],[SC Is Booked]], ((SnapshotTable[[#This Row],[Last Price]] -SnapshotTable[[#This Row],[SC Strike Price]]) / SnapshotTable[[#This Row],[Last Price]]) * -1, "")</f>
        <v/>
      </c>
      <c r="FM128" s="157" t="str">
        <f>IF(SnapshotTable[[#This Row],[SC Is Booked]],  (SnapshotTable[[#This Row],[SC Qty]] * 100 * SnapshotTable[[#This Row],[SC Strike Price]]) - SnapshotTable[[#This Row],[SC Current Ask]], "")</f>
        <v/>
      </c>
      <c r="FN12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7"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33"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36" t="str">
        <f>IF(AND(ISNUMBER(SnapshotTable[[#This Row],[SC Simple ROO]]),SnapshotTable[[#This Row],[SC Simple ROO]] &gt; 0), SnapshotTable[[#This Row],[SC Premium]] + (SnapshotTable[[#This Row],[SC Qty]] * SnapshotTable[[#This Row],[SC Upside Potential]]), "")</f>
        <v/>
      </c>
      <c r="FX128" s="302" t="str" cm="1">
        <f t="array" ref="FX128">IF(ISNUMBER(SnapshotTable[[#This Row],[SC Max Dollars]]), annualize(SnapshotTable[[#This Row],[SC Term]],(SnapshotTable[[#This Row],[SC Max Dollars]]/SnapshotTable[[#This Row],[SC Basis]])),"")</f>
        <v/>
      </c>
      <c r="FY128" s="23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29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8" t="str">
        <f>IF(SnapshotTable[[#This Row],[Sale G/L]]&gt;0, SnapshotTable[[#This Row],[Sale G/L]] / SnapshotTable[[#This Row],[Sale Basis]], IF(ISNUMBER(SnapshotTable[[#This Row],[SC Exercise P&amp;L (TAX)]]), SnapshotTable[[#This Row],[SC Exercise P&amp;L (TAX)]] / SnapshotTable[[#This Row],[SC Basis]], ""))</f>
        <v/>
      </c>
      <c r="GK128" s="27"/>
      <c r="GL128" s="159"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59" t="str">
        <f>IF(AND(SnapshotTable[[#This Row],[LC Exp Date]]&gt;0,SnapshotTable[[#This Row],[LC Strike Price]]&gt;0), [1]!ToOptionSymbol(SnapshotTable[[#This Row],[Symbol]], SnapshotTable[[#This Row],[LC Strike Price]],SnapshotTable[[#This Row],[LC Exp Date]],0), "")</f>
        <v/>
      </c>
      <c r="GQ128" s="160" t="str">
        <f>IF(LEN(SnapshotTable[[#This Row],[LC Symbol]])&gt;0, 1, "")</f>
        <v/>
      </c>
      <c r="GR128" s="159" t="str">
        <f>IF(AND(SnapshotTable[[#This Row],[SC Exp Date]]&gt;0,SnapshotTable[[#This Row],[SC Strike Price]]&gt;0), [1]!ToOptionSymbol(SnapshotTable[[#This Row],[Symbol]], SnapshotTable[[#This Row],[SC Strike Price]],SnapshotTable[[#This Row],[SC Exp Date]],0), "")</f>
        <v/>
      </c>
      <c r="GS128" s="160" t="str">
        <f>IF(LEN(SnapshotTable[[#This Row],[SC Symbol]])&gt;0, 1, "")</f>
        <v/>
      </c>
      <c r="GT128" s="161"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31">
        <f>MAX(SnapshotTable[[#This Row],[Equity Basis Total]],SnapshotTable[[#This Row],[Equity Value]]) + (SnapshotTable[[#This Row],[SP Potential Spend]]- SnapshotTable[[#This Row],[SP Premium]] + SnapshotTable[[#This Row],[LP Premium]])+ (SnapshotTable[[#This Row],[LC Premium]] - SnapshotTable[[#This Row],[SC Premium]])</f>
        <v>0</v>
      </c>
      <c r="GW128" s="139" t="str">
        <f>IF(AND(SnapshotTable[[#This Row],[Exposure]] &lt;&gt; 0),SnapshotTable[[#This Row],[Exposure]] / SnapshotTable[[#Totals],[Exposure]], "")</f>
        <v/>
      </c>
      <c r="HE128" s="268"/>
      <c r="HF128" s="268"/>
      <c r="HK128" s="1"/>
      <c r="HL128" s="1"/>
      <c r="HM128" s="1"/>
      <c r="HN128" s="1"/>
      <c r="HO128" s="1"/>
      <c r="HP128" s="1"/>
    </row>
    <row r="129" spans="2:224" ht="12.75" hidden="1" customHeight="1" x14ac:dyDescent="0.25">
      <c r="B129" s="12" t="s">
        <v>608</v>
      </c>
      <c r="C129" s="422">
        <v>22.83</v>
      </c>
      <c r="D129" s="208" t="s">
        <v>578</v>
      </c>
      <c r="E129" s="39">
        <f>SnapshotTable[[#This Row],[Last Price]]*(1 -CrashDiscount)</f>
        <v>19.405499999999996</v>
      </c>
      <c r="F129" s="26" t="s">
        <v>892</v>
      </c>
      <c r="G129" s="26" t="s">
        <v>893</v>
      </c>
      <c r="H129" s="149"/>
      <c r="I129" s="194">
        <v>45142</v>
      </c>
      <c r="J129" s="195">
        <v>44778.291666666664</v>
      </c>
      <c r="K129" s="196"/>
      <c r="L129" s="326"/>
      <c r="M129" s="140"/>
      <c r="N129" s="140"/>
      <c r="O129" s="140"/>
      <c r="P129" s="22"/>
      <c r="Q129" s="25"/>
      <c r="R129" s="4" t="str">
        <f>IF(SnapshotTable[[#This Row],[Equity Basis Total]] &gt; 0, SnapshotTable[[#This Row],[Equity Basis Total]] / SnapshotTable[[#This Row],[Equity Shares]], "")</f>
        <v/>
      </c>
      <c r="S129" s="269">
        <f>SnapshotTable[[#This Row],[Last Price]] * SnapshotTable[[#This Row],[Equity Shares]]</f>
        <v>0</v>
      </c>
      <c r="T129" s="269">
        <f>SnapshotTable[[#This Row],[Equity Value]] - SnapshotTable[[#This Row],[Equity Basis Total]]</f>
        <v>0</v>
      </c>
      <c r="U129" s="270" t="str">
        <f>IF(SnapshotTable[[#This Row],[Equity Basis Total]] &gt; 0, SnapshotTable[[#This Row],[Equity G/L]] / SnapshotTable[[#This Row],[Equity Basis Total]], "")</f>
        <v/>
      </c>
      <c r="V129" s="268">
        <v>80</v>
      </c>
      <c r="W129" s="26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7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0"/>
      <c r="AD129" s="151"/>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1"/>
      <c r="AI129" s="5">
        <f>SnapshotTable[[#This Row],[Equity Target]]</f>
        <v>80</v>
      </c>
      <c r="AJ129" s="138">
        <v>33.56</v>
      </c>
      <c r="AK129" s="152">
        <f>IF(ISNUMBER( SnapshotTable[[#This Row],[EBF Target]]),(SnapshotTable[[#This Row],[EBF Target]] - SnapshotTable[[#This Row],[Last Price]]) / SnapshotTable[[#This Row],[Last Price]], "")</f>
        <v>2.5041611914148052</v>
      </c>
      <c r="AL129" s="152"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2">
        <f>IF(AND(ISNUMBER( SnapshotTable[[#This Row],[Long Term Target]]), ISNUMBER(SnapshotTable[[#This Row],[Last Price]])),(SnapshotTable[[#This Row],[Long Term Target]] - SnapshotTable[[#This Row],[Last Price]]) / SnapshotTable[[#This Row],[Last Price]], "")</f>
        <v>0.46999561979851096</v>
      </c>
      <c r="AP129" s="5">
        <v>25.5</v>
      </c>
      <c r="AQ129" s="38" t="s">
        <v>38</v>
      </c>
      <c r="AR129" s="5">
        <v>25.5</v>
      </c>
      <c r="AS129" s="38" t="s">
        <v>26</v>
      </c>
      <c r="AT129" s="146" t="s">
        <v>538</v>
      </c>
      <c r="AU129" s="187" t="str">
        <f>IF(OR(SnapshotTable[[#This Row],[LP No Fill]]="Y",SnapshotTable[[#This Row],[SP Is Filled]],SnapshotTable[[#This Row],[LC Not Filled]]="Y",SnapshotTable[[#This Row],[SC Is Filled]]),"Y","")</f>
        <v/>
      </c>
      <c r="AV129" s="219"/>
      <c r="AW129" s="225"/>
      <c r="AX129" s="220"/>
      <c r="AY129" s="219" t="str">
        <f>IF(SnapshotTable[[#This Row],[Implied Move]]&gt;0, SnapshotTable[[#This Row],[Last Price]]-SnapshotTable[[#This Row],[Implied Move]],"")</f>
        <v/>
      </c>
      <c r="AZ129" s="219" t="str">
        <f>IF(SnapshotTable[[#This Row],[Implied Move]]&gt;0, SnapshotTable[[#This Row],[Last Price]] + SnapshotTable[[#This Row],[Implied Move]],"")</f>
        <v/>
      </c>
      <c r="BA129" s="331">
        <v>22.7</v>
      </c>
      <c r="BB129" s="347"/>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51"/>
      <c r="BE129" s="138"/>
      <c r="BF129" s="166"/>
      <c r="BG129" s="167"/>
      <c r="BH129" s="167"/>
      <c r="BI129" s="221"/>
      <c r="BJ129" s="153">
        <f>IF(SnapshotTable[[#This Row],[LP Qty]] &gt; 0, SnapshotTable[[#This Row],[LP Qty]] * SnapshotTable[[#This Row],[LP Book Price]] * 100,0)</f>
        <v>0</v>
      </c>
      <c r="BK129" s="136">
        <f>IF(SnapshotTable[[#This Row],[LP Premium]] &gt; 0, SnapshotTable[[#This Row],[LP Qty]] * SnapshotTable[[#This Row],[LP Strike Price]] * 100,0)</f>
        <v>0</v>
      </c>
      <c r="BL129" s="154"/>
      <c r="BM129" s="385" t="str">
        <f>IF(SnapshotTable[[#This Row],[LP Premium]] &gt; 0,SnapshotTable[[#This Row],[LP Exp Date]]-MAX(SnapshotTable[[#This Row],[LP Book Date]], SnapshotTable[[#This Row],[LP Fill Date]]),"")</f>
        <v/>
      </c>
      <c r="BN129" s="385" t="str">
        <f>IF(ISNUMBER( SnapshotTable[[#This Row],[LP Term]]), SnapshotTable[[#This Row],[LP Exp Date]] - MockToday,"")</f>
        <v/>
      </c>
      <c r="BO129" s="163"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7"/>
      <c r="BU129" s="13"/>
      <c r="BV129" s="5"/>
      <c r="BW129" s="419" t="b">
        <f>AND(ISNUMBER(SnapshotTable[[#This Row],[SP Exp Date]]), ISNUMBER(SnapshotTable[[#This Row],[SP Strike Price]]), ISNUMBER(SnapshotTable[[#This Row],[SP Qty]]), ISNUMBER(SnapshotTable[[#This Row],[SP Book Date]]), ISNUMBER(SnapshotTable[[#This Row],[SP Book Price]]))</f>
        <v>0</v>
      </c>
      <c r="BX129" s="419" t="b">
        <f>AND(SnapshotTable[[#This Row],[SP Is Booked]], NOT(ISBLANK(SnapshotTable[[#This Row],[SP Fill Date]])))</f>
        <v>0</v>
      </c>
      <c r="BY129" s="33">
        <f>IF(SnapshotTable[[#This Row],[SP Is Booked]], SnapshotTable[[#This Row],[SP Qty]] * SnapshotTable[[#This Row],[SP Book Price]] * 100, 0)</f>
        <v>0</v>
      </c>
      <c r="BZ129" s="369"/>
      <c r="CA129" s="368">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3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44"/>
      <c r="CK129" s="31">
        <f>IF(ISNUMBER(SnapshotTable[[#This Row],[SP Potential Spend]]),IF(ISNUMBER(SnapshotTable[[#This Row],[SP POW]]), SnapshotTable[[#This Row],[SP POW]] * SnapshotTable[[#This Row],[SP Potential Spend]], SnapshotTable[[#This Row],[SP Potential Spend]]), "")</f>
        <v>0</v>
      </c>
      <c r="CL129" s="164">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27"/>
      <c r="CO129" s="369"/>
      <c r="CP129" s="4" t="str">
        <f>IF(SnapshotTable[[#This Row],[SP Is Filled]], btc_max_buyback_amount(SnapshotTable[[#This Row],[SP Fill Date]],SnapshotTable[[#This Row],[SP Exp Date]], SnapshotTable[[#This Row],[SP Book Price]]),"")</f>
        <v/>
      </c>
      <c r="CQ129" s="78"/>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5" t="str">
        <f>IF(SnapshotTable[[#This Row],[SP Is Filled]], btc_next_cutoff_date(SnapshotTable[[#This Row],[SP Fill Date]],SnapshotTable[[#This Row],[SP Exp Date]]),"")</f>
        <v/>
      </c>
      <c r="CT129" s="23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6"/>
      <c r="CV129" s="235"/>
      <c r="CW129" s="378"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294" t="str">
        <f>IF(ISNUMBER((SnapshotTable[[#This Row],[SP Total Value]])), SnapshotTable[[#This Row],[SP Gain Loss]] / SnapshotTable[[#This Row],[SP Premium]], "")</f>
        <v/>
      </c>
      <c r="DI129" s="406"/>
      <c r="DJ129" s="138"/>
      <c r="DK129" s="148"/>
      <c r="DL129" s="147"/>
      <c r="DM129" s="147"/>
      <c r="DO129" s="31">
        <f>IF(SnapshotTable[[#This Row],[LC Symbol Count]]=1, SnapshotTable[[#This Row],[LC Qty]] * SnapshotTable[[#This Row],[LC Book Price]] * 100, 0)</f>
        <v>0</v>
      </c>
      <c r="DP129" s="163" t="str">
        <f>IF(AND(SnapshotTable[[#This Row],[LC Exp Date]]&gt;0, SnapshotTable[[#This Row],[LC Strike Price]]&gt;0,SnapshotTable[[#This Row],[LC Qty]]&gt;0,SnapshotTable[[#This Row],[LC Book Date]]&gt;0,SnapshotTable[[#This Row],[LC Book Price]]&gt;0,SnapshotTable[[#This Row],[LC Fill Date]]=0),"Y","")</f>
        <v/>
      </c>
      <c r="DQ129" s="386" t="str">
        <f>IF(SnapshotTable[[#This Row],[LC Premium]] &gt; 0,SnapshotTable[[#This Row],[LC Exp Date]]-MAX(SnapshotTable[[#This Row],[LC Book Date]], SnapshotTable[[#This Row],[LC Fill Date]]),"")</f>
        <v/>
      </c>
      <c r="DR129" s="386" t="str">
        <f>IF(ISNUMBER(SnapshotTable[[#This Row],[LC Term]]), SnapshotTable[[#This Row],[LC Exp Date]] - MockToday, "")</f>
        <v/>
      </c>
      <c r="DS129" s="23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40" t="str">
        <f>IF(ISNUMBER(SnapshotTable[[#This Row],[LC Actual Gain Loss]]), SnapshotTable[[#This Row],[LC Actual Gain Loss]] / SnapshotTable[[#This Row],[LC Premium]],"")</f>
        <v/>
      </c>
      <c r="DX129" s="284" t="str">
        <f>IF(ISNUMBER(SnapshotTable[[#This Row],[LC Book Price]]),SnapshotTable[[#This Row],[LC Book Price]] * 1.5,"")</f>
        <v/>
      </c>
      <c r="DY129" s="265" t="str">
        <f>IF(SnapshotTable[[#This Row],[LC Premium]]&gt;0, SnapshotTable[[#This Row],[LC Next Target]] * SnapshotTable[[#This Row],[LC Qty]] * 100,"")</f>
        <v/>
      </c>
      <c r="DZ129" s="265" t="str">
        <f>IF(ISNUMBER(SnapshotTable[[#This Row],[LC Target Gross]]), SnapshotTable[[#This Row],[LC Target Gross]] - SnapshotTable[[#This Row],[LC Premium]], "")</f>
        <v/>
      </c>
      <c r="EA129" s="305" t="str">
        <f>IF(ISNUMBER(SnapshotTable[[#This Row],[LC Target Gain Loss]]), SnapshotTable[[#This Row],[LC Target Gain Loss]]/SnapshotTable[[#This Row],[LC Premium]], "")</f>
        <v/>
      </c>
      <c r="EB129" s="262"/>
      <c r="EC129" s="283" t="str">
        <f>IF(SnapshotTable[[#This Row],[LC Premium]]&gt;0, SnapshotTable[[#This Row],[LC Book Price]] * (1 - LC_StopLoss_Pct),"")</f>
        <v/>
      </c>
      <c r="ED129" s="284"/>
      <c r="EE129" s="28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4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7"/>
      <c r="EL129" s="138"/>
      <c r="EM129" s="148"/>
      <c r="EN129" s="147"/>
      <c r="EO129" s="147"/>
      <c r="EP129" s="138"/>
      <c r="EQ129" s="419" t="b">
        <f>AND(ISNUMBER(SnapshotTable[[#This Row],[SC Exp Date]]), ISNUMBER(SnapshotTable[[#This Row],[SC Strike Price]]), ISNUMBER(SnapshotTable[[#This Row],[SC Qty]]), ISNUMBER(SnapshotTable[[#This Row],[SC Book Date]]), ISNUMBER(SnapshotTable[[#This Row],[SC Book Price]]))</f>
        <v>0</v>
      </c>
      <c r="ER129" s="419" t="b">
        <f>AND(SnapshotTable[[#This Row],[SC Is Booked]], NOT(ISBLANK(SnapshotTable[[#This Row],[SC Fill Date]])))</f>
        <v>0</v>
      </c>
      <c r="ES129" s="370"/>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3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283"/>
      <c r="FA129" s="218"/>
      <c r="FB129" s="370"/>
      <c r="FC129" s="4">
        <f>IF(SnapshotTable[[#This Row],[SC Is Filled]], btc_max_buyback_amount(SnapshotTable[[#This Row],[SC Fill Date]],SnapshotTable[[#This Row],[SC Exp Date]], SnapshotTable[[#This Row],[SC Book Price]]),0)</f>
        <v>0</v>
      </c>
      <c r="FD129" s="5"/>
      <c r="FE129" s="144"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382">
        <f>IF(SnapshotTable[[#This Row],[SC Is Filled]], IF(ISNUMBER(SnapshotTable[[#This Row],[SC Current Ask]]), SnapshotTable[[#This Row],[SC Current Ask]], SnapshotTable[[#This Row],[SC Book Price]]) - SnapshotTable[[#This Row],[SC Intrinsic Value]], 0)</f>
        <v>0</v>
      </c>
      <c r="FI129" s="143"/>
      <c r="FJ129" s="32" t="str">
        <f>IF(SnapshotTable[[#This Row],[SC Is Filled]],100 * SnapshotTable[[#This Row],[SC Qty]] * IF(ISNUMBER(SnapshotTable[[#This Row],[SC Buyback Override]]), SnapshotTable[[#This Row],[SC Buyback Override]], SnapshotTable[[#This Row],[SC Current Ask]]), "")</f>
        <v/>
      </c>
      <c r="FK129" s="250" t="str">
        <f>IF(SnapshotTable[[#This Row],[SC Time Val]]&gt;0, SnapshotTable[[#This Row],[SC Time Val]] / SnapshotTable[[#This Row],[Last Price]],"")</f>
        <v/>
      </c>
      <c r="FL129" s="302" t="str">
        <f>IF(SnapshotTable[[#This Row],[SC Is Booked]], ((SnapshotTable[[#This Row],[Last Price]] -SnapshotTable[[#This Row],[SC Strike Price]]) / SnapshotTable[[#This Row],[Last Price]]) * -1, "")</f>
        <v/>
      </c>
      <c r="FM129" s="157" t="str">
        <f>IF(SnapshotTable[[#This Row],[SC Is Booked]],  (SnapshotTable[[#This Row],[SC Qty]] * 100 * SnapshotTable[[#This Row],[SC Strike Price]]) - SnapshotTable[[#This Row],[SC Current Ask]], "")</f>
        <v/>
      </c>
      <c r="FN12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7"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33"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36" t="str">
        <f>IF(AND(ISNUMBER(SnapshotTable[[#This Row],[SC Simple ROO]]),SnapshotTable[[#This Row],[SC Simple ROO]] &gt; 0), SnapshotTable[[#This Row],[SC Premium]] + (SnapshotTable[[#This Row],[SC Qty]] * SnapshotTable[[#This Row],[SC Upside Potential]]), "")</f>
        <v/>
      </c>
      <c r="FX129" s="302" t="str" cm="1">
        <f t="array" ref="FX129">IF(ISNUMBER(SnapshotTable[[#This Row],[SC Max Dollars]]), annualize(SnapshotTable[[#This Row],[SC Term]],(SnapshotTable[[#This Row],[SC Max Dollars]]/SnapshotTable[[#This Row],[SC Basis]])),"")</f>
        <v/>
      </c>
      <c r="FY129" s="23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29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44.518499999999996</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8" t="str">
        <f>IF(SnapshotTable[[#This Row],[Sale G/L]]&gt;0, SnapshotTable[[#This Row],[Sale G/L]] / SnapshotTable[[#This Row],[Sale Basis]], IF(ISNUMBER(SnapshotTable[[#This Row],[SC Exercise P&amp;L (TAX)]]), SnapshotTable[[#This Row],[SC Exercise P&amp;L (TAX)]] / SnapshotTable[[#This Row],[SC Basis]], ""))</f>
        <v/>
      </c>
      <c r="GK129" s="158" t="s">
        <v>1116</v>
      </c>
      <c r="GL129" s="159"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59" t="str">
        <f>IF(AND(SnapshotTable[[#This Row],[LC Exp Date]]&gt;0,SnapshotTable[[#This Row],[LC Strike Price]]&gt;0), [1]!ToOptionSymbol(SnapshotTable[[#This Row],[Symbol]], SnapshotTable[[#This Row],[LC Strike Price]],SnapshotTable[[#This Row],[LC Exp Date]],0), "")</f>
        <v/>
      </c>
      <c r="GQ129" s="160" t="str">
        <f>IF(LEN(SnapshotTable[[#This Row],[LC Symbol]])&gt;0, 1, "")</f>
        <v/>
      </c>
      <c r="GR129" s="159" t="str">
        <f>IF(AND(SnapshotTable[[#This Row],[SC Exp Date]]&gt;0,SnapshotTable[[#This Row],[SC Strike Price]]&gt;0), [1]!ToOptionSymbol(SnapshotTable[[#This Row],[Symbol]], SnapshotTable[[#This Row],[SC Strike Price]],SnapshotTable[[#This Row],[SC Exp Date]],0), "")</f>
        <v/>
      </c>
      <c r="GS129" s="160" t="str">
        <f>IF(LEN(SnapshotTable[[#This Row],[SC Symbol]])&gt;0, 1, "")</f>
        <v/>
      </c>
      <c r="GT129" s="161"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31">
        <f>MAX(SnapshotTable[[#This Row],[Equity Basis Total]],SnapshotTable[[#This Row],[Equity Value]]) + (SnapshotTable[[#This Row],[SP Potential Spend]]- SnapshotTable[[#This Row],[SP Premium]] + SnapshotTable[[#This Row],[LP Premium]])+ (SnapshotTable[[#This Row],[LC Premium]] - SnapshotTable[[#This Row],[SC Premium]])</f>
        <v>0</v>
      </c>
      <c r="GW129" s="139" t="str">
        <f>IF(AND(SnapshotTable[[#This Row],[Exposure]] &lt;&gt; 0),SnapshotTable[[#This Row],[Exposure]] / SnapshotTable[[#Totals],[Exposure]], "")</f>
        <v/>
      </c>
      <c r="HE129" s="268"/>
      <c r="HF129" s="268"/>
      <c r="HK129" s="1"/>
      <c r="HL129" s="1"/>
      <c r="HM129" s="1"/>
      <c r="HN129" s="1"/>
      <c r="HO129" s="1"/>
      <c r="HP129" s="1"/>
    </row>
    <row r="130" spans="2:224" s="47" customFormat="1" ht="12.75" hidden="1" customHeight="1" x14ac:dyDescent="0.25">
      <c r="B130" s="12" t="s">
        <v>44</v>
      </c>
      <c r="C130" s="422">
        <v>210.13</v>
      </c>
      <c r="D130" s="208"/>
      <c r="E130" s="39">
        <f>SnapshotTable[[#This Row],[Last Price]]*(1 -CrashDiscount)</f>
        <v>178.6105</v>
      </c>
      <c r="F130" s="26" t="s">
        <v>43</v>
      </c>
      <c r="G130" s="26" t="s">
        <v>14</v>
      </c>
      <c r="H130" s="149"/>
      <c r="I130" s="194">
        <v>44797.3125</v>
      </c>
      <c r="J130" s="195">
        <v>44797.3125</v>
      </c>
      <c r="K130" s="196"/>
      <c r="L130" s="326"/>
      <c r="M130" s="140"/>
      <c r="N130" s="140"/>
      <c r="O130" s="140"/>
      <c r="P130" s="22"/>
      <c r="Q130" s="25"/>
      <c r="R130" s="4" t="str">
        <f>IF(SnapshotTable[[#This Row],[Equity Basis Total]] &gt; 0, SnapshotTable[[#This Row],[Equity Basis Total]] / SnapshotTable[[#This Row],[Equity Shares]], "")</f>
        <v/>
      </c>
      <c r="S130" s="269">
        <f>SnapshotTable[[#This Row],[Last Price]] * SnapshotTable[[#This Row],[Equity Shares]]</f>
        <v>0</v>
      </c>
      <c r="T130" s="269">
        <f>SnapshotTable[[#This Row],[Equity Value]] - SnapshotTable[[#This Row],[Equity Basis Total]]</f>
        <v>0</v>
      </c>
      <c r="U130" s="270" t="str">
        <f>IF(SnapshotTable[[#This Row],[Equity Basis Total]] &gt; 0, SnapshotTable[[#This Row],[Equity G/L]] / SnapshotTable[[#This Row],[Equity Basis Total]], "")</f>
        <v/>
      </c>
      <c r="V130" s="268"/>
      <c r="W130" s="26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7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0"/>
      <c r="AD130" s="151"/>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1"/>
      <c r="AI130" s="5"/>
      <c r="AJ130" s="138">
        <v>39.17</v>
      </c>
      <c r="AK130" s="152" t="str">
        <f>IF(ISNUMBER( SnapshotTable[[#This Row],[EBF Target]]),(SnapshotTable[[#This Row],[EBF Target]] - SnapshotTable[[#This Row],[Last Price]]) / SnapshotTable[[#This Row],[Last Price]], "")</f>
        <v/>
      </c>
      <c r="AL130" s="152"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2">
        <f>IF(AND(ISNUMBER( SnapshotTable[[#This Row],[Long Term Target]]), ISNUMBER(SnapshotTable[[#This Row],[Last Price]])),(SnapshotTable[[#This Row],[Long Term Target]] - SnapshotTable[[#This Row],[Last Price]]) / SnapshotTable[[#This Row],[Last Price]], "")</f>
        <v>-0.81359158616094795</v>
      </c>
      <c r="AP130" s="5"/>
      <c r="AQ130" s="38"/>
      <c r="AR130" s="5">
        <v>57</v>
      </c>
      <c r="AS130" s="38"/>
      <c r="AT130" s="146"/>
      <c r="AU130" s="187" t="str">
        <f>IF(OR(SnapshotTable[[#This Row],[LP No Fill]]="Y",SnapshotTable[[#This Row],[SP Is Filled]],SnapshotTable[[#This Row],[LC Not Filled]]="Y",SnapshotTable[[#This Row],[SC Is Filled]]),"Y","")</f>
        <v/>
      </c>
      <c r="AV130" s="219"/>
      <c r="AW130" s="225"/>
      <c r="AX130" s="220"/>
      <c r="AY130" s="219" t="str">
        <f>IF(SnapshotTable[[#This Row],[Implied Move]]&gt;0, SnapshotTable[[#This Row],[Last Price]]-SnapshotTable[[#This Row],[Implied Move]],"")</f>
        <v/>
      </c>
      <c r="AZ130" s="219" t="str">
        <f>IF(SnapshotTable[[#This Row],[Implied Move]]&gt;0, SnapshotTable[[#This Row],[Last Price]] + SnapshotTable[[#This Row],[Implied Move]],"")</f>
        <v/>
      </c>
      <c r="BA130" s="331"/>
      <c r="BB130" s="347"/>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51"/>
      <c r="BE130" s="5"/>
      <c r="BF130" s="14"/>
      <c r="BG130" s="13"/>
      <c r="BH130" s="13"/>
      <c r="BI130" s="5"/>
      <c r="BJ130" s="136">
        <f>IF(SnapshotTable[[#This Row],[LP Qty]] &gt; 0, SnapshotTable[[#This Row],[LP Qty]] * SnapshotTable[[#This Row],[LP Book Price]] * 100,0)</f>
        <v>0</v>
      </c>
      <c r="BK130" s="136">
        <f>IF(SnapshotTable[[#This Row],[LP Premium]] &gt; 0, SnapshotTable[[#This Row],[LP Qty]] * SnapshotTable[[#This Row],[LP Strike Price]] * 100,0)</f>
        <v>0</v>
      </c>
      <c r="BL130" s="154"/>
      <c r="BM130" s="385" t="str">
        <f>IF(SnapshotTable[[#This Row],[LP Premium]] &gt; 0,SnapshotTable[[#This Row],[LP Exp Date]]-MAX(SnapshotTable[[#This Row],[LP Book Date]], SnapshotTable[[#This Row],[LP Fill Date]]),"")</f>
        <v/>
      </c>
      <c r="BN130" s="385" t="str">
        <f>IF(ISNUMBER( SnapshotTable[[#This Row],[LP Term]]), SnapshotTable[[#This Row],[LP Exp Date]] - MockToday,"")</f>
        <v/>
      </c>
      <c r="BO130" s="163"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7"/>
      <c r="BU130" s="13"/>
      <c r="BV130" s="5"/>
      <c r="BW130" s="419" t="b">
        <f>AND(ISNUMBER(SnapshotTable[[#This Row],[SP Exp Date]]), ISNUMBER(SnapshotTable[[#This Row],[SP Strike Price]]), ISNUMBER(SnapshotTable[[#This Row],[SP Qty]]), ISNUMBER(SnapshotTable[[#This Row],[SP Book Date]]), ISNUMBER(SnapshotTable[[#This Row],[SP Book Price]]))</f>
        <v>0</v>
      </c>
      <c r="BX130" s="419" t="b">
        <f>AND(SnapshotTable[[#This Row],[SP Is Booked]], NOT(ISBLANK(SnapshotTable[[#This Row],[SP Fill Date]])))</f>
        <v>0</v>
      </c>
      <c r="BY130" s="33">
        <f>IF(SnapshotTable[[#This Row],[SP Is Booked]], SnapshotTable[[#This Row],[SP Qty]] * SnapshotTable[[#This Row],[SP Book Price]] * 100, 0)</f>
        <v>0</v>
      </c>
      <c r="BZ130" s="369"/>
      <c r="CA130" s="368">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3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44"/>
      <c r="CK130" s="31">
        <f>IF(ISNUMBER(SnapshotTable[[#This Row],[SP Potential Spend]]),IF(ISNUMBER(SnapshotTable[[#This Row],[SP POW]]), SnapshotTable[[#This Row],[SP POW]] * SnapshotTable[[#This Row],[SP Potential Spend]], SnapshotTable[[#This Row],[SP Potential Spend]]), "")</f>
        <v>0</v>
      </c>
      <c r="CL130" s="164">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8"/>
      <c r="CO130" s="369"/>
      <c r="CP130" s="4" t="str">
        <f>IF(SnapshotTable[[#This Row],[SP Is Filled]], btc_max_buyback_amount(SnapshotTable[[#This Row],[SP Fill Date]],SnapshotTable[[#This Row],[SP Exp Date]], SnapshotTable[[#This Row],[SP Book Price]]),"")</f>
        <v/>
      </c>
      <c r="CQ130" s="78"/>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5" t="str">
        <f>IF(SnapshotTable[[#This Row],[SP Is Filled]], btc_next_cutoff_date(SnapshotTable[[#This Row],[SP Fill Date]],SnapshotTable[[#This Row],[SP Exp Date]]),"")</f>
        <v/>
      </c>
      <c r="CT130" s="23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3"/>
      <c r="CV130" s="235"/>
      <c r="CW130" s="378"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294" t="str">
        <f>IF(ISNUMBER((SnapshotTable[[#This Row],[SP Total Value]])), SnapshotTable[[#This Row],[SP Gain Loss]] / SnapshotTable[[#This Row],[SP Premium]], "")</f>
        <v/>
      </c>
      <c r="DI130" s="406"/>
      <c r="DJ130" s="138"/>
      <c r="DK130" s="148"/>
      <c r="DL130" s="13"/>
      <c r="DM130" s="13"/>
      <c r="DN130" s="5"/>
      <c r="DO130" s="31">
        <f>IF(SnapshotTable[[#This Row],[LC Symbol Count]]=1, SnapshotTable[[#This Row],[LC Qty]] * SnapshotTable[[#This Row],[LC Book Price]] * 100, 0)</f>
        <v>0</v>
      </c>
      <c r="DP130" s="163" t="str">
        <f>IF(AND(SnapshotTable[[#This Row],[LC Exp Date]]&gt;0, SnapshotTable[[#This Row],[LC Strike Price]]&gt;0,SnapshotTable[[#This Row],[LC Qty]]&gt;0,SnapshotTable[[#This Row],[LC Book Date]]&gt;0,SnapshotTable[[#This Row],[LC Book Price]]&gt;0,SnapshotTable[[#This Row],[LC Fill Date]]=0),"Y","")</f>
        <v/>
      </c>
      <c r="DQ130" s="386" t="str">
        <f>IF(SnapshotTable[[#This Row],[LC Premium]] &gt; 0,SnapshotTable[[#This Row],[LC Exp Date]]-MAX(SnapshotTable[[#This Row],[LC Book Date]], SnapshotTable[[#This Row],[LC Fill Date]]),"")</f>
        <v/>
      </c>
      <c r="DR130" s="386" t="str">
        <f>IF(ISNUMBER(SnapshotTable[[#This Row],[LC Term]]), SnapshotTable[[#This Row],[LC Exp Date]] - MockToday, "")</f>
        <v/>
      </c>
      <c r="DS130" s="23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40" t="str">
        <f>IF(ISNUMBER(SnapshotTable[[#This Row],[LC Actual Gain Loss]]), SnapshotTable[[#This Row],[LC Actual Gain Loss]] / SnapshotTable[[#This Row],[LC Premium]],"")</f>
        <v/>
      </c>
      <c r="DX130" s="284" t="str">
        <f>IF(ISNUMBER(SnapshotTable[[#This Row],[LC Book Price]]),SnapshotTable[[#This Row],[LC Book Price]] * 1.5,"")</f>
        <v/>
      </c>
      <c r="DY130" s="265" t="str">
        <f>IF(SnapshotTable[[#This Row],[LC Premium]]&gt;0, SnapshotTable[[#This Row],[LC Next Target]] * SnapshotTable[[#This Row],[LC Qty]] * 100,"")</f>
        <v/>
      </c>
      <c r="DZ130" s="265" t="str">
        <f>IF(ISNUMBER(SnapshotTable[[#This Row],[LC Target Gross]]), SnapshotTable[[#This Row],[LC Target Gross]] - SnapshotTable[[#This Row],[LC Premium]], "")</f>
        <v/>
      </c>
      <c r="EA130" s="305" t="str">
        <f>IF(ISNUMBER(SnapshotTable[[#This Row],[LC Target Gain Loss]]), SnapshotTable[[#This Row],[LC Target Gain Loss]]/SnapshotTable[[#This Row],[LC Premium]], "")</f>
        <v/>
      </c>
      <c r="EB130" s="262"/>
      <c r="EC130" s="283" t="str">
        <f>IF(SnapshotTable[[#This Row],[LC Premium]]&gt;0, SnapshotTable[[#This Row],[LC Book Price]] * (1 - LC_StopLoss_Pct),"")</f>
        <v/>
      </c>
      <c r="ED130" s="284"/>
      <c r="EE130" s="28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4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7"/>
      <c r="EL130" s="138"/>
      <c r="EM130" s="148"/>
      <c r="EN130" s="147"/>
      <c r="EO130" s="147"/>
      <c r="EP130" s="138"/>
      <c r="EQ130" s="419" t="b">
        <f>AND(ISNUMBER(SnapshotTable[[#This Row],[SC Exp Date]]), ISNUMBER(SnapshotTable[[#This Row],[SC Strike Price]]), ISNUMBER(SnapshotTable[[#This Row],[SC Qty]]), ISNUMBER(SnapshotTable[[#This Row],[SC Book Date]]), ISNUMBER(SnapshotTable[[#This Row],[SC Book Price]]))</f>
        <v>0</v>
      </c>
      <c r="ER130" s="419" t="b">
        <f>AND(SnapshotTable[[#This Row],[SC Is Booked]], NOT(ISBLANK(SnapshotTable[[#This Row],[SC Fill Date]])))</f>
        <v>0</v>
      </c>
      <c r="ES130" s="370"/>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3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283"/>
      <c r="FA130" s="218"/>
      <c r="FB130" s="370"/>
      <c r="FC130" s="4">
        <f>IF(SnapshotTable[[#This Row],[SC Is Filled]], btc_max_buyback_amount(SnapshotTable[[#This Row],[SC Fill Date]],SnapshotTable[[#This Row],[SC Exp Date]], SnapshotTable[[#This Row],[SC Book Price]]),0)</f>
        <v>0</v>
      </c>
      <c r="FD130" s="5"/>
      <c r="FE130" s="144"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382">
        <f>IF(SnapshotTable[[#This Row],[SC Is Filled]], IF(ISNUMBER(SnapshotTable[[#This Row],[SC Current Ask]]), SnapshotTable[[#This Row],[SC Current Ask]], SnapshotTable[[#This Row],[SC Book Price]]) - SnapshotTable[[#This Row],[SC Intrinsic Value]], 0)</f>
        <v>0</v>
      </c>
      <c r="FI130" s="143"/>
      <c r="FJ130" s="32" t="str">
        <f>IF(SnapshotTable[[#This Row],[SC Is Filled]],100 * SnapshotTable[[#This Row],[SC Qty]] * IF(ISNUMBER(SnapshotTable[[#This Row],[SC Buyback Override]]), SnapshotTable[[#This Row],[SC Buyback Override]], SnapshotTable[[#This Row],[SC Current Ask]]), "")</f>
        <v/>
      </c>
      <c r="FK130" s="250" t="str">
        <f>IF(SnapshotTable[[#This Row],[SC Time Val]]&gt;0, SnapshotTable[[#This Row],[SC Time Val]] / SnapshotTable[[#This Row],[Last Price]],"")</f>
        <v/>
      </c>
      <c r="FL130" s="302" t="str">
        <f>IF(SnapshotTable[[#This Row],[SC Is Booked]], ((SnapshotTable[[#This Row],[Last Price]] -SnapshotTable[[#This Row],[SC Strike Price]]) / SnapshotTable[[#This Row],[Last Price]]) * -1, "")</f>
        <v/>
      </c>
      <c r="FM130" s="157"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33"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36" t="str">
        <f>IF(AND(ISNUMBER(SnapshotTable[[#This Row],[SC Simple ROO]]),SnapshotTable[[#This Row],[SC Simple ROO]] &gt; 0), SnapshotTable[[#This Row],[SC Premium]] + (SnapshotTable[[#This Row],[SC Qty]] * SnapshotTable[[#This Row],[SC Upside Potential]]), "")</f>
        <v/>
      </c>
      <c r="FX130" s="302" t="str" cm="1">
        <f t="array" ref="FX130">IF(ISNUMBER(SnapshotTable[[#This Row],[SC Max Dollars]]), annualize(SnapshotTable[[#This Row],[SC Term]],(SnapshotTable[[#This Row],[SC Max Dollars]]/SnapshotTable[[#This Row],[SC Basis]])),"")</f>
        <v/>
      </c>
      <c r="FY130" s="23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29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409.75349999999997</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683</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31">
        <f>MAX(SnapshotTable[[#This Row],[Equity Basis Total]],SnapshotTable[[#This Row],[Equity Value]]) + (SnapshotTable[[#This Row],[SP Potential Spend]]- SnapshotTable[[#This Row],[SP Premium]] + SnapshotTable[[#This Row],[LP Premium]])+ (SnapshotTable[[#This Row],[LC Premium]] - SnapshotTable[[#This Row],[SC Premium]])</f>
        <v>0</v>
      </c>
      <c r="GW130" s="139" t="str">
        <f>IF(AND(SnapshotTable[[#This Row],[Exposure]] &lt;&gt; 0),SnapshotTable[[#This Row],[Exposure]] / SnapshotTable[[#Totals],[Exposure]], "")</f>
        <v/>
      </c>
      <c r="GY130" s="381"/>
      <c r="HE130" s="268"/>
      <c r="HF130" s="268"/>
      <c r="HG130" s="381"/>
      <c r="HH130" s="381"/>
      <c r="HI130" s="381"/>
      <c r="HJ130" s="381"/>
    </row>
    <row r="131" spans="2:224" ht="12.75" hidden="1" customHeight="1" x14ac:dyDescent="0.25">
      <c r="B131" s="12" t="s">
        <v>1213</v>
      </c>
      <c r="C131" s="422">
        <v>3.05</v>
      </c>
      <c r="D131" s="208"/>
      <c r="E131" s="39">
        <f>SnapshotTable[[#This Row],[Last Price]]*(1 -CrashDiscount)</f>
        <v>2.5924999999999998</v>
      </c>
      <c r="F131" s="26" t="s">
        <v>1029</v>
      </c>
      <c r="G131" s="26" t="s">
        <v>822</v>
      </c>
      <c r="H131" s="149"/>
      <c r="I131" s="194"/>
      <c r="J131" s="195"/>
      <c r="K131" s="196"/>
      <c r="L131" s="326"/>
      <c r="M131" s="140"/>
      <c r="N131" s="140"/>
      <c r="O131" s="140"/>
      <c r="P131" s="22"/>
      <c r="Q131" s="25"/>
      <c r="R131" s="4" t="str">
        <f>IF(SnapshotTable[[#This Row],[Equity Basis Total]] &gt; 0, SnapshotTable[[#This Row],[Equity Basis Total]] / SnapshotTable[[#This Row],[Equity Shares]], "")</f>
        <v/>
      </c>
      <c r="S131" s="269">
        <f>SnapshotTable[[#This Row],[Last Price]] * SnapshotTable[[#This Row],[Equity Shares]]</f>
        <v>0</v>
      </c>
      <c r="T131" s="269">
        <f>SnapshotTable[[#This Row],[Equity Value]] - SnapshotTable[[#This Row],[Equity Basis Total]]</f>
        <v>0</v>
      </c>
      <c r="U131" s="270" t="str">
        <f>IF(SnapshotTable[[#This Row],[Equity Basis Total]] &gt; 0, SnapshotTable[[#This Row],[Equity G/L]] / SnapshotTable[[#This Row],[Equity Basis Total]], "")</f>
        <v/>
      </c>
      <c r="V131" s="268"/>
      <c r="W131" s="26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7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0"/>
      <c r="AD131" s="151"/>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1"/>
      <c r="AI131" s="5"/>
      <c r="AJ131" s="138">
        <v>2.65</v>
      </c>
      <c r="AK131" s="152" t="str">
        <f>IF(ISNUMBER( SnapshotTable[[#This Row],[EBF Target]]),(SnapshotTable[[#This Row],[EBF Target]] - SnapshotTable[[#This Row],[Last Price]]) / SnapshotTable[[#This Row],[Last Price]], "")</f>
        <v/>
      </c>
      <c r="AL131" s="152"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2">
        <f>IF(AND(ISNUMBER( SnapshotTable[[#This Row],[Long Term Target]]), ISNUMBER(SnapshotTable[[#This Row],[Last Price]])),(SnapshotTable[[#This Row],[Long Term Target]] - SnapshotTable[[#This Row],[Last Price]]) / SnapshotTable[[#This Row],[Last Price]], "")</f>
        <v>-0.13114754098360654</v>
      </c>
      <c r="AP131" s="5"/>
      <c r="AQ131" s="38"/>
      <c r="AR131" s="5"/>
      <c r="AS131" s="38"/>
      <c r="AT131" s="146" t="s">
        <v>1132</v>
      </c>
      <c r="AU131" s="187" t="str">
        <f>IF(OR(SnapshotTable[[#This Row],[LP No Fill]]="Y",SnapshotTable[[#This Row],[SP Is Filled]],SnapshotTable[[#This Row],[LC Not Filled]]="Y",SnapshotTable[[#This Row],[SC Is Filled]]),"Y","")</f>
        <v/>
      </c>
      <c r="AV131" s="219"/>
      <c r="AW131" s="225"/>
      <c r="AX131" s="220"/>
      <c r="AY131" s="219" t="str">
        <f>IF(SnapshotTable[[#This Row],[Implied Move]]&gt;0, SnapshotTable[[#This Row],[Last Price]]-SnapshotTable[[#This Row],[Implied Move]],"")</f>
        <v/>
      </c>
      <c r="AZ131" s="219" t="str">
        <f>IF(SnapshotTable[[#This Row],[Implied Move]]&gt;0, SnapshotTable[[#This Row],[Last Price]] + SnapshotTable[[#This Row],[Implied Move]],"")</f>
        <v/>
      </c>
      <c r="BA131" s="331">
        <v>1.73</v>
      </c>
      <c r="BB131" s="347"/>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51"/>
      <c r="BE131" s="5"/>
      <c r="BF131" s="14"/>
      <c r="BG131" s="13"/>
      <c r="BH131" s="13"/>
      <c r="BI131" s="5"/>
      <c r="BJ131" s="136">
        <f>IF(SnapshotTable[[#This Row],[LP Qty]] &gt; 0, SnapshotTable[[#This Row],[LP Qty]] * SnapshotTable[[#This Row],[LP Book Price]] * 100,0)</f>
        <v>0</v>
      </c>
      <c r="BK131" s="136">
        <f>IF(SnapshotTable[[#This Row],[LP Premium]] &gt; 0, SnapshotTable[[#This Row],[LP Qty]] * SnapshotTable[[#This Row],[LP Strike Price]] * 100,0)</f>
        <v>0</v>
      </c>
      <c r="BL131" s="154"/>
      <c r="BM131" s="385" t="str">
        <f>IF(SnapshotTable[[#This Row],[LP Premium]] &gt; 0,SnapshotTable[[#This Row],[LP Exp Date]]-MAX(SnapshotTable[[#This Row],[LP Book Date]], SnapshotTable[[#This Row],[LP Fill Date]]),"")</f>
        <v/>
      </c>
      <c r="BN131" s="385" t="str">
        <f>IF(ISNUMBER( SnapshotTable[[#This Row],[LP Term]]), SnapshotTable[[#This Row],[LP Exp Date]] - MockToday,"")</f>
        <v/>
      </c>
      <c r="BO131" s="163"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7"/>
      <c r="BU131" s="13"/>
      <c r="BV131" s="5"/>
      <c r="BW131" s="419" t="b">
        <f>AND(ISNUMBER(SnapshotTable[[#This Row],[SP Exp Date]]), ISNUMBER(SnapshotTable[[#This Row],[SP Strike Price]]), ISNUMBER(SnapshotTable[[#This Row],[SP Qty]]), ISNUMBER(SnapshotTable[[#This Row],[SP Book Date]]), ISNUMBER(SnapshotTable[[#This Row],[SP Book Price]]))</f>
        <v>0</v>
      </c>
      <c r="BX131" s="419" t="b">
        <f>AND(SnapshotTable[[#This Row],[SP Is Booked]], NOT(ISBLANK(SnapshotTable[[#This Row],[SP Fill Date]])))</f>
        <v>0</v>
      </c>
      <c r="BY131" s="33">
        <f>IF(SnapshotTable[[#This Row],[SP Is Booked]], SnapshotTable[[#This Row],[SP Qty]] * SnapshotTable[[#This Row],[SP Book Price]] * 100, 0)</f>
        <v>0</v>
      </c>
      <c r="BZ131" s="369"/>
      <c r="CA131" s="368">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3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44"/>
      <c r="CK131" s="31">
        <f>IF(ISNUMBER(SnapshotTable[[#This Row],[SP Potential Spend]]),IF(ISNUMBER(SnapshotTable[[#This Row],[SP POW]]), SnapshotTable[[#This Row],[SP POW]] * SnapshotTable[[#This Row],[SP Potential Spend]], SnapshotTable[[#This Row],[SP Potential Spend]]), "")</f>
        <v>0</v>
      </c>
      <c r="CL131" s="164">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8"/>
      <c r="CO131" s="369"/>
      <c r="CP131" s="4" t="str">
        <f>IF(SnapshotTable[[#This Row],[SP Is Filled]], btc_max_buyback_amount(SnapshotTable[[#This Row],[SP Fill Date]],SnapshotTable[[#This Row],[SP Exp Date]], SnapshotTable[[#This Row],[SP Book Price]]),"")</f>
        <v/>
      </c>
      <c r="CQ131" s="78"/>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5" t="str">
        <f>IF(SnapshotTable[[#This Row],[SP Is Filled]], btc_next_cutoff_date(SnapshotTable[[#This Row],[SP Fill Date]],SnapshotTable[[#This Row],[SP Exp Date]]),"")</f>
        <v/>
      </c>
      <c r="CT131" s="23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3"/>
      <c r="CV131" s="235"/>
      <c r="CW131" s="378"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294" t="str">
        <f>IF(ISNUMBER((SnapshotTable[[#This Row],[SP Total Value]])), SnapshotTable[[#This Row],[SP Gain Loss]] / SnapshotTable[[#This Row],[SP Premium]], "")</f>
        <v/>
      </c>
      <c r="DI131" s="406"/>
      <c r="DJ131" s="138"/>
      <c r="DK131" s="148"/>
      <c r="DL131" s="147"/>
      <c r="DM131" s="147"/>
      <c r="DO131" s="31">
        <f>IF(SnapshotTable[[#This Row],[LC Symbol Count]]=1, SnapshotTable[[#This Row],[LC Qty]] * SnapshotTable[[#This Row],[LC Book Price]] * 100, 0)</f>
        <v>0</v>
      </c>
      <c r="DP131" s="163" t="str">
        <f>IF(AND(SnapshotTable[[#This Row],[LC Exp Date]]&gt;0, SnapshotTable[[#This Row],[LC Strike Price]]&gt;0,SnapshotTable[[#This Row],[LC Qty]]&gt;0,SnapshotTable[[#This Row],[LC Book Date]]&gt;0,SnapshotTable[[#This Row],[LC Book Price]]&gt;0,SnapshotTable[[#This Row],[LC Fill Date]]=0),"Y","")</f>
        <v/>
      </c>
      <c r="DQ131" s="386" t="str">
        <f>IF(SnapshotTable[[#This Row],[LC Premium]] &gt; 0,SnapshotTable[[#This Row],[LC Exp Date]]-MAX(SnapshotTable[[#This Row],[LC Book Date]], SnapshotTable[[#This Row],[LC Fill Date]]),"")</f>
        <v/>
      </c>
      <c r="DR131" s="386" t="str">
        <f>IF(ISNUMBER(SnapshotTable[[#This Row],[LC Term]]), SnapshotTable[[#This Row],[LC Exp Date]] - MockToday, "")</f>
        <v/>
      </c>
      <c r="DS131" s="23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40" t="str">
        <f>IF(ISNUMBER(SnapshotTable[[#This Row],[LC Actual Gain Loss]]), SnapshotTable[[#This Row],[LC Actual Gain Loss]] / SnapshotTable[[#This Row],[LC Premium]],"")</f>
        <v/>
      </c>
      <c r="DX131" s="284" t="str">
        <f>IF(ISNUMBER(SnapshotTable[[#This Row],[LC Book Price]]),SnapshotTable[[#This Row],[LC Book Price]] * 1.5,"")</f>
        <v/>
      </c>
      <c r="DY131" s="265" t="str">
        <f>IF(SnapshotTable[[#This Row],[LC Premium]]&gt;0, SnapshotTable[[#This Row],[LC Next Target]] * SnapshotTable[[#This Row],[LC Qty]] * 100,"")</f>
        <v/>
      </c>
      <c r="DZ131" s="265" t="str">
        <f>IF(ISNUMBER(SnapshotTable[[#This Row],[LC Target Gross]]), SnapshotTable[[#This Row],[LC Target Gross]] - SnapshotTable[[#This Row],[LC Premium]], "")</f>
        <v/>
      </c>
      <c r="EA131" s="305" t="str">
        <f>IF(ISNUMBER(SnapshotTable[[#This Row],[LC Target Gain Loss]]), SnapshotTable[[#This Row],[LC Target Gain Loss]]/SnapshotTable[[#This Row],[LC Premium]], "")</f>
        <v/>
      </c>
      <c r="EB131" s="262"/>
      <c r="EC131" s="283" t="str">
        <f>IF(SnapshotTable[[#This Row],[LC Premium]]&gt;0, SnapshotTable[[#This Row],[LC Book Price]] * (1 - LC_StopLoss_Pct),"")</f>
        <v/>
      </c>
      <c r="ED131" s="284"/>
      <c r="EE131" s="28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4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7"/>
      <c r="EL131" s="138"/>
      <c r="EM131" s="148"/>
      <c r="EN131" s="147"/>
      <c r="EO131" s="147"/>
      <c r="EP131" s="138"/>
      <c r="EQ131" s="419" t="b">
        <f>AND(ISNUMBER(SnapshotTable[[#This Row],[SC Exp Date]]), ISNUMBER(SnapshotTable[[#This Row],[SC Strike Price]]), ISNUMBER(SnapshotTable[[#This Row],[SC Qty]]), ISNUMBER(SnapshotTable[[#This Row],[SC Book Date]]), ISNUMBER(SnapshotTable[[#This Row],[SC Book Price]]))</f>
        <v>0</v>
      </c>
      <c r="ER131" s="419" t="b">
        <f>AND(SnapshotTable[[#This Row],[SC Is Booked]], NOT(ISBLANK(SnapshotTable[[#This Row],[SC Fill Date]])))</f>
        <v>0</v>
      </c>
      <c r="ES131" s="370"/>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3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283"/>
      <c r="FA131" s="218"/>
      <c r="FB131" s="370"/>
      <c r="FC131" s="4">
        <f>IF(SnapshotTable[[#This Row],[SC Is Filled]], btc_max_buyback_amount(SnapshotTable[[#This Row],[SC Fill Date]],SnapshotTable[[#This Row],[SC Exp Date]], SnapshotTable[[#This Row],[SC Book Price]]),0)</f>
        <v>0</v>
      </c>
      <c r="FD131" s="5"/>
      <c r="FE131" s="144"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382">
        <f>IF(SnapshotTable[[#This Row],[SC Is Filled]], IF(ISNUMBER(SnapshotTable[[#This Row],[SC Current Ask]]), SnapshotTable[[#This Row],[SC Current Ask]], SnapshotTable[[#This Row],[SC Book Price]]) - SnapshotTable[[#This Row],[SC Intrinsic Value]], 0)</f>
        <v>0</v>
      </c>
      <c r="FI131" s="143"/>
      <c r="FJ131" s="32" t="str">
        <f>IF(SnapshotTable[[#This Row],[SC Is Filled]],100 * SnapshotTable[[#This Row],[SC Qty]] * IF(ISNUMBER(SnapshotTable[[#This Row],[SC Buyback Override]]), SnapshotTable[[#This Row],[SC Buyback Override]], SnapshotTable[[#This Row],[SC Current Ask]]), "")</f>
        <v/>
      </c>
      <c r="FK131" s="250" t="str">
        <f>IF(SnapshotTable[[#This Row],[SC Time Val]]&gt;0, SnapshotTable[[#This Row],[SC Time Val]] / SnapshotTable[[#This Row],[Last Price]],"")</f>
        <v/>
      </c>
      <c r="FL131" s="302" t="str">
        <f>IF(SnapshotTable[[#This Row],[SC Is Booked]], ((SnapshotTable[[#This Row],[Last Price]] -SnapshotTable[[#This Row],[SC Strike Price]]) / SnapshotTable[[#This Row],[Last Price]]) * -1, "")</f>
        <v/>
      </c>
      <c r="FM131" s="157"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33"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36" t="str">
        <f>IF(AND(ISNUMBER(SnapshotTable[[#This Row],[SC Simple ROO]]),SnapshotTable[[#This Row],[SC Simple ROO]] &gt; 0), SnapshotTable[[#This Row],[SC Premium]] + (SnapshotTable[[#This Row],[SC Qty]] * SnapshotTable[[#This Row],[SC Upside Potential]]), "")</f>
        <v/>
      </c>
      <c r="FX131" s="302" t="str" cm="1">
        <f t="array" ref="FX131">IF(ISNUMBER(SnapshotTable[[#This Row],[SC Max Dollars]]), annualize(SnapshotTable[[#This Row],[SC Term]],(SnapshotTable[[#This Row],[SC Max Dollars]]/SnapshotTable[[#This Row],[SC Basis]])),"")</f>
        <v/>
      </c>
      <c r="FY131" s="23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29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5.9474999999999998</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31">
        <f>MAX(SnapshotTable[[#This Row],[Equity Basis Total]],SnapshotTable[[#This Row],[Equity Value]]) + (SnapshotTable[[#This Row],[SP Potential Spend]]- SnapshotTable[[#This Row],[SP Premium]] + SnapshotTable[[#This Row],[LP Premium]])+ (SnapshotTable[[#This Row],[LC Premium]] - SnapshotTable[[#This Row],[SC Premium]])</f>
        <v>0</v>
      </c>
      <c r="GW131" s="139" t="str">
        <f>IF(AND(SnapshotTable[[#This Row],[Exposure]] &lt;&gt; 0),SnapshotTable[[#This Row],[Exposure]] / SnapshotTable[[#Totals],[Exposure]], "")</f>
        <v/>
      </c>
      <c r="HE131" s="268"/>
      <c r="HF131" s="268"/>
      <c r="HK131" s="1"/>
      <c r="HL131" s="1"/>
      <c r="HM131" s="1"/>
      <c r="HN131" s="1"/>
      <c r="HO131" s="1"/>
      <c r="HP131" s="1"/>
    </row>
    <row r="132" spans="2:224" s="47" customFormat="1" ht="12.75" hidden="1" customHeight="1" x14ac:dyDescent="0.25">
      <c r="B132" s="12" t="s">
        <v>96</v>
      </c>
      <c r="C132" s="422">
        <v>14.24</v>
      </c>
      <c r="D132" s="208"/>
      <c r="E132" s="39">
        <f>SnapshotTable[[#This Row],[Last Price]]*(1 -CrashDiscount)</f>
        <v>12.103999999999999</v>
      </c>
      <c r="F132" s="26" t="s">
        <v>42</v>
      </c>
      <c r="G132" s="26" t="s">
        <v>41</v>
      </c>
      <c r="H132" s="149"/>
      <c r="I132" s="194">
        <v>44777.28125</v>
      </c>
      <c r="J132" s="195">
        <v>44777.28125</v>
      </c>
      <c r="K132" s="196"/>
      <c r="L132" s="326"/>
      <c r="M132" s="140"/>
      <c r="N132" s="140"/>
      <c r="O132" s="140">
        <v>4</v>
      </c>
      <c r="P132" s="22"/>
      <c r="Q132" s="25"/>
      <c r="R132" s="4" t="str">
        <f>IF(SnapshotTable[[#This Row],[Equity Basis Total]] &gt; 0, SnapshotTable[[#This Row],[Equity Basis Total]] / SnapshotTable[[#This Row],[Equity Shares]], "")</f>
        <v/>
      </c>
      <c r="S132" s="269">
        <f>SnapshotTable[[#This Row],[Last Price]] * SnapshotTable[[#This Row],[Equity Shares]]</f>
        <v>0</v>
      </c>
      <c r="T132" s="269">
        <f>SnapshotTable[[#This Row],[Equity Value]] - SnapshotTable[[#This Row],[Equity Basis Total]]</f>
        <v>0</v>
      </c>
      <c r="U132" s="270" t="str">
        <f>IF(SnapshotTable[[#This Row],[Equity Basis Total]] &gt; 0, SnapshotTable[[#This Row],[Equity G/L]] / SnapshotTable[[#This Row],[Equity Basis Total]], "")</f>
        <v/>
      </c>
      <c r="V132" s="268"/>
      <c r="W132" s="26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7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0">
        <v>0</v>
      </c>
      <c r="AD132" s="151"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1" t="s">
        <v>2</v>
      </c>
      <c r="AI132" s="5"/>
      <c r="AJ132" s="138">
        <v>20</v>
      </c>
      <c r="AK132" s="152" t="str">
        <f>IF(ISNUMBER( SnapshotTable[[#This Row],[EBF Target]]),(SnapshotTable[[#This Row],[EBF Target]] - SnapshotTable[[#This Row],[Last Price]]) / SnapshotTable[[#This Row],[Last Price]], "")</f>
        <v/>
      </c>
      <c r="AL132" s="152"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2">
        <f>IF(AND(ISNUMBER( SnapshotTable[[#This Row],[Long Term Target]]), ISNUMBER(SnapshotTable[[#This Row],[Last Price]])),(SnapshotTable[[#This Row],[Long Term Target]] - SnapshotTable[[#This Row],[Last Price]]) / SnapshotTable[[#This Row],[Last Price]], "")</f>
        <v>0.4044943820224719</v>
      </c>
      <c r="AP132" s="5"/>
      <c r="AQ132" s="38"/>
      <c r="AR132" s="5"/>
      <c r="AS132" s="38"/>
      <c r="AT132" s="146"/>
      <c r="AU132" s="187" t="str">
        <f>IF(OR(SnapshotTable[[#This Row],[LP No Fill]]="Y",SnapshotTable[[#This Row],[SP Is Filled]],SnapshotTable[[#This Row],[LC Not Filled]]="Y",SnapshotTable[[#This Row],[SC Is Filled]]),"Y","")</f>
        <v/>
      </c>
      <c r="AV132" s="219"/>
      <c r="AW132" s="225"/>
      <c r="AX132" s="220"/>
      <c r="AY132" s="219" t="str">
        <f>IF(SnapshotTable[[#This Row],[Implied Move]]&gt;0, SnapshotTable[[#This Row],[Last Price]]-SnapshotTable[[#This Row],[Implied Move]],"")</f>
        <v/>
      </c>
      <c r="AZ132" s="219" t="str">
        <f>IF(SnapshotTable[[#This Row],[Implied Move]]&gt;0, SnapshotTable[[#This Row],[Last Price]] + SnapshotTable[[#This Row],[Implied Move]],"")</f>
        <v/>
      </c>
      <c r="BA132" s="331"/>
      <c r="BB132" s="347"/>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51"/>
      <c r="BE132" s="5"/>
      <c r="BF132" s="14"/>
      <c r="BG132" s="13"/>
      <c r="BH132" s="13"/>
      <c r="BI132" s="5"/>
      <c r="BJ132" s="136">
        <f>IF(SnapshotTable[[#This Row],[LP Qty]] &gt; 0, SnapshotTable[[#This Row],[LP Qty]] * SnapshotTable[[#This Row],[LP Book Price]] * 100,0)</f>
        <v>0</v>
      </c>
      <c r="BK132" s="136">
        <f>IF(SnapshotTable[[#This Row],[LP Premium]] &gt; 0, SnapshotTable[[#This Row],[LP Qty]] * SnapshotTable[[#This Row],[LP Strike Price]] * 100,0)</f>
        <v>0</v>
      </c>
      <c r="BL132" s="154"/>
      <c r="BM132" s="385" t="str">
        <f>IF(SnapshotTable[[#This Row],[LP Premium]] &gt; 0,SnapshotTable[[#This Row],[LP Exp Date]]-MAX(SnapshotTable[[#This Row],[LP Book Date]], SnapshotTable[[#This Row],[LP Fill Date]]),"")</f>
        <v/>
      </c>
      <c r="BN132" s="385" t="str">
        <f>IF(ISNUMBER( SnapshotTable[[#This Row],[LP Term]]), SnapshotTable[[#This Row],[LP Exp Date]] - MockToday,"")</f>
        <v/>
      </c>
      <c r="BO132" s="163"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7"/>
      <c r="BU132" s="13"/>
      <c r="BV132" s="5"/>
      <c r="BW132" s="419" t="b">
        <f>AND(ISNUMBER(SnapshotTable[[#This Row],[SP Exp Date]]), ISNUMBER(SnapshotTable[[#This Row],[SP Strike Price]]), ISNUMBER(SnapshotTable[[#This Row],[SP Qty]]), ISNUMBER(SnapshotTable[[#This Row],[SP Book Date]]), ISNUMBER(SnapshotTable[[#This Row],[SP Book Price]]))</f>
        <v>0</v>
      </c>
      <c r="BX132" s="419" t="b">
        <f>AND(SnapshotTable[[#This Row],[SP Is Booked]], NOT(ISBLANK(SnapshotTable[[#This Row],[SP Fill Date]])))</f>
        <v>0</v>
      </c>
      <c r="BY132" s="33">
        <f>IF(SnapshotTable[[#This Row],[SP Is Booked]], SnapshotTable[[#This Row],[SP Qty]] * SnapshotTable[[#This Row],[SP Book Price]] * 100, 0)</f>
        <v>0</v>
      </c>
      <c r="BZ132" s="369"/>
      <c r="CA132" s="368">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3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44"/>
      <c r="CK132" s="31">
        <f>IF(ISNUMBER(SnapshotTable[[#This Row],[SP Potential Spend]]),IF(ISNUMBER(SnapshotTable[[#This Row],[SP POW]]), SnapshotTable[[#This Row],[SP POW]] * SnapshotTable[[#This Row],[SP Potential Spend]], SnapshotTable[[#This Row],[SP Potential Spend]]), "")</f>
        <v>0</v>
      </c>
      <c r="CL132" s="164">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8"/>
      <c r="CO132" s="369"/>
      <c r="CP132" s="4" t="str">
        <f>IF(SnapshotTable[[#This Row],[SP Is Filled]], btc_max_buyback_amount(SnapshotTable[[#This Row],[SP Fill Date]],SnapshotTable[[#This Row],[SP Exp Date]], SnapshotTable[[#This Row],[SP Book Price]]),"")</f>
        <v/>
      </c>
      <c r="CQ132" s="78"/>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5" t="str">
        <f>IF(SnapshotTable[[#This Row],[SP Is Filled]], btc_next_cutoff_date(SnapshotTable[[#This Row],[SP Fill Date]],SnapshotTable[[#This Row],[SP Exp Date]]),"")</f>
        <v/>
      </c>
      <c r="CT132" s="23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3"/>
      <c r="CV132" s="235"/>
      <c r="CW132" s="378"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294" t="str">
        <f>IF(ISNUMBER((SnapshotTable[[#This Row],[SP Total Value]])), SnapshotTable[[#This Row],[SP Gain Loss]] / SnapshotTable[[#This Row],[SP Premium]], "")</f>
        <v/>
      </c>
      <c r="DI132" s="406"/>
      <c r="DJ132" s="138"/>
      <c r="DK132" s="148"/>
      <c r="DL132" s="13"/>
      <c r="DM132" s="13"/>
      <c r="DN132" s="5"/>
      <c r="DO132" s="31">
        <f>IF(SnapshotTable[[#This Row],[LC Symbol Count]]=1, SnapshotTable[[#This Row],[LC Qty]] * SnapshotTable[[#This Row],[LC Book Price]] * 100, 0)</f>
        <v>0</v>
      </c>
      <c r="DP132" s="163" t="str">
        <f>IF(AND(SnapshotTable[[#This Row],[LC Exp Date]]&gt;0, SnapshotTable[[#This Row],[LC Strike Price]]&gt;0,SnapshotTable[[#This Row],[LC Qty]]&gt;0,SnapshotTable[[#This Row],[LC Book Date]]&gt;0,SnapshotTable[[#This Row],[LC Book Price]]&gt;0,SnapshotTable[[#This Row],[LC Fill Date]]=0),"Y","")</f>
        <v/>
      </c>
      <c r="DQ132" s="386" t="str">
        <f>IF(SnapshotTable[[#This Row],[LC Premium]] &gt; 0,SnapshotTable[[#This Row],[LC Exp Date]]-MAX(SnapshotTable[[#This Row],[LC Book Date]], SnapshotTable[[#This Row],[LC Fill Date]]),"")</f>
        <v/>
      </c>
      <c r="DR132" s="386" t="str">
        <f>IF(ISNUMBER(SnapshotTable[[#This Row],[LC Term]]), SnapshotTable[[#This Row],[LC Exp Date]] - MockToday, "")</f>
        <v/>
      </c>
      <c r="DS132" s="23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40" t="str">
        <f>IF(ISNUMBER(SnapshotTable[[#This Row],[LC Actual Gain Loss]]), SnapshotTable[[#This Row],[LC Actual Gain Loss]] / SnapshotTable[[#This Row],[LC Premium]],"")</f>
        <v/>
      </c>
      <c r="DX132" s="284" t="str">
        <f>IF(ISNUMBER(SnapshotTable[[#This Row],[LC Book Price]]),SnapshotTable[[#This Row],[LC Book Price]] * 1.5,"")</f>
        <v/>
      </c>
      <c r="DY132" s="265" t="str">
        <f>IF(SnapshotTable[[#This Row],[LC Premium]]&gt;0, SnapshotTable[[#This Row],[LC Next Target]] * SnapshotTable[[#This Row],[LC Qty]] * 100,"")</f>
        <v/>
      </c>
      <c r="DZ132" s="265" t="str">
        <f>IF(ISNUMBER(SnapshotTable[[#This Row],[LC Target Gross]]), SnapshotTable[[#This Row],[LC Target Gross]] - SnapshotTable[[#This Row],[LC Premium]], "")</f>
        <v/>
      </c>
      <c r="EA132" s="305" t="str">
        <f>IF(ISNUMBER(SnapshotTable[[#This Row],[LC Target Gain Loss]]), SnapshotTable[[#This Row],[LC Target Gain Loss]]/SnapshotTable[[#This Row],[LC Premium]], "")</f>
        <v/>
      </c>
      <c r="EB132" s="262"/>
      <c r="EC132" s="283" t="str">
        <f>IF(SnapshotTable[[#This Row],[LC Premium]]&gt;0, SnapshotTable[[#This Row],[LC Book Price]] * (1 - LC_StopLoss_Pct),"")</f>
        <v/>
      </c>
      <c r="ED132" s="284"/>
      <c r="EE132" s="28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4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7"/>
      <c r="EL132" s="138"/>
      <c r="EM132" s="148"/>
      <c r="EN132" s="147"/>
      <c r="EO132" s="147"/>
      <c r="EP132" s="138"/>
      <c r="EQ132" s="419" t="b">
        <f>AND(ISNUMBER(SnapshotTable[[#This Row],[SC Exp Date]]), ISNUMBER(SnapshotTable[[#This Row],[SC Strike Price]]), ISNUMBER(SnapshotTable[[#This Row],[SC Qty]]), ISNUMBER(SnapshotTable[[#This Row],[SC Book Date]]), ISNUMBER(SnapshotTable[[#This Row],[SC Book Price]]))</f>
        <v>0</v>
      </c>
      <c r="ER132" s="419" t="b">
        <f>AND(SnapshotTable[[#This Row],[SC Is Booked]], NOT(ISBLANK(SnapshotTable[[#This Row],[SC Fill Date]])))</f>
        <v>0</v>
      </c>
      <c r="ES132" s="370"/>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3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283"/>
      <c r="FA132" s="218"/>
      <c r="FB132" s="370"/>
      <c r="FC132" s="4">
        <f>IF(SnapshotTable[[#This Row],[SC Is Filled]], btc_max_buyback_amount(SnapshotTable[[#This Row],[SC Fill Date]],SnapshotTable[[#This Row],[SC Exp Date]], SnapshotTable[[#This Row],[SC Book Price]]),0)</f>
        <v>0</v>
      </c>
      <c r="FD132" s="5"/>
      <c r="FE132" s="144"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382">
        <f>IF(SnapshotTable[[#This Row],[SC Is Filled]], IF(ISNUMBER(SnapshotTable[[#This Row],[SC Current Ask]]), SnapshotTable[[#This Row],[SC Current Ask]], SnapshotTable[[#This Row],[SC Book Price]]) - SnapshotTable[[#This Row],[SC Intrinsic Value]], 0)</f>
        <v>0</v>
      </c>
      <c r="FI132" s="143"/>
      <c r="FJ132" s="32" t="str">
        <f>IF(SnapshotTable[[#This Row],[SC Is Filled]],100 * SnapshotTable[[#This Row],[SC Qty]] * IF(ISNUMBER(SnapshotTable[[#This Row],[SC Buyback Override]]), SnapshotTable[[#This Row],[SC Buyback Override]], SnapshotTable[[#This Row],[SC Current Ask]]), "")</f>
        <v/>
      </c>
      <c r="FK132" s="250" t="str">
        <f>IF(SnapshotTable[[#This Row],[SC Time Val]]&gt;0, SnapshotTable[[#This Row],[SC Time Val]] / SnapshotTable[[#This Row],[Last Price]],"")</f>
        <v/>
      </c>
      <c r="FL132" s="302" t="str">
        <f>IF(SnapshotTable[[#This Row],[SC Is Booked]], ((SnapshotTable[[#This Row],[Last Price]] -SnapshotTable[[#This Row],[SC Strike Price]]) / SnapshotTable[[#This Row],[Last Price]]) * -1, "")</f>
        <v/>
      </c>
      <c r="FM132" s="157"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33"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36" t="str">
        <f>IF(AND(ISNUMBER(SnapshotTable[[#This Row],[SC Simple ROO]]),SnapshotTable[[#This Row],[SC Simple ROO]] &gt; 0), SnapshotTable[[#This Row],[SC Premium]] + (SnapshotTable[[#This Row],[SC Qty]] * SnapshotTable[[#This Row],[SC Upside Potential]]), "")</f>
        <v/>
      </c>
      <c r="FX132" s="302" t="str" cm="1">
        <f t="array" ref="FX132">IF(ISNUMBER(SnapshotTable[[#This Row],[SC Max Dollars]]), annualize(SnapshotTable[[#This Row],[SC Term]],(SnapshotTable[[#This Row],[SC Max Dollars]]/SnapshotTable[[#This Row],[SC Basis]])),"")</f>
        <v/>
      </c>
      <c r="FY132" s="23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29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27.768000000000001</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684</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31">
        <f>MAX(SnapshotTable[[#This Row],[Equity Basis Total]],SnapshotTable[[#This Row],[Equity Value]]) + (SnapshotTable[[#This Row],[SP Potential Spend]]- SnapshotTable[[#This Row],[SP Premium]] + SnapshotTable[[#This Row],[LP Premium]])+ (SnapshotTable[[#This Row],[LC Premium]] - SnapshotTable[[#This Row],[SC Premium]])</f>
        <v>0</v>
      </c>
      <c r="GW132" s="139" t="str">
        <f>IF(AND(SnapshotTable[[#This Row],[Exposure]] &lt;&gt; 0),SnapshotTable[[#This Row],[Exposure]] / SnapshotTable[[#Totals],[Exposure]], "")</f>
        <v/>
      </c>
      <c r="GY132" s="381"/>
      <c r="HE132" s="268"/>
      <c r="HF132" s="268"/>
      <c r="HG132" s="381"/>
      <c r="HH132" s="381"/>
      <c r="HI132" s="381"/>
      <c r="HJ132" s="381"/>
    </row>
    <row r="133" spans="2:224" ht="12.75" hidden="1" customHeight="1" x14ac:dyDescent="0.25">
      <c r="B133" s="12" t="s">
        <v>612</v>
      </c>
      <c r="C133" s="422">
        <v>47.89</v>
      </c>
      <c r="D133" s="208"/>
      <c r="E133" s="39">
        <f>SnapshotTable[[#This Row],[Last Price]]*(1 -CrashDiscount)</f>
        <v>40.706499999999998</v>
      </c>
      <c r="F133" s="26" t="s">
        <v>613</v>
      </c>
      <c r="G133" s="26" t="s">
        <v>9</v>
      </c>
      <c r="H133" s="149"/>
      <c r="I133" s="194">
        <v>44721.670138888891</v>
      </c>
      <c r="J133" s="195">
        <v>44721.670138888891</v>
      </c>
      <c r="K133" s="196" t="s">
        <v>3</v>
      </c>
      <c r="L133" s="326"/>
      <c r="M133" s="140"/>
      <c r="N133" s="140"/>
      <c r="O133" s="140"/>
      <c r="P133" s="22"/>
      <c r="Q133" s="25"/>
      <c r="R133" s="4" t="str">
        <f>IF(SnapshotTable[[#This Row],[Equity Basis Total]] &gt; 0, SnapshotTable[[#This Row],[Equity Basis Total]] / SnapshotTable[[#This Row],[Equity Shares]], "")</f>
        <v/>
      </c>
      <c r="S133" s="269">
        <f>SnapshotTable[[#This Row],[Last Price]] * SnapshotTable[[#This Row],[Equity Shares]]</f>
        <v>0</v>
      </c>
      <c r="T133" s="269">
        <f>SnapshotTable[[#This Row],[Equity Value]] - SnapshotTable[[#This Row],[Equity Basis Total]]</f>
        <v>0</v>
      </c>
      <c r="U133" s="270" t="str">
        <f>IF(SnapshotTable[[#This Row],[Equity Basis Total]] &gt; 0, SnapshotTable[[#This Row],[Equity G/L]] / SnapshotTable[[#This Row],[Equity Basis Total]], "")</f>
        <v/>
      </c>
      <c r="V133" s="268"/>
      <c r="W133" s="26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7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0"/>
      <c r="AD133" s="151"/>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1"/>
      <c r="AI133" s="5"/>
      <c r="AJ133" s="138">
        <v>90.46</v>
      </c>
      <c r="AK133" s="152" t="str">
        <f>IF(ISNUMBER( SnapshotTable[[#This Row],[EBF Target]]),(SnapshotTable[[#This Row],[EBF Target]] - SnapshotTable[[#This Row],[Last Price]]) / SnapshotTable[[#This Row],[Last Price]], "")</f>
        <v/>
      </c>
      <c r="AL133" s="152"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2">
        <f>IF(AND(ISNUMBER( SnapshotTable[[#This Row],[Long Term Target]]), ISNUMBER(SnapshotTable[[#This Row],[Last Price]])),(SnapshotTable[[#This Row],[Long Term Target]] - SnapshotTable[[#This Row],[Last Price]]) / SnapshotTable[[#This Row],[Last Price]], "")</f>
        <v>0.88891209020672357</v>
      </c>
      <c r="AP133" s="5">
        <v>135</v>
      </c>
      <c r="AQ133" s="38" t="s">
        <v>38</v>
      </c>
      <c r="AR133" s="5">
        <v>135</v>
      </c>
      <c r="AS133" s="38" t="s">
        <v>26</v>
      </c>
      <c r="AT133" s="146"/>
      <c r="AU133" s="187" t="str">
        <f>IF(OR(SnapshotTable[[#This Row],[LP No Fill]]="Y",SnapshotTable[[#This Row],[SP Is Filled]],SnapshotTable[[#This Row],[LC Not Filled]]="Y",SnapshotTable[[#This Row],[SC Is Filled]]),"Y","")</f>
        <v/>
      </c>
      <c r="AV133" s="219"/>
      <c r="AW133" s="225"/>
      <c r="AX133" s="220"/>
      <c r="AY133" s="219" t="str">
        <f>IF(SnapshotTable[[#This Row],[Implied Move]]&gt;0, SnapshotTable[[#This Row],[Last Price]]-SnapshotTable[[#This Row],[Implied Move]],"")</f>
        <v/>
      </c>
      <c r="AZ133" s="219" t="str">
        <f>IF(SnapshotTable[[#This Row],[Implied Move]]&gt;0, SnapshotTable[[#This Row],[Last Price]] + SnapshotTable[[#This Row],[Implied Move]],"")</f>
        <v/>
      </c>
      <c r="BA133" s="331"/>
      <c r="BB133" s="347"/>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51"/>
      <c r="BE133" s="138"/>
      <c r="BF133" s="166"/>
      <c r="BG133" s="167"/>
      <c r="BH133" s="167"/>
      <c r="BI133" s="221"/>
      <c r="BJ133" s="153">
        <f>IF(SnapshotTable[[#This Row],[LP Qty]] &gt; 0, SnapshotTable[[#This Row],[LP Qty]] * SnapshotTable[[#This Row],[LP Book Price]] * 100,0)</f>
        <v>0</v>
      </c>
      <c r="BK133" s="136">
        <f>IF(SnapshotTable[[#This Row],[LP Premium]] &gt; 0, SnapshotTable[[#This Row],[LP Qty]] * SnapshotTable[[#This Row],[LP Strike Price]] * 100,0)</f>
        <v>0</v>
      </c>
      <c r="BL133" s="154"/>
      <c r="BM133" s="385" t="str">
        <f>IF(SnapshotTable[[#This Row],[LP Premium]] &gt; 0,SnapshotTable[[#This Row],[LP Exp Date]]-MAX(SnapshotTable[[#This Row],[LP Book Date]], SnapshotTable[[#This Row],[LP Fill Date]]),"")</f>
        <v/>
      </c>
      <c r="BN133" s="385" t="str">
        <f>IF(ISNUMBER( SnapshotTable[[#This Row],[LP Term]]), SnapshotTable[[#This Row],[LP Exp Date]] - MockToday,"")</f>
        <v/>
      </c>
      <c r="BO133" s="163"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7"/>
      <c r="BU133" s="13"/>
      <c r="BV133" s="5"/>
      <c r="BW133" s="419" t="b">
        <f>AND(ISNUMBER(SnapshotTable[[#This Row],[SP Exp Date]]), ISNUMBER(SnapshotTable[[#This Row],[SP Strike Price]]), ISNUMBER(SnapshotTable[[#This Row],[SP Qty]]), ISNUMBER(SnapshotTable[[#This Row],[SP Book Date]]), ISNUMBER(SnapshotTable[[#This Row],[SP Book Price]]))</f>
        <v>0</v>
      </c>
      <c r="BX133" s="419" t="b">
        <f>AND(SnapshotTable[[#This Row],[SP Is Booked]], NOT(ISBLANK(SnapshotTable[[#This Row],[SP Fill Date]])))</f>
        <v>0</v>
      </c>
      <c r="BY133" s="33">
        <f>IF(SnapshotTable[[#This Row],[SP Is Booked]], SnapshotTable[[#This Row],[SP Qty]] * SnapshotTable[[#This Row],[SP Book Price]] * 100, 0)</f>
        <v>0</v>
      </c>
      <c r="BZ133" s="369"/>
      <c r="CA133" s="368">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3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44"/>
      <c r="CK133" s="31">
        <f>IF(ISNUMBER(SnapshotTable[[#This Row],[SP Potential Spend]]),IF(ISNUMBER(SnapshotTable[[#This Row],[SP POW]]), SnapshotTable[[#This Row],[SP POW]] * SnapshotTable[[#This Row],[SP Potential Spend]], SnapshotTable[[#This Row],[SP Potential Spend]]), "")</f>
        <v>0</v>
      </c>
      <c r="CL133" s="164">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4"/>
      <c r="CO133" s="369"/>
      <c r="CP133" s="4" t="str">
        <f>IF(SnapshotTable[[#This Row],[SP Is Filled]], btc_max_buyback_amount(SnapshotTable[[#This Row],[SP Fill Date]],SnapshotTable[[#This Row],[SP Exp Date]], SnapshotTable[[#This Row],[SP Book Price]]),"")</f>
        <v/>
      </c>
      <c r="CQ133" s="78"/>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5" t="str">
        <f>IF(SnapshotTable[[#This Row],[SP Is Filled]], btc_next_cutoff_date(SnapshotTable[[#This Row],[SP Fill Date]],SnapshotTable[[#This Row],[SP Exp Date]]),"")</f>
        <v/>
      </c>
      <c r="CT133" s="23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6"/>
      <c r="CV133" s="235"/>
      <c r="CW133" s="378"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294" t="str">
        <f>IF(ISNUMBER((SnapshotTable[[#This Row],[SP Total Value]])), SnapshotTable[[#This Row],[SP Gain Loss]] / SnapshotTable[[#This Row],[SP Premium]], "")</f>
        <v/>
      </c>
      <c r="DI133" s="406"/>
      <c r="DJ133" s="138"/>
      <c r="DK133" s="148"/>
      <c r="DL133" s="147"/>
      <c r="DM133" s="147"/>
      <c r="DO133" s="31">
        <f>IF(SnapshotTable[[#This Row],[LC Symbol Count]]=1, SnapshotTable[[#This Row],[LC Qty]] * SnapshotTable[[#This Row],[LC Book Price]] * 100, 0)</f>
        <v>0</v>
      </c>
      <c r="DP133" s="163" t="str">
        <f>IF(AND(SnapshotTable[[#This Row],[LC Exp Date]]&gt;0, SnapshotTable[[#This Row],[LC Strike Price]]&gt;0,SnapshotTable[[#This Row],[LC Qty]]&gt;0,SnapshotTable[[#This Row],[LC Book Date]]&gt;0,SnapshotTable[[#This Row],[LC Book Price]]&gt;0,SnapshotTable[[#This Row],[LC Fill Date]]=0),"Y","")</f>
        <v/>
      </c>
      <c r="DQ133" s="386" t="str">
        <f>IF(SnapshotTable[[#This Row],[LC Premium]] &gt; 0,SnapshotTable[[#This Row],[LC Exp Date]]-MAX(SnapshotTable[[#This Row],[LC Book Date]], SnapshotTable[[#This Row],[LC Fill Date]]),"")</f>
        <v/>
      </c>
      <c r="DR133" s="386" t="str">
        <f>IF(ISNUMBER(SnapshotTable[[#This Row],[LC Term]]), SnapshotTable[[#This Row],[LC Exp Date]] - MockToday, "")</f>
        <v/>
      </c>
      <c r="DS133" s="23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40" t="str">
        <f>IF(ISNUMBER(SnapshotTable[[#This Row],[LC Actual Gain Loss]]), SnapshotTable[[#This Row],[LC Actual Gain Loss]] / SnapshotTable[[#This Row],[LC Premium]],"")</f>
        <v/>
      </c>
      <c r="DX133" s="284" t="str">
        <f>IF(ISNUMBER(SnapshotTable[[#This Row],[LC Book Price]]),SnapshotTable[[#This Row],[LC Book Price]] * 1.5,"")</f>
        <v/>
      </c>
      <c r="DY133" s="265" t="str">
        <f>IF(SnapshotTable[[#This Row],[LC Premium]]&gt;0, SnapshotTable[[#This Row],[LC Next Target]] * SnapshotTable[[#This Row],[LC Qty]] * 100,"")</f>
        <v/>
      </c>
      <c r="DZ133" s="265" t="str">
        <f>IF(ISNUMBER(SnapshotTable[[#This Row],[LC Target Gross]]), SnapshotTable[[#This Row],[LC Target Gross]] - SnapshotTable[[#This Row],[LC Premium]], "")</f>
        <v/>
      </c>
      <c r="EA133" s="305" t="str">
        <f>IF(ISNUMBER(SnapshotTable[[#This Row],[LC Target Gain Loss]]), SnapshotTable[[#This Row],[LC Target Gain Loss]]/SnapshotTable[[#This Row],[LC Premium]], "")</f>
        <v/>
      </c>
      <c r="EB133" s="262"/>
      <c r="EC133" s="283" t="str">
        <f>IF(SnapshotTable[[#This Row],[LC Premium]]&gt;0, SnapshotTable[[#This Row],[LC Book Price]] * (1 - LC_StopLoss_Pct),"")</f>
        <v/>
      </c>
      <c r="ED133" s="284"/>
      <c r="EE133" s="28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4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7"/>
      <c r="EL133" s="138"/>
      <c r="EM133" s="148"/>
      <c r="EN133" s="147"/>
      <c r="EO133" s="147"/>
      <c r="EP133" s="138"/>
      <c r="EQ133" s="419" t="b">
        <f>AND(ISNUMBER(SnapshotTable[[#This Row],[SC Exp Date]]), ISNUMBER(SnapshotTable[[#This Row],[SC Strike Price]]), ISNUMBER(SnapshotTable[[#This Row],[SC Qty]]), ISNUMBER(SnapshotTable[[#This Row],[SC Book Date]]), ISNUMBER(SnapshotTable[[#This Row],[SC Book Price]]))</f>
        <v>0</v>
      </c>
      <c r="ER133" s="419" t="b">
        <f>AND(SnapshotTable[[#This Row],[SC Is Booked]], NOT(ISBLANK(SnapshotTable[[#This Row],[SC Fill Date]])))</f>
        <v>0</v>
      </c>
      <c r="ES133" s="370"/>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3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283"/>
      <c r="FA133" s="218"/>
      <c r="FB133" s="370"/>
      <c r="FC133" s="4">
        <f>IF(SnapshotTable[[#This Row],[SC Is Filled]], btc_max_buyback_amount(SnapshotTable[[#This Row],[SC Fill Date]],SnapshotTable[[#This Row],[SC Exp Date]], SnapshotTable[[#This Row],[SC Book Price]]),0)</f>
        <v>0</v>
      </c>
      <c r="FD133" s="5"/>
      <c r="FE133" s="144"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382">
        <f>IF(SnapshotTable[[#This Row],[SC Is Filled]], IF(ISNUMBER(SnapshotTable[[#This Row],[SC Current Ask]]), SnapshotTable[[#This Row],[SC Current Ask]], SnapshotTable[[#This Row],[SC Book Price]]) - SnapshotTable[[#This Row],[SC Intrinsic Value]], 0)</f>
        <v>0</v>
      </c>
      <c r="FI133" s="143"/>
      <c r="FJ133" s="32" t="str">
        <f>IF(SnapshotTable[[#This Row],[SC Is Filled]],100 * SnapshotTable[[#This Row],[SC Qty]] * IF(ISNUMBER(SnapshotTable[[#This Row],[SC Buyback Override]]), SnapshotTable[[#This Row],[SC Buyback Override]], SnapshotTable[[#This Row],[SC Current Ask]]), "")</f>
        <v/>
      </c>
      <c r="FK133" s="250" t="str">
        <f>IF(SnapshotTable[[#This Row],[SC Time Val]]&gt;0, SnapshotTable[[#This Row],[SC Time Val]] / SnapshotTable[[#This Row],[Last Price]],"")</f>
        <v/>
      </c>
      <c r="FL133" s="302" t="str">
        <f>IF(SnapshotTable[[#This Row],[SC Is Booked]], ((SnapshotTable[[#This Row],[Last Price]] -SnapshotTable[[#This Row],[SC Strike Price]]) / SnapshotTable[[#This Row],[Last Price]]) * -1, "")</f>
        <v/>
      </c>
      <c r="FM133" s="157" t="str">
        <f>IF(SnapshotTable[[#This Row],[SC Is Booked]],  (SnapshotTable[[#This Row],[SC Qty]] * 100 * SnapshotTable[[#This Row],[SC Strike Price]]) - SnapshotTable[[#This Row],[SC Current Ask]], "")</f>
        <v/>
      </c>
      <c r="FN1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7"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33"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36" t="str">
        <f>IF(AND(ISNUMBER(SnapshotTable[[#This Row],[SC Simple ROO]]),SnapshotTable[[#This Row],[SC Simple ROO]] &gt; 0), SnapshotTable[[#This Row],[SC Premium]] + (SnapshotTable[[#This Row],[SC Qty]] * SnapshotTable[[#This Row],[SC Upside Potential]]), "")</f>
        <v/>
      </c>
      <c r="FX133" s="302" t="str" cm="1">
        <f t="array" ref="FX133">IF(ISNUMBER(SnapshotTable[[#This Row],[SC Max Dollars]]), annualize(SnapshotTable[[#This Row],[SC Term]],(SnapshotTable[[#This Row],[SC Max Dollars]]/SnapshotTable[[#This Row],[SC Basis]])),"")</f>
        <v/>
      </c>
      <c r="FY133" s="23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29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93.385499999999993</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8" t="str">
        <f>IF(SnapshotTable[[#This Row],[Sale G/L]]&gt;0, SnapshotTable[[#This Row],[Sale G/L]] / SnapshotTable[[#This Row],[Sale Basis]], IF(ISNUMBER(SnapshotTable[[#This Row],[SC Exercise P&amp;L (TAX)]]), SnapshotTable[[#This Row],[SC Exercise P&amp;L (TAX)]] / SnapshotTable[[#This Row],[SC Basis]], ""))</f>
        <v/>
      </c>
      <c r="GK133" s="158" t="s">
        <v>685</v>
      </c>
      <c r="GL133" s="159"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59" t="str">
        <f>IF(AND(SnapshotTable[[#This Row],[LC Exp Date]]&gt;0,SnapshotTable[[#This Row],[LC Strike Price]]&gt;0), [1]!ToOptionSymbol(SnapshotTable[[#This Row],[Symbol]], SnapshotTable[[#This Row],[LC Strike Price]],SnapshotTable[[#This Row],[LC Exp Date]],0), "")</f>
        <v/>
      </c>
      <c r="GQ133" s="160" t="str">
        <f>IF(LEN(SnapshotTable[[#This Row],[LC Symbol]])&gt;0, 1, "")</f>
        <v/>
      </c>
      <c r="GR133" s="159" t="str">
        <f>IF(AND(SnapshotTable[[#This Row],[SC Exp Date]]&gt;0,SnapshotTable[[#This Row],[SC Strike Price]]&gt;0), [1]!ToOptionSymbol(SnapshotTable[[#This Row],[Symbol]], SnapshotTable[[#This Row],[SC Strike Price]],SnapshotTable[[#This Row],[SC Exp Date]],0), "")</f>
        <v/>
      </c>
      <c r="GS133" s="160" t="str">
        <f>IF(LEN(SnapshotTable[[#This Row],[SC Symbol]])&gt;0, 1, "")</f>
        <v/>
      </c>
      <c r="GT133" s="161"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31">
        <f>MAX(SnapshotTable[[#This Row],[Equity Basis Total]],SnapshotTable[[#This Row],[Equity Value]]) + (SnapshotTable[[#This Row],[SP Potential Spend]]- SnapshotTable[[#This Row],[SP Premium]] + SnapshotTable[[#This Row],[LP Premium]])+ (SnapshotTable[[#This Row],[LC Premium]] - SnapshotTable[[#This Row],[SC Premium]])</f>
        <v>0</v>
      </c>
      <c r="GW133" s="139" t="str">
        <f>IF(AND(SnapshotTable[[#This Row],[Exposure]] &lt;&gt; 0),SnapshotTable[[#This Row],[Exposure]] / SnapshotTable[[#Totals],[Exposure]], "")</f>
        <v/>
      </c>
      <c r="HE133" s="268"/>
      <c r="HF133" s="268"/>
      <c r="HK133" s="1"/>
      <c r="HL133" s="1"/>
      <c r="HM133" s="1"/>
      <c r="HN133" s="1"/>
      <c r="HO133" s="1"/>
      <c r="HP133" s="1"/>
    </row>
    <row r="134" spans="2:224" ht="12.75" hidden="1" customHeight="1" x14ac:dyDescent="0.25">
      <c r="B134" s="12" t="s">
        <v>507</v>
      </c>
      <c r="C134" s="422">
        <v>31.25</v>
      </c>
      <c r="D134" s="208" t="s">
        <v>578</v>
      </c>
      <c r="E134" s="39">
        <f>SnapshotTable[[#This Row],[Last Price]]*(1 -CrashDiscount)</f>
        <v>26.5625</v>
      </c>
      <c r="F134" s="26" t="s">
        <v>187</v>
      </c>
      <c r="G134" s="26" t="s">
        <v>41</v>
      </c>
      <c r="H134" s="149"/>
      <c r="I134" s="194">
        <v>44763.25</v>
      </c>
      <c r="J134" s="195">
        <v>44763.25</v>
      </c>
      <c r="K134" s="196"/>
      <c r="L134" s="326"/>
      <c r="M134" s="140"/>
      <c r="N134" s="140"/>
      <c r="O134" s="140"/>
      <c r="P134" s="22"/>
      <c r="Q134" s="25"/>
      <c r="R134" s="4" t="str">
        <f>IF(SnapshotTable[[#This Row],[Equity Basis Total]] &gt; 0, SnapshotTable[[#This Row],[Equity Basis Total]] / SnapshotTable[[#This Row],[Equity Shares]], "")</f>
        <v/>
      </c>
      <c r="S134" s="269">
        <f>SnapshotTable[[#This Row],[Last Price]] * SnapshotTable[[#This Row],[Equity Shares]]</f>
        <v>0</v>
      </c>
      <c r="T134" s="269">
        <f>SnapshotTable[[#This Row],[Equity Value]] - SnapshotTable[[#This Row],[Equity Basis Total]]</f>
        <v>0</v>
      </c>
      <c r="U134" s="270" t="str">
        <f>IF(SnapshotTable[[#This Row],[Equity Basis Total]] &gt; 0, SnapshotTable[[#This Row],[Equity G/L]] / SnapshotTable[[#This Row],[Equity Basis Total]], "")</f>
        <v/>
      </c>
      <c r="V134" s="268"/>
      <c r="W134" s="26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7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0">
        <v>2.8</v>
      </c>
      <c r="AD134" s="151">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8.9599999999999999E-2</v>
      </c>
      <c r="AH134" s="151">
        <v>43707</v>
      </c>
      <c r="AI134" s="5">
        <v>62</v>
      </c>
      <c r="AJ134" s="138">
        <v>56.95</v>
      </c>
      <c r="AK134" s="152">
        <f>IF(ISNUMBER( SnapshotTable[[#This Row],[EBF Target]]),(SnapshotTable[[#This Row],[EBF Target]] - SnapshotTable[[#This Row],[Last Price]]) / SnapshotTable[[#This Row],[Last Price]], "")</f>
        <v>0.98399999999999999</v>
      </c>
      <c r="AL134" s="152"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2">
        <f>IF(AND(ISNUMBER( SnapshotTable[[#This Row],[Long Term Target]]), ISNUMBER(SnapshotTable[[#This Row],[Last Price]])),(SnapshotTable[[#This Row],[Long Term Target]] - SnapshotTable[[#This Row],[Last Price]]) / SnapshotTable[[#This Row],[Last Price]], "")</f>
        <v>0.82240000000000013</v>
      </c>
      <c r="AP134" s="5"/>
      <c r="AQ134" s="38"/>
      <c r="AR134" s="5"/>
      <c r="AS134" s="38"/>
      <c r="AT134" s="146"/>
      <c r="AU134" s="187" t="str">
        <f>IF(OR(SnapshotTable[[#This Row],[LP No Fill]]="Y",SnapshotTable[[#This Row],[SP Is Filled]],SnapshotTable[[#This Row],[LC Not Filled]]="Y",SnapshotTable[[#This Row],[SC Is Filled]]),"Y","")</f>
        <v/>
      </c>
      <c r="AV134" s="219"/>
      <c r="AW134" s="225">
        <v>1.9079999999999999</v>
      </c>
      <c r="AX134" s="220">
        <v>44302</v>
      </c>
      <c r="AY134" s="219">
        <f>IF(SnapshotTable[[#This Row],[Implied Move]]&gt;0, SnapshotTable[[#This Row],[Last Price]]-SnapshotTable[[#This Row],[Implied Move]],"")</f>
        <v>29.341999999999999</v>
      </c>
      <c r="AZ134" s="219">
        <f>IF(SnapshotTable[[#This Row],[Implied Move]]&gt;0, SnapshotTable[[#This Row],[Last Price]] + SnapshotTable[[#This Row],[Implied Move]],"")</f>
        <v>33.158000000000001</v>
      </c>
      <c r="BA134" s="331">
        <v>59.69</v>
      </c>
      <c r="BB134" s="347"/>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51"/>
      <c r="BE134" s="5"/>
      <c r="BF134" s="14"/>
      <c r="BG134" s="13"/>
      <c r="BH134" s="13"/>
      <c r="BI134" s="5"/>
      <c r="BJ134" s="136">
        <f>IF(SnapshotTable[[#This Row],[LP Qty]] &gt; 0, SnapshotTable[[#This Row],[LP Qty]] * SnapshotTable[[#This Row],[LP Book Price]] * 100,0)</f>
        <v>0</v>
      </c>
      <c r="BK134" s="136">
        <f>IF(SnapshotTable[[#This Row],[LP Premium]] &gt; 0, SnapshotTable[[#This Row],[LP Qty]] * SnapshotTable[[#This Row],[LP Strike Price]] * 100,0)</f>
        <v>0</v>
      </c>
      <c r="BL134" s="154"/>
      <c r="BM134" s="385" t="str">
        <f>IF(SnapshotTable[[#This Row],[LP Premium]] &gt; 0,SnapshotTable[[#This Row],[LP Exp Date]]-MAX(SnapshotTable[[#This Row],[LP Book Date]], SnapshotTable[[#This Row],[LP Fill Date]]),"")</f>
        <v/>
      </c>
      <c r="BN134" s="385" t="str">
        <f>IF(ISNUMBER( SnapshotTable[[#This Row],[LP Term]]), SnapshotTable[[#This Row],[LP Exp Date]] - MockToday,"")</f>
        <v/>
      </c>
      <c r="BO134" s="163"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7"/>
      <c r="BU134" s="13"/>
      <c r="BV134" s="5"/>
      <c r="BW134" s="419" t="b">
        <f>AND(ISNUMBER(SnapshotTable[[#This Row],[SP Exp Date]]), ISNUMBER(SnapshotTable[[#This Row],[SP Strike Price]]), ISNUMBER(SnapshotTable[[#This Row],[SP Qty]]), ISNUMBER(SnapshotTable[[#This Row],[SP Book Date]]), ISNUMBER(SnapshotTable[[#This Row],[SP Book Price]]))</f>
        <v>0</v>
      </c>
      <c r="BX134" s="419" t="b">
        <f>AND(SnapshotTable[[#This Row],[SP Is Booked]], NOT(ISBLANK(SnapshotTable[[#This Row],[SP Fill Date]])))</f>
        <v>0</v>
      </c>
      <c r="BY134" s="33">
        <f>IF(SnapshotTable[[#This Row],[SP Is Booked]], SnapshotTable[[#This Row],[SP Qty]] * SnapshotTable[[#This Row],[SP Book Price]] * 100, 0)</f>
        <v>0</v>
      </c>
      <c r="BZ134" s="369"/>
      <c r="CA134" s="368">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3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44"/>
      <c r="CK134" s="31">
        <f>IF(ISNUMBER(SnapshotTable[[#This Row],[SP Potential Spend]]),IF(ISNUMBER(SnapshotTable[[#This Row],[SP POW]]), SnapshotTable[[#This Row],[SP POW]] * SnapshotTable[[#This Row],[SP Potential Spend]], SnapshotTable[[#This Row],[SP Potential Spend]]), "")</f>
        <v>0</v>
      </c>
      <c r="CL134" s="164">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8"/>
      <c r="CO134" s="369"/>
      <c r="CP134" s="4" t="str">
        <f>IF(SnapshotTable[[#This Row],[SP Is Filled]], btc_max_buyback_amount(SnapshotTable[[#This Row],[SP Fill Date]],SnapshotTable[[#This Row],[SP Exp Date]], SnapshotTable[[#This Row],[SP Book Price]]),"")</f>
        <v/>
      </c>
      <c r="CQ134" s="78"/>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5" t="str">
        <f>IF(SnapshotTable[[#This Row],[SP Is Filled]], btc_next_cutoff_date(SnapshotTable[[#This Row],[SP Fill Date]],SnapshotTable[[#This Row],[SP Exp Date]]),"")</f>
        <v/>
      </c>
      <c r="CT134" s="23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3"/>
      <c r="CV134" s="235"/>
      <c r="CW134" s="378"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294" t="str">
        <f>IF(ISNUMBER((SnapshotTable[[#This Row],[SP Total Value]])), SnapshotTable[[#This Row],[SP Gain Loss]] / SnapshotTable[[#This Row],[SP Premium]], "")</f>
        <v/>
      </c>
      <c r="DI134" s="406"/>
      <c r="DJ134" s="138"/>
      <c r="DK134" s="148"/>
      <c r="DL134" s="13"/>
      <c r="DM134" s="13"/>
      <c r="DO134" s="31">
        <f>IF(SnapshotTable[[#This Row],[LC Symbol Count]]=1, SnapshotTable[[#This Row],[LC Qty]] * SnapshotTable[[#This Row],[LC Book Price]] * 100, 0)</f>
        <v>0</v>
      </c>
      <c r="DP134" s="163" t="str">
        <f>IF(AND(SnapshotTable[[#This Row],[LC Exp Date]]&gt;0, SnapshotTable[[#This Row],[LC Strike Price]]&gt;0,SnapshotTable[[#This Row],[LC Qty]]&gt;0,SnapshotTable[[#This Row],[LC Book Date]]&gt;0,SnapshotTable[[#This Row],[LC Book Price]]&gt;0,SnapshotTable[[#This Row],[LC Fill Date]]=0),"Y","")</f>
        <v/>
      </c>
      <c r="DQ134" s="386" t="str">
        <f>IF(SnapshotTable[[#This Row],[LC Premium]] &gt; 0,SnapshotTable[[#This Row],[LC Exp Date]]-MAX(SnapshotTable[[#This Row],[LC Book Date]], SnapshotTable[[#This Row],[LC Fill Date]]),"")</f>
        <v/>
      </c>
      <c r="DR134" s="386" t="str">
        <f>IF(ISNUMBER(SnapshotTable[[#This Row],[LC Term]]), SnapshotTable[[#This Row],[LC Exp Date]] - MockToday, "")</f>
        <v/>
      </c>
      <c r="DS134" s="23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40" t="str">
        <f>IF(ISNUMBER(SnapshotTable[[#This Row],[LC Actual Gain Loss]]), SnapshotTable[[#This Row],[LC Actual Gain Loss]] / SnapshotTable[[#This Row],[LC Premium]],"")</f>
        <v/>
      </c>
      <c r="DX134" s="284" t="str">
        <f>IF(ISNUMBER(SnapshotTable[[#This Row],[LC Book Price]]),SnapshotTable[[#This Row],[LC Book Price]] * 1.5,"")</f>
        <v/>
      </c>
      <c r="DY134" s="265" t="str">
        <f>IF(SnapshotTable[[#This Row],[LC Premium]]&gt;0, SnapshotTable[[#This Row],[LC Next Target]] * SnapshotTable[[#This Row],[LC Qty]] * 100,"")</f>
        <v/>
      </c>
      <c r="DZ134" s="265" t="str">
        <f>IF(ISNUMBER(SnapshotTable[[#This Row],[LC Target Gross]]), SnapshotTable[[#This Row],[LC Target Gross]] - SnapshotTable[[#This Row],[LC Premium]], "")</f>
        <v/>
      </c>
      <c r="EA134" s="305" t="str">
        <f>IF(ISNUMBER(SnapshotTable[[#This Row],[LC Target Gain Loss]]), SnapshotTable[[#This Row],[LC Target Gain Loss]]/SnapshotTable[[#This Row],[LC Premium]], "")</f>
        <v/>
      </c>
      <c r="EB134" s="262"/>
      <c r="EC134" s="283" t="str">
        <f>IF(SnapshotTable[[#This Row],[LC Premium]]&gt;0, SnapshotTable[[#This Row],[LC Book Price]] * (1 - LC_StopLoss_Pct),"")</f>
        <v/>
      </c>
      <c r="ED134" s="284"/>
      <c r="EE134" s="28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4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7"/>
      <c r="EL134" s="138"/>
      <c r="EM134" s="148"/>
      <c r="EN134" s="147"/>
      <c r="EO134" s="147"/>
      <c r="EP134" s="138"/>
      <c r="EQ134" s="419" t="b">
        <f>AND(ISNUMBER(SnapshotTable[[#This Row],[SC Exp Date]]), ISNUMBER(SnapshotTable[[#This Row],[SC Strike Price]]), ISNUMBER(SnapshotTable[[#This Row],[SC Qty]]), ISNUMBER(SnapshotTable[[#This Row],[SC Book Date]]), ISNUMBER(SnapshotTable[[#This Row],[SC Book Price]]))</f>
        <v>0</v>
      </c>
      <c r="ER134" s="419" t="b">
        <f>AND(SnapshotTable[[#This Row],[SC Is Booked]], NOT(ISBLANK(SnapshotTable[[#This Row],[SC Fill Date]])))</f>
        <v>0</v>
      </c>
      <c r="ES134" s="370"/>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3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283"/>
      <c r="FA134" s="218"/>
      <c r="FB134" s="370"/>
      <c r="FC134" s="4">
        <f>IF(SnapshotTable[[#This Row],[SC Is Filled]], btc_max_buyback_amount(SnapshotTable[[#This Row],[SC Fill Date]],SnapshotTable[[#This Row],[SC Exp Date]], SnapshotTable[[#This Row],[SC Book Price]]),0)</f>
        <v>0</v>
      </c>
      <c r="FD134" s="5"/>
      <c r="FE134" s="144"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382">
        <f>IF(SnapshotTable[[#This Row],[SC Is Filled]], IF(ISNUMBER(SnapshotTable[[#This Row],[SC Current Ask]]), SnapshotTable[[#This Row],[SC Current Ask]], SnapshotTable[[#This Row],[SC Book Price]]) - SnapshotTable[[#This Row],[SC Intrinsic Value]], 0)</f>
        <v>0</v>
      </c>
      <c r="FI134" s="143"/>
      <c r="FJ134" s="32" t="str">
        <f>IF(SnapshotTable[[#This Row],[SC Is Filled]],100 * SnapshotTable[[#This Row],[SC Qty]] * IF(ISNUMBER(SnapshotTable[[#This Row],[SC Buyback Override]]), SnapshotTable[[#This Row],[SC Buyback Override]], SnapshotTable[[#This Row],[SC Current Ask]]), "")</f>
        <v/>
      </c>
      <c r="FK134" s="250" t="str">
        <f>IF(SnapshotTable[[#This Row],[SC Time Val]]&gt;0, SnapshotTable[[#This Row],[SC Time Val]] / SnapshotTable[[#This Row],[Last Price]],"")</f>
        <v/>
      </c>
      <c r="FL134" s="302" t="str">
        <f>IF(SnapshotTable[[#This Row],[SC Is Booked]], ((SnapshotTable[[#This Row],[Last Price]] -SnapshotTable[[#This Row],[SC Strike Price]]) / SnapshotTable[[#This Row],[Last Price]]) * -1, "")</f>
        <v/>
      </c>
      <c r="FM134" s="157"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33"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36" t="str">
        <f>IF(AND(ISNUMBER(SnapshotTable[[#This Row],[SC Simple ROO]]),SnapshotTable[[#This Row],[SC Simple ROO]] &gt; 0), SnapshotTable[[#This Row],[SC Premium]] + (SnapshotTable[[#This Row],[SC Qty]] * SnapshotTable[[#This Row],[SC Upside Potential]]), "")</f>
        <v/>
      </c>
      <c r="FX134" s="302" t="str" cm="1">
        <f t="array" ref="FX134">IF(ISNUMBER(SnapshotTable[[#This Row],[SC Max Dollars]]), annualize(SnapshotTable[[#This Row],[SC Term]],(SnapshotTable[[#This Row],[SC Max Dollars]]/SnapshotTable[[#This Row],[SC Basis]])),"")</f>
        <v/>
      </c>
      <c r="FY134" s="23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29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60.9375</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686</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31">
        <f>MAX(SnapshotTable[[#This Row],[Equity Basis Total]],SnapshotTable[[#This Row],[Equity Value]]) + (SnapshotTable[[#This Row],[SP Potential Spend]]- SnapshotTable[[#This Row],[SP Premium]] + SnapshotTable[[#This Row],[LP Premium]])+ (SnapshotTable[[#This Row],[LC Premium]] - SnapshotTable[[#This Row],[SC Premium]])</f>
        <v>0</v>
      </c>
      <c r="GW134" s="139" t="str">
        <f>IF(AND(SnapshotTable[[#This Row],[Exposure]] &lt;&gt; 0),SnapshotTable[[#This Row],[Exposure]] / SnapshotTable[[#Totals],[Exposure]], "")</f>
        <v/>
      </c>
      <c r="HE134" s="268"/>
      <c r="HF134" s="268"/>
      <c r="HK134" s="1"/>
      <c r="HL134" s="1"/>
      <c r="HM134" s="1"/>
      <c r="HN134" s="1"/>
      <c r="HO134" s="1"/>
      <c r="HP134" s="1"/>
    </row>
    <row r="135" spans="2:224" ht="12.75" hidden="1" customHeight="1" x14ac:dyDescent="0.25">
      <c r="B135" s="12" t="s">
        <v>62</v>
      </c>
      <c r="C135" s="422">
        <v>319.83</v>
      </c>
      <c r="D135" s="208"/>
      <c r="E135" s="39">
        <f>SnapshotTable[[#This Row],[Last Price]]*(1 -CrashDiscount)</f>
        <v>271.85550000000001</v>
      </c>
      <c r="F135" s="26" t="s">
        <v>60</v>
      </c>
      <c r="G135" s="26" t="s">
        <v>14</v>
      </c>
      <c r="H135" s="149"/>
      <c r="I135" s="194">
        <v>44770.3125</v>
      </c>
      <c r="J135" s="195">
        <v>44770.3125</v>
      </c>
      <c r="K135" s="196"/>
      <c r="L135" s="326"/>
      <c r="M135" s="140"/>
      <c r="N135" s="140"/>
      <c r="O135" s="140"/>
      <c r="P135" s="22"/>
      <c r="Q135" s="25"/>
      <c r="R135" s="4" t="str">
        <f>IF(SnapshotTable[[#This Row],[Equity Basis Total]] &gt; 0, SnapshotTable[[#This Row],[Equity Basis Total]] / SnapshotTable[[#This Row],[Equity Shares]], "")</f>
        <v/>
      </c>
      <c r="S135" s="269">
        <f>SnapshotTable[[#This Row],[Last Price]] * SnapshotTable[[#This Row],[Equity Shares]]</f>
        <v>0</v>
      </c>
      <c r="T135" s="269">
        <f>SnapshotTable[[#This Row],[Equity Value]] - SnapshotTable[[#This Row],[Equity Basis Total]]</f>
        <v>0</v>
      </c>
      <c r="U135" s="270" t="str">
        <f>IF(SnapshotTable[[#This Row],[Equity Basis Total]] &gt; 0, SnapshotTable[[#This Row],[Equity G/L]] / SnapshotTable[[#This Row],[Equity Basis Total]], "")</f>
        <v/>
      </c>
      <c r="V135" s="268"/>
      <c r="W135" s="26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7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0">
        <v>1.24</v>
      </c>
      <c r="AD135" s="151">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3.8770596879592286E-3</v>
      </c>
      <c r="AH135" s="151">
        <v>42256</v>
      </c>
      <c r="AI135" s="5"/>
      <c r="AJ135" s="138">
        <v>110</v>
      </c>
      <c r="AK135" s="152" t="str">
        <f>IF(ISNUMBER( SnapshotTable[[#This Row],[EBF Target]]),(SnapshotTable[[#This Row],[EBF Target]] - SnapshotTable[[#This Row],[Last Price]]) / SnapshotTable[[#This Row],[Last Price]], "")</f>
        <v/>
      </c>
      <c r="AL135" s="152"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2">
        <f>IF(AND(ISNUMBER( SnapshotTable[[#This Row],[Long Term Target]]), ISNUMBER(SnapshotTable[[#This Row],[Last Price]])),(SnapshotTable[[#This Row],[Long Term Target]] - SnapshotTable[[#This Row],[Last Price]]) / SnapshotTable[[#This Row],[Last Price]], "")</f>
        <v>-0.65606728574555229</v>
      </c>
      <c r="AP135" s="5"/>
      <c r="AQ135" s="38"/>
      <c r="AR135" s="5"/>
      <c r="AS135" s="38"/>
      <c r="AT135" s="146"/>
      <c r="AU135" s="187" t="str">
        <f>IF(OR(SnapshotTable[[#This Row],[LP No Fill]]="Y",SnapshotTable[[#This Row],[SP Is Filled]],SnapshotTable[[#This Row],[LC Not Filled]]="Y",SnapshotTable[[#This Row],[SC Is Filled]]),"Y","")</f>
        <v/>
      </c>
      <c r="AV135" s="219"/>
      <c r="AW135" s="225"/>
      <c r="AX135" s="220"/>
      <c r="AY135" s="219" t="str">
        <f>IF(SnapshotTable[[#This Row],[Implied Move]]&gt;0, SnapshotTable[[#This Row],[Last Price]]-SnapshotTable[[#This Row],[Implied Move]],"")</f>
        <v/>
      </c>
      <c r="AZ135" s="219" t="str">
        <f>IF(SnapshotTable[[#This Row],[Implied Move]]&gt;0, SnapshotTable[[#This Row],[Last Price]] + SnapshotTable[[#This Row],[Implied Move]],"")</f>
        <v/>
      </c>
      <c r="BA135" s="331"/>
      <c r="BB135" s="347"/>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51"/>
      <c r="BE135" s="5"/>
      <c r="BF135" s="14"/>
      <c r="BG135" s="13"/>
      <c r="BH135" s="13"/>
      <c r="BI135" s="5"/>
      <c r="BJ135" s="136">
        <f>IF(SnapshotTable[[#This Row],[LP Qty]] &gt; 0, SnapshotTable[[#This Row],[LP Qty]] * SnapshotTable[[#This Row],[LP Book Price]] * 100,0)</f>
        <v>0</v>
      </c>
      <c r="BK135" s="136">
        <f>IF(SnapshotTable[[#This Row],[LP Premium]] &gt; 0, SnapshotTable[[#This Row],[LP Qty]] * SnapshotTable[[#This Row],[LP Strike Price]] * 100,0)</f>
        <v>0</v>
      </c>
      <c r="BL135" s="154"/>
      <c r="BM135" s="385" t="str">
        <f>IF(SnapshotTable[[#This Row],[LP Premium]] &gt; 0,SnapshotTable[[#This Row],[LP Exp Date]]-MAX(SnapshotTable[[#This Row],[LP Book Date]], SnapshotTable[[#This Row],[LP Fill Date]]),"")</f>
        <v/>
      </c>
      <c r="BN135" s="385" t="str">
        <f>IF(ISNUMBER( SnapshotTable[[#This Row],[LP Term]]), SnapshotTable[[#This Row],[LP Exp Date]] - MockToday,"")</f>
        <v/>
      </c>
      <c r="BO135" s="163"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7"/>
      <c r="BU135" s="13"/>
      <c r="BV135" s="5"/>
      <c r="BW135" s="419" t="b">
        <f>AND(ISNUMBER(SnapshotTable[[#This Row],[SP Exp Date]]), ISNUMBER(SnapshotTable[[#This Row],[SP Strike Price]]), ISNUMBER(SnapshotTable[[#This Row],[SP Qty]]), ISNUMBER(SnapshotTable[[#This Row],[SP Book Date]]), ISNUMBER(SnapshotTable[[#This Row],[SP Book Price]]))</f>
        <v>0</v>
      </c>
      <c r="BX135" s="419" t="b">
        <f>AND(SnapshotTable[[#This Row],[SP Is Booked]], NOT(ISBLANK(SnapshotTable[[#This Row],[SP Fill Date]])))</f>
        <v>0</v>
      </c>
      <c r="BY135" s="33">
        <f>IF(SnapshotTable[[#This Row],[SP Is Booked]], SnapshotTable[[#This Row],[SP Qty]] * SnapshotTable[[#This Row],[SP Book Price]] * 100, 0)</f>
        <v>0</v>
      </c>
      <c r="BZ135" s="369"/>
      <c r="CA135" s="368">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3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44"/>
      <c r="CK135" s="31">
        <f>IF(ISNUMBER(SnapshotTable[[#This Row],[SP Potential Spend]]),IF(ISNUMBER(SnapshotTable[[#This Row],[SP POW]]), SnapshotTable[[#This Row],[SP POW]] * SnapshotTable[[#This Row],[SP Potential Spend]], SnapshotTable[[#This Row],[SP Potential Spend]]), "")</f>
        <v>0</v>
      </c>
      <c r="CL135" s="164">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8"/>
      <c r="CO135" s="369"/>
      <c r="CP135" s="4" t="str">
        <f>IF(SnapshotTable[[#This Row],[SP Is Filled]], btc_max_buyback_amount(SnapshotTable[[#This Row],[SP Fill Date]],SnapshotTable[[#This Row],[SP Exp Date]], SnapshotTable[[#This Row],[SP Book Price]]),"")</f>
        <v/>
      </c>
      <c r="CQ135" s="78"/>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5" t="str">
        <f>IF(SnapshotTable[[#This Row],[SP Is Filled]], btc_next_cutoff_date(SnapshotTable[[#This Row],[SP Fill Date]],SnapshotTable[[#This Row],[SP Exp Date]]),"")</f>
        <v/>
      </c>
      <c r="CT135" s="23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3"/>
      <c r="CV135" s="235"/>
      <c r="CW135" s="378"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294" t="str">
        <f>IF(ISNUMBER((SnapshotTable[[#This Row],[SP Total Value]])), SnapshotTable[[#This Row],[SP Gain Loss]] / SnapshotTable[[#This Row],[SP Premium]], "")</f>
        <v/>
      </c>
      <c r="DI135" s="406"/>
      <c r="DJ135" s="138"/>
      <c r="DK135" s="148"/>
      <c r="DL135" s="13"/>
      <c r="DM135" s="13"/>
      <c r="DO135" s="31">
        <f>IF(SnapshotTable[[#This Row],[LC Symbol Count]]=1, SnapshotTable[[#This Row],[LC Qty]] * SnapshotTable[[#This Row],[LC Book Price]] * 100, 0)</f>
        <v>0</v>
      </c>
      <c r="DP135" s="163" t="str">
        <f>IF(AND(SnapshotTable[[#This Row],[LC Exp Date]]&gt;0, SnapshotTable[[#This Row],[LC Strike Price]]&gt;0,SnapshotTable[[#This Row],[LC Qty]]&gt;0,SnapshotTable[[#This Row],[LC Book Date]]&gt;0,SnapshotTable[[#This Row],[LC Book Price]]&gt;0,SnapshotTable[[#This Row],[LC Fill Date]]=0),"Y","")</f>
        <v/>
      </c>
      <c r="DQ135" s="386" t="str">
        <f>IF(SnapshotTable[[#This Row],[LC Premium]] &gt; 0,SnapshotTable[[#This Row],[LC Exp Date]]-MAX(SnapshotTable[[#This Row],[LC Book Date]], SnapshotTable[[#This Row],[LC Fill Date]]),"")</f>
        <v/>
      </c>
      <c r="DR135" s="386" t="str">
        <f>IF(ISNUMBER(SnapshotTable[[#This Row],[LC Term]]), SnapshotTable[[#This Row],[LC Exp Date]] - MockToday, "")</f>
        <v/>
      </c>
      <c r="DS135" s="23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40" t="str">
        <f>IF(ISNUMBER(SnapshotTable[[#This Row],[LC Actual Gain Loss]]), SnapshotTable[[#This Row],[LC Actual Gain Loss]] / SnapshotTable[[#This Row],[LC Premium]],"")</f>
        <v/>
      </c>
      <c r="DX135" s="284" t="str">
        <f>IF(ISNUMBER(SnapshotTable[[#This Row],[LC Book Price]]),SnapshotTable[[#This Row],[LC Book Price]] * 1.5,"")</f>
        <v/>
      </c>
      <c r="DY135" s="265" t="str">
        <f>IF(SnapshotTable[[#This Row],[LC Premium]]&gt;0, SnapshotTable[[#This Row],[LC Next Target]] * SnapshotTable[[#This Row],[LC Qty]] * 100,"")</f>
        <v/>
      </c>
      <c r="DZ135" s="265" t="str">
        <f>IF(ISNUMBER(SnapshotTable[[#This Row],[LC Target Gross]]), SnapshotTable[[#This Row],[LC Target Gross]] - SnapshotTable[[#This Row],[LC Premium]], "")</f>
        <v/>
      </c>
      <c r="EA135" s="305" t="str">
        <f>IF(ISNUMBER(SnapshotTable[[#This Row],[LC Target Gain Loss]]), SnapshotTable[[#This Row],[LC Target Gain Loss]]/SnapshotTable[[#This Row],[LC Premium]], "")</f>
        <v/>
      </c>
      <c r="EB135" s="262"/>
      <c r="EC135" s="283" t="str">
        <f>IF(SnapshotTable[[#This Row],[LC Premium]]&gt;0, SnapshotTable[[#This Row],[LC Book Price]] * (1 - LC_StopLoss_Pct),"")</f>
        <v/>
      </c>
      <c r="ED135" s="284"/>
      <c r="EE135" s="28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4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7"/>
      <c r="EL135" s="138"/>
      <c r="EM135" s="148"/>
      <c r="EN135" s="147"/>
      <c r="EO135" s="147"/>
      <c r="EP135" s="138"/>
      <c r="EQ135" s="419" t="b">
        <f>AND(ISNUMBER(SnapshotTable[[#This Row],[SC Exp Date]]), ISNUMBER(SnapshotTable[[#This Row],[SC Strike Price]]), ISNUMBER(SnapshotTable[[#This Row],[SC Qty]]), ISNUMBER(SnapshotTable[[#This Row],[SC Book Date]]), ISNUMBER(SnapshotTable[[#This Row],[SC Book Price]]))</f>
        <v>0</v>
      </c>
      <c r="ER135" s="419" t="b">
        <f>AND(SnapshotTable[[#This Row],[SC Is Booked]], NOT(ISBLANK(SnapshotTable[[#This Row],[SC Fill Date]])))</f>
        <v>0</v>
      </c>
      <c r="ES135" s="370"/>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3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283"/>
      <c r="FA135" s="218"/>
      <c r="FB135" s="370"/>
      <c r="FC135" s="4">
        <f>IF(SnapshotTable[[#This Row],[SC Is Filled]], btc_max_buyback_amount(SnapshotTable[[#This Row],[SC Fill Date]],SnapshotTable[[#This Row],[SC Exp Date]], SnapshotTable[[#This Row],[SC Book Price]]),0)</f>
        <v>0</v>
      </c>
      <c r="FD135" s="5"/>
      <c r="FE135" s="144"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382">
        <f>IF(SnapshotTable[[#This Row],[SC Is Filled]], IF(ISNUMBER(SnapshotTable[[#This Row],[SC Current Ask]]), SnapshotTable[[#This Row],[SC Current Ask]], SnapshotTable[[#This Row],[SC Book Price]]) - SnapshotTable[[#This Row],[SC Intrinsic Value]], 0)</f>
        <v>0</v>
      </c>
      <c r="FI135" s="143"/>
      <c r="FJ135" s="32" t="str">
        <f>IF(SnapshotTable[[#This Row],[SC Is Filled]],100 * SnapshotTable[[#This Row],[SC Qty]] * IF(ISNUMBER(SnapshotTable[[#This Row],[SC Buyback Override]]), SnapshotTable[[#This Row],[SC Buyback Override]], SnapshotTable[[#This Row],[SC Current Ask]]), "")</f>
        <v/>
      </c>
      <c r="FK135" s="250" t="str">
        <f>IF(SnapshotTable[[#This Row],[SC Time Val]]&gt;0, SnapshotTable[[#This Row],[SC Time Val]] / SnapshotTable[[#This Row],[Last Price]],"")</f>
        <v/>
      </c>
      <c r="FL135" s="302" t="str">
        <f>IF(SnapshotTable[[#This Row],[SC Is Booked]], ((SnapshotTable[[#This Row],[Last Price]] -SnapshotTable[[#This Row],[SC Strike Price]]) / SnapshotTable[[#This Row],[Last Price]]) * -1, "")</f>
        <v/>
      </c>
      <c r="FM135" s="157"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33"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36" t="str">
        <f>IF(AND(ISNUMBER(SnapshotTable[[#This Row],[SC Simple ROO]]),SnapshotTable[[#This Row],[SC Simple ROO]] &gt; 0), SnapshotTable[[#This Row],[SC Premium]] + (SnapshotTable[[#This Row],[SC Qty]] * SnapshotTable[[#This Row],[SC Upside Potential]]), "")</f>
        <v/>
      </c>
      <c r="FX135" s="302" t="str" cm="1">
        <f t="array" ref="FX135">IF(ISNUMBER(SnapshotTable[[#This Row],[SC Max Dollars]]), annualize(SnapshotTable[[#This Row],[SC Term]],(SnapshotTable[[#This Row],[SC Max Dollars]]/SnapshotTable[[#This Row],[SC Basis]])),"")</f>
        <v/>
      </c>
      <c r="FY135" s="23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29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623.66849999999999</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687</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31">
        <f>MAX(SnapshotTable[[#This Row],[Equity Basis Total]],SnapshotTable[[#This Row],[Equity Value]]) + (SnapshotTable[[#This Row],[SP Potential Spend]]- SnapshotTable[[#This Row],[SP Premium]] + SnapshotTable[[#This Row],[LP Premium]])+ (SnapshotTable[[#This Row],[LC Premium]] - SnapshotTable[[#This Row],[SC Premium]])</f>
        <v>0</v>
      </c>
      <c r="GW135" s="139" t="str">
        <f>IF(AND(SnapshotTable[[#This Row],[Exposure]] &lt;&gt; 0),SnapshotTable[[#This Row],[Exposure]] / SnapshotTable[[#Totals],[Exposure]], "")</f>
        <v/>
      </c>
      <c r="HE135" s="268"/>
      <c r="HF135" s="268"/>
      <c r="HK135" s="1"/>
      <c r="HL135" s="1"/>
      <c r="HM135" s="1"/>
      <c r="HN135" s="1"/>
      <c r="HO135" s="1"/>
      <c r="HP135" s="1"/>
    </row>
    <row r="136" spans="2:224" ht="12.75" hidden="1" customHeight="1" x14ac:dyDescent="0.25">
      <c r="B136" s="12" t="s">
        <v>1040</v>
      </c>
      <c r="C136" s="422">
        <v>12</v>
      </c>
      <c r="D136" s="208" t="s">
        <v>578</v>
      </c>
      <c r="E136" s="39">
        <f>SnapshotTable[[#This Row],[Last Price]]*(1 -CrashDiscount)</f>
        <v>10.199999999999999</v>
      </c>
      <c r="F136" s="26" t="s">
        <v>243</v>
      </c>
      <c r="G136" s="26" t="s">
        <v>9</v>
      </c>
      <c r="H136" s="149"/>
      <c r="I136" s="194">
        <v>44790.28125</v>
      </c>
      <c r="J136" s="195">
        <v>44790.28125</v>
      </c>
      <c r="K136" s="196"/>
      <c r="L136" s="326"/>
      <c r="M136" s="140"/>
      <c r="N136" s="140"/>
      <c r="O136" s="140"/>
      <c r="P136" s="22"/>
      <c r="Q136" s="25"/>
      <c r="R136" s="4" t="str">
        <f>IF(SnapshotTable[[#This Row],[Equity Basis Total]] &gt; 0, SnapshotTable[[#This Row],[Equity Basis Total]] / SnapshotTable[[#This Row],[Equity Shares]], "")</f>
        <v/>
      </c>
      <c r="S136" s="269">
        <f>SnapshotTable[[#This Row],[Last Price]] * SnapshotTable[[#This Row],[Equity Shares]]</f>
        <v>0</v>
      </c>
      <c r="T136" s="269">
        <f>SnapshotTable[[#This Row],[Equity Value]] - SnapshotTable[[#This Row],[Equity Basis Total]]</f>
        <v>0</v>
      </c>
      <c r="U136" s="270" t="str">
        <f>IF(SnapshotTable[[#This Row],[Equity Basis Total]] &gt; 0, SnapshotTable[[#This Row],[Equity G/L]] / SnapshotTable[[#This Row],[Equity Basis Total]], "")</f>
        <v/>
      </c>
      <c r="V136" s="268">
        <v>90</v>
      </c>
      <c r="W136" s="26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7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0"/>
      <c r="AD136" s="151"/>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1"/>
      <c r="AI136" s="5"/>
      <c r="AJ136" s="138">
        <v>81</v>
      </c>
      <c r="AK136" s="152" t="str">
        <f>IF(ISNUMBER( SnapshotTable[[#This Row],[EBF Target]]),(SnapshotTable[[#This Row],[EBF Target]] - SnapshotTable[[#This Row],[Last Price]]) / SnapshotTable[[#This Row],[Last Price]], "")</f>
        <v/>
      </c>
      <c r="AL136" s="152"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2">
        <f>IF(AND(ISNUMBER( SnapshotTable[[#This Row],[Long Term Target]]), ISNUMBER(SnapshotTable[[#This Row],[Last Price]])),(SnapshotTable[[#This Row],[Long Term Target]] - SnapshotTable[[#This Row],[Last Price]]) / SnapshotTable[[#This Row],[Last Price]], "")</f>
        <v>5.75</v>
      </c>
      <c r="AP136" s="5">
        <v>55</v>
      </c>
      <c r="AQ136" s="38" t="s">
        <v>38</v>
      </c>
      <c r="AR136" s="5">
        <v>55</v>
      </c>
      <c r="AS136" s="38" t="s">
        <v>26</v>
      </c>
      <c r="AT136" s="146" t="s">
        <v>538</v>
      </c>
      <c r="AU136" s="187" t="str">
        <f>IF(OR(SnapshotTable[[#This Row],[LP No Fill]]="Y",SnapshotTable[[#This Row],[SP Is Filled]],SnapshotTable[[#This Row],[LC Not Filled]]="Y",SnapshotTable[[#This Row],[SC Is Filled]]),"Y","")</f>
        <v/>
      </c>
      <c r="AV136" s="219"/>
      <c r="AW136" s="225"/>
      <c r="AX136" s="220"/>
      <c r="AY136" s="219" t="str">
        <f>IF(SnapshotTable[[#This Row],[Implied Move]]&gt;0, SnapshotTable[[#This Row],[Last Price]]-SnapshotTable[[#This Row],[Implied Move]],"")</f>
        <v/>
      </c>
      <c r="AZ136" s="219" t="str">
        <f>IF(SnapshotTable[[#This Row],[Implied Move]]&gt;0, SnapshotTable[[#This Row],[Last Price]] + SnapshotTable[[#This Row],[Implied Move]],"")</f>
        <v/>
      </c>
      <c r="BA136" s="331">
        <v>61.12</v>
      </c>
      <c r="BB136" s="347"/>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51"/>
      <c r="BE136" s="5"/>
      <c r="BF136" s="14"/>
      <c r="BG136" s="13"/>
      <c r="BH136" s="13"/>
      <c r="BI136" s="5"/>
      <c r="BJ136" s="136">
        <f>IF(SnapshotTable[[#This Row],[LP Qty]] &gt; 0, SnapshotTable[[#This Row],[LP Qty]] * SnapshotTable[[#This Row],[LP Book Price]] * 100,0)</f>
        <v>0</v>
      </c>
      <c r="BK136" s="136">
        <f>IF(SnapshotTable[[#This Row],[LP Premium]] &gt; 0, SnapshotTable[[#This Row],[LP Qty]] * SnapshotTable[[#This Row],[LP Strike Price]] * 100,0)</f>
        <v>0</v>
      </c>
      <c r="BL136" s="154"/>
      <c r="BM136" s="385" t="str">
        <f>IF(SnapshotTable[[#This Row],[LP Premium]] &gt; 0,SnapshotTable[[#This Row],[LP Exp Date]]-MAX(SnapshotTable[[#This Row],[LP Book Date]], SnapshotTable[[#This Row],[LP Fill Date]]),"")</f>
        <v/>
      </c>
      <c r="BN136" s="385" t="str">
        <f>IF(ISNUMBER( SnapshotTable[[#This Row],[LP Term]]), SnapshotTable[[#This Row],[LP Exp Date]] - MockToday,"")</f>
        <v/>
      </c>
      <c r="BO136" s="163"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7"/>
      <c r="BU136" s="13"/>
      <c r="BV136" s="5"/>
      <c r="BW136" s="419" t="b">
        <f>AND(ISNUMBER(SnapshotTable[[#This Row],[SP Exp Date]]), ISNUMBER(SnapshotTable[[#This Row],[SP Strike Price]]), ISNUMBER(SnapshotTable[[#This Row],[SP Qty]]), ISNUMBER(SnapshotTable[[#This Row],[SP Book Date]]), ISNUMBER(SnapshotTable[[#This Row],[SP Book Price]]))</f>
        <v>0</v>
      </c>
      <c r="BX136" s="419" t="b">
        <f>AND(SnapshotTable[[#This Row],[SP Is Booked]], NOT(ISBLANK(SnapshotTable[[#This Row],[SP Fill Date]])))</f>
        <v>0</v>
      </c>
      <c r="BY136" s="33">
        <f>IF(SnapshotTable[[#This Row],[SP Is Booked]], SnapshotTable[[#This Row],[SP Qty]] * SnapshotTable[[#This Row],[SP Book Price]] * 100, 0)</f>
        <v>0</v>
      </c>
      <c r="BZ136" s="369"/>
      <c r="CA136" s="368">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3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44"/>
      <c r="CK136" s="31">
        <f>IF(ISNUMBER(SnapshotTable[[#This Row],[SP Potential Spend]]),IF(ISNUMBER(SnapshotTable[[#This Row],[SP POW]]), SnapshotTable[[#This Row],[SP POW]] * SnapshotTable[[#This Row],[SP Potential Spend]], SnapshotTable[[#This Row],[SP Potential Spend]]), "")</f>
        <v>0</v>
      </c>
      <c r="CL136" s="164">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8"/>
      <c r="CO136" s="369"/>
      <c r="CP136" s="4" t="str">
        <f>IF(SnapshotTable[[#This Row],[SP Is Filled]], btc_max_buyback_amount(SnapshotTable[[#This Row],[SP Fill Date]],SnapshotTable[[#This Row],[SP Exp Date]], SnapshotTable[[#This Row],[SP Book Price]]),"")</f>
        <v/>
      </c>
      <c r="CQ136" s="78"/>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5" t="str">
        <f>IF(SnapshotTable[[#This Row],[SP Is Filled]], btc_next_cutoff_date(SnapshotTable[[#This Row],[SP Fill Date]],SnapshotTable[[#This Row],[SP Exp Date]]),"")</f>
        <v/>
      </c>
      <c r="CT136" s="23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3"/>
      <c r="CV136" s="235"/>
      <c r="CW136" s="378"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294" t="str">
        <f>IF(ISNUMBER((SnapshotTable[[#This Row],[SP Total Value]])), SnapshotTable[[#This Row],[SP Gain Loss]] / SnapshotTable[[#This Row],[SP Premium]], "")</f>
        <v/>
      </c>
      <c r="DI136" s="406"/>
      <c r="DJ136" s="138"/>
      <c r="DK136" s="148"/>
      <c r="DL136" s="13"/>
      <c r="DM136" s="13"/>
      <c r="DO136" s="31">
        <f>IF(SnapshotTable[[#This Row],[LC Symbol Count]]=1, SnapshotTable[[#This Row],[LC Qty]] * SnapshotTable[[#This Row],[LC Book Price]] * 100, 0)</f>
        <v>0</v>
      </c>
      <c r="DP136" s="163" t="str">
        <f>IF(AND(SnapshotTable[[#This Row],[LC Exp Date]]&gt;0, SnapshotTable[[#This Row],[LC Strike Price]]&gt;0,SnapshotTable[[#This Row],[LC Qty]]&gt;0,SnapshotTable[[#This Row],[LC Book Date]]&gt;0,SnapshotTable[[#This Row],[LC Book Price]]&gt;0,SnapshotTable[[#This Row],[LC Fill Date]]=0),"Y","")</f>
        <v/>
      </c>
      <c r="DQ136" s="386" t="str">
        <f>IF(SnapshotTable[[#This Row],[LC Premium]] &gt; 0,SnapshotTable[[#This Row],[LC Exp Date]]-MAX(SnapshotTable[[#This Row],[LC Book Date]], SnapshotTable[[#This Row],[LC Fill Date]]),"")</f>
        <v/>
      </c>
      <c r="DR136" s="386" t="str">
        <f>IF(ISNUMBER(SnapshotTable[[#This Row],[LC Term]]), SnapshotTable[[#This Row],[LC Exp Date]] - MockToday, "")</f>
        <v/>
      </c>
      <c r="DS136" s="23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40" t="str">
        <f>IF(ISNUMBER(SnapshotTable[[#This Row],[LC Actual Gain Loss]]), SnapshotTable[[#This Row],[LC Actual Gain Loss]] / SnapshotTable[[#This Row],[LC Premium]],"")</f>
        <v/>
      </c>
      <c r="DX136" s="284" t="str">
        <f>IF(ISNUMBER(SnapshotTable[[#This Row],[LC Book Price]]),SnapshotTable[[#This Row],[LC Book Price]] * 1.5,"")</f>
        <v/>
      </c>
      <c r="DY136" s="265" t="str">
        <f>IF(SnapshotTable[[#This Row],[LC Premium]]&gt;0, SnapshotTable[[#This Row],[LC Next Target]] * SnapshotTable[[#This Row],[LC Qty]] * 100,"")</f>
        <v/>
      </c>
      <c r="DZ136" s="265" t="str">
        <f>IF(ISNUMBER(SnapshotTable[[#This Row],[LC Target Gross]]), SnapshotTable[[#This Row],[LC Target Gross]] - SnapshotTable[[#This Row],[LC Premium]], "")</f>
        <v/>
      </c>
      <c r="EA136" s="305" t="str">
        <f>IF(ISNUMBER(SnapshotTable[[#This Row],[LC Target Gain Loss]]), SnapshotTable[[#This Row],[LC Target Gain Loss]]/SnapshotTable[[#This Row],[LC Premium]], "")</f>
        <v/>
      </c>
      <c r="EB136" s="262"/>
      <c r="EC136" s="283" t="str">
        <f>IF(SnapshotTable[[#This Row],[LC Premium]]&gt;0, SnapshotTable[[#This Row],[LC Book Price]] * (1 - LC_StopLoss_Pct),"")</f>
        <v/>
      </c>
      <c r="ED136" s="284"/>
      <c r="EE136" s="28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4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7"/>
      <c r="EL136" s="138"/>
      <c r="EM136" s="148"/>
      <c r="EN136" s="147"/>
      <c r="EO136" s="147"/>
      <c r="EP136" s="138"/>
      <c r="EQ136" s="419" t="b">
        <f>AND(ISNUMBER(SnapshotTable[[#This Row],[SC Exp Date]]), ISNUMBER(SnapshotTable[[#This Row],[SC Strike Price]]), ISNUMBER(SnapshotTable[[#This Row],[SC Qty]]), ISNUMBER(SnapshotTable[[#This Row],[SC Book Date]]), ISNUMBER(SnapshotTable[[#This Row],[SC Book Price]]))</f>
        <v>0</v>
      </c>
      <c r="ER136" s="419" t="b">
        <f>AND(SnapshotTable[[#This Row],[SC Is Booked]], NOT(ISBLANK(SnapshotTable[[#This Row],[SC Fill Date]])))</f>
        <v>0</v>
      </c>
      <c r="ES136" s="370"/>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3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283"/>
      <c r="FA136" s="218"/>
      <c r="FB136" s="370"/>
      <c r="FC136" s="4">
        <f>IF(SnapshotTable[[#This Row],[SC Is Filled]], btc_max_buyback_amount(SnapshotTable[[#This Row],[SC Fill Date]],SnapshotTable[[#This Row],[SC Exp Date]], SnapshotTable[[#This Row],[SC Book Price]]),0)</f>
        <v>0</v>
      </c>
      <c r="FD136" s="5"/>
      <c r="FE136" s="144"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382">
        <f>IF(SnapshotTable[[#This Row],[SC Is Filled]], IF(ISNUMBER(SnapshotTable[[#This Row],[SC Current Ask]]), SnapshotTable[[#This Row],[SC Current Ask]], SnapshotTable[[#This Row],[SC Book Price]]) - SnapshotTable[[#This Row],[SC Intrinsic Value]], 0)</f>
        <v>0</v>
      </c>
      <c r="FI136" s="143"/>
      <c r="FJ136" s="32" t="str">
        <f>IF(SnapshotTable[[#This Row],[SC Is Filled]],100 * SnapshotTable[[#This Row],[SC Qty]] * IF(ISNUMBER(SnapshotTable[[#This Row],[SC Buyback Override]]), SnapshotTable[[#This Row],[SC Buyback Override]], SnapshotTable[[#This Row],[SC Current Ask]]), "")</f>
        <v/>
      </c>
      <c r="FK136" s="250" t="str">
        <f>IF(SnapshotTable[[#This Row],[SC Time Val]]&gt;0, SnapshotTable[[#This Row],[SC Time Val]] / SnapshotTable[[#This Row],[Last Price]],"")</f>
        <v/>
      </c>
      <c r="FL136" s="302" t="str">
        <f>IF(SnapshotTable[[#This Row],[SC Is Booked]], ((SnapshotTable[[#This Row],[Last Price]] -SnapshotTable[[#This Row],[SC Strike Price]]) / SnapshotTable[[#This Row],[Last Price]]) * -1, "")</f>
        <v/>
      </c>
      <c r="FM136" s="157"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33"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36" t="str">
        <f>IF(AND(ISNUMBER(SnapshotTable[[#This Row],[SC Simple ROO]]),SnapshotTable[[#This Row],[SC Simple ROO]] &gt; 0), SnapshotTable[[#This Row],[SC Premium]] + (SnapshotTable[[#This Row],[SC Qty]] * SnapshotTable[[#This Row],[SC Upside Potential]]), "")</f>
        <v/>
      </c>
      <c r="FX136" s="302" t="str" cm="1">
        <f t="array" ref="FX136">IF(ISNUMBER(SnapshotTable[[#This Row],[SC Max Dollars]]), annualize(SnapshotTable[[#This Row],[SC Term]],(SnapshotTable[[#This Row],[SC Max Dollars]]/SnapshotTable[[#This Row],[SC Basis]])),"")</f>
        <v/>
      </c>
      <c r="FY136" s="23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29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23.4</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31">
        <f>MAX(SnapshotTable[[#This Row],[Equity Basis Total]],SnapshotTable[[#This Row],[Equity Value]]) + (SnapshotTable[[#This Row],[SP Potential Spend]]- SnapshotTable[[#This Row],[SP Premium]] + SnapshotTable[[#This Row],[LP Premium]])+ (SnapshotTable[[#This Row],[LC Premium]] - SnapshotTable[[#This Row],[SC Premium]])</f>
        <v>0</v>
      </c>
      <c r="GW136" s="139" t="str">
        <f>IF(AND(SnapshotTable[[#This Row],[Exposure]] &lt;&gt; 0),SnapshotTable[[#This Row],[Exposure]] / SnapshotTable[[#Totals],[Exposure]], "")</f>
        <v/>
      </c>
      <c r="HE136" s="268"/>
      <c r="HF136" s="268"/>
      <c r="HK136" s="1"/>
      <c r="HL136" s="1"/>
      <c r="HM136" s="1"/>
      <c r="HN136" s="1"/>
      <c r="HO136" s="1"/>
      <c r="HP136" s="1"/>
    </row>
    <row r="137" spans="2:224" ht="12.75" hidden="1" customHeight="1" x14ac:dyDescent="0.25">
      <c r="B137" s="12" t="s">
        <v>61</v>
      </c>
      <c r="C137" s="422">
        <v>193.94</v>
      </c>
      <c r="D137" s="208"/>
      <c r="E137" s="39">
        <f>SnapshotTable[[#This Row],[Last Price]]*(1 -CrashDiscount)</f>
        <v>164.84899999999999</v>
      </c>
      <c r="F137" s="26" t="s">
        <v>60</v>
      </c>
      <c r="G137" s="26" t="s">
        <v>14</v>
      </c>
      <c r="H137" s="149"/>
      <c r="I137" s="194">
        <v>44735.291666666664</v>
      </c>
      <c r="J137" s="195">
        <v>44735.291666666664</v>
      </c>
      <c r="K137" s="196" t="s">
        <v>3</v>
      </c>
      <c r="L137" s="326"/>
      <c r="M137" s="140"/>
      <c r="N137" s="140"/>
      <c r="O137" s="140"/>
      <c r="P137" s="22"/>
      <c r="Q137" s="25"/>
      <c r="R137" s="4" t="str">
        <f>IF(SnapshotTable[[#This Row],[Equity Basis Total]] &gt; 0, SnapshotTable[[#This Row],[Equity Basis Total]] / SnapshotTable[[#This Row],[Equity Shares]], "")</f>
        <v/>
      </c>
      <c r="S137" s="269">
        <f>SnapshotTable[[#This Row],[Last Price]] * SnapshotTable[[#This Row],[Equity Shares]]</f>
        <v>0</v>
      </c>
      <c r="T137" s="269">
        <f>SnapshotTable[[#This Row],[Equity Value]] - SnapshotTable[[#This Row],[Equity Basis Total]]</f>
        <v>0</v>
      </c>
      <c r="U137" s="270" t="str">
        <f>IF(SnapshotTable[[#This Row],[Equity Basis Total]] &gt; 0, SnapshotTable[[#This Row],[Equity G/L]] / SnapshotTable[[#This Row],[Equity Basis Total]], "")</f>
        <v/>
      </c>
      <c r="V137" s="268"/>
      <c r="W137" s="26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7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0"/>
      <c r="AD137" s="151"/>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1"/>
      <c r="AI137" s="5"/>
      <c r="AJ137" s="138">
        <v>102.82</v>
      </c>
      <c r="AK137" s="152" t="str">
        <f>IF(ISNUMBER( SnapshotTable[[#This Row],[EBF Target]]),(SnapshotTable[[#This Row],[EBF Target]] - SnapshotTable[[#This Row],[Last Price]]) / SnapshotTable[[#This Row],[Last Price]], "")</f>
        <v/>
      </c>
      <c r="AL137" s="152"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2">
        <f>IF(AND(ISNUMBER( SnapshotTable[[#This Row],[Long Term Target]]), ISNUMBER(SnapshotTable[[#This Row],[Last Price]])),(SnapshotTable[[#This Row],[Long Term Target]] - SnapshotTable[[#This Row],[Last Price]]) / SnapshotTable[[#This Row],[Last Price]], "")</f>
        <v>-0.4698360317624008</v>
      </c>
      <c r="AP137" s="5"/>
      <c r="AQ137" s="38"/>
      <c r="AR137" s="5"/>
      <c r="AS137" s="38"/>
      <c r="AT137" s="146"/>
      <c r="AU137" s="187" t="str">
        <f>IF(OR(SnapshotTable[[#This Row],[LP No Fill]]="Y",SnapshotTable[[#This Row],[SP Is Filled]],SnapshotTable[[#This Row],[LC Not Filled]]="Y",SnapshotTable[[#This Row],[SC Is Filled]]),"Y","")</f>
        <v/>
      </c>
      <c r="AV137" s="219"/>
      <c r="AW137" s="225"/>
      <c r="AX137" s="220"/>
      <c r="AY137" s="219" t="str">
        <f>IF(SnapshotTable[[#This Row],[Implied Move]]&gt;0, SnapshotTable[[#This Row],[Last Price]]-SnapshotTable[[#This Row],[Implied Move]],"")</f>
        <v/>
      </c>
      <c r="AZ137" s="219" t="str">
        <f>IF(SnapshotTable[[#This Row],[Implied Move]]&gt;0, SnapshotTable[[#This Row],[Last Price]] + SnapshotTable[[#This Row],[Implied Move]],"")</f>
        <v/>
      </c>
      <c r="BA137" s="331"/>
      <c r="BB137" s="347"/>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51"/>
      <c r="BE137" s="5"/>
      <c r="BF137" s="14"/>
      <c r="BG137" s="13"/>
      <c r="BH137" s="13"/>
      <c r="BI137" s="5"/>
      <c r="BJ137" s="136">
        <f>IF(SnapshotTable[[#This Row],[LP Qty]] &gt; 0, SnapshotTable[[#This Row],[LP Qty]] * SnapshotTable[[#This Row],[LP Book Price]] * 100,0)</f>
        <v>0</v>
      </c>
      <c r="BK137" s="136">
        <f>IF(SnapshotTable[[#This Row],[LP Premium]] &gt; 0, SnapshotTable[[#This Row],[LP Qty]] * SnapshotTable[[#This Row],[LP Strike Price]] * 100,0)</f>
        <v>0</v>
      </c>
      <c r="BL137" s="154"/>
      <c r="BM137" s="385" t="str">
        <f>IF(SnapshotTable[[#This Row],[LP Premium]] &gt; 0,SnapshotTable[[#This Row],[LP Exp Date]]-MAX(SnapshotTable[[#This Row],[LP Book Date]], SnapshotTable[[#This Row],[LP Fill Date]]),"")</f>
        <v/>
      </c>
      <c r="BN137" s="385" t="str">
        <f>IF(ISNUMBER( SnapshotTable[[#This Row],[LP Term]]), SnapshotTable[[#This Row],[LP Exp Date]] - MockToday,"")</f>
        <v/>
      </c>
      <c r="BO137" s="163"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7"/>
      <c r="BU137" s="13"/>
      <c r="BV137" s="5"/>
      <c r="BW137" s="419" t="b">
        <f>AND(ISNUMBER(SnapshotTable[[#This Row],[SP Exp Date]]), ISNUMBER(SnapshotTable[[#This Row],[SP Strike Price]]), ISNUMBER(SnapshotTable[[#This Row],[SP Qty]]), ISNUMBER(SnapshotTable[[#This Row],[SP Book Date]]), ISNUMBER(SnapshotTable[[#This Row],[SP Book Price]]))</f>
        <v>0</v>
      </c>
      <c r="BX137" s="419" t="b">
        <f>AND(SnapshotTable[[#This Row],[SP Is Booked]], NOT(ISBLANK(SnapshotTable[[#This Row],[SP Fill Date]])))</f>
        <v>0</v>
      </c>
      <c r="BY137" s="33">
        <f>IF(SnapshotTable[[#This Row],[SP Is Booked]], SnapshotTable[[#This Row],[SP Qty]] * SnapshotTable[[#This Row],[SP Book Price]] * 100, 0)</f>
        <v>0</v>
      </c>
      <c r="BZ137" s="369"/>
      <c r="CA137" s="368">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3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44"/>
      <c r="CK137" s="31">
        <f>IF(ISNUMBER(SnapshotTable[[#This Row],[SP Potential Spend]]),IF(ISNUMBER(SnapshotTable[[#This Row],[SP POW]]), SnapshotTable[[#This Row],[SP POW]] * SnapshotTable[[#This Row],[SP Potential Spend]], SnapshotTable[[#This Row],[SP Potential Spend]]), "")</f>
        <v>0</v>
      </c>
      <c r="CL137" s="164">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8"/>
      <c r="CO137" s="369"/>
      <c r="CP137" s="4" t="str">
        <f>IF(SnapshotTable[[#This Row],[SP Is Filled]], btc_max_buyback_amount(SnapshotTable[[#This Row],[SP Fill Date]],SnapshotTable[[#This Row],[SP Exp Date]], SnapshotTable[[#This Row],[SP Book Price]]),"")</f>
        <v/>
      </c>
      <c r="CQ137" s="78"/>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5" t="str">
        <f>IF(SnapshotTable[[#This Row],[SP Is Filled]], btc_next_cutoff_date(SnapshotTable[[#This Row],[SP Fill Date]],SnapshotTable[[#This Row],[SP Exp Date]]),"")</f>
        <v/>
      </c>
      <c r="CT137" s="23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3"/>
      <c r="CV137" s="235"/>
      <c r="CW137" s="378"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294" t="str">
        <f>IF(ISNUMBER((SnapshotTable[[#This Row],[SP Total Value]])), SnapshotTable[[#This Row],[SP Gain Loss]] / SnapshotTable[[#This Row],[SP Premium]], "")</f>
        <v/>
      </c>
      <c r="DI137" s="406"/>
      <c r="DJ137" s="138"/>
      <c r="DK137" s="148"/>
      <c r="DL137" s="13"/>
      <c r="DM137" s="13"/>
      <c r="DO137" s="31">
        <f>IF(SnapshotTable[[#This Row],[LC Symbol Count]]=1, SnapshotTable[[#This Row],[LC Qty]] * SnapshotTable[[#This Row],[LC Book Price]] * 100, 0)</f>
        <v>0</v>
      </c>
      <c r="DP137" s="163" t="str">
        <f>IF(AND(SnapshotTable[[#This Row],[LC Exp Date]]&gt;0, SnapshotTable[[#This Row],[LC Strike Price]]&gt;0,SnapshotTable[[#This Row],[LC Qty]]&gt;0,SnapshotTable[[#This Row],[LC Book Date]]&gt;0,SnapshotTable[[#This Row],[LC Book Price]]&gt;0,SnapshotTable[[#This Row],[LC Fill Date]]=0),"Y","")</f>
        <v/>
      </c>
      <c r="DQ137" s="386" t="str">
        <f>IF(SnapshotTable[[#This Row],[LC Premium]] &gt; 0,SnapshotTable[[#This Row],[LC Exp Date]]-MAX(SnapshotTable[[#This Row],[LC Book Date]], SnapshotTable[[#This Row],[LC Fill Date]]),"")</f>
        <v/>
      </c>
      <c r="DR137" s="386" t="str">
        <f>IF(ISNUMBER(SnapshotTable[[#This Row],[LC Term]]), SnapshotTable[[#This Row],[LC Exp Date]] - MockToday, "")</f>
        <v/>
      </c>
      <c r="DS137" s="23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40" t="str">
        <f>IF(ISNUMBER(SnapshotTable[[#This Row],[LC Actual Gain Loss]]), SnapshotTable[[#This Row],[LC Actual Gain Loss]] / SnapshotTable[[#This Row],[LC Premium]],"")</f>
        <v/>
      </c>
      <c r="DX137" s="284" t="str">
        <f>IF(ISNUMBER(SnapshotTable[[#This Row],[LC Book Price]]),SnapshotTable[[#This Row],[LC Book Price]] * 1.5,"")</f>
        <v/>
      </c>
      <c r="DY137" s="265" t="str">
        <f>IF(SnapshotTable[[#This Row],[LC Premium]]&gt;0, SnapshotTable[[#This Row],[LC Next Target]] * SnapshotTable[[#This Row],[LC Qty]] * 100,"")</f>
        <v/>
      </c>
      <c r="DZ137" s="265" t="str">
        <f>IF(ISNUMBER(SnapshotTable[[#This Row],[LC Target Gross]]), SnapshotTable[[#This Row],[LC Target Gross]] - SnapshotTable[[#This Row],[LC Premium]], "")</f>
        <v/>
      </c>
      <c r="EA137" s="305" t="str">
        <f>IF(ISNUMBER(SnapshotTable[[#This Row],[LC Target Gain Loss]]), SnapshotTable[[#This Row],[LC Target Gain Loss]]/SnapshotTable[[#This Row],[LC Premium]], "")</f>
        <v/>
      </c>
      <c r="EB137" s="262"/>
      <c r="EC137" s="283" t="str">
        <f>IF(SnapshotTable[[#This Row],[LC Premium]]&gt;0, SnapshotTable[[#This Row],[LC Book Price]] * (1 - LC_StopLoss_Pct),"")</f>
        <v/>
      </c>
      <c r="ED137" s="284"/>
      <c r="EE137" s="28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4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7"/>
      <c r="EL137" s="138"/>
      <c r="EM137" s="148"/>
      <c r="EN137" s="147"/>
      <c r="EO137" s="147"/>
      <c r="EP137" s="138"/>
      <c r="EQ137" s="419" t="b">
        <f>AND(ISNUMBER(SnapshotTable[[#This Row],[SC Exp Date]]), ISNUMBER(SnapshotTable[[#This Row],[SC Strike Price]]), ISNUMBER(SnapshotTable[[#This Row],[SC Qty]]), ISNUMBER(SnapshotTable[[#This Row],[SC Book Date]]), ISNUMBER(SnapshotTable[[#This Row],[SC Book Price]]))</f>
        <v>0</v>
      </c>
      <c r="ER137" s="419" t="b">
        <f>AND(SnapshotTable[[#This Row],[SC Is Booked]], NOT(ISBLANK(SnapshotTable[[#This Row],[SC Fill Date]])))</f>
        <v>0</v>
      </c>
      <c r="ES137" s="370"/>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3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283"/>
      <c r="FA137" s="218"/>
      <c r="FB137" s="370"/>
      <c r="FC137" s="4">
        <f>IF(SnapshotTable[[#This Row],[SC Is Filled]], btc_max_buyback_amount(SnapshotTable[[#This Row],[SC Fill Date]],SnapshotTable[[#This Row],[SC Exp Date]], SnapshotTable[[#This Row],[SC Book Price]]),0)</f>
        <v>0</v>
      </c>
      <c r="FD137" s="5"/>
      <c r="FE137" s="144"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382">
        <f>IF(SnapshotTable[[#This Row],[SC Is Filled]], IF(ISNUMBER(SnapshotTable[[#This Row],[SC Current Ask]]), SnapshotTable[[#This Row],[SC Current Ask]], SnapshotTable[[#This Row],[SC Book Price]]) - SnapshotTable[[#This Row],[SC Intrinsic Value]], 0)</f>
        <v>0</v>
      </c>
      <c r="FI137" s="143"/>
      <c r="FJ137" s="32" t="str">
        <f>IF(SnapshotTable[[#This Row],[SC Is Filled]],100 * SnapshotTable[[#This Row],[SC Qty]] * IF(ISNUMBER(SnapshotTable[[#This Row],[SC Buyback Override]]), SnapshotTable[[#This Row],[SC Buyback Override]], SnapshotTable[[#This Row],[SC Current Ask]]), "")</f>
        <v/>
      </c>
      <c r="FK137" s="250" t="str">
        <f>IF(SnapshotTable[[#This Row],[SC Time Val]]&gt;0, SnapshotTable[[#This Row],[SC Time Val]] / SnapshotTable[[#This Row],[Last Price]],"")</f>
        <v/>
      </c>
      <c r="FL137" s="302" t="str">
        <f>IF(SnapshotTable[[#This Row],[SC Is Booked]], ((SnapshotTable[[#This Row],[Last Price]] -SnapshotTable[[#This Row],[SC Strike Price]]) / SnapshotTable[[#This Row],[Last Price]]) * -1, "")</f>
        <v/>
      </c>
      <c r="FM137" s="157"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33"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36" t="str">
        <f>IF(AND(ISNUMBER(SnapshotTable[[#This Row],[SC Simple ROO]]),SnapshotTable[[#This Row],[SC Simple ROO]] &gt; 0), SnapshotTable[[#This Row],[SC Premium]] + (SnapshotTable[[#This Row],[SC Qty]] * SnapshotTable[[#This Row],[SC Upside Potential]]), "")</f>
        <v/>
      </c>
      <c r="FX137" s="302" t="str" cm="1">
        <f t="array" ref="FX137">IF(ISNUMBER(SnapshotTable[[#This Row],[SC Max Dollars]]), annualize(SnapshotTable[[#This Row],[SC Term]],(SnapshotTable[[#This Row],[SC Max Dollars]]/SnapshotTable[[#This Row],[SC Basis]])),"")</f>
        <v/>
      </c>
      <c r="FY137" s="23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29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378.18299999999999</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688</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31">
        <f>MAX(SnapshotTable[[#This Row],[Equity Basis Total]],SnapshotTable[[#This Row],[Equity Value]]) + (SnapshotTable[[#This Row],[SP Potential Spend]]- SnapshotTable[[#This Row],[SP Premium]] + SnapshotTable[[#This Row],[LP Premium]])+ (SnapshotTable[[#This Row],[LC Premium]] - SnapshotTable[[#This Row],[SC Premium]])</f>
        <v>0</v>
      </c>
      <c r="GW137" s="139" t="str">
        <f>IF(AND(SnapshotTable[[#This Row],[Exposure]] &lt;&gt; 0),SnapshotTable[[#This Row],[Exposure]] / SnapshotTable[[#Totals],[Exposure]], "")</f>
        <v/>
      </c>
      <c r="HE137" s="268"/>
      <c r="HF137" s="268"/>
      <c r="HK137" s="1"/>
      <c r="HL137" s="1"/>
      <c r="HM137" s="1"/>
      <c r="HN137" s="1"/>
      <c r="HO137" s="1"/>
      <c r="HP137" s="1"/>
    </row>
    <row r="138" spans="2:224" ht="12.75" hidden="1" customHeight="1" x14ac:dyDescent="0.25">
      <c r="B138" s="12" t="s">
        <v>1125</v>
      </c>
      <c r="C138" s="422">
        <v>41.36</v>
      </c>
      <c r="D138" s="208"/>
      <c r="E138" s="39">
        <f>SnapshotTable[[#This Row],[Last Price]]*(1 -CrashDiscount)</f>
        <v>35.155999999999999</v>
      </c>
      <c r="F138" s="26" t="s">
        <v>613</v>
      </c>
      <c r="G138" s="26" t="s">
        <v>9</v>
      </c>
      <c r="H138" s="149"/>
      <c r="I138" s="194">
        <v>45167</v>
      </c>
      <c r="J138" s="195"/>
      <c r="K138" s="196"/>
      <c r="L138" s="326"/>
      <c r="M138" s="140"/>
      <c r="N138" s="140"/>
      <c r="O138" s="140"/>
      <c r="P138" s="22"/>
      <c r="Q138" s="25"/>
      <c r="R138" s="4" t="str">
        <f>IF(SnapshotTable[[#This Row],[Equity Basis Total]] &gt; 0, SnapshotTable[[#This Row],[Equity Basis Total]] / SnapshotTable[[#This Row],[Equity Shares]], "")</f>
        <v/>
      </c>
      <c r="S138" s="269">
        <f>SnapshotTable[[#This Row],[Last Price]] * SnapshotTable[[#This Row],[Equity Shares]]</f>
        <v>0</v>
      </c>
      <c r="T138" s="269">
        <f>SnapshotTable[[#This Row],[Equity Value]] - SnapshotTable[[#This Row],[Equity Basis Total]]</f>
        <v>0</v>
      </c>
      <c r="U138" s="270" t="str">
        <f>IF(SnapshotTable[[#This Row],[Equity Basis Total]] &gt; 0, SnapshotTable[[#This Row],[Equity G/L]] / SnapshotTable[[#This Row],[Equity Basis Total]], "")</f>
        <v/>
      </c>
      <c r="V138" s="268"/>
      <c r="W138" s="26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7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0"/>
      <c r="AD138" s="151"/>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1"/>
      <c r="AI138" s="5"/>
      <c r="AJ138" s="138">
        <v>52.42</v>
      </c>
      <c r="AK138" s="152" t="str">
        <f>IF(ISNUMBER( SnapshotTable[[#This Row],[EBF Target]]),(SnapshotTable[[#This Row],[EBF Target]] - SnapshotTable[[#This Row],[Last Price]]) / SnapshotTable[[#This Row],[Last Price]], "")</f>
        <v/>
      </c>
      <c r="AL138" s="152"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2">
        <f>IF(AND(ISNUMBER( SnapshotTable[[#This Row],[Long Term Target]]), ISNUMBER(SnapshotTable[[#This Row],[Last Price]])),(SnapshotTable[[#This Row],[Long Term Target]] - SnapshotTable[[#This Row],[Last Price]]) / SnapshotTable[[#This Row],[Last Price]], "")</f>
        <v>0.26740812379110257</v>
      </c>
      <c r="AP138" s="5">
        <v>5</v>
      </c>
      <c r="AQ138" s="38" t="s">
        <v>89</v>
      </c>
      <c r="AR138" s="5">
        <v>2.5</v>
      </c>
      <c r="AS138" s="38" t="s">
        <v>32</v>
      </c>
      <c r="AT138" s="146" t="s">
        <v>575</v>
      </c>
      <c r="AU138" s="187" t="str">
        <f>IF(OR(SnapshotTable[[#This Row],[LP No Fill]]="Y",SnapshotTable[[#This Row],[SP Is Filled]],SnapshotTable[[#This Row],[LC Not Filled]]="Y",SnapshotTable[[#This Row],[SC Is Filled]]),"Y","")</f>
        <v/>
      </c>
      <c r="AV138" s="219"/>
      <c r="AW138" s="225"/>
      <c r="AX138" s="220"/>
      <c r="AY138" s="219" t="str">
        <f>IF(SnapshotTable[[#This Row],[Implied Move]]&gt;0, SnapshotTable[[#This Row],[Last Price]]-SnapshotTable[[#This Row],[Implied Move]],"")</f>
        <v/>
      </c>
      <c r="AZ138" s="219" t="str">
        <f>IF(SnapshotTable[[#This Row],[Implied Move]]&gt;0, SnapshotTable[[#This Row],[Last Price]] + SnapshotTable[[#This Row],[Implied Move]],"")</f>
        <v/>
      </c>
      <c r="BA138" s="331">
        <v>2.8</v>
      </c>
      <c r="BB138" s="347"/>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51"/>
      <c r="BE138" s="5"/>
      <c r="BF138" s="14"/>
      <c r="BG138" s="13"/>
      <c r="BH138" s="13"/>
      <c r="BI138" s="5"/>
      <c r="BJ138" s="136">
        <f>IF(SnapshotTable[[#This Row],[LP Qty]] &gt; 0, SnapshotTable[[#This Row],[LP Qty]] * SnapshotTable[[#This Row],[LP Book Price]] * 100,0)</f>
        <v>0</v>
      </c>
      <c r="BK138" s="136">
        <f>IF(SnapshotTable[[#This Row],[LP Premium]] &gt; 0, SnapshotTable[[#This Row],[LP Qty]] * SnapshotTable[[#This Row],[LP Strike Price]] * 100,0)</f>
        <v>0</v>
      </c>
      <c r="BL138" s="154"/>
      <c r="BM138" s="385" t="str">
        <f>IF(SnapshotTable[[#This Row],[LP Premium]] &gt; 0,SnapshotTable[[#This Row],[LP Exp Date]]-MAX(SnapshotTable[[#This Row],[LP Book Date]], SnapshotTable[[#This Row],[LP Fill Date]]),"")</f>
        <v/>
      </c>
      <c r="BN138" s="385" t="str">
        <f>IF(ISNUMBER( SnapshotTable[[#This Row],[LP Term]]), SnapshotTable[[#This Row],[LP Exp Date]] - MockToday,"")</f>
        <v/>
      </c>
      <c r="BO138" s="163"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7"/>
      <c r="BU138" s="13"/>
      <c r="BV138" s="5"/>
      <c r="BW138" s="419" t="b">
        <f>AND(ISNUMBER(SnapshotTable[[#This Row],[SP Exp Date]]), ISNUMBER(SnapshotTable[[#This Row],[SP Strike Price]]), ISNUMBER(SnapshotTable[[#This Row],[SP Qty]]), ISNUMBER(SnapshotTable[[#This Row],[SP Book Date]]), ISNUMBER(SnapshotTable[[#This Row],[SP Book Price]]))</f>
        <v>0</v>
      </c>
      <c r="BX138" s="419" t="b">
        <f>AND(SnapshotTable[[#This Row],[SP Is Booked]], NOT(ISBLANK(SnapshotTable[[#This Row],[SP Fill Date]])))</f>
        <v>0</v>
      </c>
      <c r="BY138" s="33">
        <f>IF(SnapshotTable[[#This Row],[SP Is Booked]], SnapshotTable[[#This Row],[SP Qty]] * SnapshotTable[[#This Row],[SP Book Price]] * 100, 0)</f>
        <v>0</v>
      </c>
      <c r="BZ138" s="369"/>
      <c r="CA138" s="368">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3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44"/>
      <c r="CK138" s="31">
        <f>IF(ISNUMBER(SnapshotTable[[#This Row],[SP Potential Spend]]),IF(ISNUMBER(SnapshotTable[[#This Row],[SP POW]]), SnapshotTable[[#This Row],[SP POW]] * SnapshotTable[[#This Row],[SP Potential Spend]], SnapshotTable[[#This Row],[SP Potential Spend]]), "")</f>
        <v>0</v>
      </c>
      <c r="CL138" s="164">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8"/>
      <c r="CO138" s="369"/>
      <c r="CP138" s="4" t="str">
        <f>IF(SnapshotTable[[#This Row],[SP Is Filled]], btc_max_buyback_amount(SnapshotTable[[#This Row],[SP Fill Date]],SnapshotTable[[#This Row],[SP Exp Date]], SnapshotTable[[#This Row],[SP Book Price]]),"")</f>
        <v/>
      </c>
      <c r="CQ138" s="78"/>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5" t="str">
        <f>IF(SnapshotTable[[#This Row],[SP Is Filled]], btc_next_cutoff_date(SnapshotTable[[#This Row],[SP Fill Date]],SnapshotTable[[#This Row],[SP Exp Date]]),"")</f>
        <v/>
      </c>
      <c r="CT138" s="23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3"/>
      <c r="CV138" s="235"/>
      <c r="CW138" s="378"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294" t="str">
        <f>IF(ISNUMBER((SnapshotTable[[#This Row],[SP Total Value]])), SnapshotTable[[#This Row],[SP Gain Loss]] / SnapshotTable[[#This Row],[SP Premium]], "")</f>
        <v/>
      </c>
      <c r="DI138" s="406"/>
      <c r="DJ138" s="138"/>
      <c r="DK138" s="148"/>
      <c r="DL138" s="13"/>
      <c r="DM138" s="13"/>
      <c r="DO138" s="31">
        <f>IF(SnapshotTable[[#This Row],[LC Symbol Count]]=1, SnapshotTable[[#This Row],[LC Qty]] * SnapshotTable[[#This Row],[LC Book Price]] * 100, 0)</f>
        <v>0</v>
      </c>
      <c r="DP138" s="163" t="str">
        <f>IF(AND(SnapshotTable[[#This Row],[LC Exp Date]]&gt;0, SnapshotTable[[#This Row],[LC Strike Price]]&gt;0,SnapshotTable[[#This Row],[LC Qty]]&gt;0,SnapshotTable[[#This Row],[LC Book Date]]&gt;0,SnapshotTable[[#This Row],[LC Book Price]]&gt;0,SnapshotTable[[#This Row],[LC Fill Date]]=0),"Y","")</f>
        <v/>
      </c>
      <c r="DQ138" s="386" t="str">
        <f>IF(SnapshotTable[[#This Row],[LC Premium]] &gt; 0,SnapshotTable[[#This Row],[LC Exp Date]]-MAX(SnapshotTable[[#This Row],[LC Book Date]], SnapshotTable[[#This Row],[LC Fill Date]]),"")</f>
        <v/>
      </c>
      <c r="DR138" s="386" t="str">
        <f>IF(ISNUMBER(SnapshotTable[[#This Row],[LC Term]]), SnapshotTable[[#This Row],[LC Exp Date]] - MockToday, "")</f>
        <v/>
      </c>
      <c r="DS138" s="23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40" t="str">
        <f>IF(ISNUMBER(SnapshotTable[[#This Row],[LC Actual Gain Loss]]), SnapshotTable[[#This Row],[LC Actual Gain Loss]] / SnapshotTable[[#This Row],[LC Premium]],"")</f>
        <v/>
      </c>
      <c r="DX138" s="284" t="str">
        <f>IF(ISNUMBER(SnapshotTable[[#This Row],[LC Book Price]]),SnapshotTable[[#This Row],[LC Book Price]] * 1.5,"")</f>
        <v/>
      </c>
      <c r="DY138" s="265" t="str">
        <f>IF(SnapshotTable[[#This Row],[LC Premium]]&gt;0, SnapshotTable[[#This Row],[LC Next Target]] * SnapshotTable[[#This Row],[LC Qty]] * 100,"")</f>
        <v/>
      </c>
      <c r="DZ138" s="265" t="str">
        <f>IF(ISNUMBER(SnapshotTable[[#This Row],[LC Target Gross]]), SnapshotTable[[#This Row],[LC Target Gross]] - SnapshotTable[[#This Row],[LC Premium]], "")</f>
        <v/>
      </c>
      <c r="EA138" s="305" t="str">
        <f>IF(ISNUMBER(SnapshotTable[[#This Row],[LC Target Gain Loss]]), SnapshotTable[[#This Row],[LC Target Gain Loss]]/SnapshotTable[[#This Row],[LC Premium]], "")</f>
        <v/>
      </c>
      <c r="EB138" s="262"/>
      <c r="EC138" s="283" t="str">
        <f>IF(SnapshotTable[[#This Row],[LC Premium]]&gt;0, SnapshotTable[[#This Row],[LC Book Price]] * (1 - LC_StopLoss_Pct),"")</f>
        <v/>
      </c>
      <c r="ED138" s="284"/>
      <c r="EE138" s="28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4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7"/>
      <c r="EL138" s="138"/>
      <c r="EM138" s="148"/>
      <c r="EN138" s="147"/>
      <c r="EO138" s="147"/>
      <c r="EP138" s="138"/>
      <c r="EQ138" s="419" t="b">
        <f>AND(ISNUMBER(SnapshotTable[[#This Row],[SC Exp Date]]), ISNUMBER(SnapshotTable[[#This Row],[SC Strike Price]]), ISNUMBER(SnapshotTable[[#This Row],[SC Qty]]), ISNUMBER(SnapshotTable[[#This Row],[SC Book Date]]), ISNUMBER(SnapshotTable[[#This Row],[SC Book Price]]))</f>
        <v>0</v>
      </c>
      <c r="ER138" s="419" t="b">
        <f>AND(SnapshotTable[[#This Row],[SC Is Booked]], NOT(ISBLANK(SnapshotTable[[#This Row],[SC Fill Date]])))</f>
        <v>0</v>
      </c>
      <c r="ES138" s="370"/>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3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283"/>
      <c r="FA138" s="218"/>
      <c r="FB138" s="370"/>
      <c r="FC138" s="4">
        <f>IF(SnapshotTable[[#This Row],[SC Is Filled]], btc_max_buyback_amount(SnapshotTable[[#This Row],[SC Fill Date]],SnapshotTable[[#This Row],[SC Exp Date]], SnapshotTable[[#This Row],[SC Book Price]]),0)</f>
        <v>0</v>
      </c>
      <c r="FD138" s="5"/>
      <c r="FE138" s="144"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382">
        <f>IF(SnapshotTable[[#This Row],[SC Is Filled]], IF(ISNUMBER(SnapshotTable[[#This Row],[SC Current Ask]]), SnapshotTable[[#This Row],[SC Current Ask]], SnapshotTable[[#This Row],[SC Book Price]]) - SnapshotTable[[#This Row],[SC Intrinsic Value]], 0)</f>
        <v>0</v>
      </c>
      <c r="FI138" s="143"/>
      <c r="FJ138" s="32" t="str">
        <f>IF(SnapshotTable[[#This Row],[SC Is Filled]],100 * SnapshotTable[[#This Row],[SC Qty]] * IF(ISNUMBER(SnapshotTable[[#This Row],[SC Buyback Override]]), SnapshotTable[[#This Row],[SC Buyback Override]], SnapshotTable[[#This Row],[SC Current Ask]]), "")</f>
        <v/>
      </c>
      <c r="FK138" s="250" t="str">
        <f>IF(SnapshotTable[[#This Row],[SC Time Val]]&gt;0, SnapshotTable[[#This Row],[SC Time Val]] / SnapshotTable[[#This Row],[Last Price]],"")</f>
        <v/>
      </c>
      <c r="FL138" s="302" t="str">
        <f>IF(SnapshotTable[[#This Row],[SC Is Booked]], ((SnapshotTable[[#This Row],[Last Price]] -SnapshotTable[[#This Row],[SC Strike Price]]) / SnapshotTable[[#This Row],[Last Price]]) * -1, "")</f>
        <v/>
      </c>
      <c r="FM138" s="157"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33"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36" t="str">
        <f>IF(AND(ISNUMBER(SnapshotTable[[#This Row],[SC Simple ROO]]),SnapshotTable[[#This Row],[SC Simple ROO]] &gt; 0), SnapshotTable[[#This Row],[SC Premium]] + (SnapshotTable[[#This Row],[SC Qty]] * SnapshotTable[[#This Row],[SC Upside Potential]]), "")</f>
        <v/>
      </c>
      <c r="FX138" s="302" t="str" cm="1">
        <f t="array" ref="FX138">IF(ISNUMBER(SnapshotTable[[#This Row],[SC Max Dollars]]), annualize(SnapshotTable[[#This Row],[SC Term]],(SnapshotTable[[#This Row],[SC Max Dollars]]/SnapshotTable[[#This Row],[SC Basis]])),"")</f>
        <v/>
      </c>
      <c r="FY138" s="23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29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80.652000000000001</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31">
        <f>MAX(SnapshotTable[[#This Row],[Equity Basis Total]],SnapshotTable[[#This Row],[Equity Value]]) + (SnapshotTable[[#This Row],[SP Potential Spend]]- SnapshotTable[[#This Row],[SP Premium]] + SnapshotTable[[#This Row],[LP Premium]])+ (SnapshotTable[[#This Row],[LC Premium]] - SnapshotTable[[#This Row],[SC Premium]])</f>
        <v>0</v>
      </c>
      <c r="GW138" s="139" t="str">
        <f>IF(AND(SnapshotTable[[#This Row],[Exposure]] &lt;&gt; 0),SnapshotTable[[#This Row],[Exposure]] / SnapshotTable[[#Totals],[Exposure]], "")</f>
        <v/>
      </c>
      <c r="HE138" s="268"/>
      <c r="HF138" s="268"/>
      <c r="HK138" s="1"/>
      <c r="HL138" s="1"/>
      <c r="HM138" s="1"/>
      <c r="HN138" s="1"/>
      <c r="HO138" s="1"/>
      <c r="HP138" s="1"/>
    </row>
    <row r="139" spans="2:224" ht="12.75" hidden="1" customHeight="1" x14ac:dyDescent="0.25">
      <c r="B139" s="12" t="s">
        <v>181</v>
      </c>
      <c r="C139" s="422">
        <v>127.95</v>
      </c>
      <c r="D139" s="208"/>
      <c r="E139" s="39">
        <f>SnapshotTable[[#This Row],[Last Price]]*(1 -CrashDiscount)</f>
        <v>108.75749999999999</v>
      </c>
      <c r="F139" s="26" t="s">
        <v>179</v>
      </c>
      <c r="G139" s="26" t="s">
        <v>178</v>
      </c>
      <c r="H139" s="149"/>
      <c r="I139" s="194">
        <v>44781.291666666664</v>
      </c>
      <c r="J139" s="195">
        <v>44781.291666666664</v>
      </c>
      <c r="K139" s="196"/>
      <c r="L139" s="326"/>
      <c r="M139" s="140"/>
      <c r="N139" s="140"/>
      <c r="O139" s="140"/>
      <c r="P139" s="22"/>
      <c r="Q139" s="25"/>
      <c r="R139" s="4" t="str">
        <f>IF(SnapshotTable[[#This Row],[Equity Basis Total]] &gt; 0, SnapshotTable[[#This Row],[Equity Basis Total]] / SnapshotTable[[#This Row],[Equity Shares]], "")</f>
        <v/>
      </c>
      <c r="S139" s="269">
        <f>SnapshotTable[[#This Row],[Last Price]] * SnapshotTable[[#This Row],[Equity Shares]]</f>
        <v>0</v>
      </c>
      <c r="T139" s="269">
        <f>SnapshotTable[[#This Row],[Equity Value]] - SnapshotTable[[#This Row],[Equity Basis Total]]</f>
        <v>0</v>
      </c>
      <c r="U139" s="270" t="str">
        <f>IF(SnapshotTable[[#This Row],[Equity Basis Total]] &gt; 0, SnapshotTable[[#This Row],[Equity G/L]] / SnapshotTable[[#This Row],[Equity Basis Total]], "")</f>
        <v/>
      </c>
      <c r="V139" s="268"/>
      <c r="W139" s="26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7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0">
        <f>0.89 * 4</f>
        <v>3.56</v>
      </c>
      <c r="AD139" s="151">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2.7823368503321611E-2</v>
      </c>
      <c r="AH139" s="151">
        <v>43146</v>
      </c>
      <c r="AI139" s="5"/>
      <c r="AJ139" s="138">
        <v>88.25</v>
      </c>
      <c r="AK139" s="152" t="str">
        <f>IF(ISNUMBER( SnapshotTable[[#This Row],[EBF Target]]),(SnapshotTable[[#This Row],[EBF Target]] - SnapshotTable[[#This Row],[Last Price]]) / SnapshotTable[[#This Row],[Last Price]], "")</f>
        <v/>
      </c>
      <c r="AL139" s="152"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2">
        <f>IF(AND(ISNUMBER( SnapshotTable[[#This Row],[Long Term Target]]), ISNUMBER(SnapshotTable[[#This Row],[Last Price]])),(SnapshotTable[[#This Row],[Long Term Target]] - SnapshotTable[[#This Row],[Last Price]]) / SnapshotTable[[#This Row],[Last Price]], "")</f>
        <v>-0.31027745212973817</v>
      </c>
      <c r="AP139" s="5"/>
      <c r="AQ139" s="38"/>
      <c r="AR139" s="5"/>
      <c r="AS139" s="38"/>
      <c r="AT139" s="146"/>
      <c r="AU139" s="187" t="str">
        <f>IF(OR(SnapshotTable[[#This Row],[LP No Fill]]="Y",SnapshotTable[[#This Row],[SP Is Filled]],SnapshotTable[[#This Row],[LC Not Filled]]="Y",SnapshotTable[[#This Row],[SC Is Filled]]),"Y","")</f>
        <v/>
      </c>
      <c r="AV139" s="219"/>
      <c r="AW139" s="225"/>
      <c r="AX139" s="220"/>
      <c r="AY139" s="219" t="str">
        <f>IF(SnapshotTable[[#This Row],[Implied Move]]&gt;0, SnapshotTable[[#This Row],[Last Price]]-SnapshotTable[[#This Row],[Implied Move]],"")</f>
        <v/>
      </c>
      <c r="AZ139" s="219" t="str">
        <f>IF(SnapshotTable[[#This Row],[Implied Move]]&gt;0, SnapshotTable[[#This Row],[Last Price]] + SnapshotTable[[#This Row],[Implied Move]],"")</f>
        <v/>
      </c>
      <c r="BA139" s="331"/>
      <c r="BB139" s="347"/>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51"/>
      <c r="BE139" s="5"/>
      <c r="BF139" s="14"/>
      <c r="BG139" s="13"/>
      <c r="BH139" s="13"/>
      <c r="BI139" s="5"/>
      <c r="BJ139" s="136">
        <f>IF(SnapshotTable[[#This Row],[LP Qty]] &gt; 0, SnapshotTable[[#This Row],[LP Qty]] * SnapshotTable[[#This Row],[LP Book Price]] * 100,0)</f>
        <v>0</v>
      </c>
      <c r="BK139" s="136">
        <f>IF(SnapshotTable[[#This Row],[LP Premium]] &gt; 0, SnapshotTable[[#This Row],[LP Qty]] * SnapshotTable[[#This Row],[LP Strike Price]] * 100,0)</f>
        <v>0</v>
      </c>
      <c r="BL139" s="154"/>
      <c r="BM139" s="385" t="str">
        <f>IF(SnapshotTable[[#This Row],[LP Premium]] &gt; 0,SnapshotTable[[#This Row],[LP Exp Date]]-MAX(SnapshotTable[[#This Row],[LP Book Date]], SnapshotTable[[#This Row],[LP Fill Date]]),"")</f>
        <v/>
      </c>
      <c r="BN139" s="385" t="str">
        <f>IF(ISNUMBER( SnapshotTable[[#This Row],[LP Term]]), SnapshotTable[[#This Row],[LP Exp Date]] - MockToday,"")</f>
        <v/>
      </c>
      <c r="BO139" s="163"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7"/>
      <c r="BU139" s="13"/>
      <c r="BV139" s="5"/>
      <c r="BW139" s="419" t="b">
        <f>AND(ISNUMBER(SnapshotTable[[#This Row],[SP Exp Date]]), ISNUMBER(SnapshotTable[[#This Row],[SP Strike Price]]), ISNUMBER(SnapshotTable[[#This Row],[SP Qty]]), ISNUMBER(SnapshotTable[[#This Row],[SP Book Date]]), ISNUMBER(SnapshotTable[[#This Row],[SP Book Price]]))</f>
        <v>0</v>
      </c>
      <c r="BX139" s="419" t="b">
        <f>AND(SnapshotTable[[#This Row],[SP Is Booked]], NOT(ISBLANK(SnapshotTable[[#This Row],[SP Fill Date]])))</f>
        <v>0</v>
      </c>
      <c r="BY139" s="33">
        <f>IF(SnapshotTable[[#This Row],[SP Is Booked]], SnapshotTable[[#This Row],[SP Qty]] * SnapshotTable[[#This Row],[SP Book Price]] * 100, 0)</f>
        <v>0</v>
      </c>
      <c r="BZ139" s="369"/>
      <c r="CA139" s="368">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3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44"/>
      <c r="CK139" s="31">
        <f>IF(ISNUMBER(SnapshotTable[[#This Row],[SP Potential Spend]]),IF(ISNUMBER(SnapshotTable[[#This Row],[SP POW]]), SnapshotTable[[#This Row],[SP POW]] * SnapshotTable[[#This Row],[SP Potential Spend]], SnapshotTable[[#This Row],[SP Potential Spend]]), "")</f>
        <v>0</v>
      </c>
      <c r="CL139" s="164">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8"/>
      <c r="CO139" s="369"/>
      <c r="CP139" s="4" t="str">
        <f>IF(SnapshotTable[[#This Row],[SP Is Filled]], btc_max_buyback_amount(SnapshotTable[[#This Row],[SP Fill Date]],SnapshotTable[[#This Row],[SP Exp Date]], SnapshotTable[[#This Row],[SP Book Price]]),"")</f>
        <v/>
      </c>
      <c r="CQ139" s="78"/>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5" t="str">
        <f>IF(SnapshotTable[[#This Row],[SP Is Filled]], btc_next_cutoff_date(SnapshotTable[[#This Row],[SP Fill Date]],SnapshotTable[[#This Row],[SP Exp Date]]),"")</f>
        <v/>
      </c>
      <c r="CT139" s="23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3"/>
      <c r="CV139" s="235"/>
      <c r="CW139" s="378"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294" t="str">
        <f>IF(ISNUMBER((SnapshotTable[[#This Row],[SP Total Value]])), SnapshotTable[[#This Row],[SP Gain Loss]] / SnapshotTable[[#This Row],[SP Premium]], "")</f>
        <v/>
      </c>
      <c r="DI139" s="406"/>
      <c r="DJ139" s="138"/>
      <c r="DK139" s="148"/>
      <c r="DL139" s="13"/>
      <c r="DM139" s="13"/>
      <c r="DO139" s="31">
        <f>IF(SnapshotTable[[#This Row],[LC Symbol Count]]=1, SnapshotTable[[#This Row],[LC Qty]] * SnapshotTable[[#This Row],[LC Book Price]] * 100, 0)</f>
        <v>0</v>
      </c>
      <c r="DP139" s="163" t="str">
        <f>IF(AND(SnapshotTable[[#This Row],[LC Exp Date]]&gt;0, SnapshotTable[[#This Row],[LC Strike Price]]&gt;0,SnapshotTable[[#This Row],[LC Qty]]&gt;0,SnapshotTable[[#This Row],[LC Book Date]]&gt;0,SnapshotTable[[#This Row],[LC Book Price]]&gt;0,SnapshotTable[[#This Row],[LC Fill Date]]=0),"Y","")</f>
        <v/>
      </c>
      <c r="DQ139" s="386" t="str">
        <f>IF(SnapshotTable[[#This Row],[LC Premium]] &gt; 0,SnapshotTable[[#This Row],[LC Exp Date]]-MAX(SnapshotTable[[#This Row],[LC Book Date]], SnapshotTable[[#This Row],[LC Fill Date]]),"")</f>
        <v/>
      </c>
      <c r="DR139" s="386" t="str">
        <f>IF(ISNUMBER(SnapshotTable[[#This Row],[LC Term]]), SnapshotTable[[#This Row],[LC Exp Date]] - MockToday, "")</f>
        <v/>
      </c>
      <c r="DS139" s="23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40" t="str">
        <f>IF(ISNUMBER(SnapshotTable[[#This Row],[LC Actual Gain Loss]]), SnapshotTable[[#This Row],[LC Actual Gain Loss]] / SnapshotTable[[#This Row],[LC Premium]],"")</f>
        <v/>
      </c>
      <c r="DX139" s="284" t="str">
        <f>IF(ISNUMBER(SnapshotTable[[#This Row],[LC Book Price]]),SnapshotTable[[#This Row],[LC Book Price]] * 1.5,"")</f>
        <v/>
      </c>
      <c r="DY139" s="265" t="str">
        <f>IF(SnapshotTable[[#This Row],[LC Premium]]&gt;0, SnapshotTable[[#This Row],[LC Next Target]] * SnapshotTable[[#This Row],[LC Qty]] * 100,"")</f>
        <v/>
      </c>
      <c r="DZ139" s="265" t="str">
        <f>IF(ISNUMBER(SnapshotTable[[#This Row],[LC Target Gross]]), SnapshotTable[[#This Row],[LC Target Gross]] - SnapshotTable[[#This Row],[LC Premium]], "")</f>
        <v/>
      </c>
      <c r="EA139" s="305" t="str">
        <f>IF(ISNUMBER(SnapshotTable[[#This Row],[LC Target Gain Loss]]), SnapshotTable[[#This Row],[LC Target Gain Loss]]/SnapshotTable[[#This Row],[LC Premium]], "")</f>
        <v/>
      </c>
      <c r="EB139" s="262"/>
      <c r="EC139" s="283" t="str">
        <f>IF(SnapshotTable[[#This Row],[LC Premium]]&gt;0, SnapshotTable[[#This Row],[LC Book Price]] * (1 - LC_StopLoss_Pct),"")</f>
        <v/>
      </c>
      <c r="ED139" s="284"/>
      <c r="EE139" s="28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4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7"/>
      <c r="EL139" s="138"/>
      <c r="EM139" s="148"/>
      <c r="EN139" s="147"/>
      <c r="EO139" s="147"/>
      <c r="EP139" s="138"/>
      <c r="EQ139" s="419" t="b">
        <f>AND(ISNUMBER(SnapshotTable[[#This Row],[SC Exp Date]]), ISNUMBER(SnapshotTable[[#This Row],[SC Strike Price]]), ISNUMBER(SnapshotTable[[#This Row],[SC Qty]]), ISNUMBER(SnapshotTable[[#This Row],[SC Book Date]]), ISNUMBER(SnapshotTable[[#This Row],[SC Book Price]]))</f>
        <v>0</v>
      </c>
      <c r="ER139" s="419" t="b">
        <f>AND(SnapshotTable[[#This Row],[SC Is Booked]], NOT(ISBLANK(SnapshotTable[[#This Row],[SC Fill Date]])))</f>
        <v>0</v>
      </c>
      <c r="ES139" s="370"/>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3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283"/>
      <c r="FA139" s="218"/>
      <c r="FB139" s="370"/>
      <c r="FC139" s="4">
        <f>IF(SnapshotTable[[#This Row],[SC Is Filled]], btc_max_buyback_amount(SnapshotTable[[#This Row],[SC Fill Date]],SnapshotTable[[#This Row],[SC Exp Date]], SnapshotTable[[#This Row],[SC Book Price]]),0)</f>
        <v>0</v>
      </c>
      <c r="FD139" s="5"/>
      <c r="FE139" s="144"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382">
        <f>IF(SnapshotTable[[#This Row],[SC Is Filled]], IF(ISNUMBER(SnapshotTable[[#This Row],[SC Current Ask]]), SnapshotTable[[#This Row],[SC Current Ask]], SnapshotTable[[#This Row],[SC Book Price]]) - SnapshotTable[[#This Row],[SC Intrinsic Value]], 0)</f>
        <v>0</v>
      </c>
      <c r="FI139" s="143"/>
      <c r="FJ139" s="32" t="str">
        <f>IF(SnapshotTable[[#This Row],[SC Is Filled]],100 * SnapshotTable[[#This Row],[SC Qty]] * IF(ISNUMBER(SnapshotTable[[#This Row],[SC Buyback Override]]), SnapshotTable[[#This Row],[SC Buyback Override]], SnapshotTable[[#This Row],[SC Current Ask]]), "")</f>
        <v/>
      </c>
      <c r="FK139" s="250" t="str">
        <f>IF(SnapshotTable[[#This Row],[SC Time Val]]&gt;0, SnapshotTable[[#This Row],[SC Time Val]] / SnapshotTable[[#This Row],[Last Price]],"")</f>
        <v/>
      </c>
      <c r="FL139" s="302" t="str">
        <f>IF(SnapshotTable[[#This Row],[SC Is Booked]], ((SnapshotTable[[#This Row],[Last Price]] -SnapshotTable[[#This Row],[SC Strike Price]]) / SnapshotTable[[#This Row],[Last Price]]) * -1, "")</f>
        <v/>
      </c>
      <c r="FM139" s="157"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33"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36" t="str">
        <f>IF(AND(ISNUMBER(SnapshotTable[[#This Row],[SC Simple ROO]]),SnapshotTable[[#This Row],[SC Simple ROO]] &gt; 0), SnapshotTable[[#This Row],[SC Premium]] + (SnapshotTable[[#This Row],[SC Qty]] * SnapshotTable[[#This Row],[SC Upside Potential]]), "")</f>
        <v/>
      </c>
      <c r="FX139" s="302" t="str" cm="1">
        <f t="array" ref="FX139">IF(ISNUMBER(SnapshotTable[[#This Row],[SC Max Dollars]]), annualize(SnapshotTable[[#This Row],[SC Term]],(SnapshotTable[[#This Row],[SC Max Dollars]]/SnapshotTable[[#This Row],[SC Basis]])),"")</f>
        <v/>
      </c>
      <c r="FY139" s="23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29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249.5025</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689</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31">
        <f>MAX(SnapshotTable[[#This Row],[Equity Basis Total]],SnapshotTable[[#This Row],[Equity Value]]) + (SnapshotTable[[#This Row],[SP Potential Spend]]- SnapshotTable[[#This Row],[SP Premium]] + SnapshotTable[[#This Row],[LP Premium]])+ (SnapshotTable[[#This Row],[LC Premium]] - SnapshotTable[[#This Row],[SC Premium]])</f>
        <v>0</v>
      </c>
      <c r="GW139" s="139" t="str">
        <f>IF(AND(SnapshotTable[[#This Row],[Exposure]] &lt;&gt; 0),SnapshotTable[[#This Row],[Exposure]] / SnapshotTable[[#Totals],[Exposure]], "")</f>
        <v/>
      </c>
      <c r="HE139" s="268"/>
      <c r="HF139" s="268"/>
      <c r="HK139" s="1"/>
      <c r="HL139" s="1"/>
      <c r="HM139" s="1"/>
      <c r="HN139" s="1"/>
      <c r="HO139" s="1"/>
      <c r="HP139" s="1"/>
    </row>
    <row r="140" spans="2:224" ht="13.5" hidden="1" customHeight="1" x14ac:dyDescent="0.25">
      <c r="B140" s="12" t="s">
        <v>1031</v>
      </c>
      <c r="C140" s="422">
        <v>232.08</v>
      </c>
      <c r="D140" s="208"/>
      <c r="E140" s="39">
        <f>SnapshotTable[[#This Row],[Last Price]]*(1 -CrashDiscount)</f>
        <v>197.268</v>
      </c>
      <c r="F140" s="26" t="s">
        <v>1032</v>
      </c>
      <c r="G140" s="26" t="s">
        <v>49</v>
      </c>
      <c r="H140" s="149"/>
      <c r="I140" s="194">
        <v>44777.670138888891</v>
      </c>
      <c r="J140" s="195">
        <v>44777.670138888891</v>
      </c>
      <c r="K140" s="196"/>
      <c r="L140" s="326"/>
      <c r="M140" s="140"/>
      <c r="N140" s="140"/>
      <c r="O140" s="140"/>
      <c r="P140" s="22"/>
      <c r="Q140" s="25"/>
      <c r="R140" s="4" t="str">
        <f>IF(SnapshotTable[[#This Row],[Equity Basis Total]] &gt; 0, SnapshotTable[[#This Row],[Equity Basis Total]] / SnapshotTable[[#This Row],[Equity Shares]], "")</f>
        <v/>
      </c>
      <c r="S140" s="269">
        <f>SnapshotTable[[#This Row],[Last Price]] * SnapshotTable[[#This Row],[Equity Shares]]</f>
        <v>0</v>
      </c>
      <c r="T140" s="269">
        <f>SnapshotTable[[#This Row],[Equity Value]] - SnapshotTable[[#This Row],[Equity Basis Total]]</f>
        <v>0</v>
      </c>
      <c r="U140" s="270" t="str">
        <f>IF(SnapshotTable[[#This Row],[Equity Basis Total]] &gt; 0, SnapshotTable[[#This Row],[Equity G/L]] / SnapshotTable[[#This Row],[Equity Basis Total]], "")</f>
        <v/>
      </c>
      <c r="V140" s="268">
        <v>175</v>
      </c>
      <c r="W140" s="26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7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0"/>
      <c r="AD140" s="151"/>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1"/>
      <c r="AI140" s="5"/>
      <c r="AJ140" s="138">
        <v>127</v>
      </c>
      <c r="AK140" s="152" t="str">
        <f>IF(ISNUMBER( SnapshotTable[[#This Row],[EBF Target]]),(SnapshotTable[[#This Row],[EBF Target]] - SnapshotTable[[#This Row],[Last Price]]) / SnapshotTable[[#This Row],[Last Price]], "")</f>
        <v/>
      </c>
      <c r="AL140" s="152"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2">
        <f>IF(AND(ISNUMBER( SnapshotTable[[#This Row],[Long Term Target]]), ISNUMBER(SnapshotTable[[#This Row],[Last Price]])),(SnapshotTable[[#This Row],[Long Term Target]] - SnapshotTable[[#This Row],[Last Price]]) / SnapshotTable[[#This Row],[Last Price]], "")</f>
        <v>-0.45277490520510172</v>
      </c>
      <c r="AP140" s="5"/>
      <c r="AQ140" s="38"/>
      <c r="AR140" s="5">
        <v>113</v>
      </c>
      <c r="AS140" s="38" t="s">
        <v>32</v>
      </c>
      <c r="AT140" s="146"/>
      <c r="AU140" s="187" t="str">
        <f>IF(OR(SnapshotTable[[#This Row],[LP No Fill]]="Y",SnapshotTable[[#This Row],[SP Is Filled]],SnapshotTable[[#This Row],[LC Not Filled]]="Y",SnapshotTable[[#This Row],[SC Is Filled]]),"Y","")</f>
        <v/>
      </c>
      <c r="AV140" s="219"/>
      <c r="AW140" s="225"/>
      <c r="AX140" s="220"/>
      <c r="AY140" s="219" t="str">
        <f>IF(SnapshotTable[[#This Row],[Implied Move]]&gt;0, SnapshotTable[[#This Row],[Last Price]]-SnapshotTable[[#This Row],[Implied Move]],"")</f>
        <v/>
      </c>
      <c r="AZ140" s="219" t="str">
        <f>IF(SnapshotTable[[#This Row],[Implied Move]]&gt;0, SnapshotTable[[#This Row],[Last Price]] + SnapshotTable[[#This Row],[Implied Move]],"")</f>
        <v/>
      </c>
      <c r="BA140" s="331">
        <v>122.28</v>
      </c>
      <c r="BB140" s="347"/>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51"/>
      <c r="BE140" s="5"/>
      <c r="BF140" s="14"/>
      <c r="BG140" s="13"/>
      <c r="BH140" s="13"/>
      <c r="BI140" s="5"/>
      <c r="BJ140" s="136">
        <f>IF(SnapshotTable[[#This Row],[LP Qty]] &gt; 0, SnapshotTable[[#This Row],[LP Qty]] * SnapshotTable[[#This Row],[LP Book Price]] * 100,0)</f>
        <v>0</v>
      </c>
      <c r="BK140" s="136">
        <f>IF(SnapshotTable[[#This Row],[LP Premium]] &gt; 0, SnapshotTable[[#This Row],[LP Qty]] * SnapshotTable[[#This Row],[LP Strike Price]] * 100,0)</f>
        <v>0</v>
      </c>
      <c r="BL140" s="154"/>
      <c r="BM140" s="385" t="str">
        <f>IF(SnapshotTable[[#This Row],[LP Premium]] &gt; 0,SnapshotTable[[#This Row],[LP Exp Date]]-MAX(SnapshotTable[[#This Row],[LP Book Date]], SnapshotTable[[#This Row],[LP Fill Date]]),"")</f>
        <v/>
      </c>
      <c r="BN140" s="385" t="str">
        <f>IF(ISNUMBER( SnapshotTable[[#This Row],[LP Term]]), SnapshotTable[[#This Row],[LP Exp Date]] - MockToday,"")</f>
        <v/>
      </c>
      <c r="BO140" s="163"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7"/>
      <c r="BU140" s="13"/>
      <c r="BV140" s="5"/>
      <c r="BW140" s="419" t="b">
        <f>AND(ISNUMBER(SnapshotTable[[#This Row],[SP Exp Date]]), ISNUMBER(SnapshotTable[[#This Row],[SP Strike Price]]), ISNUMBER(SnapshotTable[[#This Row],[SP Qty]]), ISNUMBER(SnapshotTable[[#This Row],[SP Book Date]]), ISNUMBER(SnapshotTable[[#This Row],[SP Book Price]]))</f>
        <v>0</v>
      </c>
      <c r="BX140" s="419" t="b">
        <f>AND(SnapshotTable[[#This Row],[SP Is Booked]], NOT(ISBLANK(SnapshotTable[[#This Row],[SP Fill Date]])))</f>
        <v>0</v>
      </c>
      <c r="BY140" s="33">
        <f>IF(SnapshotTable[[#This Row],[SP Is Booked]], SnapshotTable[[#This Row],[SP Qty]] * SnapshotTable[[#This Row],[SP Book Price]] * 100, 0)</f>
        <v>0</v>
      </c>
      <c r="BZ140" s="369"/>
      <c r="CA140" s="368">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3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44"/>
      <c r="CK140" s="31">
        <f>IF(ISNUMBER(SnapshotTable[[#This Row],[SP Potential Spend]]),IF(ISNUMBER(SnapshotTable[[#This Row],[SP POW]]), SnapshotTable[[#This Row],[SP POW]] * SnapshotTable[[#This Row],[SP Potential Spend]], SnapshotTable[[#This Row],[SP Potential Spend]]), "")</f>
        <v>0</v>
      </c>
      <c r="CL140" s="164">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8"/>
      <c r="CO140" s="369"/>
      <c r="CP140" s="4" t="str">
        <f>IF(SnapshotTable[[#This Row],[SP Is Filled]], btc_max_buyback_amount(SnapshotTable[[#This Row],[SP Fill Date]],SnapshotTable[[#This Row],[SP Exp Date]], SnapshotTable[[#This Row],[SP Book Price]]),"")</f>
        <v/>
      </c>
      <c r="CQ140" s="78"/>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5" t="str">
        <f>IF(SnapshotTable[[#This Row],[SP Is Filled]], btc_next_cutoff_date(SnapshotTable[[#This Row],[SP Fill Date]],SnapshotTable[[#This Row],[SP Exp Date]]),"")</f>
        <v/>
      </c>
      <c r="CT140" s="23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3"/>
      <c r="CV140" s="235"/>
      <c r="CW140" s="378"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294" t="str">
        <f>IF(ISNUMBER((SnapshotTable[[#This Row],[SP Total Value]])), SnapshotTable[[#This Row],[SP Gain Loss]] / SnapshotTable[[#This Row],[SP Premium]], "")</f>
        <v/>
      </c>
      <c r="DI140" s="406"/>
      <c r="DJ140" s="138"/>
      <c r="DK140" s="148"/>
      <c r="DL140" s="13"/>
      <c r="DM140" s="13"/>
      <c r="DO140" s="31">
        <f>IF(SnapshotTable[[#This Row],[LC Symbol Count]]=1, SnapshotTable[[#This Row],[LC Qty]] * SnapshotTable[[#This Row],[LC Book Price]] * 100, 0)</f>
        <v>0</v>
      </c>
      <c r="DP140" s="163" t="str">
        <f>IF(AND(SnapshotTable[[#This Row],[LC Exp Date]]&gt;0, SnapshotTable[[#This Row],[LC Strike Price]]&gt;0,SnapshotTable[[#This Row],[LC Qty]]&gt;0,SnapshotTable[[#This Row],[LC Book Date]]&gt;0,SnapshotTable[[#This Row],[LC Book Price]]&gt;0,SnapshotTable[[#This Row],[LC Fill Date]]=0),"Y","")</f>
        <v/>
      </c>
      <c r="DQ140" s="386" t="str">
        <f>IF(SnapshotTable[[#This Row],[LC Premium]] &gt; 0,SnapshotTable[[#This Row],[LC Exp Date]]-MAX(SnapshotTable[[#This Row],[LC Book Date]], SnapshotTable[[#This Row],[LC Fill Date]]),"")</f>
        <v/>
      </c>
      <c r="DR140" s="386" t="str">
        <f>IF(ISNUMBER(SnapshotTable[[#This Row],[LC Term]]), SnapshotTable[[#This Row],[LC Exp Date]] - MockToday, "")</f>
        <v/>
      </c>
      <c r="DS140" s="23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40" t="str">
        <f>IF(ISNUMBER(SnapshotTable[[#This Row],[LC Actual Gain Loss]]), SnapshotTable[[#This Row],[LC Actual Gain Loss]] / SnapshotTable[[#This Row],[LC Premium]],"")</f>
        <v/>
      </c>
      <c r="DX140" s="284" t="str">
        <f>IF(ISNUMBER(SnapshotTable[[#This Row],[LC Book Price]]),SnapshotTable[[#This Row],[LC Book Price]] * 1.5,"")</f>
        <v/>
      </c>
      <c r="DY140" s="265" t="str">
        <f>IF(SnapshotTable[[#This Row],[LC Premium]]&gt;0, SnapshotTable[[#This Row],[LC Next Target]] * SnapshotTable[[#This Row],[LC Qty]] * 100,"")</f>
        <v/>
      </c>
      <c r="DZ140" s="265" t="str">
        <f>IF(ISNUMBER(SnapshotTable[[#This Row],[LC Target Gross]]), SnapshotTable[[#This Row],[LC Target Gross]] - SnapshotTable[[#This Row],[LC Premium]], "")</f>
        <v/>
      </c>
      <c r="EA140" s="305" t="str">
        <f>IF(ISNUMBER(SnapshotTable[[#This Row],[LC Target Gain Loss]]), SnapshotTable[[#This Row],[LC Target Gain Loss]]/SnapshotTable[[#This Row],[LC Premium]], "")</f>
        <v/>
      </c>
      <c r="EB140" s="262"/>
      <c r="EC140" s="283" t="str">
        <f>IF(SnapshotTable[[#This Row],[LC Premium]]&gt;0, SnapshotTable[[#This Row],[LC Book Price]] * (1 - LC_StopLoss_Pct),"")</f>
        <v/>
      </c>
      <c r="ED140" s="284"/>
      <c r="EE140" s="28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4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7"/>
      <c r="EL140" s="138"/>
      <c r="EM140" s="148"/>
      <c r="EN140" s="147"/>
      <c r="EO140" s="147"/>
      <c r="EP140" s="138"/>
      <c r="EQ140" s="419" t="b">
        <f>AND(ISNUMBER(SnapshotTable[[#This Row],[SC Exp Date]]), ISNUMBER(SnapshotTable[[#This Row],[SC Strike Price]]), ISNUMBER(SnapshotTable[[#This Row],[SC Qty]]), ISNUMBER(SnapshotTable[[#This Row],[SC Book Date]]), ISNUMBER(SnapshotTable[[#This Row],[SC Book Price]]))</f>
        <v>0</v>
      </c>
      <c r="ER140" s="419" t="b">
        <f>AND(SnapshotTable[[#This Row],[SC Is Booked]], NOT(ISBLANK(SnapshotTable[[#This Row],[SC Fill Date]])))</f>
        <v>0</v>
      </c>
      <c r="ES140" s="370"/>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3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283"/>
      <c r="FA140" s="218"/>
      <c r="FB140" s="370"/>
      <c r="FC140" s="4">
        <f>IF(SnapshotTable[[#This Row],[SC Is Filled]], btc_max_buyback_amount(SnapshotTable[[#This Row],[SC Fill Date]],SnapshotTable[[#This Row],[SC Exp Date]], SnapshotTable[[#This Row],[SC Book Price]]),0)</f>
        <v>0</v>
      </c>
      <c r="FD140" s="5"/>
      <c r="FE140" s="144"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382">
        <f>IF(SnapshotTable[[#This Row],[SC Is Filled]], IF(ISNUMBER(SnapshotTable[[#This Row],[SC Current Ask]]), SnapshotTable[[#This Row],[SC Current Ask]], SnapshotTable[[#This Row],[SC Book Price]]) - SnapshotTable[[#This Row],[SC Intrinsic Value]], 0)</f>
        <v>0</v>
      </c>
      <c r="FI140" s="143"/>
      <c r="FJ140" s="32" t="str">
        <f>IF(SnapshotTable[[#This Row],[SC Is Filled]],100 * SnapshotTable[[#This Row],[SC Qty]] * IF(ISNUMBER(SnapshotTable[[#This Row],[SC Buyback Override]]), SnapshotTable[[#This Row],[SC Buyback Override]], SnapshotTable[[#This Row],[SC Current Ask]]), "")</f>
        <v/>
      </c>
      <c r="FK140" s="250" t="str">
        <f>IF(SnapshotTable[[#This Row],[SC Time Val]]&gt;0, SnapshotTable[[#This Row],[SC Time Val]] / SnapshotTable[[#This Row],[Last Price]],"")</f>
        <v/>
      </c>
      <c r="FL140" s="302" t="str">
        <f>IF(SnapshotTable[[#This Row],[SC Is Booked]], ((SnapshotTable[[#This Row],[Last Price]] -SnapshotTable[[#This Row],[SC Strike Price]]) / SnapshotTable[[#This Row],[Last Price]]) * -1, "")</f>
        <v/>
      </c>
      <c r="FM140" s="157"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33"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36" t="str">
        <f>IF(AND(ISNUMBER(SnapshotTable[[#This Row],[SC Simple ROO]]),SnapshotTable[[#This Row],[SC Simple ROO]] &gt; 0), SnapshotTable[[#This Row],[SC Premium]] + (SnapshotTable[[#This Row],[SC Qty]] * SnapshotTable[[#This Row],[SC Upside Potential]]), "")</f>
        <v/>
      </c>
      <c r="FX140" s="302" t="str" cm="1">
        <f t="array" ref="FX140">IF(ISNUMBER(SnapshotTable[[#This Row],[SC Max Dollars]]), annualize(SnapshotTable[[#This Row],[SC Term]],(SnapshotTable[[#This Row],[SC Max Dollars]]/SnapshotTable[[#This Row],[SC Basis]])),"")</f>
        <v/>
      </c>
      <c r="FY140" s="23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29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452.55600000000004</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31">
        <f>MAX(SnapshotTable[[#This Row],[Equity Basis Total]],SnapshotTable[[#This Row],[Equity Value]]) + (SnapshotTable[[#This Row],[SP Potential Spend]]- SnapshotTable[[#This Row],[SP Premium]] + SnapshotTable[[#This Row],[LP Premium]])+ (SnapshotTable[[#This Row],[LC Premium]] - SnapshotTable[[#This Row],[SC Premium]])</f>
        <v>0</v>
      </c>
      <c r="GW140" s="139" t="str">
        <f>IF(AND(SnapshotTable[[#This Row],[Exposure]] &lt;&gt; 0),SnapshotTable[[#This Row],[Exposure]] / SnapshotTable[[#Totals],[Exposure]], "")</f>
        <v/>
      </c>
      <c r="HE140" s="268"/>
      <c r="HF140" s="268"/>
      <c r="HK140" s="1"/>
      <c r="HL140" s="1"/>
      <c r="HM140" s="1"/>
      <c r="HN140" s="1"/>
      <c r="HO140" s="1"/>
      <c r="HP140" s="1"/>
    </row>
    <row r="141" spans="2:224" ht="13.5" hidden="1" customHeight="1" x14ac:dyDescent="0.25">
      <c r="B141" s="12" t="s">
        <v>973</v>
      </c>
      <c r="C141" s="422">
        <v>188.42</v>
      </c>
      <c r="D141" s="208" t="s">
        <v>974</v>
      </c>
      <c r="E141" s="39">
        <f>SnapshotTable[[#This Row],[Last Price]]*(1 -CrashDiscount)</f>
        <v>160.15699999999998</v>
      </c>
      <c r="F141" s="26" t="s">
        <v>840</v>
      </c>
      <c r="G141" s="26" t="s">
        <v>9</v>
      </c>
      <c r="H141" s="149"/>
      <c r="I141" s="194">
        <v>44985</v>
      </c>
      <c r="J141" s="195">
        <v>44985</v>
      </c>
      <c r="K141" s="196"/>
      <c r="L141" s="326"/>
      <c r="M141" s="140"/>
      <c r="N141" s="140"/>
      <c r="O141" s="140"/>
      <c r="P141" s="22"/>
      <c r="Q141" s="25"/>
      <c r="R141" s="4" t="str">
        <f>IF(SnapshotTable[[#This Row],[Equity Basis Total]] &gt; 0, SnapshotTable[[#This Row],[Equity Basis Total]] / SnapshotTable[[#This Row],[Equity Shares]], "")</f>
        <v/>
      </c>
      <c r="S141" s="269">
        <f>SnapshotTable[[#This Row],[Last Price]] * SnapshotTable[[#This Row],[Equity Shares]]</f>
        <v>0</v>
      </c>
      <c r="T141" s="269">
        <f>SnapshotTable[[#This Row],[Equity Value]] - SnapshotTable[[#This Row],[Equity Basis Total]]</f>
        <v>0</v>
      </c>
      <c r="U141" s="270" t="str">
        <f>IF(SnapshotTable[[#This Row],[Equity Basis Total]] &gt; 0, SnapshotTable[[#This Row],[Equity G/L]] / SnapshotTable[[#This Row],[Equity Basis Total]], "")</f>
        <v/>
      </c>
      <c r="V141" s="268"/>
      <c r="W141" s="26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7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0"/>
      <c r="AD141" s="151"/>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1"/>
      <c r="AI141" s="5"/>
      <c r="AJ141" s="138">
        <v>560</v>
      </c>
      <c r="AK141" s="152" t="str">
        <f>IF(ISNUMBER( SnapshotTable[[#This Row],[EBF Target]]),(SnapshotTable[[#This Row],[EBF Target]] - SnapshotTable[[#This Row],[Last Price]]) / SnapshotTable[[#This Row],[Last Price]], "")</f>
        <v/>
      </c>
      <c r="AL141" s="152"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2">
        <f>IF(AND(ISNUMBER( SnapshotTable[[#This Row],[Long Term Target]]), ISNUMBER(SnapshotTable[[#This Row],[Last Price]])),(SnapshotTable[[#This Row],[Long Term Target]] - SnapshotTable[[#This Row],[Last Price]]) / SnapshotTable[[#This Row],[Last Price]], "")</f>
        <v>1.9720836429253799</v>
      </c>
      <c r="AP141" s="5"/>
      <c r="AQ141" s="38" t="s">
        <v>110</v>
      </c>
      <c r="AR141" s="5"/>
      <c r="AS141" s="38" t="s">
        <v>26</v>
      </c>
      <c r="AT141" s="146"/>
      <c r="AU141" s="187" t="str">
        <f>IF(OR(SnapshotTable[[#This Row],[LP No Fill]]="Y",SnapshotTable[[#This Row],[SP Is Filled]],SnapshotTable[[#This Row],[LC Not Filled]]="Y",SnapshotTable[[#This Row],[SC Is Filled]]),"Y","")</f>
        <v/>
      </c>
      <c r="AV141" s="219"/>
      <c r="AW141" s="225"/>
      <c r="AX141" s="220"/>
      <c r="AY141" s="219" t="str">
        <f>IF(SnapshotTable[[#This Row],[Implied Move]]&gt;0, SnapshotTable[[#This Row],[Last Price]]-SnapshotTable[[#This Row],[Implied Move]],"")</f>
        <v/>
      </c>
      <c r="AZ141" s="219" t="str">
        <f>IF(SnapshotTable[[#This Row],[Implied Move]]&gt;0, SnapshotTable[[#This Row],[Last Price]] + SnapshotTable[[#This Row],[Implied Move]],"")</f>
        <v/>
      </c>
      <c r="BA141" s="331">
        <v>433.48</v>
      </c>
      <c r="BB141" s="347"/>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51"/>
      <c r="BE141" s="5"/>
      <c r="BF141" s="14"/>
      <c r="BG141" s="13"/>
      <c r="BH141" s="13"/>
      <c r="BI141" s="5"/>
      <c r="BJ141" s="136">
        <f>IF(SnapshotTable[[#This Row],[LP Qty]] &gt; 0, SnapshotTable[[#This Row],[LP Qty]] * SnapshotTable[[#This Row],[LP Book Price]] * 100,0)</f>
        <v>0</v>
      </c>
      <c r="BK141" s="136">
        <f>IF(SnapshotTable[[#This Row],[LP Premium]] &gt; 0, SnapshotTable[[#This Row],[LP Qty]] * SnapshotTable[[#This Row],[LP Strike Price]] * 100,0)</f>
        <v>0</v>
      </c>
      <c r="BL141" s="154"/>
      <c r="BM141" s="385" t="str">
        <f>IF(SnapshotTable[[#This Row],[LP Premium]] &gt; 0,SnapshotTable[[#This Row],[LP Exp Date]]-MAX(SnapshotTable[[#This Row],[LP Book Date]], SnapshotTable[[#This Row],[LP Fill Date]]),"")</f>
        <v/>
      </c>
      <c r="BN141" s="385" t="str">
        <f>IF(ISNUMBER( SnapshotTable[[#This Row],[LP Term]]), SnapshotTable[[#This Row],[LP Exp Date]] - MockToday,"")</f>
        <v/>
      </c>
      <c r="BO141" s="163"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7"/>
      <c r="BU141" s="13"/>
      <c r="BV141" s="5"/>
      <c r="BW141" s="419" t="b">
        <f>AND(ISNUMBER(SnapshotTable[[#This Row],[SP Exp Date]]), ISNUMBER(SnapshotTable[[#This Row],[SP Strike Price]]), ISNUMBER(SnapshotTable[[#This Row],[SP Qty]]), ISNUMBER(SnapshotTable[[#This Row],[SP Book Date]]), ISNUMBER(SnapshotTable[[#This Row],[SP Book Price]]))</f>
        <v>0</v>
      </c>
      <c r="BX141" s="419" t="b">
        <f>AND(SnapshotTable[[#This Row],[SP Is Booked]], NOT(ISBLANK(SnapshotTable[[#This Row],[SP Fill Date]])))</f>
        <v>0</v>
      </c>
      <c r="BY141" s="33">
        <f>IF(SnapshotTable[[#This Row],[SP Is Booked]], SnapshotTable[[#This Row],[SP Qty]] * SnapshotTable[[#This Row],[SP Book Price]] * 100, 0)</f>
        <v>0</v>
      </c>
      <c r="BZ141" s="369"/>
      <c r="CA141" s="368">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3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44">
        <v>0.4</v>
      </c>
      <c r="CK141" s="31">
        <f>IF(ISNUMBER(SnapshotTable[[#This Row],[SP Potential Spend]]),IF(ISNUMBER(SnapshotTable[[#This Row],[SP POW]]), SnapshotTable[[#This Row],[SP POW]] * SnapshotTable[[#This Row],[SP Potential Spend]], SnapshotTable[[#This Row],[SP Potential Spend]]), "")</f>
        <v>0</v>
      </c>
      <c r="CL141" s="164">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18"/>
      <c r="CO141" s="369"/>
      <c r="CP141" s="4" t="str">
        <f>IF(SnapshotTable[[#This Row],[SP Is Filled]], btc_max_buyback_amount(SnapshotTable[[#This Row],[SP Fill Date]],SnapshotTable[[#This Row],[SP Exp Date]], SnapshotTable[[#This Row],[SP Book Price]]),"")</f>
        <v/>
      </c>
      <c r="CQ141" s="78"/>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5" t="str">
        <f>IF(SnapshotTable[[#This Row],[SP Is Filled]], btc_next_cutoff_date(SnapshotTable[[#This Row],[SP Fill Date]],SnapshotTable[[#This Row],[SP Exp Date]]),"")</f>
        <v/>
      </c>
      <c r="CT141" s="23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3"/>
      <c r="CV141" s="235"/>
      <c r="CW141" s="378"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294" t="str">
        <f>IF(ISNUMBER((SnapshotTable[[#This Row],[SP Total Value]])), SnapshotTable[[#This Row],[SP Gain Loss]] / SnapshotTable[[#This Row],[SP Premium]], "")</f>
        <v/>
      </c>
      <c r="DI141" s="406"/>
      <c r="DJ141" s="138"/>
      <c r="DK141" s="148"/>
      <c r="DL141" s="13"/>
      <c r="DM141" s="13"/>
      <c r="DO141" s="31">
        <f>IF(SnapshotTable[[#This Row],[LC Symbol Count]]=1, SnapshotTable[[#This Row],[LC Qty]] * SnapshotTable[[#This Row],[LC Book Price]] * 100, 0)</f>
        <v>0</v>
      </c>
      <c r="DP141" s="163" t="str">
        <f>IF(AND(SnapshotTable[[#This Row],[LC Exp Date]]&gt;0, SnapshotTable[[#This Row],[LC Strike Price]]&gt;0,SnapshotTable[[#This Row],[LC Qty]]&gt;0,SnapshotTable[[#This Row],[LC Book Date]]&gt;0,SnapshotTable[[#This Row],[LC Book Price]]&gt;0,SnapshotTable[[#This Row],[LC Fill Date]]=0),"Y","")</f>
        <v/>
      </c>
      <c r="DQ141" s="386" t="str">
        <f>IF(SnapshotTable[[#This Row],[LC Premium]] &gt; 0,SnapshotTable[[#This Row],[LC Exp Date]]-MAX(SnapshotTable[[#This Row],[LC Book Date]], SnapshotTable[[#This Row],[LC Fill Date]]),"")</f>
        <v/>
      </c>
      <c r="DR141" s="386" t="str">
        <f>IF(ISNUMBER(SnapshotTable[[#This Row],[LC Term]]), SnapshotTable[[#This Row],[LC Exp Date]] - MockToday, "")</f>
        <v/>
      </c>
      <c r="DS141" s="23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40" t="str">
        <f>IF(ISNUMBER(SnapshotTable[[#This Row],[LC Actual Gain Loss]]), SnapshotTable[[#This Row],[LC Actual Gain Loss]] / SnapshotTable[[#This Row],[LC Premium]],"")</f>
        <v/>
      </c>
      <c r="DX141" s="284" t="str">
        <f>IF(ISNUMBER(SnapshotTable[[#This Row],[LC Book Price]]),SnapshotTable[[#This Row],[LC Book Price]] * 1.5,"")</f>
        <v/>
      </c>
      <c r="DY141" s="265" t="str">
        <f>IF(SnapshotTable[[#This Row],[LC Premium]]&gt;0, SnapshotTable[[#This Row],[LC Next Target]] * SnapshotTable[[#This Row],[LC Qty]] * 100,"")</f>
        <v/>
      </c>
      <c r="DZ141" s="265" t="str">
        <f>IF(ISNUMBER(SnapshotTable[[#This Row],[LC Target Gross]]), SnapshotTable[[#This Row],[LC Target Gross]] - SnapshotTable[[#This Row],[LC Premium]], "")</f>
        <v/>
      </c>
      <c r="EA141" s="305" t="str">
        <f>IF(ISNUMBER(SnapshotTable[[#This Row],[LC Target Gain Loss]]), SnapshotTable[[#This Row],[LC Target Gain Loss]]/SnapshotTable[[#This Row],[LC Premium]], "")</f>
        <v/>
      </c>
      <c r="EB141" s="262"/>
      <c r="EC141" s="283" t="str">
        <f>IF(SnapshotTable[[#This Row],[LC Premium]]&gt;0, SnapshotTable[[#This Row],[LC Book Price]] * (1 - LC_StopLoss_Pct),"")</f>
        <v/>
      </c>
      <c r="ED141" s="284"/>
      <c r="EE141" s="28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4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7"/>
      <c r="EL141" s="138"/>
      <c r="EM141" s="148"/>
      <c r="EN141" s="147"/>
      <c r="EO141" s="147"/>
      <c r="EP141" s="138"/>
      <c r="EQ141" s="419" t="b">
        <f>AND(ISNUMBER(SnapshotTable[[#This Row],[SC Exp Date]]), ISNUMBER(SnapshotTable[[#This Row],[SC Strike Price]]), ISNUMBER(SnapshotTable[[#This Row],[SC Qty]]), ISNUMBER(SnapshotTable[[#This Row],[SC Book Date]]), ISNUMBER(SnapshotTable[[#This Row],[SC Book Price]]))</f>
        <v>0</v>
      </c>
      <c r="ER141" s="419" t="b">
        <f>AND(SnapshotTable[[#This Row],[SC Is Booked]], NOT(ISBLANK(SnapshotTable[[#This Row],[SC Fill Date]])))</f>
        <v>0</v>
      </c>
      <c r="ES141" s="370"/>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3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283"/>
      <c r="FA141" s="423"/>
      <c r="FB141" s="370"/>
      <c r="FC141" s="4">
        <f>IF(SnapshotTable[[#This Row],[SC Is Filled]], btc_max_buyback_amount(SnapshotTable[[#This Row],[SC Fill Date]],SnapshotTable[[#This Row],[SC Exp Date]], SnapshotTable[[#This Row],[SC Book Price]]),0)</f>
        <v>0</v>
      </c>
      <c r="FD141" s="5"/>
      <c r="FE141" s="144"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382">
        <f>IF(SnapshotTable[[#This Row],[SC Is Filled]], IF(ISNUMBER(SnapshotTable[[#This Row],[SC Current Ask]]), SnapshotTable[[#This Row],[SC Current Ask]], SnapshotTable[[#This Row],[SC Book Price]]) - SnapshotTable[[#This Row],[SC Intrinsic Value]], 0)</f>
        <v>0</v>
      </c>
      <c r="FI141" s="143">
        <v>44274</v>
      </c>
      <c r="FJ141" s="32" t="str">
        <f>IF(SnapshotTable[[#This Row],[SC Is Filled]],100 * SnapshotTable[[#This Row],[SC Qty]] * IF(ISNUMBER(SnapshotTable[[#This Row],[SC Buyback Override]]), SnapshotTable[[#This Row],[SC Buyback Override]], SnapshotTable[[#This Row],[SC Current Ask]]), "")</f>
        <v/>
      </c>
      <c r="FK141" s="250" t="str">
        <f>IF(SnapshotTable[[#This Row],[SC Time Val]]&gt;0, SnapshotTable[[#This Row],[SC Time Val]] / SnapshotTable[[#This Row],[Last Price]],"")</f>
        <v/>
      </c>
      <c r="FL141" s="302" t="str">
        <f>IF(SnapshotTable[[#This Row],[SC Is Booked]], ((SnapshotTable[[#This Row],[Last Price]] -SnapshotTable[[#This Row],[SC Strike Price]]) / SnapshotTable[[#This Row],[Last Price]]) * -1, "")</f>
        <v/>
      </c>
      <c r="FM141" s="157"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33"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36" t="str">
        <f>IF(AND(ISNUMBER(SnapshotTable[[#This Row],[SC Simple ROO]]),SnapshotTable[[#This Row],[SC Simple ROO]] &gt; 0), SnapshotTable[[#This Row],[SC Premium]] + (SnapshotTable[[#This Row],[SC Qty]] * SnapshotTable[[#This Row],[SC Upside Potential]]), "")</f>
        <v/>
      </c>
      <c r="FX141" s="302" t="str" cm="1">
        <f t="array" ref="FX141">IF(ISNUMBER(SnapshotTable[[#This Row],[SC Max Dollars]]), annualize(SnapshotTable[[#This Row],[SC Term]],(SnapshotTable[[#This Row],[SC Max Dollars]]/SnapshotTable[[#This Row],[SC Basis]])),"")</f>
        <v/>
      </c>
      <c r="FY141" s="23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29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367.41899999999998</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31">
        <f>MAX(SnapshotTable[[#This Row],[Equity Basis Total]],SnapshotTable[[#This Row],[Equity Value]]) + (SnapshotTable[[#This Row],[SP Potential Spend]]- SnapshotTable[[#This Row],[SP Premium]] + SnapshotTable[[#This Row],[LP Premium]])+ (SnapshotTable[[#This Row],[LC Premium]] - SnapshotTable[[#This Row],[SC Premium]])</f>
        <v>0</v>
      </c>
      <c r="GW141" s="139" t="str">
        <f>IF(AND(SnapshotTable[[#This Row],[Exposure]] &lt;&gt; 0),SnapshotTable[[#This Row],[Exposure]] / SnapshotTable[[#Totals],[Exposure]], "")</f>
        <v/>
      </c>
      <c r="HE141" s="268"/>
      <c r="HF141" s="268"/>
      <c r="HK141" s="1"/>
      <c r="HL141" s="1"/>
      <c r="HM141" s="1"/>
      <c r="HN141" s="1"/>
      <c r="HO141" s="1"/>
      <c r="HP141" s="1"/>
    </row>
    <row r="142" spans="2:224" ht="12.75" hidden="1" customHeight="1" x14ac:dyDescent="0.25">
      <c r="B142" s="12" t="s">
        <v>1068</v>
      </c>
      <c r="C142" s="422">
        <v>18.16</v>
      </c>
      <c r="D142" s="208" t="s">
        <v>578</v>
      </c>
      <c r="E142" s="39">
        <f>SnapshotTable[[#This Row],[Last Price]]*(1 -CrashDiscount)</f>
        <v>15.436</v>
      </c>
      <c r="F142" s="26"/>
      <c r="G142" s="26"/>
      <c r="H142" s="149"/>
      <c r="I142" s="194" t="s">
        <v>2</v>
      </c>
      <c r="J142" s="195"/>
      <c r="K142" s="196"/>
      <c r="L142" s="326"/>
      <c r="M142" s="140"/>
      <c r="N142" s="140"/>
      <c r="O142" s="140"/>
      <c r="P142" s="22"/>
      <c r="Q142" s="25"/>
      <c r="R142" s="4" t="str">
        <f>IF(SnapshotTable[[#This Row],[Equity Basis Total]] &gt; 0, SnapshotTable[[#This Row],[Equity Basis Total]] / SnapshotTable[[#This Row],[Equity Shares]], "")</f>
        <v/>
      </c>
      <c r="S142" s="269">
        <f>SnapshotTable[[#This Row],[Last Price]] * SnapshotTable[[#This Row],[Equity Shares]]</f>
        <v>0</v>
      </c>
      <c r="T142" s="269">
        <f>SnapshotTable[[#This Row],[Equity Value]] - SnapshotTable[[#This Row],[Equity Basis Total]]</f>
        <v>0</v>
      </c>
      <c r="U142" s="270" t="str">
        <f>IF(SnapshotTable[[#This Row],[Equity Basis Total]] &gt; 0, SnapshotTable[[#This Row],[Equity G/L]] / SnapshotTable[[#This Row],[Equity Basis Total]], "")</f>
        <v/>
      </c>
      <c r="V142" s="268">
        <v>24.94</v>
      </c>
      <c r="W142" s="26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7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0"/>
      <c r="AD142" s="151"/>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1"/>
      <c r="AI142" s="5"/>
      <c r="AJ142" s="138"/>
      <c r="AK142" s="152" t="str">
        <f>IF(ISNUMBER( SnapshotTable[[#This Row],[EBF Target]]),(SnapshotTable[[#This Row],[EBF Target]] - SnapshotTable[[#This Row],[Last Price]]) / SnapshotTable[[#This Row],[Last Price]], "")</f>
        <v/>
      </c>
      <c r="AL142" s="152"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2" t="str">
        <f>IF(AND(ISNUMBER( SnapshotTable[[#This Row],[Long Term Target]]), ISNUMBER(SnapshotTable[[#This Row],[Last Price]])),(SnapshotTable[[#This Row],[Long Term Target]] - SnapshotTable[[#This Row],[Last Price]]) / SnapshotTable[[#This Row],[Last Price]], "")</f>
        <v/>
      </c>
      <c r="AP142" s="5"/>
      <c r="AQ142" s="38"/>
      <c r="AR142" s="5"/>
      <c r="AS142" s="38"/>
      <c r="AT142" s="146"/>
      <c r="AU142" s="187" t="str">
        <f>IF(OR(SnapshotTable[[#This Row],[LP No Fill]]="Y",SnapshotTable[[#This Row],[SP Is Filled]],SnapshotTable[[#This Row],[LC Not Filled]]="Y",SnapshotTable[[#This Row],[SC Is Filled]]),"Y","")</f>
        <v/>
      </c>
      <c r="AV142" s="219"/>
      <c r="AW142" s="225"/>
      <c r="AX142" s="220"/>
      <c r="AY142" s="219" t="str">
        <f>IF(SnapshotTable[[#This Row],[Implied Move]]&gt;0, SnapshotTable[[#This Row],[Last Price]]-SnapshotTable[[#This Row],[Implied Move]],"")</f>
        <v/>
      </c>
      <c r="AZ142" s="219" t="str">
        <f>IF(SnapshotTable[[#This Row],[Implied Move]]&gt;0, SnapshotTable[[#This Row],[Last Price]] + SnapshotTable[[#This Row],[Implied Move]],"")</f>
        <v/>
      </c>
      <c r="BA142" s="331">
        <v>21.77</v>
      </c>
      <c r="BB142" s="347"/>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51"/>
      <c r="BE142" s="5"/>
      <c r="BF142" s="14"/>
      <c r="BG142" s="13"/>
      <c r="BH142" s="13"/>
      <c r="BI142" s="5"/>
      <c r="BJ142" s="136">
        <f>IF(SnapshotTable[[#This Row],[LP Qty]] &gt; 0, SnapshotTable[[#This Row],[LP Qty]] * SnapshotTable[[#This Row],[LP Book Price]] * 100,0)</f>
        <v>0</v>
      </c>
      <c r="BK142" s="136">
        <f>IF(SnapshotTable[[#This Row],[LP Premium]] &gt; 0, SnapshotTable[[#This Row],[LP Qty]] * SnapshotTable[[#This Row],[LP Strike Price]] * 100,0)</f>
        <v>0</v>
      </c>
      <c r="BL142" s="154"/>
      <c r="BM142" s="385" t="str">
        <f>IF(SnapshotTable[[#This Row],[LP Premium]] &gt; 0,SnapshotTable[[#This Row],[LP Exp Date]]-MAX(SnapshotTable[[#This Row],[LP Book Date]], SnapshotTable[[#This Row],[LP Fill Date]]),"")</f>
        <v/>
      </c>
      <c r="BN142" s="385" t="str">
        <f>IF(ISNUMBER( SnapshotTable[[#This Row],[LP Term]]), SnapshotTable[[#This Row],[LP Exp Date]] - MockToday,"")</f>
        <v/>
      </c>
      <c r="BO142" s="163"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7"/>
      <c r="BU142" s="13"/>
      <c r="BV142" s="5"/>
      <c r="BW142" s="419" t="b">
        <f>AND(ISNUMBER(SnapshotTable[[#This Row],[SP Exp Date]]), ISNUMBER(SnapshotTable[[#This Row],[SP Strike Price]]), ISNUMBER(SnapshotTable[[#This Row],[SP Qty]]), ISNUMBER(SnapshotTable[[#This Row],[SP Book Date]]), ISNUMBER(SnapshotTable[[#This Row],[SP Book Price]]))</f>
        <v>0</v>
      </c>
      <c r="BX142" s="419" t="b">
        <f>AND(SnapshotTable[[#This Row],[SP Is Booked]], NOT(ISBLANK(SnapshotTable[[#This Row],[SP Fill Date]])))</f>
        <v>0</v>
      </c>
      <c r="BY142" s="33">
        <f>IF(SnapshotTable[[#This Row],[SP Is Booked]], SnapshotTable[[#This Row],[SP Qty]] * SnapshotTable[[#This Row],[SP Book Price]] * 100, 0)</f>
        <v>0</v>
      </c>
      <c r="BZ142" s="369"/>
      <c r="CA142" s="368">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3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44"/>
      <c r="CK142" s="31">
        <f>IF(ISNUMBER(SnapshotTable[[#This Row],[SP Potential Spend]]),IF(ISNUMBER(SnapshotTable[[#This Row],[SP POW]]), SnapshotTable[[#This Row],[SP POW]] * SnapshotTable[[#This Row],[SP Potential Spend]], SnapshotTable[[#This Row],[SP Potential Spend]]), "")</f>
        <v>0</v>
      </c>
      <c r="CL142" s="164">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18"/>
      <c r="CO142" s="369"/>
      <c r="CP142" s="4" t="str">
        <f>IF(SnapshotTable[[#This Row],[SP Is Filled]], btc_max_buyback_amount(SnapshotTable[[#This Row],[SP Fill Date]],SnapshotTable[[#This Row],[SP Exp Date]], SnapshotTable[[#This Row],[SP Book Price]]),"")</f>
        <v/>
      </c>
      <c r="CQ142" s="78"/>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5" t="str">
        <f>IF(SnapshotTable[[#This Row],[SP Is Filled]], btc_next_cutoff_date(SnapshotTable[[#This Row],[SP Fill Date]],SnapshotTable[[#This Row],[SP Exp Date]]),"")</f>
        <v/>
      </c>
      <c r="CT142" s="23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3"/>
      <c r="CV142" s="235"/>
      <c r="CW142" s="378"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294" t="str">
        <f>IF(ISNUMBER((SnapshotTable[[#This Row],[SP Total Value]])), SnapshotTable[[#This Row],[SP Gain Loss]] / SnapshotTable[[#This Row],[SP Premium]], "")</f>
        <v/>
      </c>
      <c r="DI142" s="406"/>
      <c r="DJ142" s="138"/>
      <c r="DK142" s="148"/>
      <c r="DL142" s="13"/>
      <c r="DM142" s="13"/>
      <c r="DO142" s="31">
        <f>IF(SnapshotTable[[#This Row],[LC Symbol Count]]=1, SnapshotTable[[#This Row],[LC Qty]] * SnapshotTable[[#This Row],[LC Book Price]] * 100, 0)</f>
        <v>0</v>
      </c>
      <c r="DP142" s="163" t="str">
        <f>IF(AND(SnapshotTable[[#This Row],[LC Exp Date]]&gt;0, SnapshotTable[[#This Row],[LC Strike Price]]&gt;0,SnapshotTable[[#This Row],[LC Qty]]&gt;0,SnapshotTable[[#This Row],[LC Book Date]]&gt;0,SnapshotTable[[#This Row],[LC Book Price]]&gt;0,SnapshotTable[[#This Row],[LC Fill Date]]=0),"Y","")</f>
        <v/>
      </c>
      <c r="DQ142" s="386" t="str">
        <f>IF(SnapshotTable[[#This Row],[LC Premium]] &gt; 0,SnapshotTable[[#This Row],[LC Exp Date]]-MAX(SnapshotTable[[#This Row],[LC Book Date]], SnapshotTable[[#This Row],[LC Fill Date]]),"")</f>
        <v/>
      </c>
      <c r="DR142" s="386" t="str">
        <f>IF(ISNUMBER(SnapshotTable[[#This Row],[LC Term]]), SnapshotTable[[#This Row],[LC Exp Date]] - MockToday, "")</f>
        <v/>
      </c>
      <c r="DS142" s="23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40" t="str">
        <f>IF(ISNUMBER(SnapshotTable[[#This Row],[LC Actual Gain Loss]]), SnapshotTable[[#This Row],[LC Actual Gain Loss]] / SnapshotTable[[#This Row],[LC Premium]],"")</f>
        <v/>
      </c>
      <c r="DX142" s="284" t="str">
        <f>IF(ISNUMBER(SnapshotTable[[#This Row],[LC Book Price]]),SnapshotTable[[#This Row],[LC Book Price]] * 1.5,"")</f>
        <v/>
      </c>
      <c r="DY142" s="265" t="str">
        <f>IF(SnapshotTable[[#This Row],[LC Premium]]&gt;0, SnapshotTable[[#This Row],[LC Next Target]] * SnapshotTable[[#This Row],[LC Qty]] * 100,"")</f>
        <v/>
      </c>
      <c r="DZ142" s="265" t="str">
        <f>IF(ISNUMBER(SnapshotTable[[#This Row],[LC Target Gross]]), SnapshotTable[[#This Row],[LC Target Gross]] - SnapshotTable[[#This Row],[LC Premium]], "")</f>
        <v/>
      </c>
      <c r="EA142" s="305" t="str">
        <f>IF(ISNUMBER(SnapshotTable[[#This Row],[LC Target Gain Loss]]), SnapshotTable[[#This Row],[LC Target Gain Loss]]/SnapshotTable[[#This Row],[LC Premium]], "")</f>
        <v/>
      </c>
      <c r="EB142" s="262"/>
      <c r="EC142" s="283" t="str">
        <f>IF(SnapshotTable[[#This Row],[LC Premium]]&gt;0, SnapshotTable[[#This Row],[LC Book Price]] * (1 - LC_StopLoss_Pct),"")</f>
        <v/>
      </c>
      <c r="ED142" s="284"/>
      <c r="EE142" s="28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4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7"/>
      <c r="EL142" s="138"/>
      <c r="EM142" s="148"/>
      <c r="EN142" s="147"/>
      <c r="EO142" s="147"/>
      <c r="EP142" s="138"/>
      <c r="EQ142" s="419" t="b">
        <f>AND(ISNUMBER(SnapshotTable[[#This Row],[SC Exp Date]]), ISNUMBER(SnapshotTable[[#This Row],[SC Strike Price]]), ISNUMBER(SnapshotTable[[#This Row],[SC Qty]]), ISNUMBER(SnapshotTable[[#This Row],[SC Book Date]]), ISNUMBER(SnapshotTable[[#This Row],[SC Book Price]]))</f>
        <v>0</v>
      </c>
      <c r="ER142" s="419" t="b">
        <f>AND(SnapshotTable[[#This Row],[SC Is Booked]], NOT(ISBLANK(SnapshotTable[[#This Row],[SC Fill Date]])))</f>
        <v>0</v>
      </c>
      <c r="ES142" s="370"/>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3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283"/>
      <c r="FA142" s="218"/>
      <c r="FB142" s="370"/>
      <c r="FC142" s="4">
        <f>IF(SnapshotTable[[#This Row],[SC Is Filled]], btc_max_buyback_amount(SnapshotTable[[#This Row],[SC Fill Date]],SnapshotTable[[#This Row],[SC Exp Date]], SnapshotTable[[#This Row],[SC Book Price]]),0)</f>
        <v>0</v>
      </c>
      <c r="FD142" s="5"/>
      <c r="FE142" s="144"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382">
        <f>IF(SnapshotTable[[#This Row],[SC Is Filled]], IF(ISNUMBER(SnapshotTable[[#This Row],[SC Current Ask]]), SnapshotTable[[#This Row],[SC Current Ask]], SnapshotTable[[#This Row],[SC Book Price]]) - SnapshotTable[[#This Row],[SC Intrinsic Value]], 0)</f>
        <v>0</v>
      </c>
      <c r="FI142" s="143"/>
      <c r="FJ142" s="32" t="str">
        <f>IF(SnapshotTable[[#This Row],[SC Is Filled]],100 * SnapshotTable[[#This Row],[SC Qty]] * IF(ISNUMBER(SnapshotTable[[#This Row],[SC Buyback Override]]), SnapshotTable[[#This Row],[SC Buyback Override]], SnapshotTable[[#This Row],[SC Current Ask]]), "")</f>
        <v/>
      </c>
      <c r="FK142" s="250" t="str">
        <f>IF(SnapshotTable[[#This Row],[SC Time Val]]&gt;0, SnapshotTable[[#This Row],[SC Time Val]] / SnapshotTable[[#This Row],[Last Price]],"")</f>
        <v/>
      </c>
      <c r="FL142" s="302" t="str">
        <f>IF(SnapshotTable[[#This Row],[SC Is Booked]], ((SnapshotTable[[#This Row],[Last Price]] -SnapshotTable[[#This Row],[SC Strike Price]]) / SnapshotTable[[#This Row],[Last Price]]) * -1, "")</f>
        <v/>
      </c>
      <c r="FM142" s="157"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33"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36" t="str">
        <f>IF(AND(ISNUMBER(SnapshotTable[[#This Row],[SC Simple ROO]]),SnapshotTable[[#This Row],[SC Simple ROO]] &gt; 0), SnapshotTable[[#This Row],[SC Premium]] + (SnapshotTable[[#This Row],[SC Qty]] * SnapshotTable[[#This Row],[SC Upside Potential]]), "")</f>
        <v/>
      </c>
      <c r="FX142" s="302" t="str" cm="1">
        <f t="array" ref="FX142">IF(ISNUMBER(SnapshotTable[[#This Row],[SC Max Dollars]]), annualize(SnapshotTable[[#This Row],[SC Term]],(SnapshotTable[[#This Row],[SC Max Dollars]]/SnapshotTable[[#This Row],[SC Basis]])),"")</f>
        <v/>
      </c>
      <c r="FY142" s="23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29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31">
        <f>MAX(SnapshotTable[[#This Row],[Equity Basis Total]],SnapshotTable[[#This Row],[Equity Value]]) + (SnapshotTable[[#This Row],[SP Potential Spend]]- SnapshotTable[[#This Row],[SP Premium]] + SnapshotTable[[#This Row],[LP Premium]])+ (SnapshotTable[[#This Row],[LC Premium]] - SnapshotTable[[#This Row],[SC Premium]])</f>
        <v>0</v>
      </c>
      <c r="GW142" s="139" t="str">
        <f>IF(AND(SnapshotTable[[#This Row],[Exposure]] &lt;&gt; 0),SnapshotTable[[#This Row],[Exposure]] / SnapshotTable[[#Totals],[Exposure]], "")</f>
        <v/>
      </c>
      <c r="HE142" s="268"/>
      <c r="HF142" s="268"/>
      <c r="HK142" s="1"/>
      <c r="HL142" s="1"/>
      <c r="HM142" s="1"/>
      <c r="HN142" s="1"/>
      <c r="HO142" s="1"/>
      <c r="HP142" s="1"/>
    </row>
    <row r="143" spans="2:224" ht="12.75" hidden="1" customHeight="1" x14ac:dyDescent="0.25">
      <c r="B143" s="12" t="s">
        <v>130</v>
      </c>
      <c r="C143" s="422">
        <v>9.41</v>
      </c>
      <c r="D143" s="208"/>
      <c r="E143" s="39">
        <f>SnapshotTable[[#This Row],[Last Price]]*(1 -CrashDiscount)</f>
        <v>7.9984999999999999</v>
      </c>
      <c r="F143" s="26" t="s">
        <v>129</v>
      </c>
      <c r="G143" s="26" t="s">
        <v>9</v>
      </c>
      <c r="H143" s="149"/>
      <c r="I143" s="194">
        <v>44797.677083333336</v>
      </c>
      <c r="J143" s="195">
        <v>44797.677083333336</v>
      </c>
      <c r="K143" s="196"/>
      <c r="L143" s="326"/>
      <c r="M143" s="140"/>
      <c r="N143" s="140"/>
      <c r="O143" s="140"/>
      <c r="P143" s="22"/>
      <c r="Q143" s="25"/>
      <c r="R143" s="4" t="str">
        <f>IF(SnapshotTable[[#This Row],[Equity Basis Total]] &gt; 0, SnapshotTable[[#This Row],[Equity Basis Total]] / SnapshotTable[[#This Row],[Equity Shares]], "")</f>
        <v/>
      </c>
      <c r="S143" s="269">
        <f>SnapshotTable[[#This Row],[Last Price]] * SnapshotTable[[#This Row],[Equity Shares]]</f>
        <v>0</v>
      </c>
      <c r="T143" s="269">
        <f>SnapshotTable[[#This Row],[Equity Value]] - SnapshotTable[[#This Row],[Equity Basis Total]]</f>
        <v>0</v>
      </c>
      <c r="U143" s="270" t="str">
        <f>IF(SnapshotTable[[#This Row],[Equity Basis Total]] &gt; 0, SnapshotTable[[#This Row],[Equity G/L]] / SnapshotTable[[#This Row],[Equity Basis Total]], "")</f>
        <v/>
      </c>
      <c r="V143" s="268"/>
      <c r="W143" s="26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7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0">
        <v>0.72</v>
      </c>
      <c r="AD143" s="151">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7.6514346439957484E-2</v>
      </c>
      <c r="AH143" s="151">
        <v>42986</v>
      </c>
      <c r="AI143" s="5">
        <v>100</v>
      </c>
      <c r="AJ143" s="138">
        <v>111.5</v>
      </c>
      <c r="AK143" s="152">
        <f>IF(ISNUMBER( SnapshotTable[[#This Row],[EBF Target]]),(SnapshotTable[[#This Row],[EBF Target]] - SnapshotTable[[#This Row],[Last Price]]) / SnapshotTable[[#This Row],[Last Price]], "")</f>
        <v>9.6269925611052081</v>
      </c>
      <c r="AL143" s="152"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2">
        <f>IF(AND(ISNUMBER( SnapshotTable[[#This Row],[Long Term Target]]), ISNUMBER(SnapshotTable[[#This Row],[Last Price]])),(SnapshotTable[[#This Row],[Long Term Target]] - SnapshotTable[[#This Row],[Last Price]]) / SnapshotTable[[#This Row],[Last Price]], "")</f>
        <v>10.849096705632306</v>
      </c>
      <c r="AP143" s="5"/>
      <c r="AQ143" s="38"/>
      <c r="AR143" s="5"/>
      <c r="AS143" s="38"/>
      <c r="AT143" s="146"/>
      <c r="AU143" s="187" t="str">
        <f>IF(OR(SnapshotTable[[#This Row],[LP No Fill]]="Y",SnapshotTable[[#This Row],[SP Is Filled]],SnapshotTable[[#This Row],[LC Not Filled]]="Y",SnapshotTable[[#This Row],[SC Is Filled]]),"Y","")</f>
        <v/>
      </c>
      <c r="AV143" s="219"/>
      <c r="AW143" s="225"/>
      <c r="AX143" s="220"/>
      <c r="AY143" s="219" t="str">
        <f>IF(SnapshotTable[[#This Row],[Implied Move]]&gt;0, SnapshotTable[[#This Row],[Last Price]]-SnapshotTable[[#This Row],[Implied Move]],"")</f>
        <v/>
      </c>
      <c r="AZ143" s="219" t="str">
        <f>IF(SnapshotTable[[#This Row],[Implied Move]]&gt;0, SnapshotTable[[#This Row],[Last Price]] + SnapshotTable[[#This Row],[Implied Move]],"")</f>
        <v/>
      </c>
      <c r="BA143" s="331"/>
      <c r="BB143" s="347"/>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51"/>
      <c r="BE143" s="5"/>
      <c r="BF143" s="14"/>
      <c r="BG143" s="13"/>
      <c r="BH143" s="13"/>
      <c r="BI143" s="5"/>
      <c r="BJ143" s="136">
        <f>IF(SnapshotTable[[#This Row],[LP Qty]] &gt; 0, SnapshotTable[[#This Row],[LP Qty]] * SnapshotTable[[#This Row],[LP Book Price]] * 100,0)</f>
        <v>0</v>
      </c>
      <c r="BK143" s="136">
        <f>IF(SnapshotTable[[#This Row],[LP Premium]] &gt; 0, SnapshotTable[[#This Row],[LP Qty]] * SnapshotTable[[#This Row],[LP Strike Price]] * 100,0)</f>
        <v>0</v>
      </c>
      <c r="BL143" s="154"/>
      <c r="BM143" s="385" t="str">
        <f>IF(SnapshotTable[[#This Row],[LP Premium]] &gt; 0,SnapshotTable[[#This Row],[LP Exp Date]]-MAX(SnapshotTable[[#This Row],[LP Book Date]], SnapshotTable[[#This Row],[LP Fill Date]]),"")</f>
        <v/>
      </c>
      <c r="BN143" s="385" t="str">
        <f>IF(ISNUMBER( SnapshotTable[[#This Row],[LP Term]]), SnapshotTable[[#This Row],[LP Exp Date]] - MockToday,"")</f>
        <v/>
      </c>
      <c r="BO143" s="163"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7"/>
      <c r="BU143" s="13"/>
      <c r="BV143" s="5"/>
      <c r="BW143" s="419" t="b">
        <f>AND(ISNUMBER(SnapshotTable[[#This Row],[SP Exp Date]]), ISNUMBER(SnapshotTable[[#This Row],[SP Strike Price]]), ISNUMBER(SnapshotTable[[#This Row],[SP Qty]]), ISNUMBER(SnapshotTable[[#This Row],[SP Book Date]]), ISNUMBER(SnapshotTable[[#This Row],[SP Book Price]]))</f>
        <v>0</v>
      </c>
      <c r="BX143" s="419" t="b">
        <f>AND(SnapshotTable[[#This Row],[SP Is Booked]], NOT(ISBLANK(SnapshotTable[[#This Row],[SP Fill Date]])))</f>
        <v>0</v>
      </c>
      <c r="BY143" s="33">
        <f>IF(SnapshotTable[[#This Row],[SP Is Booked]], SnapshotTable[[#This Row],[SP Qty]] * SnapshotTable[[#This Row],[SP Book Price]] * 100, 0)</f>
        <v>0</v>
      </c>
      <c r="BZ143" s="369"/>
      <c r="CA143" s="368">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3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44"/>
      <c r="CK143" s="31">
        <f>IF(ISNUMBER(SnapshotTable[[#This Row],[SP Potential Spend]]),IF(ISNUMBER(SnapshotTable[[#This Row],[SP POW]]), SnapshotTable[[#This Row],[SP POW]] * SnapshotTable[[#This Row],[SP Potential Spend]], SnapshotTable[[#This Row],[SP Potential Spend]]), "")</f>
        <v>0</v>
      </c>
      <c r="CL143" s="164">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8"/>
      <c r="CO143" s="369"/>
      <c r="CP143" s="4" t="str">
        <f>IF(SnapshotTable[[#This Row],[SP Is Filled]], btc_max_buyback_amount(SnapshotTable[[#This Row],[SP Fill Date]],SnapshotTable[[#This Row],[SP Exp Date]], SnapshotTable[[#This Row],[SP Book Price]]),"")</f>
        <v/>
      </c>
      <c r="CQ143" s="78"/>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5" t="str">
        <f>IF(SnapshotTable[[#This Row],[SP Is Filled]], btc_next_cutoff_date(SnapshotTable[[#This Row],[SP Fill Date]],SnapshotTable[[#This Row],[SP Exp Date]]),"")</f>
        <v/>
      </c>
      <c r="CT143" s="23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3"/>
      <c r="CV143" s="235"/>
      <c r="CW143" s="378"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294" t="str">
        <f>IF(ISNUMBER((SnapshotTable[[#This Row],[SP Total Value]])), SnapshotTable[[#This Row],[SP Gain Loss]] / SnapshotTable[[#This Row],[SP Premium]], "")</f>
        <v/>
      </c>
      <c r="DI143" s="406"/>
      <c r="DJ143" s="138"/>
      <c r="DK143" s="148"/>
      <c r="DL143" s="13"/>
      <c r="DM143" s="13"/>
      <c r="DO143" s="31">
        <f>IF(SnapshotTable[[#This Row],[LC Symbol Count]]=1, SnapshotTable[[#This Row],[LC Qty]] * SnapshotTable[[#This Row],[LC Book Price]] * 100, 0)</f>
        <v>0</v>
      </c>
      <c r="DP143" s="163" t="str">
        <f>IF(AND(SnapshotTable[[#This Row],[LC Exp Date]]&gt;0, SnapshotTable[[#This Row],[LC Strike Price]]&gt;0,SnapshotTable[[#This Row],[LC Qty]]&gt;0,SnapshotTable[[#This Row],[LC Book Date]]&gt;0,SnapshotTable[[#This Row],[LC Book Price]]&gt;0,SnapshotTable[[#This Row],[LC Fill Date]]=0),"Y","")</f>
        <v/>
      </c>
      <c r="DQ143" s="386" t="str">
        <f>IF(SnapshotTable[[#This Row],[LC Premium]] &gt; 0,SnapshotTable[[#This Row],[LC Exp Date]]-MAX(SnapshotTable[[#This Row],[LC Book Date]], SnapshotTable[[#This Row],[LC Fill Date]]),"")</f>
        <v/>
      </c>
      <c r="DR143" s="386" t="str">
        <f>IF(ISNUMBER(SnapshotTable[[#This Row],[LC Term]]), SnapshotTable[[#This Row],[LC Exp Date]] - MockToday, "")</f>
        <v/>
      </c>
      <c r="DS143" s="23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40" t="str">
        <f>IF(ISNUMBER(SnapshotTable[[#This Row],[LC Actual Gain Loss]]), SnapshotTable[[#This Row],[LC Actual Gain Loss]] / SnapshotTable[[#This Row],[LC Premium]],"")</f>
        <v/>
      </c>
      <c r="DX143" s="284" t="str">
        <f>IF(ISNUMBER(SnapshotTable[[#This Row],[LC Book Price]]),SnapshotTable[[#This Row],[LC Book Price]] * 1.5,"")</f>
        <v/>
      </c>
      <c r="DY143" s="265" t="str">
        <f>IF(SnapshotTable[[#This Row],[LC Premium]]&gt;0, SnapshotTable[[#This Row],[LC Next Target]] * SnapshotTable[[#This Row],[LC Qty]] * 100,"")</f>
        <v/>
      </c>
      <c r="DZ143" s="265" t="str">
        <f>IF(ISNUMBER(SnapshotTable[[#This Row],[LC Target Gross]]), SnapshotTable[[#This Row],[LC Target Gross]] - SnapshotTable[[#This Row],[LC Premium]], "")</f>
        <v/>
      </c>
      <c r="EA143" s="305" t="str">
        <f>IF(ISNUMBER(SnapshotTable[[#This Row],[LC Target Gain Loss]]), SnapshotTable[[#This Row],[LC Target Gain Loss]]/SnapshotTable[[#This Row],[LC Premium]], "")</f>
        <v/>
      </c>
      <c r="EB143" s="262"/>
      <c r="EC143" s="283" t="str">
        <f>IF(SnapshotTable[[#This Row],[LC Premium]]&gt;0, SnapshotTable[[#This Row],[LC Book Price]] * (1 - LC_StopLoss_Pct),"")</f>
        <v/>
      </c>
      <c r="ED143" s="284"/>
      <c r="EE143" s="28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4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7"/>
      <c r="EL143" s="138"/>
      <c r="EM143" s="148"/>
      <c r="EN143" s="147"/>
      <c r="EO143" s="147"/>
      <c r="EP143" s="138"/>
      <c r="EQ143" s="419" t="b">
        <f>AND(ISNUMBER(SnapshotTable[[#This Row],[SC Exp Date]]), ISNUMBER(SnapshotTable[[#This Row],[SC Strike Price]]), ISNUMBER(SnapshotTable[[#This Row],[SC Qty]]), ISNUMBER(SnapshotTable[[#This Row],[SC Book Date]]), ISNUMBER(SnapshotTable[[#This Row],[SC Book Price]]))</f>
        <v>0</v>
      </c>
      <c r="ER143" s="419" t="b">
        <f>AND(SnapshotTable[[#This Row],[SC Is Booked]], NOT(ISBLANK(SnapshotTable[[#This Row],[SC Fill Date]])))</f>
        <v>0</v>
      </c>
      <c r="ES143" s="370"/>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3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283"/>
      <c r="FA143" s="218"/>
      <c r="FB143" s="370"/>
      <c r="FC143" s="4">
        <f>IF(SnapshotTable[[#This Row],[SC Is Filled]], btc_max_buyback_amount(SnapshotTable[[#This Row],[SC Fill Date]],SnapshotTable[[#This Row],[SC Exp Date]], SnapshotTable[[#This Row],[SC Book Price]]),0)</f>
        <v>0</v>
      </c>
      <c r="FD143" s="5"/>
      <c r="FE143" s="144"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382">
        <f>IF(SnapshotTable[[#This Row],[SC Is Filled]], IF(ISNUMBER(SnapshotTable[[#This Row],[SC Current Ask]]), SnapshotTable[[#This Row],[SC Current Ask]], SnapshotTable[[#This Row],[SC Book Price]]) - SnapshotTable[[#This Row],[SC Intrinsic Value]], 0)</f>
        <v>0</v>
      </c>
      <c r="FI143" s="143"/>
      <c r="FJ143" s="32" t="str">
        <f>IF(SnapshotTable[[#This Row],[SC Is Filled]],100 * SnapshotTable[[#This Row],[SC Qty]] * IF(ISNUMBER(SnapshotTable[[#This Row],[SC Buyback Override]]), SnapshotTable[[#This Row],[SC Buyback Override]], SnapshotTable[[#This Row],[SC Current Ask]]), "")</f>
        <v/>
      </c>
      <c r="FK143" s="250" t="str">
        <f>IF(SnapshotTable[[#This Row],[SC Time Val]]&gt;0, SnapshotTable[[#This Row],[SC Time Val]] / SnapshotTable[[#This Row],[Last Price]],"")</f>
        <v/>
      </c>
      <c r="FL143" s="302" t="str">
        <f>IF(SnapshotTable[[#This Row],[SC Is Booked]], ((SnapshotTable[[#This Row],[Last Price]] -SnapshotTable[[#This Row],[SC Strike Price]]) / SnapshotTable[[#This Row],[Last Price]]) * -1, "")</f>
        <v/>
      </c>
      <c r="FM143" s="157"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33"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36" t="str">
        <f>IF(AND(ISNUMBER(SnapshotTable[[#This Row],[SC Simple ROO]]),SnapshotTable[[#This Row],[SC Simple ROO]] &gt; 0), SnapshotTable[[#This Row],[SC Premium]] + (SnapshotTable[[#This Row],[SC Qty]] * SnapshotTable[[#This Row],[SC Upside Potential]]), "")</f>
        <v/>
      </c>
      <c r="FX143" s="302" t="str" cm="1">
        <f t="array" ref="FX143">IF(ISNUMBER(SnapshotTable[[#This Row],[SC Max Dollars]]), annualize(SnapshotTable[[#This Row],[SC Term]],(SnapshotTable[[#This Row],[SC Max Dollars]]/SnapshotTable[[#This Row],[SC Basis]])),"")</f>
        <v/>
      </c>
      <c r="FY143" s="23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29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18.349499999999999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690</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31">
        <f>MAX(SnapshotTable[[#This Row],[Equity Basis Total]],SnapshotTable[[#This Row],[Equity Value]]) + (SnapshotTable[[#This Row],[SP Potential Spend]]- SnapshotTable[[#This Row],[SP Premium]] + SnapshotTable[[#This Row],[LP Premium]])+ (SnapshotTable[[#This Row],[LC Premium]] - SnapshotTable[[#This Row],[SC Premium]])</f>
        <v>0</v>
      </c>
      <c r="GW143" s="139" t="str">
        <f>IF(AND(SnapshotTable[[#This Row],[Exposure]] &lt;&gt; 0),SnapshotTable[[#This Row],[Exposure]] / SnapshotTable[[#Totals],[Exposure]], "")</f>
        <v/>
      </c>
      <c r="HE143" s="268"/>
      <c r="HF143" s="268"/>
      <c r="HK143" s="1"/>
      <c r="HL143" s="1"/>
      <c r="HM143" s="1"/>
      <c r="HN143" s="1"/>
      <c r="HO143" s="1"/>
      <c r="HP143" s="1"/>
    </row>
    <row r="144" spans="2:224" ht="12.75" hidden="1" customHeight="1" x14ac:dyDescent="0.25">
      <c r="B144" s="12" t="s">
        <v>48</v>
      </c>
      <c r="C144" s="422">
        <v>110.95</v>
      </c>
      <c r="D144" s="208" t="s">
        <v>885</v>
      </c>
      <c r="E144" s="39">
        <f>SnapshotTable[[#This Row],[Last Price]]*(1 -CrashDiscount)</f>
        <v>94.307500000000005</v>
      </c>
      <c r="F144" s="26" t="s">
        <v>47</v>
      </c>
      <c r="G144" s="26" t="s">
        <v>14</v>
      </c>
      <c r="H144" s="149"/>
      <c r="I144" s="194">
        <v>44776.670138888891</v>
      </c>
      <c r="J144" s="195">
        <v>44776.670138888891</v>
      </c>
      <c r="K144" s="196"/>
      <c r="L144" s="326"/>
      <c r="M144" s="140"/>
      <c r="N144" s="140"/>
      <c r="O144" s="140"/>
      <c r="P144" s="22"/>
      <c r="Q144" s="25"/>
      <c r="R144" s="4" t="str">
        <f>IF(SnapshotTable[[#This Row],[Equity Basis Total]] &gt; 0, SnapshotTable[[#This Row],[Equity Basis Total]] / SnapshotTable[[#This Row],[Equity Shares]], "")</f>
        <v/>
      </c>
      <c r="S144" s="269">
        <f>SnapshotTable[[#This Row],[Last Price]] * SnapshotTable[[#This Row],[Equity Shares]]</f>
        <v>0</v>
      </c>
      <c r="T144" s="269">
        <f>SnapshotTable[[#This Row],[Equity Value]] - SnapshotTable[[#This Row],[Equity Basis Total]]</f>
        <v>0</v>
      </c>
      <c r="U144" s="270" t="str">
        <f>IF(SnapshotTable[[#This Row],[Equity Basis Total]] &gt; 0, SnapshotTable[[#This Row],[Equity G/L]] / SnapshotTable[[#This Row],[Equity Basis Total]], "")</f>
        <v/>
      </c>
      <c r="V144" s="268"/>
      <c r="W144" s="26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7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0"/>
      <c r="AD144" s="151"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1"/>
      <c r="AI144" s="5"/>
      <c r="AJ144" s="138"/>
      <c r="AK144" s="152" t="str">
        <f>IF(ISNUMBER( SnapshotTable[[#This Row],[EBF Target]]),(SnapshotTable[[#This Row],[EBF Target]] - SnapshotTable[[#This Row],[Last Price]]) / SnapshotTable[[#This Row],[Last Price]], "")</f>
        <v/>
      </c>
      <c r="AL144" s="152"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2" t="str">
        <f>IF(AND(ISNUMBER( SnapshotTable[[#This Row],[Long Term Target]]), ISNUMBER(SnapshotTable[[#This Row],[Last Price]])),(SnapshotTable[[#This Row],[Long Term Target]] - SnapshotTable[[#This Row],[Last Price]]) / SnapshotTable[[#This Row],[Last Price]], "")</f>
        <v/>
      </c>
      <c r="AP144" s="5">
        <v>34</v>
      </c>
      <c r="AQ144" s="38" t="s">
        <v>46</v>
      </c>
      <c r="AR144" s="5">
        <v>32</v>
      </c>
      <c r="AS144" s="38" t="s">
        <v>45</v>
      </c>
      <c r="AT144" s="146"/>
      <c r="AU144" s="187" t="str">
        <f>IF(OR(SnapshotTable[[#This Row],[LP No Fill]]="Y",SnapshotTable[[#This Row],[SP Is Filled]],SnapshotTable[[#This Row],[LC Not Filled]]="Y",SnapshotTable[[#This Row],[SC Is Filled]]),"Y","")</f>
        <v/>
      </c>
      <c r="AV144" s="219"/>
      <c r="AW144" s="225"/>
      <c r="AX144" s="220"/>
      <c r="AY144" s="219" t="str">
        <f>IF(SnapshotTable[[#This Row],[Implied Move]]&gt;0, SnapshotTable[[#This Row],[Last Price]]-SnapshotTable[[#This Row],[Implied Move]],"")</f>
        <v/>
      </c>
      <c r="AZ144" s="219" t="str">
        <f>IF(SnapshotTable[[#This Row],[Implied Move]]&gt;0, SnapshotTable[[#This Row],[Last Price]] + SnapshotTable[[#This Row],[Implied Move]],"")</f>
        <v/>
      </c>
      <c r="BA144" s="331"/>
      <c r="BB144" s="347"/>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51"/>
      <c r="BE144" s="5"/>
      <c r="BF144" s="14"/>
      <c r="BG144" s="13"/>
      <c r="BH144" s="13"/>
      <c r="BI144" s="5"/>
      <c r="BJ144" s="136">
        <f>IF(SnapshotTable[[#This Row],[LP Qty]] &gt; 0, SnapshotTable[[#This Row],[LP Qty]] * SnapshotTable[[#This Row],[LP Book Price]] * 100,0)</f>
        <v>0</v>
      </c>
      <c r="BK144" s="136">
        <f>IF(SnapshotTable[[#This Row],[LP Premium]] &gt; 0, SnapshotTable[[#This Row],[LP Qty]] * SnapshotTable[[#This Row],[LP Strike Price]] * 100,0)</f>
        <v>0</v>
      </c>
      <c r="BL144" s="154"/>
      <c r="BM144" s="385" t="str">
        <f>IF(SnapshotTable[[#This Row],[LP Premium]] &gt; 0,SnapshotTable[[#This Row],[LP Exp Date]]-MAX(SnapshotTable[[#This Row],[LP Book Date]], SnapshotTable[[#This Row],[LP Fill Date]]),"")</f>
        <v/>
      </c>
      <c r="BN144" s="385" t="str">
        <f>IF(ISNUMBER( SnapshotTable[[#This Row],[LP Term]]), SnapshotTable[[#This Row],[LP Exp Date]] - MockToday,"")</f>
        <v/>
      </c>
      <c r="BO144" s="163"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7"/>
      <c r="BU144" s="13"/>
      <c r="BV144" s="5"/>
      <c r="BW144" s="419" t="b">
        <f>AND(ISNUMBER(SnapshotTable[[#This Row],[SP Exp Date]]), ISNUMBER(SnapshotTable[[#This Row],[SP Strike Price]]), ISNUMBER(SnapshotTable[[#This Row],[SP Qty]]), ISNUMBER(SnapshotTable[[#This Row],[SP Book Date]]), ISNUMBER(SnapshotTable[[#This Row],[SP Book Price]]))</f>
        <v>0</v>
      </c>
      <c r="BX144" s="419" t="b">
        <f>AND(SnapshotTable[[#This Row],[SP Is Booked]], NOT(ISBLANK(SnapshotTable[[#This Row],[SP Fill Date]])))</f>
        <v>0</v>
      </c>
      <c r="BY144" s="33">
        <f>IF(SnapshotTable[[#This Row],[SP Is Booked]], SnapshotTable[[#This Row],[SP Qty]] * SnapshotTable[[#This Row],[SP Book Price]] * 100, 0)</f>
        <v>0</v>
      </c>
      <c r="BZ144" s="369"/>
      <c r="CA144" s="368">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3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44"/>
      <c r="CK144" s="31">
        <f>IF(ISNUMBER(SnapshotTable[[#This Row],[SP Potential Spend]]),IF(ISNUMBER(SnapshotTable[[#This Row],[SP POW]]), SnapshotTable[[#This Row],[SP POW]] * SnapshotTable[[#This Row],[SP Potential Spend]], SnapshotTable[[#This Row],[SP Potential Spend]]), "")</f>
        <v>0</v>
      </c>
      <c r="CL144" s="164">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8"/>
      <c r="CO144" s="369"/>
      <c r="CP144" s="4" t="str">
        <f>IF(SnapshotTable[[#This Row],[SP Is Filled]], btc_max_buyback_amount(SnapshotTable[[#This Row],[SP Fill Date]],SnapshotTable[[#This Row],[SP Exp Date]], SnapshotTable[[#This Row],[SP Book Price]]),"")</f>
        <v/>
      </c>
      <c r="CQ144" s="78"/>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5" t="str">
        <f>IF(SnapshotTable[[#This Row],[SP Is Filled]], btc_next_cutoff_date(SnapshotTable[[#This Row],[SP Fill Date]],SnapshotTable[[#This Row],[SP Exp Date]]),"")</f>
        <v/>
      </c>
      <c r="CT144" s="23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3"/>
      <c r="CV144" s="235"/>
      <c r="CW144" s="378"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294" t="str">
        <f>IF(ISNUMBER((SnapshotTable[[#This Row],[SP Total Value]])), SnapshotTable[[#This Row],[SP Gain Loss]] / SnapshotTable[[#This Row],[SP Premium]], "")</f>
        <v/>
      </c>
      <c r="DI144" s="406"/>
      <c r="DJ144" s="138"/>
      <c r="DK144" s="148"/>
      <c r="DL144" s="13"/>
      <c r="DM144" s="13"/>
      <c r="DO144" s="31">
        <f>IF(SnapshotTable[[#This Row],[LC Symbol Count]]=1, SnapshotTable[[#This Row],[LC Qty]] * SnapshotTable[[#This Row],[LC Book Price]] * 100, 0)</f>
        <v>0</v>
      </c>
      <c r="DP144" s="163" t="str">
        <f>IF(AND(SnapshotTable[[#This Row],[LC Exp Date]]&gt;0, SnapshotTable[[#This Row],[LC Strike Price]]&gt;0,SnapshotTable[[#This Row],[LC Qty]]&gt;0,SnapshotTable[[#This Row],[LC Book Date]]&gt;0,SnapshotTable[[#This Row],[LC Book Price]]&gt;0,SnapshotTable[[#This Row],[LC Fill Date]]=0),"Y","")</f>
        <v/>
      </c>
      <c r="DQ144" s="386" t="str">
        <f>IF(SnapshotTable[[#This Row],[LC Premium]] &gt; 0,SnapshotTable[[#This Row],[LC Exp Date]]-MAX(SnapshotTable[[#This Row],[LC Book Date]], SnapshotTable[[#This Row],[LC Fill Date]]),"")</f>
        <v/>
      </c>
      <c r="DR144" s="386" t="str">
        <f>IF(ISNUMBER(SnapshotTable[[#This Row],[LC Term]]), SnapshotTable[[#This Row],[LC Exp Date]] - MockToday, "")</f>
        <v/>
      </c>
      <c r="DS144" s="23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40" t="str">
        <f>IF(ISNUMBER(SnapshotTable[[#This Row],[LC Actual Gain Loss]]), SnapshotTable[[#This Row],[LC Actual Gain Loss]] / SnapshotTable[[#This Row],[LC Premium]],"")</f>
        <v/>
      </c>
      <c r="DX144" s="284" t="str">
        <f>IF(ISNUMBER(SnapshotTable[[#This Row],[LC Book Price]]),SnapshotTable[[#This Row],[LC Book Price]] * 1.5,"")</f>
        <v/>
      </c>
      <c r="DY144" s="265" t="str">
        <f>IF(SnapshotTable[[#This Row],[LC Premium]]&gt;0, SnapshotTable[[#This Row],[LC Next Target]] * SnapshotTable[[#This Row],[LC Qty]] * 100,"")</f>
        <v/>
      </c>
      <c r="DZ144" s="265" t="str">
        <f>IF(ISNUMBER(SnapshotTable[[#This Row],[LC Target Gross]]), SnapshotTable[[#This Row],[LC Target Gross]] - SnapshotTable[[#This Row],[LC Premium]], "")</f>
        <v/>
      </c>
      <c r="EA144" s="305" t="str">
        <f>IF(ISNUMBER(SnapshotTable[[#This Row],[LC Target Gain Loss]]), SnapshotTable[[#This Row],[LC Target Gain Loss]]/SnapshotTable[[#This Row],[LC Premium]], "")</f>
        <v/>
      </c>
      <c r="EB144" s="262"/>
      <c r="EC144" s="283" t="str">
        <f>IF(SnapshotTable[[#This Row],[LC Premium]]&gt;0, SnapshotTable[[#This Row],[LC Book Price]] * (1 - LC_StopLoss_Pct),"")</f>
        <v/>
      </c>
      <c r="ED144" s="284"/>
      <c r="EE144" s="28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4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7"/>
      <c r="EL144" s="138"/>
      <c r="EM144" s="148"/>
      <c r="EN144" s="147"/>
      <c r="EO144" s="147"/>
      <c r="EP144" s="138"/>
      <c r="EQ144" s="419" t="b">
        <f>AND(ISNUMBER(SnapshotTable[[#This Row],[SC Exp Date]]), ISNUMBER(SnapshotTable[[#This Row],[SC Strike Price]]), ISNUMBER(SnapshotTable[[#This Row],[SC Qty]]), ISNUMBER(SnapshotTable[[#This Row],[SC Book Date]]), ISNUMBER(SnapshotTable[[#This Row],[SC Book Price]]))</f>
        <v>0</v>
      </c>
      <c r="ER144" s="419" t="b">
        <f>AND(SnapshotTable[[#This Row],[SC Is Booked]], NOT(ISBLANK(SnapshotTable[[#This Row],[SC Fill Date]])))</f>
        <v>0</v>
      </c>
      <c r="ES144" s="370"/>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3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283"/>
      <c r="FA144" s="218"/>
      <c r="FB144" s="370"/>
      <c r="FC144" s="4">
        <f>IF(SnapshotTable[[#This Row],[SC Is Filled]], btc_max_buyback_amount(SnapshotTable[[#This Row],[SC Fill Date]],SnapshotTable[[#This Row],[SC Exp Date]], SnapshotTable[[#This Row],[SC Book Price]]),0)</f>
        <v>0</v>
      </c>
      <c r="FD144" s="5"/>
      <c r="FE144" s="144"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382">
        <f>IF(SnapshotTable[[#This Row],[SC Is Filled]], IF(ISNUMBER(SnapshotTable[[#This Row],[SC Current Ask]]), SnapshotTable[[#This Row],[SC Current Ask]], SnapshotTable[[#This Row],[SC Book Price]]) - SnapshotTable[[#This Row],[SC Intrinsic Value]], 0)</f>
        <v>0</v>
      </c>
      <c r="FI144" s="143"/>
      <c r="FJ144" s="32" t="str">
        <f>IF(SnapshotTable[[#This Row],[SC Is Filled]],100 * SnapshotTable[[#This Row],[SC Qty]] * IF(ISNUMBER(SnapshotTable[[#This Row],[SC Buyback Override]]), SnapshotTable[[#This Row],[SC Buyback Override]], SnapshotTable[[#This Row],[SC Current Ask]]), "")</f>
        <v/>
      </c>
      <c r="FK144" s="250" t="str">
        <f>IF(SnapshotTable[[#This Row],[SC Time Val]]&gt;0, SnapshotTable[[#This Row],[SC Time Val]] / SnapshotTable[[#This Row],[Last Price]],"")</f>
        <v/>
      </c>
      <c r="FL144" s="302" t="str">
        <f>IF(SnapshotTable[[#This Row],[SC Is Booked]], ((SnapshotTable[[#This Row],[Last Price]] -SnapshotTable[[#This Row],[SC Strike Price]]) / SnapshotTable[[#This Row],[Last Price]]) * -1, "")</f>
        <v/>
      </c>
      <c r="FM144" s="157"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33"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36" t="str">
        <f>IF(AND(ISNUMBER(SnapshotTable[[#This Row],[SC Simple ROO]]),SnapshotTable[[#This Row],[SC Simple ROO]] &gt; 0), SnapshotTable[[#This Row],[SC Premium]] + (SnapshotTable[[#This Row],[SC Qty]] * SnapshotTable[[#This Row],[SC Upside Potential]]), "")</f>
        <v/>
      </c>
      <c r="FX144" s="302" t="str" cm="1">
        <f t="array" ref="FX144">IF(ISNUMBER(SnapshotTable[[#This Row],[SC Max Dollars]]), annualize(SnapshotTable[[#This Row],[SC Term]],(SnapshotTable[[#This Row],[SC Max Dollars]]/SnapshotTable[[#This Row],[SC Basis]])),"")</f>
        <v/>
      </c>
      <c r="FY144" s="23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29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216.35249999999999</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691</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31">
        <f>MAX(SnapshotTable[[#This Row],[Equity Basis Total]],SnapshotTable[[#This Row],[Equity Value]]) + (SnapshotTable[[#This Row],[SP Potential Spend]]- SnapshotTable[[#This Row],[SP Premium]] + SnapshotTable[[#This Row],[LP Premium]])+ (SnapshotTable[[#This Row],[LC Premium]] - SnapshotTable[[#This Row],[SC Premium]])</f>
        <v>0</v>
      </c>
      <c r="GW144" s="139" t="str">
        <f>IF(AND(SnapshotTable[[#This Row],[Exposure]] &lt;&gt; 0),SnapshotTable[[#This Row],[Exposure]] / SnapshotTable[[#Totals],[Exposure]], "")</f>
        <v/>
      </c>
      <c r="HE144" s="268"/>
      <c r="HF144" s="268"/>
      <c r="HK144" s="1"/>
      <c r="HL144" s="1"/>
      <c r="HM144" s="1"/>
      <c r="HN144" s="1"/>
      <c r="HO144" s="1"/>
      <c r="HP144" s="1"/>
    </row>
    <row r="145" spans="2:224" ht="12.75" hidden="1" customHeight="1" x14ac:dyDescent="0.25">
      <c r="B145" s="12" t="s">
        <v>213</v>
      </c>
      <c r="C145" s="422">
        <v>266.88</v>
      </c>
      <c r="D145" s="208"/>
      <c r="E145" s="39">
        <f>SnapshotTable[[#This Row],[Last Price]]*(1 -CrashDiscount)</f>
        <v>226.84799999999998</v>
      </c>
      <c r="F145" s="26" t="s">
        <v>212</v>
      </c>
      <c r="G145" s="26" t="s">
        <v>17</v>
      </c>
      <c r="H145" s="149"/>
      <c r="I145" s="194">
        <v>44768.354166666664</v>
      </c>
      <c r="J145" s="195">
        <v>44768.354166666664</v>
      </c>
      <c r="K145" s="196"/>
      <c r="L145" s="326"/>
      <c r="M145" s="140"/>
      <c r="N145" s="140"/>
      <c r="O145" s="140"/>
      <c r="P145" s="22"/>
      <c r="Q145" s="25"/>
      <c r="R145" s="4" t="str">
        <f>IF(SnapshotTable[[#This Row],[Equity Basis Total]] &gt; 0, SnapshotTable[[#This Row],[Equity Basis Total]] / SnapshotTable[[#This Row],[Equity Shares]], "")</f>
        <v/>
      </c>
      <c r="S145" s="269">
        <f>SnapshotTable[[#This Row],[Last Price]] * SnapshotTable[[#This Row],[Equity Shares]]</f>
        <v>0</v>
      </c>
      <c r="T145" s="269">
        <f>SnapshotTable[[#This Row],[Equity Value]] - SnapshotTable[[#This Row],[Equity Basis Total]]</f>
        <v>0</v>
      </c>
      <c r="U145" s="270" t="str">
        <f>IF(SnapshotTable[[#This Row],[Equity Basis Total]] &gt; 0, SnapshotTable[[#This Row],[Equity G/L]] / SnapshotTable[[#This Row],[Equity Basis Total]], "")</f>
        <v/>
      </c>
      <c r="V145" s="268"/>
      <c r="W145" s="26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7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0">
        <v>1.4</v>
      </c>
      <c r="AD145" s="151">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5.2458033573141482E-3</v>
      </c>
      <c r="AH145" s="151">
        <v>42718</v>
      </c>
      <c r="AI145" s="5"/>
      <c r="AJ145" s="138">
        <v>125.06</v>
      </c>
      <c r="AK145" s="152" t="str">
        <f>IF(ISNUMBER( SnapshotTable[[#This Row],[EBF Target]]),(SnapshotTable[[#This Row],[EBF Target]] - SnapshotTable[[#This Row],[Last Price]]) / SnapshotTable[[#This Row],[Last Price]], "")</f>
        <v/>
      </c>
      <c r="AL145" s="152"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2">
        <f>IF(AND(ISNUMBER( SnapshotTable[[#This Row],[Long Term Target]]), ISNUMBER(SnapshotTable[[#This Row],[Last Price]])),(SnapshotTable[[#This Row],[Long Term Target]] - SnapshotTable[[#This Row],[Last Price]]) / SnapshotTable[[#This Row],[Last Price]], "")</f>
        <v>-0.5313998800959232</v>
      </c>
      <c r="AP145" s="5"/>
      <c r="AQ145" s="38"/>
      <c r="AR145" s="5"/>
      <c r="AS145" s="38"/>
      <c r="AT145" s="146"/>
      <c r="AU145" s="187" t="str">
        <f>IF(OR(SnapshotTable[[#This Row],[LP No Fill]]="Y",SnapshotTable[[#This Row],[SP Is Filled]],SnapshotTable[[#This Row],[LC Not Filled]]="Y",SnapshotTable[[#This Row],[SC Is Filled]]),"Y","")</f>
        <v/>
      </c>
      <c r="AV145" s="219"/>
      <c r="AW145" s="225"/>
      <c r="AX145" s="220"/>
      <c r="AY145" s="219" t="str">
        <f>IF(SnapshotTable[[#This Row],[Implied Move]]&gt;0, SnapshotTable[[#This Row],[Last Price]]-SnapshotTable[[#This Row],[Implied Move]],"")</f>
        <v/>
      </c>
      <c r="AZ145" s="219" t="str">
        <f>IF(SnapshotTable[[#This Row],[Implied Move]]&gt;0, SnapshotTable[[#This Row],[Last Price]] + SnapshotTable[[#This Row],[Implied Move]],"")</f>
        <v/>
      </c>
      <c r="BA145" s="331"/>
      <c r="BB145" s="347"/>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51"/>
      <c r="BE145" s="5"/>
      <c r="BF145" s="14"/>
      <c r="BG145" s="13"/>
      <c r="BH145" s="13"/>
      <c r="BI145" s="5"/>
      <c r="BJ145" s="136">
        <f>IF(SnapshotTable[[#This Row],[LP Qty]] &gt; 0, SnapshotTable[[#This Row],[LP Qty]] * SnapshotTable[[#This Row],[LP Book Price]] * 100,0)</f>
        <v>0</v>
      </c>
      <c r="BK145" s="136">
        <f>IF(SnapshotTable[[#This Row],[LP Premium]] &gt; 0, SnapshotTable[[#This Row],[LP Qty]] * SnapshotTable[[#This Row],[LP Strike Price]] * 100,0)</f>
        <v>0</v>
      </c>
      <c r="BL145" s="154"/>
      <c r="BM145" s="385" t="str">
        <f>IF(SnapshotTable[[#This Row],[LP Premium]] &gt; 0,SnapshotTable[[#This Row],[LP Exp Date]]-MAX(SnapshotTable[[#This Row],[LP Book Date]], SnapshotTable[[#This Row],[LP Fill Date]]),"")</f>
        <v/>
      </c>
      <c r="BN145" s="385" t="str">
        <f>IF(ISNUMBER( SnapshotTable[[#This Row],[LP Term]]), SnapshotTable[[#This Row],[LP Exp Date]] - MockToday,"")</f>
        <v/>
      </c>
      <c r="BO145" s="163"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7"/>
      <c r="BU145" s="13"/>
      <c r="BV145" s="5"/>
      <c r="BW145" s="419" t="b">
        <f>AND(ISNUMBER(SnapshotTable[[#This Row],[SP Exp Date]]), ISNUMBER(SnapshotTable[[#This Row],[SP Strike Price]]), ISNUMBER(SnapshotTable[[#This Row],[SP Qty]]), ISNUMBER(SnapshotTable[[#This Row],[SP Book Date]]), ISNUMBER(SnapshotTable[[#This Row],[SP Book Price]]))</f>
        <v>0</v>
      </c>
      <c r="BX145" s="419" t="b">
        <f>AND(SnapshotTable[[#This Row],[SP Is Booked]], NOT(ISBLANK(SnapshotTable[[#This Row],[SP Fill Date]])))</f>
        <v>0</v>
      </c>
      <c r="BY145" s="33">
        <f>IF(SnapshotTable[[#This Row],[SP Is Booked]], SnapshotTable[[#This Row],[SP Qty]] * SnapshotTable[[#This Row],[SP Book Price]] * 100, 0)</f>
        <v>0</v>
      </c>
      <c r="BZ145" s="369"/>
      <c r="CA145" s="368">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3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44"/>
      <c r="CK145" s="31">
        <f>IF(ISNUMBER(SnapshotTable[[#This Row],[SP Potential Spend]]),IF(ISNUMBER(SnapshotTable[[#This Row],[SP POW]]), SnapshotTable[[#This Row],[SP POW]] * SnapshotTable[[#This Row],[SP Potential Spend]], SnapshotTable[[#This Row],[SP Potential Spend]]), "")</f>
        <v>0</v>
      </c>
      <c r="CL145" s="164">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8"/>
      <c r="CO145" s="369"/>
      <c r="CP145" s="4" t="str">
        <f>IF(SnapshotTable[[#This Row],[SP Is Filled]], btc_max_buyback_amount(SnapshotTable[[#This Row],[SP Fill Date]],SnapshotTable[[#This Row],[SP Exp Date]], SnapshotTable[[#This Row],[SP Book Price]]),"")</f>
        <v/>
      </c>
      <c r="CQ145" s="78"/>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5" t="str">
        <f>IF(SnapshotTable[[#This Row],[SP Is Filled]], btc_next_cutoff_date(SnapshotTable[[#This Row],[SP Fill Date]],SnapshotTable[[#This Row],[SP Exp Date]]),"")</f>
        <v/>
      </c>
      <c r="CT145" s="23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3"/>
      <c r="CV145" s="235"/>
      <c r="CW145" s="378"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294" t="str">
        <f>IF(ISNUMBER((SnapshotTable[[#This Row],[SP Total Value]])), SnapshotTable[[#This Row],[SP Gain Loss]] / SnapshotTable[[#This Row],[SP Premium]], "")</f>
        <v/>
      </c>
      <c r="DI145" s="406"/>
      <c r="DJ145" s="138"/>
      <c r="DK145" s="148"/>
      <c r="DL145" s="13"/>
      <c r="DM145" s="13"/>
      <c r="DO145" s="31">
        <f>IF(SnapshotTable[[#This Row],[LC Symbol Count]]=1, SnapshotTable[[#This Row],[LC Qty]] * SnapshotTable[[#This Row],[LC Book Price]] * 100, 0)</f>
        <v>0</v>
      </c>
      <c r="DP145" s="163" t="str">
        <f>IF(AND(SnapshotTable[[#This Row],[LC Exp Date]]&gt;0, SnapshotTable[[#This Row],[LC Strike Price]]&gt;0,SnapshotTable[[#This Row],[LC Qty]]&gt;0,SnapshotTable[[#This Row],[LC Book Date]]&gt;0,SnapshotTable[[#This Row],[LC Book Price]]&gt;0,SnapshotTable[[#This Row],[LC Fill Date]]=0),"Y","")</f>
        <v/>
      </c>
      <c r="DQ145" s="386" t="str">
        <f>IF(SnapshotTable[[#This Row],[LC Premium]] &gt; 0,SnapshotTable[[#This Row],[LC Exp Date]]-MAX(SnapshotTable[[#This Row],[LC Book Date]], SnapshotTable[[#This Row],[LC Fill Date]]),"")</f>
        <v/>
      </c>
      <c r="DR145" s="386" t="str">
        <f>IF(ISNUMBER(SnapshotTable[[#This Row],[LC Term]]), SnapshotTable[[#This Row],[LC Exp Date]] - MockToday, "")</f>
        <v/>
      </c>
      <c r="DS145" s="23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40" t="str">
        <f>IF(ISNUMBER(SnapshotTable[[#This Row],[LC Actual Gain Loss]]), SnapshotTable[[#This Row],[LC Actual Gain Loss]] / SnapshotTable[[#This Row],[LC Premium]],"")</f>
        <v/>
      </c>
      <c r="DX145" s="284" t="str">
        <f>IF(ISNUMBER(SnapshotTable[[#This Row],[LC Book Price]]),SnapshotTable[[#This Row],[LC Book Price]] * 1.5,"")</f>
        <v/>
      </c>
      <c r="DY145" s="265" t="str">
        <f>IF(SnapshotTable[[#This Row],[LC Premium]]&gt;0, SnapshotTable[[#This Row],[LC Next Target]] * SnapshotTable[[#This Row],[LC Qty]] * 100,"")</f>
        <v/>
      </c>
      <c r="DZ145" s="265" t="str">
        <f>IF(ISNUMBER(SnapshotTable[[#This Row],[LC Target Gross]]), SnapshotTable[[#This Row],[LC Target Gross]] - SnapshotTable[[#This Row],[LC Premium]], "")</f>
        <v/>
      </c>
      <c r="EA145" s="305" t="str">
        <f>IF(ISNUMBER(SnapshotTable[[#This Row],[LC Target Gain Loss]]), SnapshotTable[[#This Row],[LC Target Gain Loss]]/SnapshotTable[[#This Row],[LC Premium]], "")</f>
        <v/>
      </c>
      <c r="EB145" s="262"/>
      <c r="EC145" s="283" t="str">
        <f>IF(SnapshotTable[[#This Row],[LC Premium]]&gt;0, SnapshotTable[[#This Row],[LC Book Price]] * (1 - LC_StopLoss_Pct),"")</f>
        <v/>
      </c>
      <c r="ED145" s="284"/>
      <c r="EE145" s="28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4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7"/>
      <c r="EL145" s="138"/>
      <c r="EM145" s="148"/>
      <c r="EN145" s="147"/>
      <c r="EO145" s="147"/>
      <c r="EP145" s="138"/>
      <c r="EQ145" s="419" t="b">
        <f>AND(ISNUMBER(SnapshotTable[[#This Row],[SC Exp Date]]), ISNUMBER(SnapshotTable[[#This Row],[SC Strike Price]]), ISNUMBER(SnapshotTable[[#This Row],[SC Qty]]), ISNUMBER(SnapshotTable[[#This Row],[SC Book Date]]), ISNUMBER(SnapshotTable[[#This Row],[SC Book Price]]))</f>
        <v>0</v>
      </c>
      <c r="ER145" s="419" t="b">
        <f>AND(SnapshotTable[[#This Row],[SC Is Booked]], NOT(ISBLANK(SnapshotTable[[#This Row],[SC Fill Date]])))</f>
        <v>0</v>
      </c>
      <c r="ES145" s="370"/>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3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283"/>
      <c r="FA145" s="218"/>
      <c r="FB145" s="370"/>
      <c r="FC145" s="4">
        <f>IF(SnapshotTable[[#This Row],[SC Is Filled]], btc_max_buyback_amount(SnapshotTable[[#This Row],[SC Fill Date]],SnapshotTable[[#This Row],[SC Exp Date]], SnapshotTable[[#This Row],[SC Book Price]]),0)</f>
        <v>0</v>
      </c>
      <c r="FD145" s="5"/>
      <c r="FE145" s="144"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382">
        <f>IF(SnapshotTable[[#This Row],[SC Is Filled]], IF(ISNUMBER(SnapshotTable[[#This Row],[SC Current Ask]]), SnapshotTable[[#This Row],[SC Current Ask]], SnapshotTable[[#This Row],[SC Book Price]]) - SnapshotTable[[#This Row],[SC Intrinsic Value]], 0)</f>
        <v>0</v>
      </c>
      <c r="FI145" s="143"/>
      <c r="FJ145" s="32" t="str">
        <f>IF(SnapshotTable[[#This Row],[SC Is Filled]],100 * SnapshotTable[[#This Row],[SC Qty]] * IF(ISNUMBER(SnapshotTable[[#This Row],[SC Buyback Override]]), SnapshotTable[[#This Row],[SC Buyback Override]], SnapshotTable[[#This Row],[SC Current Ask]]), "")</f>
        <v/>
      </c>
      <c r="FK145" s="250" t="str">
        <f>IF(SnapshotTable[[#This Row],[SC Time Val]]&gt;0, SnapshotTable[[#This Row],[SC Time Val]] / SnapshotTable[[#This Row],[Last Price]],"")</f>
        <v/>
      </c>
      <c r="FL145" s="302" t="str">
        <f>IF(SnapshotTable[[#This Row],[SC Is Booked]], ((SnapshotTable[[#This Row],[Last Price]] -SnapshotTable[[#This Row],[SC Strike Price]]) / SnapshotTable[[#This Row],[Last Price]]) * -1, "")</f>
        <v/>
      </c>
      <c r="FM145" s="157"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33"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36" t="str">
        <f>IF(AND(ISNUMBER(SnapshotTable[[#This Row],[SC Simple ROO]]),SnapshotTable[[#This Row],[SC Simple ROO]] &gt; 0), SnapshotTable[[#This Row],[SC Premium]] + (SnapshotTable[[#This Row],[SC Qty]] * SnapshotTable[[#This Row],[SC Upside Potential]]), "")</f>
        <v/>
      </c>
      <c r="FX145" s="302" t="str" cm="1">
        <f t="array" ref="FX145">IF(ISNUMBER(SnapshotTable[[#This Row],[SC Max Dollars]]), annualize(SnapshotTable[[#This Row],[SC Term]],(SnapshotTable[[#This Row],[SC Max Dollars]]/SnapshotTable[[#This Row],[SC Basis]])),"")</f>
        <v/>
      </c>
      <c r="FY145" s="23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29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520.41599999999994</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692</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31">
        <f>MAX(SnapshotTable[[#This Row],[Equity Basis Total]],SnapshotTable[[#This Row],[Equity Value]]) + (SnapshotTable[[#This Row],[SP Potential Spend]]- SnapshotTable[[#This Row],[SP Premium]] + SnapshotTable[[#This Row],[LP Premium]])+ (SnapshotTable[[#This Row],[LC Premium]] - SnapshotTable[[#This Row],[SC Premium]])</f>
        <v>0</v>
      </c>
      <c r="GW145" s="139" t="str">
        <f>IF(AND(SnapshotTable[[#This Row],[Exposure]] &lt;&gt; 0),SnapshotTable[[#This Row],[Exposure]] / SnapshotTable[[#Totals],[Exposure]], "")</f>
        <v/>
      </c>
      <c r="HE145" s="268"/>
      <c r="HF145" s="268"/>
      <c r="HK145" s="1"/>
      <c r="HL145" s="1"/>
      <c r="HM145" s="1"/>
      <c r="HN145" s="1"/>
      <c r="HO145" s="1"/>
      <c r="HP145" s="1"/>
    </row>
    <row r="146" spans="2:224" ht="12.75" hidden="1" customHeight="1" x14ac:dyDescent="0.25">
      <c r="B146" s="12" t="s">
        <v>180</v>
      </c>
      <c r="C146" s="422">
        <v>112.09</v>
      </c>
      <c r="D146" s="208"/>
      <c r="E146" s="39">
        <f>SnapshotTable[[#This Row],[Last Price]]*(1 -CrashDiscount)</f>
        <v>95.276499999999999</v>
      </c>
      <c r="F146" s="26" t="s">
        <v>179</v>
      </c>
      <c r="G146" s="26" t="s">
        <v>178</v>
      </c>
      <c r="H146" s="149"/>
      <c r="I146" s="194">
        <v>44777.854166666664</v>
      </c>
      <c r="J146" s="195">
        <v>44777.854166666664</v>
      </c>
      <c r="K146" s="196"/>
      <c r="L146" s="326"/>
      <c r="M146" s="140"/>
      <c r="N146" s="140"/>
      <c r="O146" s="140"/>
      <c r="P146" s="22"/>
      <c r="Q146" s="25"/>
      <c r="R146" s="4" t="str">
        <f>IF(SnapshotTable[[#This Row],[Equity Basis Total]] &gt; 0, SnapshotTable[[#This Row],[Equity Basis Total]] / SnapshotTable[[#This Row],[Equity Shares]], "")</f>
        <v/>
      </c>
      <c r="S146" s="269">
        <f>SnapshotTable[[#This Row],[Last Price]] * SnapshotTable[[#This Row],[Equity Shares]]</f>
        <v>0</v>
      </c>
      <c r="T146" s="269">
        <f>SnapshotTable[[#This Row],[Equity Value]] - SnapshotTable[[#This Row],[Equity Basis Total]]</f>
        <v>0</v>
      </c>
      <c r="U146" s="270" t="str">
        <f>IF(SnapshotTable[[#This Row],[Equity Basis Total]] &gt; 0, SnapshotTable[[#This Row],[Equity G/L]] / SnapshotTable[[#This Row],[Equity Basis Total]], "")</f>
        <v/>
      </c>
      <c r="V146" s="268"/>
      <c r="W146" s="26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7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0">
        <v>2.6</v>
      </c>
      <c r="AD146" s="151">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2.3195646355607103E-2</v>
      </c>
      <c r="AH146" s="151">
        <v>42229</v>
      </c>
      <c r="AI146" s="5"/>
      <c r="AJ146" s="138">
        <v>63</v>
      </c>
      <c r="AK146" s="152" t="str">
        <f>IF(ISNUMBER( SnapshotTable[[#This Row],[EBF Target]]),(SnapshotTable[[#This Row],[EBF Target]] - SnapshotTable[[#This Row],[Last Price]]) / SnapshotTable[[#This Row],[Last Price]], "")</f>
        <v/>
      </c>
      <c r="AL146" s="152"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2">
        <f>IF(AND(ISNUMBER( SnapshotTable[[#This Row],[Long Term Target]]), ISNUMBER(SnapshotTable[[#This Row],[Last Price]])),(SnapshotTable[[#This Row],[Long Term Target]] - SnapshotTable[[#This Row],[Last Price]]) / SnapshotTable[[#This Row],[Last Price]], "")</f>
        <v>-0.43795164599875103</v>
      </c>
      <c r="AP146" s="5"/>
      <c r="AQ146" s="38"/>
      <c r="AR146" s="5"/>
      <c r="AS146" s="38"/>
      <c r="AT146" s="146"/>
      <c r="AU146" s="187" t="str">
        <f>IF(OR(SnapshotTable[[#This Row],[LP No Fill]]="Y",SnapshotTable[[#This Row],[SP Is Filled]],SnapshotTable[[#This Row],[LC Not Filled]]="Y",SnapshotTable[[#This Row],[SC Is Filled]]),"Y","")</f>
        <v/>
      </c>
      <c r="AV146" s="219"/>
      <c r="AW146" s="225"/>
      <c r="AX146" s="220"/>
      <c r="AY146" s="219" t="str">
        <f>IF(SnapshotTable[[#This Row],[Implied Move]]&gt;0, SnapshotTable[[#This Row],[Last Price]]-SnapshotTable[[#This Row],[Implied Move]],"")</f>
        <v/>
      </c>
      <c r="AZ146" s="219" t="str">
        <f>IF(SnapshotTable[[#This Row],[Implied Move]]&gt;0, SnapshotTable[[#This Row],[Last Price]] + SnapshotTable[[#This Row],[Implied Move]],"")</f>
        <v/>
      </c>
      <c r="BA146" s="331"/>
      <c r="BB146" s="347"/>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51"/>
      <c r="BE146" s="5"/>
      <c r="BF146" s="14"/>
      <c r="BG146" s="13"/>
      <c r="BH146" s="13"/>
      <c r="BI146" s="5"/>
      <c r="BJ146" s="136">
        <f>IF(SnapshotTable[[#This Row],[LP Qty]] &gt; 0, SnapshotTable[[#This Row],[LP Qty]] * SnapshotTable[[#This Row],[LP Book Price]] * 100,0)</f>
        <v>0</v>
      </c>
      <c r="BK146" s="136">
        <f>IF(SnapshotTable[[#This Row],[LP Premium]] &gt; 0, SnapshotTable[[#This Row],[LP Qty]] * SnapshotTable[[#This Row],[LP Strike Price]] * 100,0)</f>
        <v>0</v>
      </c>
      <c r="BL146" s="154"/>
      <c r="BM146" s="385" t="str">
        <f>IF(SnapshotTable[[#This Row],[LP Premium]] &gt; 0,SnapshotTable[[#This Row],[LP Exp Date]]-MAX(SnapshotTable[[#This Row],[LP Book Date]], SnapshotTable[[#This Row],[LP Fill Date]]),"")</f>
        <v/>
      </c>
      <c r="BN146" s="385" t="str">
        <f>IF(ISNUMBER( SnapshotTable[[#This Row],[LP Term]]), SnapshotTable[[#This Row],[LP Exp Date]] - MockToday,"")</f>
        <v/>
      </c>
      <c r="BO146" s="163"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7"/>
      <c r="BU146" s="13"/>
      <c r="BV146" s="5"/>
      <c r="BW146" s="419" t="b">
        <f>AND(ISNUMBER(SnapshotTable[[#This Row],[SP Exp Date]]), ISNUMBER(SnapshotTable[[#This Row],[SP Strike Price]]), ISNUMBER(SnapshotTable[[#This Row],[SP Qty]]), ISNUMBER(SnapshotTable[[#This Row],[SP Book Date]]), ISNUMBER(SnapshotTable[[#This Row],[SP Book Price]]))</f>
        <v>0</v>
      </c>
      <c r="BX146" s="419" t="b">
        <f>AND(SnapshotTable[[#This Row],[SP Is Booked]], NOT(ISBLANK(SnapshotTable[[#This Row],[SP Fill Date]])))</f>
        <v>0</v>
      </c>
      <c r="BY146" s="33">
        <f>IF(SnapshotTable[[#This Row],[SP Is Booked]], SnapshotTable[[#This Row],[SP Qty]] * SnapshotTable[[#This Row],[SP Book Price]] * 100, 0)</f>
        <v>0</v>
      </c>
      <c r="BZ146" s="369"/>
      <c r="CA146" s="368">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3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44"/>
      <c r="CK146" s="31">
        <f>IF(ISNUMBER(SnapshotTable[[#This Row],[SP Potential Spend]]),IF(ISNUMBER(SnapshotTable[[#This Row],[SP POW]]), SnapshotTable[[#This Row],[SP POW]] * SnapshotTable[[#This Row],[SP Potential Spend]], SnapshotTable[[#This Row],[SP Potential Spend]]), "")</f>
        <v>0</v>
      </c>
      <c r="CL146" s="164">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8"/>
      <c r="CO146" s="369"/>
      <c r="CP146" s="4" t="str">
        <f>IF(SnapshotTable[[#This Row],[SP Is Filled]], btc_max_buyback_amount(SnapshotTable[[#This Row],[SP Fill Date]],SnapshotTable[[#This Row],[SP Exp Date]], SnapshotTable[[#This Row],[SP Book Price]]),"")</f>
        <v/>
      </c>
      <c r="CQ146" s="78"/>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5" t="str">
        <f>IF(SnapshotTable[[#This Row],[SP Is Filled]], btc_next_cutoff_date(SnapshotTable[[#This Row],[SP Fill Date]],SnapshotTable[[#This Row],[SP Exp Date]]),"")</f>
        <v/>
      </c>
      <c r="CT146" s="23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3"/>
      <c r="CV146" s="235"/>
      <c r="CW146" s="378"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294" t="str">
        <f>IF(ISNUMBER((SnapshotTable[[#This Row],[SP Total Value]])), SnapshotTable[[#This Row],[SP Gain Loss]] / SnapshotTable[[#This Row],[SP Premium]], "")</f>
        <v/>
      </c>
      <c r="DI146" s="406"/>
      <c r="DJ146" s="138"/>
      <c r="DK146" s="148"/>
      <c r="DL146" s="13"/>
      <c r="DM146" s="13"/>
      <c r="DO146" s="31">
        <f>IF(SnapshotTable[[#This Row],[LC Symbol Count]]=1, SnapshotTable[[#This Row],[LC Qty]] * SnapshotTable[[#This Row],[LC Book Price]] * 100, 0)</f>
        <v>0</v>
      </c>
      <c r="DP146" s="163" t="str">
        <f>IF(AND(SnapshotTable[[#This Row],[LC Exp Date]]&gt;0, SnapshotTable[[#This Row],[LC Strike Price]]&gt;0,SnapshotTable[[#This Row],[LC Qty]]&gt;0,SnapshotTable[[#This Row],[LC Book Date]]&gt;0,SnapshotTable[[#This Row],[LC Book Price]]&gt;0,SnapshotTable[[#This Row],[LC Fill Date]]=0),"Y","")</f>
        <v/>
      </c>
      <c r="DQ146" s="386" t="str">
        <f>IF(SnapshotTable[[#This Row],[LC Premium]] &gt; 0,SnapshotTable[[#This Row],[LC Exp Date]]-MAX(SnapshotTable[[#This Row],[LC Book Date]], SnapshotTable[[#This Row],[LC Fill Date]]),"")</f>
        <v/>
      </c>
      <c r="DR146" s="386" t="str">
        <f>IF(ISNUMBER(SnapshotTable[[#This Row],[LC Term]]), SnapshotTable[[#This Row],[LC Exp Date]] - MockToday, "")</f>
        <v/>
      </c>
      <c r="DS146" s="23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40" t="str">
        <f>IF(ISNUMBER(SnapshotTable[[#This Row],[LC Actual Gain Loss]]), SnapshotTable[[#This Row],[LC Actual Gain Loss]] / SnapshotTable[[#This Row],[LC Premium]],"")</f>
        <v/>
      </c>
      <c r="DX146" s="284" t="str">
        <f>IF(ISNUMBER(SnapshotTable[[#This Row],[LC Book Price]]),SnapshotTable[[#This Row],[LC Book Price]] * 1.5,"")</f>
        <v/>
      </c>
      <c r="DY146" s="265" t="str">
        <f>IF(SnapshotTable[[#This Row],[LC Premium]]&gt;0, SnapshotTable[[#This Row],[LC Next Target]] * SnapshotTable[[#This Row],[LC Qty]] * 100,"")</f>
        <v/>
      </c>
      <c r="DZ146" s="265" t="str">
        <f>IF(ISNUMBER(SnapshotTable[[#This Row],[LC Target Gross]]), SnapshotTable[[#This Row],[LC Target Gross]] - SnapshotTable[[#This Row],[LC Premium]], "")</f>
        <v/>
      </c>
      <c r="EA146" s="305" t="str">
        <f>IF(ISNUMBER(SnapshotTable[[#This Row],[LC Target Gain Loss]]), SnapshotTable[[#This Row],[LC Target Gain Loss]]/SnapshotTable[[#This Row],[LC Premium]], "")</f>
        <v/>
      </c>
      <c r="EB146" s="262"/>
      <c r="EC146" s="283" t="str">
        <f>IF(SnapshotTable[[#This Row],[LC Premium]]&gt;0, SnapshotTable[[#This Row],[LC Book Price]] * (1 - LC_StopLoss_Pct),"")</f>
        <v/>
      </c>
      <c r="ED146" s="284"/>
      <c r="EE146" s="28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4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7"/>
      <c r="EL146" s="138"/>
      <c r="EM146" s="148"/>
      <c r="EN146" s="147"/>
      <c r="EO146" s="147"/>
      <c r="EP146" s="138"/>
      <c r="EQ146" s="419" t="b">
        <f>AND(ISNUMBER(SnapshotTable[[#This Row],[SC Exp Date]]), ISNUMBER(SnapshotTable[[#This Row],[SC Strike Price]]), ISNUMBER(SnapshotTable[[#This Row],[SC Qty]]), ISNUMBER(SnapshotTable[[#This Row],[SC Book Date]]), ISNUMBER(SnapshotTable[[#This Row],[SC Book Price]]))</f>
        <v>0</v>
      </c>
      <c r="ER146" s="419" t="b">
        <f>AND(SnapshotTable[[#This Row],[SC Is Booked]], NOT(ISBLANK(SnapshotTable[[#This Row],[SC Fill Date]])))</f>
        <v>0</v>
      </c>
      <c r="ES146" s="370"/>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3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283"/>
      <c r="FA146" s="218"/>
      <c r="FB146" s="370"/>
      <c r="FC146" s="4">
        <f>IF(SnapshotTable[[#This Row],[SC Is Filled]], btc_max_buyback_amount(SnapshotTable[[#This Row],[SC Fill Date]],SnapshotTable[[#This Row],[SC Exp Date]], SnapshotTable[[#This Row],[SC Book Price]]),0)</f>
        <v>0</v>
      </c>
      <c r="FD146" s="5"/>
      <c r="FE146" s="144"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382">
        <f>IF(SnapshotTable[[#This Row],[SC Is Filled]], IF(ISNUMBER(SnapshotTable[[#This Row],[SC Current Ask]]), SnapshotTable[[#This Row],[SC Current Ask]], SnapshotTable[[#This Row],[SC Book Price]]) - SnapshotTable[[#This Row],[SC Intrinsic Value]], 0)</f>
        <v>0</v>
      </c>
      <c r="FI146" s="143"/>
      <c r="FJ146" s="32" t="str">
        <f>IF(SnapshotTable[[#This Row],[SC Is Filled]],100 * SnapshotTable[[#This Row],[SC Qty]] * IF(ISNUMBER(SnapshotTable[[#This Row],[SC Buyback Override]]), SnapshotTable[[#This Row],[SC Buyback Override]], SnapshotTable[[#This Row],[SC Current Ask]]), "")</f>
        <v/>
      </c>
      <c r="FK146" s="250" t="str">
        <f>IF(SnapshotTable[[#This Row],[SC Time Val]]&gt;0, SnapshotTable[[#This Row],[SC Time Val]] / SnapshotTable[[#This Row],[Last Price]],"")</f>
        <v/>
      </c>
      <c r="FL146" s="302" t="str">
        <f>IF(SnapshotTable[[#This Row],[SC Is Booked]], ((SnapshotTable[[#This Row],[Last Price]] -SnapshotTable[[#This Row],[SC Strike Price]]) / SnapshotTable[[#This Row],[Last Price]]) * -1, "")</f>
        <v/>
      </c>
      <c r="FM146" s="157"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33"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36" t="str">
        <f>IF(AND(ISNUMBER(SnapshotTable[[#This Row],[SC Simple ROO]]),SnapshotTable[[#This Row],[SC Simple ROO]] &gt; 0), SnapshotTable[[#This Row],[SC Premium]] + (SnapshotTable[[#This Row],[SC Qty]] * SnapshotTable[[#This Row],[SC Upside Potential]]), "")</f>
        <v/>
      </c>
      <c r="FX146" s="302" t="str" cm="1">
        <f t="array" ref="FX146">IF(ISNUMBER(SnapshotTable[[#This Row],[SC Max Dollars]]), annualize(SnapshotTable[[#This Row],[SC Term]],(SnapshotTable[[#This Row],[SC Max Dollars]]/SnapshotTable[[#This Row],[SC Basis]])),"")</f>
        <v/>
      </c>
      <c r="FY146" s="23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29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218.57550000000001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693</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31">
        <f>MAX(SnapshotTable[[#This Row],[Equity Basis Total]],SnapshotTable[[#This Row],[Equity Value]]) + (SnapshotTable[[#This Row],[SP Potential Spend]]- SnapshotTable[[#This Row],[SP Premium]] + SnapshotTable[[#This Row],[LP Premium]])+ (SnapshotTable[[#This Row],[LC Premium]] - SnapshotTable[[#This Row],[SC Premium]])</f>
        <v>0</v>
      </c>
      <c r="GW146" s="139" t="str">
        <f>IF(AND(SnapshotTable[[#This Row],[Exposure]] &lt;&gt; 0),SnapshotTable[[#This Row],[Exposure]] / SnapshotTable[[#Totals],[Exposure]], "")</f>
        <v/>
      </c>
      <c r="HE146" s="268"/>
      <c r="HF146" s="268"/>
      <c r="HK146" s="1"/>
      <c r="HL146" s="1"/>
      <c r="HM146" s="1"/>
      <c r="HN146" s="1"/>
      <c r="HO146" s="1"/>
      <c r="HP146" s="1"/>
    </row>
    <row r="147" spans="2:224" ht="12.75" hidden="1" customHeight="1" x14ac:dyDescent="0.25">
      <c r="B147" s="12" t="s">
        <v>1036</v>
      </c>
      <c r="C147" s="422">
        <v>30.81</v>
      </c>
      <c r="D147" s="208" t="s">
        <v>578</v>
      </c>
      <c r="E147" s="39">
        <f>SnapshotTable[[#This Row],[Last Price]]*(1 -CrashDiscount)</f>
        <v>26.188499999999998</v>
      </c>
      <c r="F147" s="26" t="s">
        <v>1034</v>
      </c>
      <c r="G147" s="26" t="s">
        <v>872</v>
      </c>
      <c r="H147" s="149"/>
      <c r="I147" s="194">
        <v>44777.708333333336</v>
      </c>
      <c r="J147" s="195">
        <v>44777.708333333336</v>
      </c>
      <c r="K147" s="196"/>
      <c r="L147" s="327"/>
      <c r="M147" s="140"/>
      <c r="N147" s="140"/>
      <c r="O147" s="140"/>
      <c r="P147" s="22"/>
      <c r="Q147" s="25"/>
      <c r="R147" s="4" t="str">
        <f>IF(SnapshotTable[[#This Row],[Equity Basis Total]] &gt; 0, SnapshotTable[[#This Row],[Equity Basis Total]] / SnapshotTable[[#This Row],[Equity Shares]], "")</f>
        <v/>
      </c>
      <c r="S147" s="329">
        <f>SnapshotTable[[#This Row],[Last Price]] * SnapshotTable[[#This Row],[Equity Shares]]</f>
        <v>0</v>
      </c>
      <c r="T147" s="269">
        <f>SnapshotTable[[#This Row],[Equity Value]] - SnapshotTable[[#This Row],[Equity Basis Total]]</f>
        <v>0</v>
      </c>
      <c r="U147" s="270" t="str">
        <f>IF(SnapshotTable[[#This Row],[Equity Basis Total]] &gt; 0, SnapshotTable[[#This Row],[Equity G/L]] / SnapshotTable[[#This Row],[Equity Basis Total]], "")</f>
        <v/>
      </c>
      <c r="V147" s="268">
        <v>75</v>
      </c>
      <c r="W147" s="26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7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0"/>
      <c r="AD147" s="151"/>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1"/>
      <c r="AI147" s="330"/>
      <c r="AJ147" s="138">
        <v>78.099999999999994</v>
      </c>
      <c r="AK147" s="152" t="str">
        <f>IF(ISNUMBER( SnapshotTable[[#This Row],[EBF Target]]),(SnapshotTable[[#This Row],[EBF Target]] - SnapshotTable[[#This Row],[Last Price]]) / SnapshotTable[[#This Row],[Last Price]], "")</f>
        <v/>
      </c>
      <c r="AL147" s="152"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2">
        <f>IF(AND(ISNUMBER( SnapshotTable[[#This Row],[Long Term Target]]), ISNUMBER(SnapshotTable[[#This Row],[Last Price]])),(SnapshotTable[[#This Row],[Long Term Target]] - SnapshotTable[[#This Row],[Last Price]]) / SnapshotTable[[#This Row],[Last Price]], "")</f>
        <v>1.5348912690684842</v>
      </c>
      <c r="AP147" s="5"/>
      <c r="AQ147" s="38"/>
      <c r="AR147" s="5"/>
      <c r="AS147" s="38"/>
      <c r="AT147" s="146"/>
      <c r="AU147" s="187" t="str">
        <f>IF(OR(SnapshotTable[[#This Row],[LP No Fill]]="Y",SnapshotTable[[#This Row],[SP Is Filled]],SnapshotTable[[#This Row],[LC Not Filled]]="Y",SnapshotTable[[#This Row],[SC Is Filled]]),"Y","")</f>
        <v/>
      </c>
      <c r="AV147" s="338"/>
      <c r="AW147" s="339"/>
      <c r="AX147" s="220"/>
      <c r="AY147" s="219" t="str">
        <f>IF(SnapshotTable[[#This Row],[Implied Move]]&gt;0, SnapshotTable[[#This Row],[Last Price]]-SnapshotTable[[#This Row],[Implied Move]],"")</f>
        <v/>
      </c>
      <c r="AZ147" s="219" t="str">
        <f>IF(SnapshotTable[[#This Row],[Implied Move]]&gt;0, SnapshotTable[[#This Row],[Last Price]] + SnapshotTable[[#This Row],[Implied Move]],"")</f>
        <v/>
      </c>
      <c r="BA147" s="331">
        <v>66.23</v>
      </c>
      <c r="BB147" s="347"/>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51"/>
      <c r="BE147" s="138"/>
      <c r="BF147" s="166"/>
      <c r="BG147" s="167"/>
      <c r="BH147" s="167"/>
      <c r="BI147" s="221"/>
      <c r="BJ147" s="153">
        <f>IF(SnapshotTable[[#This Row],[LP Qty]] &gt; 0, SnapshotTable[[#This Row],[LP Qty]] * SnapshotTable[[#This Row],[LP Book Price]] * 100,0)</f>
        <v>0</v>
      </c>
      <c r="BK147" s="136">
        <f>IF(SnapshotTable[[#This Row],[LP Premium]] &gt; 0, SnapshotTable[[#This Row],[LP Qty]] * SnapshotTable[[#This Row],[LP Strike Price]] * 100,0)</f>
        <v>0</v>
      </c>
      <c r="BL147" s="154"/>
      <c r="BM147" s="385" t="str">
        <f>IF(SnapshotTable[[#This Row],[LP Premium]] &gt; 0,SnapshotTable[[#This Row],[LP Exp Date]]-MAX(SnapshotTable[[#This Row],[LP Book Date]], SnapshotTable[[#This Row],[LP Fill Date]]),"")</f>
        <v/>
      </c>
      <c r="BN147" s="385" t="str">
        <f>IF(ISNUMBER( SnapshotTable[[#This Row],[LP Term]]), SnapshotTable[[#This Row],[LP Exp Date]] - MockToday,"")</f>
        <v/>
      </c>
      <c r="BO147" s="163"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7"/>
      <c r="BU147" s="13"/>
      <c r="BV147" s="5"/>
      <c r="BW147" s="419" t="b">
        <f>AND(ISNUMBER(SnapshotTable[[#This Row],[SP Exp Date]]), ISNUMBER(SnapshotTable[[#This Row],[SP Strike Price]]), ISNUMBER(SnapshotTable[[#This Row],[SP Qty]]), ISNUMBER(SnapshotTable[[#This Row],[SP Book Date]]), ISNUMBER(SnapshotTable[[#This Row],[SP Book Price]]))</f>
        <v>0</v>
      </c>
      <c r="BX147" s="419" t="b">
        <f>AND(SnapshotTable[[#This Row],[SP Is Booked]], NOT(ISBLANK(SnapshotTable[[#This Row],[SP Fill Date]])))</f>
        <v>0</v>
      </c>
      <c r="BY147" s="33">
        <f>IF(SnapshotTable[[#This Row],[SP Is Booked]], SnapshotTable[[#This Row],[SP Qty]] * SnapshotTable[[#This Row],[SP Book Price]] * 100, 0)</f>
        <v>0</v>
      </c>
      <c r="BZ147" s="369"/>
      <c r="CA147" s="368">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3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44"/>
      <c r="CK147" s="31">
        <f>IF(ISNUMBER(SnapshotTable[[#This Row],[SP Potential Spend]]),IF(ISNUMBER(SnapshotTable[[#This Row],[SP POW]]), SnapshotTable[[#This Row],[SP POW]] * SnapshotTable[[#This Row],[SP Potential Spend]], SnapshotTable[[#This Row],[SP Potential Spend]]), "")</f>
        <v>0</v>
      </c>
      <c r="CL147" s="164">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4"/>
      <c r="CO147" s="369"/>
      <c r="CP147" s="320" t="str">
        <f>IF(SnapshotTable[[#This Row],[SP Is Filled]], btc_max_buyback_amount(SnapshotTable[[#This Row],[SP Fill Date]],SnapshotTable[[#This Row],[SP Exp Date]], SnapshotTable[[#This Row],[SP Book Price]]),"")</f>
        <v/>
      </c>
      <c r="CQ147" s="78"/>
      <c r="CR147"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5" t="str">
        <f>IF(SnapshotTable[[#This Row],[SP Is Filled]], btc_next_cutoff_date(SnapshotTable[[#This Row],[SP Fill Date]],SnapshotTable[[#This Row],[SP Exp Date]]),"")</f>
        <v/>
      </c>
      <c r="CT147" s="23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6"/>
      <c r="CV147" s="235"/>
      <c r="CW147" s="378"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294" t="str">
        <f>IF(ISNUMBER((SnapshotTable[[#This Row],[SP Total Value]])), SnapshotTable[[#This Row],[SP Gain Loss]] / SnapshotTable[[#This Row],[SP Premium]], "")</f>
        <v/>
      </c>
      <c r="DI147" s="406"/>
      <c r="DJ147" s="138"/>
      <c r="DK147" s="148"/>
      <c r="DL147" s="147"/>
      <c r="DM147" s="147"/>
      <c r="DO147" s="31">
        <f>IF(SnapshotTable[[#This Row],[LC Symbol Count]]=1, SnapshotTable[[#This Row],[LC Qty]] * SnapshotTable[[#This Row],[LC Book Price]] * 100, 0)</f>
        <v>0</v>
      </c>
      <c r="DP147" s="289" t="str">
        <f>IF(AND(SnapshotTable[[#This Row],[LC Exp Date]]&gt;0, SnapshotTable[[#This Row],[LC Strike Price]]&gt;0,SnapshotTable[[#This Row],[LC Qty]]&gt;0,SnapshotTable[[#This Row],[LC Book Date]]&gt;0,SnapshotTable[[#This Row],[LC Book Price]]&gt;0,SnapshotTable[[#This Row],[LC Fill Date]]=0),"Y","")</f>
        <v/>
      </c>
      <c r="DQ147" s="386" t="str">
        <f>IF(SnapshotTable[[#This Row],[LC Premium]] &gt; 0,SnapshotTable[[#This Row],[LC Exp Date]]-MAX(SnapshotTable[[#This Row],[LC Book Date]], SnapshotTable[[#This Row],[LC Fill Date]]),"")</f>
        <v/>
      </c>
      <c r="DR147" s="386" t="str">
        <f>IF(ISNUMBER(SnapshotTable[[#This Row],[LC Term]]), SnapshotTable[[#This Row],[LC Exp Date]] - MockToday, "")</f>
        <v/>
      </c>
      <c r="DS147" s="23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40" t="str">
        <f>IF(ISNUMBER(SnapshotTable[[#This Row],[LC Actual Gain Loss]]), SnapshotTable[[#This Row],[LC Actual Gain Loss]] / SnapshotTable[[#This Row],[LC Premium]],"")</f>
        <v/>
      </c>
      <c r="DX147" s="284" t="str">
        <f>IF(ISNUMBER(SnapshotTable[[#This Row],[LC Book Price]]),SnapshotTable[[#This Row],[LC Book Price]] * 1.5,"")</f>
        <v/>
      </c>
      <c r="DY147" s="265" t="str">
        <f>IF(SnapshotTable[[#This Row],[LC Premium]]&gt;0, SnapshotTable[[#This Row],[LC Next Target]] * SnapshotTable[[#This Row],[LC Qty]] * 100,"")</f>
        <v/>
      </c>
      <c r="DZ147" s="265" t="str">
        <f>IF(ISNUMBER(SnapshotTable[[#This Row],[LC Target Gross]]), SnapshotTable[[#This Row],[LC Target Gross]] - SnapshotTable[[#This Row],[LC Premium]], "")</f>
        <v/>
      </c>
      <c r="EA147" s="305" t="str">
        <f>IF(ISNUMBER(SnapshotTable[[#This Row],[LC Target Gain Loss]]), SnapshotTable[[#This Row],[LC Target Gain Loss]]/SnapshotTable[[#This Row],[LC Premium]], "")</f>
        <v/>
      </c>
      <c r="EB147" s="262"/>
      <c r="EC147" s="290" t="str">
        <f>IF(SnapshotTable[[#This Row],[LC Premium]]&gt;0, SnapshotTable[[#This Row],[LC Book Price]] * (1 - LC_StopLoss_Pct),"")</f>
        <v/>
      </c>
      <c r="ED147" s="284"/>
      <c r="EE147" s="290" t="str">
        <f>IF(ISNUMBER(SnapshotTable[[#This Row],[LC Contract Value]]),IF(ISNUMBER(SnapshotTable[[#This Row],[LC Stop Loss Override]]), SnapshotTable[[#This Row],[LC Stop Loss Override]],SnapshotTable[[#This Row],[LC Stop Loss Calc Target]]),"")</f>
        <v/>
      </c>
      <c r="EF147" s="321"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4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7"/>
      <c r="EL147" s="138"/>
      <c r="EM147" s="148"/>
      <c r="EN147" s="147"/>
      <c r="EO147" s="147"/>
      <c r="EP147" s="138"/>
      <c r="EQ147" s="419" t="b">
        <f>AND(ISNUMBER(SnapshotTable[[#This Row],[SC Exp Date]]), ISNUMBER(SnapshotTable[[#This Row],[SC Strike Price]]), ISNUMBER(SnapshotTable[[#This Row],[SC Qty]]), ISNUMBER(SnapshotTable[[#This Row],[SC Book Date]]), ISNUMBER(SnapshotTable[[#This Row],[SC Book Price]]))</f>
        <v>0</v>
      </c>
      <c r="ER147" s="419" t="b">
        <f>AND(SnapshotTable[[#This Row],[SC Is Booked]], NOT(ISBLANK(SnapshotTable[[#This Row],[SC Fill Date]])))</f>
        <v>0</v>
      </c>
      <c r="ES147" s="370"/>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3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283"/>
      <c r="FA147" s="218"/>
      <c r="FB147" s="370"/>
      <c r="FC147" s="4">
        <f>IF(SnapshotTable[[#This Row],[SC Is Filled]], btc_max_buyback_amount(SnapshotTable[[#This Row],[SC Fill Date]],SnapshotTable[[#This Row],[SC Exp Date]], SnapshotTable[[#This Row],[SC Book Price]]),0)</f>
        <v>0</v>
      </c>
      <c r="FD147" s="5"/>
      <c r="FE147" s="144"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382">
        <f>IF(SnapshotTable[[#This Row],[SC Is Filled]], IF(ISNUMBER(SnapshotTable[[#This Row],[SC Current Ask]]), SnapshotTable[[#This Row],[SC Current Ask]], SnapshotTable[[#This Row],[SC Book Price]]) - SnapshotTable[[#This Row],[SC Intrinsic Value]], 0)</f>
        <v>0</v>
      </c>
      <c r="FI147" s="143"/>
      <c r="FJ147" s="32" t="str">
        <f>IF(SnapshotTable[[#This Row],[SC Is Filled]],100 * SnapshotTable[[#This Row],[SC Qty]] * IF(ISNUMBER(SnapshotTable[[#This Row],[SC Buyback Override]]), SnapshotTable[[#This Row],[SC Buyback Override]], SnapshotTable[[#This Row],[SC Current Ask]]), "")</f>
        <v/>
      </c>
      <c r="FK147" s="250" t="str">
        <f>IF(SnapshotTable[[#This Row],[SC Time Val]]&gt;0, SnapshotTable[[#This Row],[SC Time Val]] / SnapshotTable[[#This Row],[Last Price]],"")</f>
        <v/>
      </c>
      <c r="FL147" s="302" t="str">
        <f>IF(SnapshotTable[[#This Row],[SC Is Booked]], ((SnapshotTable[[#This Row],[Last Price]] -SnapshotTable[[#This Row],[SC Strike Price]]) / SnapshotTable[[#This Row],[Last Price]]) * -1, "")</f>
        <v/>
      </c>
      <c r="FM147" s="157" t="str">
        <f>IF(SnapshotTable[[#This Row],[SC Is Booked]],  (SnapshotTable[[#This Row],[SC Qty]] * 100 * SnapshotTable[[#This Row],[SC Strike Price]]) - SnapshotTable[[#This Row],[SC Current Ask]], "")</f>
        <v/>
      </c>
      <c r="FN14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7"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33"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36" t="str">
        <f>IF(AND(ISNUMBER(SnapshotTable[[#This Row],[SC Simple ROO]]),SnapshotTable[[#This Row],[SC Simple ROO]] &gt; 0), SnapshotTable[[#This Row],[SC Premium]] + (SnapshotTable[[#This Row],[SC Qty]] * SnapshotTable[[#This Row],[SC Upside Potential]]), "")</f>
        <v/>
      </c>
      <c r="FX147" s="302" t="str" cm="1">
        <f t="array" ref="FX147">IF(ISNUMBER(SnapshotTable[[#This Row],[SC Max Dollars]]), annualize(SnapshotTable[[#This Row],[SC Term]],(SnapshotTable[[#This Row],[SC Max Dollars]]/SnapshotTable[[#This Row],[SC Basis]])),"")</f>
        <v/>
      </c>
      <c r="FY147" s="236" t="str">
        <f>IF(AND(SnapshotTable[[#This Row],[SC Qty]]&gt;0,SnapshotTable[[#This Row],[SC Current Ask]]&gt;0), SnapshotTable[[#This Row],[SC Qty]] * SnapshotTable[[#This Row],[SC Current Ask]] * -100, "")</f>
        <v/>
      </c>
      <c r="FZ147" s="235" t="str">
        <f>IF(ISNUMBER((SnapshotTable[[#This Row],[SC Current Value]])), SnapshotTable[[#This Row],[SC Premium]] + SnapshotTable[[#This Row],[SC Current Value]], "")</f>
        <v/>
      </c>
      <c r="GA147" s="29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60.079499999999996</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8" t="str">
        <f>IF(SnapshotTable[[#This Row],[Sale G/L]]&gt;0, SnapshotTable[[#This Row],[Sale G/L]] / SnapshotTable[[#This Row],[Sale Basis]], IF(ISNUMBER(SnapshotTable[[#This Row],[SC Exercise P&amp;L (TAX)]]), SnapshotTable[[#This Row],[SC Exercise P&amp;L (TAX)]] / SnapshotTable[[#This Row],[SC Basis]], ""))</f>
        <v/>
      </c>
      <c r="GK147" s="27"/>
      <c r="GL147" s="159"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59" t="str">
        <f>IF(AND(SnapshotTable[[#This Row],[LC Exp Date]]&gt;0,SnapshotTable[[#This Row],[LC Strike Price]]&gt;0), [1]!ToOptionSymbol(SnapshotTable[[#This Row],[Symbol]], SnapshotTable[[#This Row],[LC Strike Price]],SnapshotTable[[#This Row],[LC Exp Date]],0), "")</f>
        <v/>
      </c>
      <c r="GQ147" s="160" t="str">
        <f>IF(LEN(SnapshotTable[[#This Row],[LC Symbol]])&gt;0, 1, "")</f>
        <v/>
      </c>
      <c r="GR147" s="159" t="str">
        <f>IF(AND(SnapshotTable[[#This Row],[SC Exp Date]]&gt;0,SnapshotTable[[#This Row],[SC Strike Price]]&gt;0), [1]!ToOptionSymbol(SnapshotTable[[#This Row],[Symbol]], SnapshotTable[[#This Row],[SC Strike Price]],SnapshotTable[[#This Row],[SC Exp Date]],0), "")</f>
        <v/>
      </c>
      <c r="GS147" s="160" t="str">
        <f>IF(LEN(SnapshotTable[[#This Row],[SC Symbol]])&gt;0, 1, "")</f>
        <v/>
      </c>
      <c r="GT147" s="161"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31">
        <f>MAX(SnapshotTable[[#This Row],[Equity Basis Total]],SnapshotTable[[#This Row],[Equity Value]]) + (SnapshotTable[[#This Row],[SP Potential Spend]]- SnapshotTable[[#This Row],[SP Premium]] + SnapshotTable[[#This Row],[LP Premium]])+ (SnapshotTable[[#This Row],[LC Premium]] - SnapshotTable[[#This Row],[SC Premium]])</f>
        <v>0</v>
      </c>
      <c r="GW147" s="139" t="str">
        <f>IF(AND(SnapshotTable[[#This Row],[Exposure]] &lt;&gt; 0),SnapshotTable[[#This Row],[Exposure]] / SnapshotTable[[#Totals],[Exposure]], "")</f>
        <v/>
      </c>
      <c r="HE147" s="268"/>
      <c r="HF147" s="268"/>
      <c r="HK147" s="1"/>
      <c r="HL147" s="1"/>
      <c r="HM147" s="1"/>
      <c r="HN147" s="1"/>
      <c r="HO147" s="1"/>
      <c r="HP147" s="1"/>
    </row>
    <row r="148" spans="2:224" ht="12.75" hidden="1" customHeight="1" x14ac:dyDescent="0.25">
      <c r="B148" s="12" t="s">
        <v>1154</v>
      </c>
      <c r="C148" s="422">
        <v>32.090000000000003</v>
      </c>
      <c r="D148" s="208"/>
      <c r="E148" s="39">
        <f>SnapshotTable[[#This Row],[Last Price]]*(1 -CrashDiscount)</f>
        <v>27.276500000000002</v>
      </c>
      <c r="F148" s="26" t="s">
        <v>54</v>
      </c>
      <c r="G148" s="325" t="s">
        <v>41</v>
      </c>
      <c r="H148" s="149"/>
      <c r="I148" s="194"/>
      <c r="J148" s="195"/>
      <c r="K148" s="196"/>
      <c r="L148" s="326"/>
      <c r="M148" s="140"/>
      <c r="N148" s="140"/>
      <c r="O148" s="140"/>
      <c r="P148" s="22"/>
      <c r="Q148" s="25"/>
      <c r="R148" s="4" t="str">
        <f>IF(SnapshotTable[[#This Row],[Equity Basis Total]] &gt; 0, SnapshotTable[[#This Row],[Equity Basis Total]] / SnapshotTable[[#This Row],[Equity Shares]], "")</f>
        <v/>
      </c>
      <c r="S148" s="269">
        <f>SnapshotTable[[#This Row],[Last Price]] * SnapshotTable[[#This Row],[Equity Shares]]</f>
        <v>0</v>
      </c>
      <c r="T148" s="269">
        <f>SnapshotTable[[#This Row],[Equity Value]] - SnapshotTable[[#This Row],[Equity Basis Total]]</f>
        <v>0</v>
      </c>
      <c r="U148" s="270" t="str">
        <f>IF(SnapshotTable[[#This Row],[Equity Basis Total]] &gt; 0, SnapshotTable[[#This Row],[Equity G/L]] / SnapshotTable[[#This Row],[Equity Basis Total]], "")</f>
        <v/>
      </c>
      <c r="V148" s="268"/>
      <c r="W148" s="26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7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0"/>
      <c r="AD148" s="151"/>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1"/>
      <c r="AI148" s="5"/>
      <c r="AJ148" s="138"/>
      <c r="AK148" s="152" t="str">
        <f>IF(ISNUMBER( SnapshotTable[[#This Row],[EBF Target]]),(SnapshotTable[[#This Row],[EBF Target]] - SnapshotTable[[#This Row],[Last Price]]) / SnapshotTable[[#This Row],[Last Price]], "")</f>
        <v/>
      </c>
      <c r="AL148" s="152"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2" t="str">
        <f>IF(AND(ISNUMBER( SnapshotTable[[#This Row],[Long Term Target]]), ISNUMBER(SnapshotTable[[#This Row],[Last Price]])),(SnapshotTable[[#This Row],[Long Term Target]] - SnapshotTable[[#This Row],[Last Price]]) / SnapshotTable[[#This Row],[Last Price]], "")</f>
        <v/>
      </c>
      <c r="AP148" s="5"/>
      <c r="AQ148" s="38"/>
      <c r="AR148" s="5"/>
      <c r="AS148" s="38"/>
      <c r="AT148" s="146"/>
      <c r="AU148" s="187" t="str">
        <f>IF(OR(SnapshotTable[[#This Row],[LP No Fill]]="Y",SnapshotTable[[#This Row],[SP Is Filled]],SnapshotTable[[#This Row],[LC Not Filled]]="Y",SnapshotTable[[#This Row],[SC Is Filled]]),"Y","")</f>
        <v/>
      </c>
      <c r="AV148" s="219"/>
      <c r="AW148" s="225"/>
      <c r="AX148" s="220"/>
      <c r="AY148" s="219" t="str">
        <f>IF(SnapshotTable[[#This Row],[Implied Move]]&gt;0, SnapshotTable[[#This Row],[Last Price]]-SnapshotTable[[#This Row],[Implied Move]],"")</f>
        <v/>
      </c>
      <c r="AZ148" s="219" t="str">
        <f>IF(SnapshotTable[[#This Row],[Implied Move]]&gt;0, SnapshotTable[[#This Row],[Last Price]] + SnapshotTable[[#This Row],[Implied Move]],"")</f>
        <v/>
      </c>
      <c r="BA148" s="331">
        <v>12.37</v>
      </c>
      <c r="BB148" s="347"/>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51"/>
      <c r="BE148" s="5"/>
      <c r="BF148" s="14"/>
      <c r="BG148" s="13"/>
      <c r="BH148" s="13"/>
      <c r="BI148" s="5"/>
      <c r="BJ148" s="136">
        <f>IF(SnapshotTable[[#This Row],[LP Qty]] &gt; 0, SnapshotTable[[#This Row],[LP Qty]] * SnapshotTable[[#This Row],[LP Book Price]] * 100,0)</f>
        <v>0</v>
      </c>
      <c r="BK148" s="136">
        <f>IF(SnapshotTable[[#This Row],[LP Premium]] &gt; 0, SnapshotTable[[#This Row],[LP Qty]] * SnapshotTable[[#This Row],[LP Strike Price]] * 100,0)</f>
        <v>0</v>
      </c>
      <c r="BL148" s="154"/>
      <c r="BM148" s="385" t="str">
        <f>IF(SnapshotTable[[#This Row],[LP Premium]] &gt; 0,SnapshotTable[[#This Row],[LP Exp Date]]-MAX(SnapshotTable[[#This Row],[LP Book Date]], SnapshotTable[[#This Row],[LP Fill Date]]),"")</f>
        <v/>
      </c>
      <c r="BN148" s="385" t="str">
        <f>IF(ISNUMBER( SnapshotTable[[#This Row],[LP Term]]), SnapshotTable[[#This Row],[LP Exp Date]] - MockToday,"")</f>
        <v/>
      </c>
      <c r="BO148" s="163"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7"/>
      <c r="BU148" s="13"/>
      <c r="BV148" s="5"/>
      <c r="BW148" s="419" t="b">
        <f>AND(ISNUMBER(SnapshotTable[[#This Row],[SP Exp Date]]), ISNUMBER(SnapshotTable[[#This Row],[SP Strike Price]]), ISNUMBER(SnapshotTable[[#This Row],[SP Qty]]), ISNUMBER(SnapshotTable[[#This Row],[SP Book Date]]), ISNUMBER(SnapshotTable[[#This Row],[SP Book Price]]))</f>
        <v>0</v>
      </c>
      <c r="BX148" s="419" t="b">
        <f>AND(SnapshotTable[[#This Row],[SP Is Booked]], NOT(ISBLANK(SnapshotTable[[#This Row],[SP Fill Date]])))</f>
        <v>0</v>
      </c>
      <c r="BY148" s="33">
        <f>IF(SnapshotTable[[#This Row],[SP Is Booked]], SnapshotTable[[#This Row],[SP Qty]] * SnapshotTable[[#This Row],[SP Book Price]] * 100, 0)</f>
        <v>0</v>
      </c>
      <c r="BZ148" s="369"/>
      <c r="CA148" s="368">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3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44"/>
      <c r="CK148" s="31">
        <f>IF(ISNUMBER(SnapshotTable[[#This Row],[SP Potential Spend]]),IF(ISNUMBER(SnapshotTable[[#This Row],[SP POW]]), SnapshotTable[[#This Row],[SP POW]] * SnapshotTable[[#This Row],[SP Potential Spend]], SnapshotTable[[#This Row],[SP Potential Spend]]), "")</f>
        <v>0</v>
      </c>
      <c r="CL148" s="164">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8"/>
      <c r="CO148" s="369"/>
      <c r="CP148" s="4" t="str">
        <f>IF(SnapshotTable[[#This Row],[SP Is Filled]], btc_max_buyback_amount(SnapshotTable[[#This Row],[SP Fill Date]],SnapshotTable[[#This Row],[SP Exp Date]], SnapshotTable[[#This Row],[SP Book Price]]),"")</f>
        <v/>
      </c>
      <c r="CQ148" s="78"/>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5" t="str">
        <f>IF(SnapshotTable[[#This Row],[SP Is Filled]], btc_next_cutoff_date(SnapshotTable[[#This Row],[SP Fill Date]],SnapshotTable[[#This Row],[SP Exp Date]]),"")</f>
        <v/>
      </c>
      <c r="CT148" s="23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6"/>
      <c r="CV148" s="235"/>
      <c r="CW148" s="378"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294" t="str">
        <f>IF(ISNUMBER((SnapshotTable[[#This Row],[SP Total Value]])), SnapshotTable[[#This Row],[SP Gain Loss]] / SnapshotTable[[#This Row],[SP Premium]], "")</f>
        <v/>
      </c>
      <c r="DI148" s="406"/>
      <c r="DJ148" s="138"/>
      <c r="DK148" s="148"/>
      <c r="DL148" s="13"/>
      <c r="DM148" s="13"/>
      <c r="DO148" s="31">
        <f>IF(SnapshotTable[[#This Row],[LC Symbol Count]]=1, SnapshotTable[[#This Row],[LC Qty]] * SnapshotTable[[#This Row],[LC Book Price]] * 100, 0)</f>
        <v>0</v>
      </c>
      <c r="DP148" s="163" t="str">
        <f>IF(AND(SnapshotTable[[#This Row],[LC Exp Date]]&gt;0, SnapshotTable[[#This Row],[LC Strike Price]]&gt;0,SnapshotTable[[#This Row],[LC Qty]]&gt;0,SnapshotTable[[#This Row],[LC Book Date]]&gt;0,SnapshotTable[[#This Row],[LC Book Price]]&gt;0,SnapshotTable[[#This Row],[LC Fill Date]]=0),"Y","")</f>
        <v/>
      </c>
      <c r="DQ148" s="386" t="str">
        <f>IF(SnapshotTable[[#This Row],[LC Premium]] &gt; 0,SnapshotTable[[#This Row],[LC Exp Date]]-MAX(SnapshotTable[[#This Row],[LC Book Date]], SnapshotTable[[#This Row],[LC Fill Date]]),"")</f>
        <v/>
      </c>
      <c r="DR148" s="386" t="str">
        <f>IF(ISNUMBER(SnapshotTable[[#This Row],[LC Term]]), SnapshotTable[[#This Row],[LC Exp Date]] - MockToday, "")</f>
        <v/>
      </c>
      <c r="DS148" s="23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40" t="str">
        <f>IF(ISNUMBER(SnapshotTable[[#This Row],[LC Actual Gain Loss]]), SnapshotTable[[#This Row],[LC Actual Gain Loss]] / SnapshotTable[[#This Row],[LC Premium]],"")</f>
        <v/>
      </c>
      <c r="DX148" s="284" t="str">
        <f>IF(ISNUMBER(SnapshotTable[[#This Row],[LC Book Price]]),SnapshotTable[[#This Row],[LC Book Price]] * 1.5,"")</f>
        <v/>
      </c>
      <c r="DY148" s="265" t="str">
        <f>IF(SnapshotTable[[#This Row],[LC Premium]]&gt;0, SnapshotTable[[#This Row],[LC Next Target]] * SnapshotTable[[#This Row],[LC Qty]] * 100,"")</f>
        <v/>
      </c>
      <c r="DZ148" s="265" t="str">
        <f>IF(ISNUMBER(SnapshotTable[[#This Row],[LC Target Gross]]), SnapshotTable[[#This Row],[LC Target Gross]] - SnapshotTable[[#This Row],[LC Premium]], "")</f>
        <v/>
      </c>
      <c r="EA148" s="305" t="str">
        <f>IF(ISNUMBER(SnapshotTable[[#This Row],[LC Target Gain Loss]]), SnapshotTable[[#This Row],[LC Target Gain Loss]]/SnapshotTable[[#This Row],[LC Premium]], "")</f>
        <v/>
      </c>
      <c r="EB148" s="262"/>
      <c r="EC148" s="283" t="str">
        <f>IF(SnapshotTable[[#This Row],[LC Premium]]&gt;0, SnapshotTable[[#This Row],[LC Book Price]] * (1 - LC_StopLoss_Pct),"")</f>
        <v/>
      </c>
      <c r="ED148" s="284"/>
      <c r="EE148" s="28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4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7"/>
      <c r="EL148" s="138"/>
      <c r="EM148" s="148"/>
      <c r="EN148" s="147"/>
      <c r="EO148" s="147"/>
      <c r="EP148" s="138"/>
      <c r="EQ148" s="419" t="b">
        <f>AND(ISNUMBER(SnapshotTable[[#This Row],[SC Exp Date]]), ISNUMBER(SnapshotTable[[#This Row],[SC Strike Price]]), ISNUMBER(SnapshotTable[[#This Row],[SC Qty]]), ISNUMBER(SnapshotTable[[#This Row],[SC Book Date]]), ISNUMBER(SnapshotTable[[#This Row],[SC Book Price]]))</f>
        <v>0</v>
      </c>
      <c r="ER148" s="419" t="b">
        <f>AND(SnapshotTable[[#This Row],[SC Is Booked]], NOT(ISBLANK(SnapshotTable[[#This Row],[SC Fill Date]])))</f>
        <v>0</v>
      </c>
      <c r="ES148" s="370"/>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3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283"/>
      <c r="FA148" s="218"/>
      <c r="FB148" s="370"/>
      <c r="FC148" s="4">
        <f>IF(SnapshotTable[[#This Row],[SC Is Filled]], btc_max_buyback_amount(SnapshotTable[[#This Row],[SC Fill Date]],SnapshotTable[[#This Row],[SC Exp Date]], SnapshotTable[[#This Row],[SC Book Price]]),0)</f>
        <v>0</v>
      </c>
      <c r="FD148" s="5"/>
      <c r="FE148" s="144"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382">
        <f>IF(SnapshotTable[[#This Row],[SC Is Filled]], IF(ISNUMBER(SnapshotTable[[#This Row],[SC Current Ask]]), SnapshotTable[[#This Row],[SC Current Ask]], SnapshotTable[[#This Row],[SC Book Price]]) - SnapshotTable[[#This Row],[SC Intrinsic Value]], 0)</f>
        <v>0</v>
      </c>
      <c r="FI148" s="143"/>
      <c r="FJ148" s="32" t="str">
        <f>IF(SnapshotTable[[#This Row],[SC Is Filled]],100 * SnapshotTable[[#This Row],[SC Qty]] * IF(ISNUMBER(SnapshotTable[[#This Row],[SC Buyback Override]]), SnapshotTable[[#This Row],[SC Buyback Override]], SnapshotTable[[#This Row],[SC Current Ask]]), "")</f>
        <v/>
      </c>
      <c r="FK148" s="250" t="str">
        <f>IF(SnapshotTable[[#This Row],[SC Time Val]]&gt;0, SnapshotTable[[#This Row],[SC Time Val]] / SnapshotTable[[#This Row],[Last Price]],"")</f>
        <v/>
      </c>
      <c r="FL148" s="302" t="str">
        <f>IF(SnapshotTable[[#This Row],[SC Is Booked]], ((SnapshotTable[[#This Row],[Last Price]] -SnapshotTable[[#This Row],[SC Strike Price]]) / SnapshotTable[[#This Row],[Last Price]]) * -1, "")</f>
        <v/>
      </c>
      <c r="FM148" s="157"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33"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36" t="str">
        <f>IF(AND(ISNUMBER(SnapshotTable[[#This Row],[SC Simple ROO]]),SnapshotTable[[#This Row],[SC Simple ROO]] &gt; 0), SnapshotTable[[#This Row],[SC Premium]] + (SnapshotTable[[#This Row],[SC Qty]] * SnapshotTable[[#This Row],[SC Upside Potential]]), "")</f>
        <v/>
      </c>
      <c r="FX148" s="302" t="str" cm="1">
        <f t="array" ref="FX148">IF(ISNUMBER(SnapshotTable[[#This Row],[SC Max Dollars]]), annualize(SnapshotTable[[#This Row],[SC Term]],(SnapshotTable[[#This Row],[SC Max Dollars]]/SnapshotTable[[#This Row],[SC Basis]])),"")</f>
        <v/>
      </c>
      <c r="FY148" s="23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29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62.575500000000005</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31">
        <f>MAX(SnapshotTable[[#This Row],[Equity Basis Total]],SnapshotTable[[#This Row],[Equity Value]]) + (SnapshotTable[[#This Row],[SP Potential Spend]]- SnapshotTable[[#This Row],[SP Premium]] + SnapshotTable[[#This Row],[LP Premium]])+ (SnapshotTable[[#This Row],[LC Premium]] - SnapshotTable[[#This Row],[SC Premium]])</f>
        <v>0</v>
      </c>
      <c r="GW148" s="139" t="str">
        <f>IF(AND(SnapshotTable[[#This Row],[Exposure]] &lt;&gt; 0),SnapshotTable[[#This Row],[Exposure]] / SnapshotTable[[#Totals],[Exposure]], "")</f>
        <v/>
      </c>
      <c r="HE148" s="268"/>
      <c r="HF148" s="268"/>
      <c r="HK148" s="1"/>
      <c r="HL148" s="1"/>
      <c r="HM148" s="1"/>
      <c r="HN148" s="1"/>
      <c r="HO148" s="1"/>
      <c r="HP148" s="1"/>
    </row>
    <row r="149" spans="2:224" ht="12.75" hidden="1" customHeight="1" x14ac:dyDescent="0.25">
      <c r="B149" s="12" t="s">
        <v>929</v>
      </c>
      <c r="C149" s="422">
        <v>82.63</v>
      </c>
      <c r="D149" s="208"/>
      <c r="E149" s="39">
        <f>SnapshotTable[[#This Row],[Last Price]]*(1 -CrashDiscount)</f>
        <v>70.235499999999988</v>
      </c>
      <c r="F149" s="26" t="s">
        <v>839</v>
      </c>
      <c r="G149" s="26" t="s">
        <v>821</v>
      </c>
      <c r="H149" s="149"/>
      <c r="I149" s="194">
        <v>44775.28125</v>
      </c>
      <c r="J149" s="195">
        <v>44775.28125</v>
      </c>
      <c r="K149" s="196"/>
      <c r="L149" s="326"/>
      <c r="M149" s="140"/>
      <c r="N149" s="140"/>
      <c r="O149" s="140"/>
      <c r="P149" s="22"/>
      <c r="Q149" s="25"/>
      <c r="R149" s="4" t="str">
        <f>IF(SnapshotTable[[#This Row],[Equity Basis Total]] &gt; 0, SnapshotTable[[#This Row],[Equity Basis Total]] / SnapshotTable[[#This Row],[Equity Shares]], "")</f>
        <v/>
      </c>
      <c r="S149" s="269">
        <f>SnapshotTable[[#This Row],[Last Price]] * SnapshotTable[[#This Row],[Equity Shares]]</f>
        <v>0</v>
      </c>
      <c r="T149" s="269">
        <f>SnapshotTable[[#This Row],[Equity Value]] - SnapshotTable[[#This Row],[Equity Basis Total]]</f>
        <v>0</v>
      </c>
      <c r="U149" s="270" t="str">
        <f>IF(SnapshotTable[[#This Row],[Equity Basis Total]] &gt; 0, SnapshotTable[[#This Row],[Equity G/L]] / SnapshotTable[[#This Row],[Equity Basis Total]], "")</f>
        <v/>
      </c>
      <c r="V149" s="268"/>
      <c r="W149" s="26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7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0"/>
      <c r="AD149" s="151"/>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1"/>
      <c r="AI149" s="5"/>
      <c r="AJ149" s="138">
        <v>223.86</v>
      </c>
      <c r="AK149" s="152" t="str">
        <f>IF(ISNUMBER( SnapshotTable[[#This Row],[EBF Target]]),(SnapshotTable[[#This Row],[EBF Target]] - SnapshotTable[[#This Row],[Last Price]]) / SnapshotTable[[#This Row],[Last Price]], "")</f>
        <v/>
      </c>
      <c r="AL149" s="152"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2">
        <f>IF(AND(ISNUMBER( SnapshotTable[[#This Row],[Long Term Target]]), ISNUMBER(SnapshotTable[[#This Row],[Last Price]])),(SnapshotTable[[#This Row],[Long Term Target]] - SnapshotTable[[#This Row],[Last Price]]) / SnapshotTable[[#This Row],[Last Price]], "")</f>
        <v>1.7091855258380737</v>
      </c>
      <c r="AP149" s="5"/>
      <c r="AQ149" s="38"/>
      <c r="AR149" s="5"/>
      <c r="AS149" s="38"/>
      <c r="AT149" s="146"/>
      <c r="AU149" s="187" t="str">
        <f>IF(OR(SnapshotTable[[#This Row],[LP No Fill]]="Y",SnapshotTable[[#This Row],[SP Is Filled]],SnapshotTable[[#This Row],[LC Not Filled]]="Y",SnapshotTable[[#This Row],[SC Is Filled]]),"Y","")</f>
        <v/>
      </c>
      <c r="AV149" s="219"/>
      <c r="AW149" s="225"/>
      <c r="AX149" s="220"/>
      <c r="AY149" s="219" t="str">
        <f>IF(SnapshotTable[[#This Row],[Implied Move]]&gt;0, SnapshotTable[[#This Row],[Last Price]]-SnapshotTable[[#This Row],[Implied Move]],"")</f>
        <v/>
      </c>
      <c r="AZ149" s="219" t="str">
        <f>IF(SnapshotTable[[#This Row],[Implied Move]]&gt;0, SnapshotTable[[#This Row],[Last Price]] + SnapshotTable[[#This Row],[Implied Move]],"")</f>
        <v/>
      </c>
      <c r="BA149" s="331"/>
      <c r="BB149" s="347"/>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51"/>
      <c r="BE149" s="138"/>
      <c r="BF149" s="166"/>
      <c r="BG149" s="167"/>
      <c r="BH149" s="167"/>
      <c r="BI149" s="221"/>
      <c r="BJ149" s="153">
        <f>IF(SnapshotTable[[#This Row],[LP Qty]] &gt; 0, SnapshotTable[[#This Row],[LP Qty]] * SnapshotTable[[#This Row],[LP Book Price]] * 100,0)</f>
        <v>0</v>
      </c>
      <c r="BK149" s="136">
        <f>IF(SnapshotTable[[#This Row],[LP Premium]] &gt; 0, SnapshotTable[[#This Row],[LP Qty]] * SnapshotTable[[#This Row],[LP Strike Price]] * 100,0)</f>
        <v>0</v>
      </c>
      <c r="BL149" s="154"/>
      <c r="BM149" s="385" t="str">
        <f>IF(SnapshotTable[[#This Row],[LP Premium]] &gt; 0,SnapshotTable[[#This Row],[LP Exp Date]]-MAX(SnapshotTable[[#This Row],[LP Book Date]], SnapshotTable[[#This Row],[LP Fill Date]]),"")</f>
        <v/>
      </c>
      <c r="BN149" s="385" t="str">
        <f>IF(ISNUMBER( SnapshotTable[[#This Row],[LP Term]]), SnapshotTable[[#This Row],[LP Exp Date]] - MockToday,"")</f>
        <v/>
      </c>
      <c r="BO149" s="163"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7"/>
      <c r="BU149" s="13"/>
      <c r="BV149" s="5"/>
      <c r="BW149" s="419" t="b">
        <f>AND(ISNUMBER(SnapshotTable[[#This Row],[SP Exp Date]]), ISNUMBER(SnapshotTable[[#This Row],[SP Strike Price]]), ISNUMBER(SnapshotTable[[#This Row],[SP Qty]]), ISNUMBER(SnapshotTable[[#This Row],[SP Book Date]]), ISNUMBER(SnapshotTable[[#This Row],[SP Book Price]]))</f>
        <v>0</v>
      </c>
      <c r="BX149" s="419" t="b">
        <f>AND(SnapshotTable[[#This Row],[SP Is Booked]], NOT(ISBLANK(SnapshotTable[[#This Row],[SP Fill Date]])))</f>
        <v>0</v>
      </c>
      <c r="BY149" s="33">
        <f>IF(SnapshotTable[[#This Row],[SP Is Booked]], SnapshotTable[[#This Row],[SP Qty]] * SnapshotTable[[#This Row],[SP Book Price]] * 100, 0)</f>
        <v>0</v>
      </c>
      <c r="BZ149" s="369"/>
      <c r="CA149" s="368">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3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44"/>
      <c r="CK149" s="31">
        <f>IF(ISNUMBER(SnapshotTable[[#This Row],[SP Potential Spend]]),IF(ISNUMBER(SnapshotTable[[#This Row],[SP POW]]), SnapshotTable[[#This Row],[SP POW]] * SnapshotTable[[#This Row],[SP Potential Spend]], SnapshotTable[[#This Row],[SP Potential Spend]]), "")</f>
        <v>0</v>
      </c>
      <c r="CL149" s="164">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4"/>
      <c r="CO149" s="369"/>
      <c r="CP149" s="320" t="str">
        <f>IF(SnapshotTable[[#This Row],[SP Is Filled]], btc_max_buyback_amount(SnapshotTable[[#This Row],[SP Fill Date]],SnapshotTable[[#This Row],[SP Exp Date]], SnapshotTable[[#This Row],[SP Book Price]]),"")</f>
        <v/>
      </c>
      <c r="CQ149" s="78"/>
      <c r="CR14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5" t="str">
        <f>IF(SnapshotTable[[#This Row],[SP Is Filled]], btc_next_cutoff_date(SnapshotTable[[#This Row],[SP Fill Date]],SnapshotTable[[#This Row],[SP Exp Date]]),"")</f>
        <v/>
      </c>
      <c r="CT149" s="23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6"/>
      <c r="CV149" s="235"/>
      <c r="CW149" s="378"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294" t="str">
        <f>IF(ISNUMBER((SnapshotTable[[#This Row],[SP Total Value]])), SnapshotTable[[#This Row],[SP Gain Loss]] / SnapshotTable[[#This Row],[SP Premium]], "")</f>
        <v/>
      </c>
      <c r="DI149" s="406"/>
      <c r="DJ149" s="138"/>
      <c r="DK149" s="148"/>
      <c r="DL149" s="147"/>
      <c r="DM149" s="147"/>
      <c r="DO149" s="31">
        <f>IF(SnapshotTable[[#This Row],[LC Symbol Count]]=1, SnapshotTable[[#This Row],[LC Qty]] * SnapshotTable[[#This Row],[LC Book Price]] * 100, 0)</f>
        <v>0</v>
      </c>
      <c r="DP149" s="289" t="str">
        <f>IF(AND(SnapshotTable[[#This Row],[LC Exp Date]]&gt;0, SnapshotTable[[#This Row],[LC Strike Price]]&gt;0,SnapshotTable[[#This Row],[LC Qty]]&gt;0,SnapshotTable[[#This Row],[LC Book Date]]&gt;0,SnapshotTable[[#This Row],[LC Book Price]]&gt;0,SnapshotTable[[#This Row],[LC Fill Date]]=0),"Y","")</f>
        <v/>
      </c>
      <c r="DQ149" s="386" t="str">
        <f>IF(SnapshotTable[[#This Row],[LC Premium]] &gt; 0,SnapshotTable[[#This Row],[LC Exp Date]]-MAX(SnapshotTable[[#This Row],[LC Book Date]], SnapshotTable[[#This Row],[LC Fill Date]]),"")</f>
        <v/>
      </c>
      <c r="DR149" s="386" t="str">
        <f>IF(ISNUMBER(SnapshotTable[[#This Row],[LC Term]]), SnapshotTable[[#This Row],[LC Exp Date]] - MockToday, "")</f>
        <v/>
      </c>
      <c r="DS149" s="23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40" t="str">
        <f>IF(ISNUMBER(SnapshotTable[[#This Row],[LC Actual Gain Loss]]), SnapshotTable[[#This Row],[LC Actual Gain Loss]] / SnapshotTable[[#This Row],[LC Premium]],"")</f>
        <v/>
      </c>
      <c r="DX149" s="284" t="str">
        <f>IF(ISNUMBER(SnapshotTable[[#This Row],[LC Book Price]]),SnapshotTable[[#This Row],[LC Book Price]] * 1.5,"")</f>
        <v/>
      </c>
      <c r="DY149" s="265" t="str">
        <f>IF(SnapshotTable[[#This Row],[LC Premium]]&gt;0, SnapshotTable[[#This Row],[LC Next Target]] * SnapshotTable[[#This Row],[LC Qty]] * 100,"")</f>
        <v/>
      </c>
      <c r="DZ149" s="265" t="str">
        <f>IF(ISNUMBER(SnapshotTable[[#This Row],[LC Target Gross]]), SnapshotTable[[#This Row],[LC Target Gross]] - SnapshotTable[[#This Row],[LC Premium]], "")</f>
        <v/>
      </c>
      <c r="EA149" s="305" t="str">
        <f>IF(ISNUMBER(SnapshotTable[[#This Row],[LC Target Gain Loss]]), SnapshotTable[[#This Row],[LC Target Gain Loss]]/SnapshotTable[[#This Row],[LC Premium]], "")</f>
        <v/>
      </c>
      <c r="EB149" s="262"/>
      <c r="EC149" s="290" t="str">
        <f>IF(SnapshotTable[[#This Row],[LC Premium]]&gt;0, SnapshotTable[[#This Row],[LC Book Price]] * (1 - LC_StopLoss_Pct),"")</f>
        <v/>
      </c>
      <c r="ED149" s="284"/>
      <c r="EE149" s="28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4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7"/>
      <c r="EL149" s="138"/>
      <c r="EM149" s="148"/>
      <c r="EN149" s="147"/>
      <c r="EO149" s="147"/>
      <c r="EP149" s="138"/>
      <c r="EQ149" s="419" t="b">
        <f>AND(ISNUMBER(SnapshotTable[[#This Row],[SC Exp Date]]), ISNUMBER(SnapshotTable[[#This Row],[SC Strike Price]]), ISNUMBER(SnapshotTable[[#This Row],[SC Qty]]), ISNUMBER(SnapshotTable[[#This Row],[SC Book Date]]), ISNUMBER(SnapshotTable[[#This Row],[SC Book Price]]))</f>
        <v>0</v>
      </c>
      <c r="ER149" s="419" t="b">
        <f>AND(SnapshotTable[[#This Row],[SC Is Booked]], NOT(ISBLANK(SnapshotTable[[#This Row],[SC Fill Date]])))</f>
        <v>0</v>
      </c>
      <c r="ES149" s="370"/>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3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283"/>
      <c r="FA149" s="218"/>
      <c r="FB149" s="370"/>
      <c r="FC149" s="4">
        <f>IF(SnapshotTable[[#This Row],[SC Is Filled]], btc_max_buyback_amount(SnapshotTable[[#This Row],[SC Fill Date]],SnapshotTable[[#This Row],[SC Exp Date]], SnapshotTable[[#This Row],[SC Book Price]]),0)</f>
        <v>0</v>
      </c>
      <c r="FD149" s="5"/>
      <c r="FE149" s="144"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382">
        <f>IF(SnapshotTable[[#This Row],[SC Is Filled]], IF(ISNUMBER(SnapshotTable[[#This Row],[SC Current Ask]]), SnapshotTable[[#This Row],[SC Current Ask]], SnapshotTable[[#This Row],[SC Book Price]]) - SnapshotTable[[#This Row],[SC Intrinsic Value]], 0)</f>
        <v>0</v>
      </c>
      <c r="FI149" s="143"/>
      <c r="FJ149" s="32" t="str">
        <f>IF(SnapshotTable[[#This Row],[SC Is Filled]],100 * SnapshotTable[[#This Row],[SC Qty]] * IF(ISNUMBER(SnapshotTable[[#This Row],[SC Buyback Override]]), SnapshotTable[[#This Row],[SC Buyback Override]], SnapshotTable[[#This Row],[SC Current Ask]]), "")</f>
        <v/>
      </c>
      <c r="FK149" s="250" t="str">
        <f>IF(SnapshotTable[[#This Row],[SC Time Val]]&gt;0, SnapshotTable[[#This Row],[SC Time Val]] / SnapshotTable[[#This Row],[Last Price]],"")</f>
        <v/>
      </c>
      <c r="FL149" s="302" t="str">
        <f>IF(SnapshotTable[[#This Row],[SC Is Booked]], ((SnapshotTable[[#This Row],[Last Price]] -SnapshotTable[[#This Row],[SC Strike Price]]) / SnapshotTable[[#This Row],[Last Price]]) * -1, "")</f>
        <v/>
      </c>
      <c r="FM149" s="157" t="str">
        <f>IF(SnapshotTable[[#This Row],[SC Is Booked]],  (SnapshotTable[[#This Row],[SC Qty]] * 100 * SnapshotTable[[#This Row],[SC Strike Price]]) - SnapshotTable[[#This Row],[SC Current Ask]], "")</f>
        <v/>
      </c>
      <c r="FN14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7"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33"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36" t="str">
        <f>IF(AND(ISNUMBER(SnapshotTable[[#This Row],[SC Simple ROO]]),SnapshotTable[[#This Row],[SC Simple ROO]] &gt; 0), SnapshotTable[[#This Row],[SC Premium]] + (SnapshotTable[[#This Row],[SC Qty]] * SnapshotTable[[#This Row],[SC Upside Potential]]), "")</f>
        <v/>
      </c>
      <c r="FX149" s="302" t="str" cm="1">
        <f t="array" ref="FX149">IF(ISNUMBER(SnapshotTable[[#This Row],[SC Max Dollars]]), annualize(SnapshotTable[[#This Row],[SC Term]],(SnapshotTable[[#This Row],[SC Max Dollars]]/SnapshotTable[[#This Row],[SC Basis]])),"")</f>
        <v/>
      </c>
      <c r="FY149" s="236" t="str">
        <f>IF(AND(SnapshotTable[[#This Row],[SC Qty]]&gt;0,SnapshotTable[[#This Row],[SC Current Ask]]&gt;0), SnapshotTable[[#This Row],[SC Qty]] * SnapshotTable[[#This Row],[SC Current Ask]] * -100, "")</f>
        <v/>
      </c>
      <c r="FZ149" s="235" t="str">
        <f>IF(ISNUMBER((SnapshotTable[[#This Row],[SC Current Value]])), SnapshotTable[[#This Row],[SC Premium]] + SnapshotTable[[#This Row],[SC Current Value]], "")</f>
        <v/>
      </c>
      <c r="GA149" s="29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161.12849999999997</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8" t="str">
        <f>IF(SnapshotTable[[#This Row],[Sale G/L]]&gt;0, SnapshotTable[[#This Row],[Sale G/L]] / SnapshotTable[[#This Row],[Sale Basis]], IF(ISNUMBER(SnapshotTable[[#This Row],[SC Exercise P&amp;L (TAX)]]), SnapshotTable[[#This Row],[SC Exercise P&amp;L (TAX)]] / SnapshotTable[[#This Row],[SC Basis]], ""))</f>
        <v/>
      </c>
      <c r="GK149" s="27"/>
      <c r="GL149" s="159"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59" t="str">
        <f>IF(AND(SnapshotTable[[#This Row],[LC Exp Date]]&gt;0,SnapshotTable[[#This Row],[LC Strike Price]]&gt;0), [1]!ToOptionSymbol(SnapshotTable[[#This Row],[Symbol]], SnapshotTable[[#This Row],[LC Strike Price]],SnapshotTable[[#This Row],[LC Exp Date]],0), "")</f>
        <v/>
      </c>
      <c r="GQ149" s="160" t="str">
        <f>IF(LEN(SnapshotTable[[#This Row],[LC Symbol]])&gt;0, 1, "")</f>
        <v/>
      </c>
      <c r="GR149" s="159" t="str">
        <f>IF(AND(SnapshotTable[[#This Row],[SC Exp Date]]&gt;0,SnapshotTable[[#This Row],[SC Strike Price]]&gt;0), [1]!ToOptionSymbol(SnapshotTable[[#This Row],[Symbol]], SnapshotTable[[#This Row],[SC Strike Price]],SnapshotTable[[#This Row],[SC Exp Date]],0), "")</f>
        <v/>
      </c>
      <c r="GS149" s="160" t="str">
        <f>IF(LEN(SnapshotTable[[#This Row],[SC Symbol]])&gt;0, 1, "")</f>
        <v/>
      </c>
      <c r="GT149" s="161"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31">
        <f>MAX(SnapshotTable[[#This Row],[Equity Basis Total]],SnapshotTable[[#This Row],[Equity Value]]) + (SnapshotTable[[#This Row],[SP Potential Spend]]- SnapshotTable[[#This Row],[SP Premium]] + SnapshotTable[[#This Row],[LP Premium]])+ (SnapshotTable[[#This Row],[LC Premium]] - SnapshotTable[[#This Row],[SC Premium]])</f>
        <v>0</v>
      </c>
      <c r="GW149" s="139" t="str">
        <f>IF(AND(SnapshotTable[[#This Row],[Exposure]] &lt;&gt; 0),SnapshotTable[[#This Row],[Exposure]] / SnapshotTable[[#Totals],[Exposure]], "")</f>
        <v/>
      </c>
      <c r="HE149" s="268"/>
      <c r="HF149" s="268"/>
      <c r="HK149" s="1"/>
      <c r="HL149" s="1"/>
      <c r="HM149" s="1"/>
      <c r="HN149" s="1"/>
      <c r="HO149" s="1"/>
      <c r="HP149" s="1"/>
    </row>
    <row r="150" spans="2:224" ht="12.75" hidden="1" customHeight="1" x14ac:dyDescent="0.25">
      <c r="B150" s="12" t="s">
        <v>216</v>
      </c>
      <c r="C150" s="422">
        <v>139.63</v>
      </c>
      <c r="D150" s="208"/>
      <c r="E150" s="39">
        <f>SnapshotTable[[#This Row],[Last Price]]*(1 -CrashDiscount)</f>
        <v>118.68549999999999</v>
      </c>
      <c r="F150" s="26" t="s">
        <v>215</v>
      </c>
      <c r="G150" s="26" t="s">
        <v>20</v>
      </c>
      <c r="H150" s="149"/>
      <c r="I150" s="194">
        <v>44776.288194444445</v>
      </c>
      <c r="J150" s="195">
        <v>44776.288194444445</v>
      </c>
      <c r="K150" s="196"/>
      <c r="L150" s="326"/>
      <c r="M150" s="140"/>
      <c r="N150" s="140"/>
      <c r="O150" s="140"/>
      <c r="P150" s="22"/>
      <c r="Q150" s="25"/>
      <c r="R150" s="4" t="str">
        <f>IF(SnapshotTable[[#This Row],[Equity Basis Total]] &gt; 0, SnapshotTable[[#This Row],[Equity Basis Total]] / SnapshotTable[[#This Row],[Equity Shares]], "")</f>
        <v/>
      </c>
      <c r="S150" s="269">
        <f>SnapshotTable[[#This Row],[Last Price]] * SnapshotTable[[#This Row],[Equity Shares]]</f>
        <v>0</v>
      </c>
      <c r="T150" s="269">
        <f>SnapshotTable[[#This Row],[Equity Value]] - SnapshotTable[[#This Row],[Equity Basis Total]]</f>
        <v>0</v>
      </c>
      <c r="U150" s="270" t="str">
        <f>IF(SnapshotTable[[#This Row],[Equity Basis Total]] &gt; 0, SnapshotTable[[#This Row],[Equity G/L]] / SnapshotTable[[#This Row],[Equity Basis Total]], "")</f>
        <v/>
      </c>
      <c r="V150" s="268"/>
      <c r="W150" s="26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7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0">
        <v>1.88</v>
      </c>
      <c r="AD150" s="151">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1.3464155267492658E-2</v>
      </c>
      <c r="AH150" s="151">
        <v>42226</v>
      </c>
      <c r="AI150" s="5">
        <v>80</v>
      </c>
      <c r="AJ150" s="138">
        <v>72.260000000000005</v>
      </c>
      <c r="AK150" s="152">
        <f>IF(ISNUMBER( SnapshotTable[[#This Row],[EBF Target]]),(SnapshotTable[[#This Row],[EBF Target]] - SnapshotTable[[#This Row],[Last Price]]) / SnapshotTable[[#This Row],[Last Price]], "")</f>
        <v>-0.42705722265988683</v>
      </c>
      <c r="AL150" s="152"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2">
        <f>IF(AND(ISNUMBER( SnapshotTable[[#This Row],[Long Term Target]]), ISNUMBER(SnapshotTable[[#This Row],[Last Price]])),(SnapshotTable[[#This Row],[Long Term Target]] - SnapshotTable[[#This Row],[Last Price]]) / SnapshotTable[[#This Row],[Last Price]], "")</f>
        <v>-0.48248943636754271</v>
      </c>
      <c r="AP150" s="5"/>
      <c r="AQ150" s="38"/>
      <c r="AR150" s="5"/>
      <c r="AS150" s="38"/>
      <c r="AT150" s="146"/>
      <c r="AU150" s="187" t="str">
        <f>IF(OR(SnapshotTable[[#This Row],[LP No Fill]]="Y",SnapshotTable[[#This Row],[SP Is Filled]],SnapshotTable[[#This Row],[LC Not Filled]]="Y",SnapshotTable[[#This Row],[SC Is Filled]]),"Y","")</f>
        <v/>
      </c>
      <c r="AV150" s="219"/>
      <c r="AW150" s="225"/>
      <c r="AX150" s="220"/>
      <c r="AY150" s="219" t="str">
        <f>IF(SnapshotTable[[#This Row],[Implied Move]]&gt;0, SnapshotTable[[#This Row],[Last Price]]-SnapshotTable[[#This Row],[Implied Move]],"")</f>
        <v/>
      </c>
      <c r="AZ150" s="219" t="str">
        <f>IF(SnapshotTable[[#This Row],[Implied Move]]&gt;0, SnapshotTable[[#This Row],[Last Price]] + SnapshotTable[[#This Row],[Implied Move]],"")</f>
        <v/>
      </c>
      <c r="BA150" s="331"/>
      <c r="BB150" s="347"/>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51"/>
      <c r="BE150" s="5"/>
      <c r="BF150" s="14"/>
      <c r="BG150" s="13"/>
      <c r="BH150" s="13"/>
      <c r="BI150" s="5"/>
      <c r="BJ150" s="136">
        <f>IF(SnapshotTable[[#This Row],[LP Qty]] &gt; 0, SnapshotTable[[#This Row],[LP Qty]] * SnapshotTable[[#This Row],[LP Book Price]] * 100,0)</f>
        <v>0</v>
      </c>
      <c r="BK150" s="136">
        <f>IF(SnapshotTable[[#This Row],[LP Premium]] &gt; 0, SnapshotTable[[#This Row],[LP Qty]] * SnapshotTable[[#This Row],[LP Strike Price]] * 100,0)</f>
        <v>0</v>
      </c>
      <c r="BL150" s="154"/>
      <c r="BM150" s="385" t="str">
        <f>IF(SnapshotTable[[#This Row],[LP Premium]] &gt; 0,SnapshotTable[[#This Row],[LP Exp Date]]-MAX(SnapshotTable[[#This Row],[LP Book Date]], SnapshotTable[[#This Row],[LP Fill Date]]),"")</f>
        <v/>
      </c>
      <c r="BN150" s="385" t="str">
        <f>IF(ISNUMBER( SnapshotTable[[#This Row],[LP Term]]), SnapshotTable[[#This Row],[LP Exp Date]] - MockToday,"")</f>
        <v/>
      </c>
      <c r="BO150" s="163"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7"/>
      <c r="BU150" s="13"/>
      <c r="BV150" s="5"/>
      <c r="BW150" s="419" t="b">
        <f>AND(ISNUMBER(SnapshotTable[[#This Row],[SP Exp Date]]), ISNUMBER(SnapshotTable[[#This Row],[SP Strike Price]]), ISNUMBER(SnapshotTable[[#This Row],[SP Qty]]), ISNUMBER(SnapshotTable[[#This Row],[SP Book Date]]), ISNUMBER(SnapshotTable[[#This Row],[SP Book Price]]))</f>
        <v>0</v>
      </c>
      <c r="BX150" s="419" t="b">
        <f>AND(SnapshotTable[[#This Row],[SP Is Booked]], NOT(ISBLANK(SnapshotTable[[#This Row],[SP Fill Date]])))</f>
        <v>0</v>
      </c>
      <c r="BY150" s="33">
        <f>IF(SnapshotTable[[#This Row],[SP Is Booked]], SnapshotTable[[#This Row],[SP Qty]] * SnapshotTable[[#This Row],[SP Book Price]] * 100, 0)</f>
        <v>0</v>
      </c>
      <c r="BZ150" s="369"/>
      <c r="CA150" s="368">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3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44"/>
      <c r="CK150" s="31">
        <f>IF(ISNUMBER(SnapshotTable[[#This Row],[SP Potential Spend]]),IF(ISNUMBER(SnapshotTable[[#This Row],[SP POW]]), SnapshotTable[[#This Row],[SP POW]] * SnapshotTable[[#This Row],[SP Potential Spend]], SnapshotTable[[#This Row],[SP Potential Spend]]), "")</f>
        <v>0</v>
      </c>
      <c r="CL150" s="164">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8"/>
      <c r="CO150" s="369"/>
      <c r="CP150" s="4" t="str">
        <f>IF(SnapshotTable[[#This Row],[SP Is Filled]], btc_max_buyback_amount(SnapshotTable[[#This Row],[SP Fill Date]],SnapshotTable[[#This Row],[SP Exp Date]], SnapshotTable[[#This Row],[SP Book Price]]),"")</f>
        <v/>
      </c>
      <c r="CQ150" s="78"/>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5" t="str">
        <f>IF(SnapshotTable[[#This Row],[SP Is Filled]], btc_next_cutoff_date(SnapshotTable[[#This Row],[SP Fill Date]],SnapshotTable[[#This Row],[SP Exp Date]]),"")</f>
        <v/>
      </c>
      <c r="CT150" s="23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3"/>
      <c r="CV150" s="235"/>
      <c r="CW150" s="378"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294" t="str">
        <f>IF(ISNUMBER((SnapshotTable[[#This Row],[SP Total Value]])), SnapshotTable[[#This Row],[SP Gain Loss]] / SnapshotTable[[#This Row],[SP Premium]], "")</f>
        <v/>
      </c>
      <c r="DI150" s="406"/>
      <c r="DJ150" s="138"/>
      <c r="DK150" s="148"/>
      <c r="DL150" s="13"/>
      <c r="DM150" s="13"/>
      <c r="DO150" s="31">
        <f>IF(SnapshotTable[[#This Row],[LC Symbol Count]]=1, SnapshotTable[[#This Row],[LC Qty]] * SnapshotTable[[#This Row],[LC Book Price]] * 100, 0)</f>
        <v>0</v>
      </c>
      <c r="DP150" s="163" t="str">
        <f>IF(AND(SnapshotTable[[#This Row],[LC Exp Date]]&gt;0, SnapshotTable[[#This Row],[LC Strike Price]]&gt;0,SnapshotTable[[#This Row],[LC Qty]]&gt;0,SnapshotTable[[#This Row],[LC Book Date]]&gt;0,SnapshotTable[[#This Row],[LC Book Price]]&gt;0,SnapshotTable[[#This Row],[LC Fill Date]]=0),"Y","")</f>
        <v/>
      </c>
      <c r="DQ150" s="386" t="str">
        <f>IF(SnapshotTable[[#This Row],[LC Premium]] &gt; 0,SnapshotTable[[#This Row],[LC Exp Date]]-MAX(SnapshotTable[[#This Row],[LC Book Date]], SnapshotTable[[#This Row],[LC Fill Date]]),"")</f>
        <v/>
      </c>
      <c r="DR150" s="386" t="str">
        <f>IF(ISNUMBER(SnapshotTable[[#This Row],[LC Term]]), SnapshotTable[[#This Row],[LC Exp Date]] - MockToday, "")</f>
        <v/>
      </c>
      <c r="DS150" s="23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40" t="str">
        <f>IF(ISNUMBER(SnapshotTable[[#This Row],[LC Actual Gain Loss]]), SnapshotTable[[#This Row],[LC Actual Gain Loss]] / SnapshotTable[[#This Row],[LC Premium]],"")</f>
        <v/>
      </c>
      <c r="DX150" s="284" t="str">
        <f>IF(ISNUMBER(SnapshotTable[[#This Row],[LC Book Price]]),SnapshotTable[[#This Row],[LC Book Price]] * 1.5,"")</f>
        <v/>
      </c>
      <c r="DY150" s="265" t="str">
        <f>IF(SnapshotTable[[#This Row],[LC Premium]]&gt;0, SnapshotTable[[#This Row],[LC Next Target]] * SnapshotTable[[#This Row],[LC Qty]] * 100,"")</f>
        <v/>
      </c>
      <c r="DZ150" s="265" t="str">
        <f>IF(ISNUMBER(SnapshotTable[[#This Row],[LC Target Gross]]), SnapshotTable[[#This Row],[LC Target Gross]] - SnapshotTable[[#This Row],[LC Premium]], "")</f>
        <v/>
      </c>
      <c r="EA150" s="305" t="str">
        <f>IF(ISNUMBER(SnapshotTable[[#This Row],[LC Target Gain Loss]]), SnapshotTable[[#This Row],[LC Target Gain Loss]]/SnapshotTable[[#This Row],[LC Premium]], "")</f>
        <v/>
      </c>
      <c r="EB150" s="262"/>
      <c r="EC150" s="283" t="str">
        <f>IF(SnapshotTable[[#This Row],[LC Premium]]&gt;0, SnapshotTable[[#This Row],[LC Book Price]] * (1 - LC_StopLoss_Pct),"")</f>
        <v/>
      </c>
      <c r="ED150" s="284"/>
      <c r="EE150" s="28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4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7"/>
      <c r="EL150" s="138"/>
      <c r="EM150" s="148"/>
      <c r="EN150" s="147"/>
      <c r="EO150" s="147"/>
      <c r="EP150" s="138"/>
      <c r="EQ150" s="419" t="b">
        <f>AND(ISNUMBER(SnapshotTable[[#This Row],[SC Exp Date]]), ISNUMBER(SnapshotTable[[#This Row],[SC Strike Price]]), ISNUMBER(SnapshotTable[[#This Row],[SC Qty]]), ISNUMBER(SnapshotTable[[#This Row],[SC Book Date]]), ISNUMBER(SnapshotTable[[#This Row],[SC Book Price]]))</f>
        <v>0</v>
      </c>
      <c r="ER150" s="419" t="b">
        <f>AND(SnapshotTable[[#This Row],[SC Is Booked]], NOT(ISBLANK(SnapshotTable[[#This Row],[SC Fill Date]])))</f>
        <v>0</v>
      </c>
      <c r="ES150" s="370"/>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3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283"/>
      <c r="FA150" s="218"/>
      <c r="FB150" s="370"/>
      <c r="FC150" s="4">
        <f>IF(SnapshotTable[[#This Row],[SC Is Filled]], btc_max_buyback_amount(SnapshotTable[[#This Row],[SC Fill Date]],SnapshotTable[[#This Row],[SC Exp Date]], SnapshotTable[[#This Row],[SC Book Price]]),0)</f>
        <v>0</v>
      </c>
      <c r="FD150" s="5"/>
      <c r="FE150" s="144"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382">
        <f>IF(SnapshotTable[[#This Row],[SC Is Filled]], IF(ISNUMBER(SnapshotTable[[#This Row],[SC Current Ask]]), SnapshotTable[[#This Row],[SC Current Ask]], SnapshotTable[[#This Row],[SC Book Price]]) - SnapshotTable[[#This Row],[SC Intrinsic Value]], 0)</f>
        <v>0</v>
      </c>
      <c r="FI150" s="143"/>
      <c r="FJ150" s="32" t="str">
        <f>IF(SnapshotTable[[#This Row],[SC Is Filled]],100 * SnapshotTable[[#This Row],[SC Qty]] * IF(ISNUMBER(SnapshotTable[[#This Row],[SC Buyback Override]]), SnapshotTable[[#This Row],[SC Buyback Override]], SnapshotTable[[#This Row],[SC Current Ask]]), "")</f>
        <v/>
      </c>
      <c r="FK150" s="250" t="str">
        <f>IF(SnapshotTable[[#This Row],[SC Time Val]]&gt;0, SnapshotTable[[#This Row],[SC Time Val]] / SnapshotTable[[#This Row],[Last Price]],"")</f>
        <v/>
      </c>
      <c r="FL150" s="302" t="str">
        <f>IF(SnapshotTable[[#This Row],[SC Is Booked]], ((SnapshotTable[[#This Row],[Last Price]] -SnapshotTable[[#This Row],[SC Strike Price]]) / SnapshotTable[[#This Row],[Last Price]]) * -1, "")</f>
        <v/>
      </c>
      <c r="FM150" s="157"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33"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36" t="str">
        <f>IF(AND(ISNUMBER(SnapshotTable[[#This Row],[SC Simple ROO]]),SnapshotTable[[#This Row],[SC Simple ROO]] &gt; 0), SnapshotTable[[#This Row],[SC Premium]] + (SnapshotTable[[#This Row],[SC Qty]] * SnapshotTable[[#This Row],[SC Upside Potential]]), "")</f>
        <v/>
      </c>
      <c r="FX150" s="302" t="str" cm="1">
        <f t="array" ref="FX150">IF(ISNUMBER(SnapshotTable[[#This Row],[SC Max Dollars]]), annualize(SnapshotTable[[#This Row],[SC Term]],(SnapshotTable[[#This Row],[SC Max Dollars]]/SnapshotTable[[#This Row],[SC Basis]])),"")</f>
        <v/>
      </c>
      <c r="FY150" s="23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29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272.27850000000001</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694</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31">
        <f>MAX(SnapshotTable[[#This Row],[Equity Basis Total]],SnapshotTable[[#This Row],[Equity Value]]) + (SnapshotTable[[#This Row],[SP Potential Spend]]- SnapshotTable[[#This Row],[SP Premium]] + SnapshotTable[[#This Row],[LP Premium]])+ (SnapshotTable[[#This Row],[LC Premium]] - SnapshotTable[[#This Row],[SC Premium]])</f>
        <v>0</v>
      </c>
      <c r="GW150" s="139" t="str">
        <f>IF(AND(SnapshotTable[[#This Row],[Exposure]] &lt;&gt; 0),SnapshotTable[[#This Row],[Exposure]] / SnapshotTable[[#Totals],[Exposure]], "")</f>
        <v/>
      </c>
      <c r="HE150" s="268"/>
      <c r="HF150" s="268"/>
      <c r="HK150" s="1"/>
      <c r="HL150" s="1"/>
      <c r="HM150" s="1"/>
      <c r="HN150" s="1"/>
      <c r="HO150" s="1"/>
      <c r="HP150" s="1"/>
    </row>
    <row r="151" spans="2:224" ht="12.75" hidden="1" customHeight="1" x14ac:dyDescent="0.25">
      <c r="B151" s="12" t="s">
        <v>583</v>
      </c>
      <c r="C151" s="422">
        <v>39.58</v>
      </c>
      <c r="D151" s="208"/>
      <c r="E151" s="39">
        <f>SnapshotTable[[#This Row],[Last Price]]*(1 -CrashDiscount)</f>
        <v>33.643000000000001</v>
      </c>
      <c r="F151" s="26" t="s">
        <v>243</v>
      </c>
      <c r="G151" s="26" t="s">
        <v>9</v>
      </c>
      <c r="H151" s="149"/>
      <c r="I151" s="194">
        <v>44950</v>
      </c>
      <c r="J151" s="195">
        <v>44950</v>
      </c>
      <c r="K151" s="196"/>
      <c r="L151" s="326"/>
      <c r="M151" s="140"/>
      <c r="N151" s="140"/>
      <c r="O151" s="140"/>
      <c r="P151" s="22"/>
      <c r="Q151" s="25"/>
      <c r="R151" s="4" t="str">
        <f>IF(SnapshotTable[[#This Row],[Equity Basis Total]] &gt; 0, SnapshotTable[[#This Row],[Equity Basis Total]] / SnapshotTable[[#This Row],[Equity Shares]], "")</f>
        <v/>
      </c>
      <c r="S151" s="269">
        <f>SnapshotTable[[#This Row],[Last Price]] * SnapshotTable[[#This Row],[Equity Shares]]</f>
        <v>0</v>
      </c>
      <c r="T151" s="269">
        <f>SnapshotTable[[#This Row],[Equity Value]] - SnapshotTable[[#This Row],[Equity Basis Total]]</f>
        <v>0</v>
      </c>
      <c r="U151" s="270" t="str">
        <f>IF(SnapshotTable[[#This Row],[Equity Basis Total]] &gt; 0, SnapshotTable[[#This Row],[Equity G/L]] / SnapshotTable[[#This Row],[Equity Basis Total]], "")</f>
        <v/>
      </c>
      <c r="V151" s="268"/>
      <c r="W151" s="26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7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0"/>
      <c r="AD151" s="151"/>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1"/>
      <c r="AI151" s="5"/>
      <c r="AJ151" s="138">
        <v>36.67</v>
      </c>
      <c r="AK151" s="152" t="str">
        <f>IF(ISNUMBER( SnapshotTable[[#This Row],[EBF Target]]),(SnapshotTable[[#This Row],[EBF Target]] - SnapshotTable[[#This Row],[Last Price]]) / SnapshotTable[[#This Row],[Last Price]], "")</f>
        <v/>
      </c>
      <c r="AL151" s="152"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2">
        <f>IF(AND(ISNUMBER( SnapshotTable[[#This Row],[Long Term Target]]), ISNUMBER(SnapshotTable[[#This Row],[Last Price]])),(SnapshotTable[[#This Row],[Long Term Target]] - SnapshotTable[[#This Row],[Last Price]]) / SnapshotTable[[#This Row],[Last Price]], "")</f>
        <v>-7.3521980798382944E-2</v>
      </c>
      <c r="AP151" s="5">
        <v>65</v>
      </c>
      <c r="AQ151" s="38" t="s">
        <v>110</v>
      </c>
      <c r="AR151" s="5">
        <v>60</v>
      </c>
      <c r="AS151" s="38" t="s">
        <v>38</v>
      </c>
      <c r="AT151" s="146" t="s">
        <v>549</v>
      </c>
      <c r="AU151" s="187" t="str">
        <f>IF(OR(SnapshotTable[[#This Row],[LP No Fill]]="Y",SnapshotTable[[#This Row],[SP Is Filled]],SnapshotTable[[#This Row],[LC Not Filled]]="Y",SnapshotTable[[#This Row],[SC Is Filled]]),"Y","")</f>
        <v/>
      </c>
      <c r="AV151" s="219"/>
      <c r="AW151" s="225"/>
      <c r="AX151" s="220"/>
      <c r="AY151" s="219" t="str">
        <f>IF(SnapshotTable[[#This Row],[Implied Move]]&gt;0, SnapshotTable[[#This Row],[Last Price]]-SnapshotTable[[#This Row],[Implied Move]],"")</f>
        <v/>
      </c>
      <c r="AZ151" s="219" t="str">
        <f>IF(SnapshotTable[[#This Row],[Implied Move]]&gt;0, SnapshotTable[[#This Row],[Last Price]] + SnapshotTable[[#This Row],[Implied Move]],"")</f>
        <v/>
      </c>
      <c r="BA151" s="331"/>
      <c r="BB151" s="347"/>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51"/>
      <c r="BE151" s="198"/>
      <c r="BF151" s="199"/>
      <c r="BG151" s="200"/>
      <c r="BH151" s="200"/>
      <c r="BI151" s="5"/>
      <c r="BJ151" s="153">
        <f>IF(SnapshotTable[[#This Row],[LP Qty]] &gt; 0, SnapshotTable[[#This Row],[LP Qty]] * SnapshotTable[[#This Row],[LP Book Price]] * 100,0)</f>
        <v>0</v>
      </c>
      <c r="BK151" s="136">
        <f>IF(SnapshotTable[[#This Row],[LP Premium]] &gt; 0, SnapshotTable[[#This Row],[LP Qty]] * SnapshotTable[[#This Row],[LP Strike Price]] * 100,0)</f>
        <v>0</v>
      </c>
      <c r="BL151" s="154"/>
      <c r="BM151" s="385" t="str">
        <f>IF(SnapshotTable[[#This Row],[LP Premium]] &gt; 0,SnapshotTable[[#This Row],[LP Exp Date]]-MAX(SnapshotTable[[#This Row],[LP Book Date]], SnapshotTable[[#This Row],[LP Fill Date]]),"")</f>
        <v/>
      </c>
      <c r="BN151" s="385" t="str">
        <f>IF(ISNUMBER( SnapshotTable[[#This Row],[LP Term]]), SnapshotTable[[#This Row],[LP Exp Date]] - MockToday,"")</f>
        <v/>
      </c>
      <c r="BO151" s="163"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7"/>
      <c r="BU151" s="13"/>
      <c r="BV151" s="5"/>
      <c r="BW151" s="419" t="b">
        <f>AND(ISNUMBER(SnapshotTable[[#This Row],[SP Exp Date]]), ISNUMBER(SnapshotTable[[#This Row],[SP Strike Price]]), ISNUMBER(SnapshotTable[[#This Row],[SP Qty]]), ISNUMBER(SnapshotTable[[#This Row],[SP Book Date]]), ISNUMBER(SnapshotTable[[#This Row],[SP Book Price]]))</f>
        <v>0</v>
      </c>
      <c r="BX151" s="419" t="b">
        <f>AND(SnapshotTable[[#This Row],[SP Is Booked]], NOT(ISBLANK(SnapshotTable[[#This Row],[SP Fill Date]])))</f>
        <v>0</v>
      </c>
      <c r="BY151" s="33">
        <f>IF(SnapshotTable[[#This Row],[SP Is Booked]], SnapshotTable[[#This Row],[SP Qty]] * SnapshotTable[[#This Row],[SP Book Price]] * 100, 0)</f>
        <v>0</v>
      </c>
      <c r="BZ151" s="369"/>
      <c r="CA151" s="368">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3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44"/>
      <c r="CK151" s="31">
        <f>IF(ISNUMBER(SnapshotTable[[#This Row],[SP Potential Spend]]),IF(ISNUMBER(SnapshotTable[[#This Row],[SP POW]]), SnapshotTable[[#This Row],[SP POW]] * SnapshotTable[[#This Row],[SP Potential Spend]], SnapshotTable[[#This Row],[SP Potential Spend]]), "")</f>
        <v>0</v>
      </c>
      <c r="CL151" s="164">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4"/>
      <c r="CO151" s="369"/>
      <c r="CP151" s="4" t="str">
        <f>IF(SnapshotTable[[#This Row],[SP Is Filled]], btc_max_buyback_amount(SnapshotTable[[#This Row],[SP Fill Date]],SnapshotTable[[#This Row],[SP Exp Date]], SnapshotTable[[#This Row],[SP Book Price]]),"")</f>
        <v/>
      </c>
      <c r="CQ151" s="78"/>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5" t="str">
        <f>IF(SnapshotTable[[#This Row],[SP Is Filled]], btc_next_cutoff_date(SnapshotTable[[#This Row],[SP Fill Date]],SnapshotTable[[#This Row],[SP Exp Date]]),"")</f>
        <v/>
      </c>
      <c r="CT151" s="23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6"/>
      <c r="CV151" s="235"/>
      <c r="CW151" s="378"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294" t="str">
        <f>IF(ISNUMBER((SnapshotTable[[#This Row],[SP Total Value]])), SnapshotTable[[#This Row],[SP Gain Loss]] / SnapshotTable[[#This Row],[SP Premium]], "")</f>
        <v/>
      </c>
      <c r="DI151" s="406"/>
      <c r="DJ151" s="138"/>
      <c r="DK151" s="148"/>
      <c r="DL151" s="147"/>
      <c r="DM151" s="147"/>
      <c r="DO151" s="31">
        <f>IF(SnapshotTable[[#This Row],[LC Symbol Count]]=1, SnapshotTable[[#This Row],[LC Qty]] * SnapshotTable[[#This Row],[LC Book Price]] * 100, 0)</f>
        <v>0</v>
      </c>
      <c r="DP151" s="163" t="str">
        <f>IF(AND(SnapshotTable[[#This Row],[LC Exp Date]]&gt;0, SnapshotTable[[#This Row],[LC Strike Price]]&gt;0,SnapshotTable[[#This Row],[LC Qty]]&gt;0,SnapshotTable[[#This Row],[LC Book Date]]&gt;0,SnapshotTable[[#This Row],[LC Book Price]]&gt;0,SnapshotTable[[#This Row],[LC Fill Date]]=0),"Y","")</f>
        <v/>
      </c>
      <c r="DQ151" s="386" t="str">
        <f>IF(SnapshotTable[[#This Row],[LC Premium]] &gt; 0,SnapshotTable[[#This Row],[LC Exp Date]]-MAX(SnapshotTable[[#This Row],[LC Book Date]], SnapshotTable[[#This Row],[LC Fill Date]]),"")</f>
        <v/>
      </c>
      <c r="DR151" s="386" t="str">
        <f>IF(ISNUMBER(SnapshotTable[[#This Row],[LC Term]]), SnapshotTable[[#This Row],[LC Exp Date]] - MockToday, "")</f>
        <v/>
      </c>
      <c r="DS151" s="23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40" t="str">
        <f>IF(ISNUMBER(SnapshotTable[[#This Row],[LC Actual Gain Loss]]), SnapshotTable[[#This Row],[LC Actual Gain Loss]] / SnapshotTable[[#This Row],[LC Premium]],"")</f>
        <v/>
      </c>
      <c r="DX151" s="284" t="str">
        <f>IF(ISNUMBER(SnapshotTable[[#This Row],[LC Book Price]]),SnapshotTable[[#This Row],[LC Book Price]] * 1.5,"")</f>
        <v/>
      </c>
      <c r="DY151" s="265" t="str">
        <f>IF(SnapshotTable[[#This Row],[LC Premium]]&gt;0, SnapshotTable[[#This Row],[LC Next Target]] * SnapshotTable[[#This Row],[LC Qty]] * 100,"")</f>
        <v/>
      </c>
      <c r="DZ151" s="265" t="str">
        <f>IF(ISNUMBER(SnapshotTable[[#This Row],[LC Target Gross]]), SnapshotTable[[#This Row],[LC Target Gross]] - SnapshotTable[[#This Row],[LC Premium]], "")</f>
        <v/>
      </c>
      <c r="EA151" s="305" t="str">
        <f>IF(ISNUMBER(SnapshotTable[[#This Row],[LC Target Gain Loss]]), SnapshotTable[[#This Row],[LC Target Gain Loss]]/SnapshotTable[[#This Row],[LC Premium]], "")</f>
        <v/>
      </c>
      <c r="EB151" s="262"/>
      <c r="EC151" s="283" t="str">
        <f>IF(SnapshotTable[[#This Row],[LC Premium]]&gt;0, SnapshotTable[[#This Row],[LC Book Price]] * (1 - LC_StopLoss_Pct),"")</f>
        <v/>
      </c>
      <c r="ED151" s="284"/>
      <c r="EE151" s="28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4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7"/>
      <c r="EL151" s="138"/>
      <c r="EM151" s="148"/>
      <c r="EN151" s="147"/>
      <c r="EO151" s="147"/>
      <c r="EP151" s="138"/>
      <c r="EQ151" s="419" t="b">
        <f>AND(ISNUMBER(SnapshotTable[[#This Row],[SC Exp Date]]), ISNUMBER(SnapshotTable[[#This Row],[SC Strike Price]]), ISNUMBER(SnapshotTable[[#This Row],[SC Qty]]), ISNUMBER(SnapshotTable[[#This Row],[SC Book Date]]), ISNUMBER(SnapshotTable[[#This Row],[SC Book Price]]))</f>
        <v>0</v>
      </c>
      <c r="ER151" s="419" t="b">
        <f>AND(SnapshotTable[[#This Row],[SC Is Booked]], NOT(ISBLANK(SnapshotTable[[#This Row],[SC Fill Date]])))</f>
        <v>0</v>
      </c>
      <c r="ES151" s="370"/>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3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283"/>
      <c r="FA151" s="218"/>
      <c r="FB151" s="370"/>
      <c r="FC151" s="4">
        <f>IF(SnapshotTable[[#This Row],[SC Is Filled]], btc_max_buyback_amount(SnapshotTable[[#This Row],[SC Fill Date]],SnapshotTable[[#This Row],[SC Exp Date]], SnapshotTable[[#This Row],[SC Book Price]]),0)</f>
        <v>0</v>
      </c>
      <c r="FD151" s="5"/>
      <c r="FE151" s="144"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382">
        <f>IF(SnapshotTable[[#This Row],[SC Is Filled]], IF(ISNUMBER(SnapshotTable[[#This Row],[SC Current Ask]]), SnapshotTable[[#This Row],[SC Current Ask]], SnapshotTable[[#This Row],[SC Book Price]]) - SnapshotTable[[#This Row],[SC Intrinsic Value]], 0)</f>
        <v>0</v>
      </c>
      <c r="FI151" s="143"/>
      <c r="FJ151" s="32" t="str">
        <f>IF(SnapshotTable[[#This Row],[SC Is Filled]],100 * SnapshotTable[[#This Row],[SC Qty]] * IF(ISNUMBER(SnapshotTable[[#This Row],[SC Buyback Override]]), SnapshotTable[[#This Row],[SC Buyback Override]], SnapshotTable[[#This Row],[SC Current Ask]]), "")</f>
        <v/>
      </c>
      <c r="FK151" s="250" t="str">
        <f>IF(SnapshotTable[[#This Row],[SC Time Val]]&gt;0, SnapshotTable[[#This Row],[SC Time Val]] / SnapshotTable[[#This Row],[Last Price]],"")</f>
        <v/>
      </c>
      <c r="FL151" s="302" t="str">
        <f>IF(SnapshotTable[[#This Row],[SC Is Booked]], ((SnapshotTable[[#This Row],[Last Price]] -SnapshotTable[[#This Row],[SC Strike Price]]) / SnapshotTable[[#This Row],[Last Price]]) * -1, "")</f>
        <v/>
      </c>
      <c r="FM151" s="157" t="str">
        <f>IF(SnapshotTable[[#This Row],[SC Is Booked]],  (SnapshotTable[[#This Row],[SC Qty]] * 100 * SnapshotTable[[#This Row],[SC Strike Price]]) - SnapshotTable[[#This Row],[SC Current Ask]], "")</f>
        <v/>
      </c>
      <c r="FN15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7"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33"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36" t="str">
        <f>IF(AND(ISNUMBER(SnapshotTable[[#This Row],[SC Simple ROO]]),SnapshotTable[[#This Row],[SC Simple ROO]] &gt; 0), SnapshotTable[[#This Row],[SC Premium]] + (SnapshotTable[[#This Row],[SC Qty]] * SnapshotTable[[#This Row],[SC Upside Potential]]), "")</f>
        <v/>
      </c>
      <c r="FX151" s="302" t="str" cm="1">
        <f t="array" ref="FX151">IF(ISNUMBER(SnapshotTable[[#This Row],[SC Max Dollars]]), annualize(SnapshotTable[[#This Row],[SC Term]],(SnapshotTable[[#This Row],[SC Max Dollars]]/SnapshotTable[[#This Row],[SC Basis]])),"")</f>
        <v/>
      </c>
      <c r="FY151" s="23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294" t="str">
        <f>IFERROR( IF(ISNUMBER((SnapshotTable[[#This Row],[SC Current Value]])), SnapshotTable[[#This Row],[SC Gain Loss]] / SnapshotTable[[#This Row],[SC Premium]], ""), "")</f>
        <v/>
      </c>
      <c r="GB151" s="201">
        <f>SnapshotTable[[#This Row],[Equity Shares]] * SaleSharesToConsiderPercentage</f>
        <v>0</v>
      </c>
      <c r="GC151" s="202">
        <f>SnapshotTable[[#This Row],[Long Term Target]] * SellingPriceToConsiderBasedOnTargetPercentage</f>
        <v>34.836500000000001</v>
      </c>
      <c r="GD151" s="202">
        <f>SnapshotTable[[#This Row],[Last Price]] * (1+ SellingPriceToConsiderBasedOnTargetPercentage)</f>
        <v>77.180999999999997</v>
      </c>
      <c r="GE151" s="203"/>
      <c r="GF151" s="202"/>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8" t="str">
        <f>IF(SnapshotTable[[#This Row],[Sale G/L]]&gt;0, SnapshotTable[[#This Row],[Sale G/L]] / SnapshotTable[[#This Row],[Sale Basis]], IF(ISNUMBER(SnapshotTable[[#This Row],[SC Exercise P&amp;L (TAX)]]), SnapshotTable[[#This Row],[SC Exercise P&amp;L (TAX)]] / SnapshotTable[[#This Row],[SC Basis]], ""))</f>
        <v/>
      </c>
      <c r="GK151" s="158" t="s">
        <v>695</v>
      </c>
      <c r="GL151" s="159"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59" t="str">
        <f>IF(AND(SnapshotTable[[#This Row],[LC Exp Date]]&gt;0,SnapshotTable[[#This Row],[LC Strike Price]]&gt;0), [1]!ToOptionSymbol(SnapshotTable[[#This Row],[Symbol]], SnapshotTable[[#This Row],[LC Strike Price]],SnapshotTable[[#This Row],[LC Exp Date]],0), "")</f>
        <v/>
      </c>
      <c r="GQ151" s="160" t="str">
        <f>IF(LEN(SnapshotTable[[#This Row],[LC Symbol]])&gt;0, 1, "")</f>
        <v/>
      </c>
      <c r="GR151" s="159" t="str">
        <f>IF(AND(SnapshotTable[[#This Row],[SC Exp Date]]&gt;0,SnapshotTable[[#This Row],[SC Strike Price]]&gt;0), [1]!ToOptionSymbol(SnapshotTable[[#This Row],[Symbol]], SnapshotTable[[#This Row],[SC Strike Price]],SnapshotTable[[#This Row],[SC Exp Date]],0), "")</f>
        <v/>
      </c>
      <c r="GS151" s="160" t="str">
        <f>IF(LEN(SnapshotTable[[#This Row],[SC Symbol]])&gt;0, 1, "")</f>
        <v/>
      </c>
      <c r="GT151" s="161"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31">
        <f>MAX(SnapshotTable[[#This Row],[Equity Basis Total]],SnapshotTable[[#This Row],[Equity Value]]) + (SnapshotTable[[#This Row],[SP Potential Spend]]- SnapshotTable[[#This Row],[SP Premium]] + SnapshotTable[[#This Row],[LP Premium]])+ (SnapshotTable[[#This Row],[LC Premium]] - SnapshotTable[[#This Row],[SC Premium]])</f>
        <v>0</v>
      </c>
      <c r="GW151" s="139" t="str">
        <f>IF(AND(SnapshotTable[[#This Row],[Exposure]] &lt;&gt; 0),SnapshotTable[[#This Row],[Exposure]] / SnapshotTable[[#Totals],[Exposure]], "")</f>
        <v/>
      </c>
      <c r="HE151" s="268"/>
      <c r="HF151" s="268"/>
      <c r="HK151" s="1"/>
      <c r="HL151" s="1"/>
      <c r="HM151" s="1"/>
      <c r="HN151" s="1"/>
      <c r="HO151" s="1"/>
      <c r="HP151" s="1"/>
    </row>
    <row r="152" spans="2:224" ht="12.75" hidden="1" customHeight="1" x14ac:dyDescent="0.25">
      <c r="B152" s="12" t="s">
        <v>138</v>
      </c>
      <c r="C152" s="422">
        <v>144</v>
      </c>
      <c r="D152" s="208"/>
      <c r="E152" s="39">
        <f>SnapshotTable[[#This Row],[Last Price]]*(1 -CrashDiscount)</f>
        <v>122.39999999999999</v>
      </c>
      <c r="F152" s="26" t="s">
        <v>112</v>
      </c>
      <c r="G152" s="26" t="s">
        <v>41</v>
      </c>
      <c r="H152" s="149"/>
      <c r="I152" s="194">
        <v>44768.670138888891</v>
      </c>
      <c r="J152" s="195">
        <v>44768.670138888891</v>
      </c>
      <c r="K152" s="196"/>
      <c r="L152" s="326"/>
      <c r="M152" s="140"/>
      <c r="N152" s="140"/>
      <c r="O152" s="140">
        <v>3</v>
      </c>
      <c r="P152" s="22"/>
      <c r="Q152" s="25"/>
      <c r="R152" s="4" t="str">
        <f>IF(SnapshotTable[[#This Row],[Equity Basis Total]] &gt; 0, SnapshotTable[[#This Row],[Equity Basis Total]] / SnapshotTable[[#This Row],[Equity Shares]], "")</f>
        <v/>
      </c>
      <c r="S152" s="269">
        <f>SnapshotTable[[#This Row],[Last Price]] * SnapshotTable[[#This Row],[Equity Shares]]</f>
        <v>0</v>
      </c>
      <c r="T152" s="269">
        <f>SnapshotTable[[#This Row],[Equity Value]] - SnapshotTable[[#This Row],[Equity Basis Total]]</f>
        <v>0</v>
      </c>
      <c r="U152" s="270" t="str">
        <f>IF(SnapshotTable[[#This Row],[Equity Basis Total]] &gt; 0, SnapshotTable[[#This Row],[Equity G/L]] / SnapshotTable[[#This Row],[Equity Basis Total]], "")</f>
        <v/>
      </c>
      <c r="V152" s="268"/>
      <c r="W152" s="26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7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0">
        <v>0.67</v>
      </c>
      <c r="AD152" s="151">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4.6527777777777782E-3</v>
      </c>
      <c r="AH152" s="151">
        <v>42380</v>
      </c>
      <c r="AI152" s="5"/>
      <c r="AJ152" s="138">
        <v>90</v>
      </c>
      <c r="AK152" s="152" t="str">
        <f>IF(ISNUMBER( SnapshotTable[[#This Row],[EBF Target]]),(SnapshotTable[[#This Row],[EBF Target]] - SnapshotTable[[#This Row],[Last Price]]) / SnapshotTable[[#This Row],[Last Price]], "")</f>
        <v/>
      </c>
      <c r="AL152" s="152"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2">
        <f>IF(AND(ISNUMBER( SnapshotTable[[#This Row],[Long Term Target]]), ISNUMBER(SnapshotTable[[#This Row],[Last Price]])),(SnapshotTable[[#This Row],[Long Term Target]] - SnapshotTable[[#This Row],[Last Price]]) / SnapshotTable[[#This Row],[Last Price]], "")</f>
        <v>-0.375</v>
      </c>
      <c r="AP152" s="5"/>
      <c r="AQ152" s="38"/>
      <c r="AR152" s="5"/>
      <c r="AS152" s="38"/>
      <c r="AT152" s="146"/>
      <c r="AU152" s="187" t="str">
        <f>IF(OR(SnapshotTable[[#This Row],[LP No Fill]]="Y",SnapshotTable[[#This Row],[SP Is Filled]],SnapshotTable[[#This Row],[LC Not Filled]]="Y",SnapshotTable[[#This Row],[SC Is Filled]]),"Y","")</f>
        <v/>
      </c>
      <c r="AV152" s="219"/>
      <c r="AW152" s="225"/>
      <c r="AX152" s="220"/>
      <c r="AY152" s="219" t="str">
        <f>IF(SnapshotTable[[#This Row],[Implied Move]]&gt;0, SnapshotTable[[#This Row],[Last Price]]-SnapshotTable[[#This Row],[Implied Move]],"")</f>
        <v/>
      </c>
      <c r="AZ152" s="219" t="str">
        <f>IF(SnapshotTable[[#This Row],[Implied Move]]&gt;0, SnapshotTable[[#This Row],[Last Price]] + SnapshotTable[[#This Row],[Implied Move]],"")</f>
        <v/>
      </c>
      <c r="BA152" s="331"/>
      <c r="BB152" s="347"/>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51"/>
      <c r="BE152" s="5"/>
      <c r="BF152" s="14"/>
      <c r="BG152" s="13"/>
      <c r="BH152" s="13"/>
      <c r="BI152" s="5"/>
      <c r="BJ152" s="136">
        <f>IF(SnapshotTable[[#This Row],[LP Qty]] &gt; 0, SnapshotTable[[#This Row],[LP Qty]] * SnapshotTable[[#This Row],[LP Book Price]] * 100,0)</f>
        <v>0</v>
      </c>
      <c r="BK152" s="136">
        <f>IF(SnapshotTable[[#This Row],[LP Premium]] &gt; 0, SnapshotTable[[#This Row],[LP Qty]] * SnapshotTable[[#This Row],[LP Strike Price]] * 100,0)</f>
        <v>0</v>
      </c>
      <c r="BL152" s="154"/>
      <c r="BM152" s="385" t="str">
        <f>IF(SnapshotTable[[#This Row],[LP Premium]] &gt; 0,SnapshotTable[[#This Row],[LP Exp Date]]-MAX(SnapshotTable[[#This Row],[LP Book Date]], SnapshotTable[[#This Row],[LP Fill Date]]),"")</f>
        <v/>
      </c>
      <c r="BN152" s="385" t="str">
        <f>IF(ISNUMBER( SnapshotTable[[#This Row],[LP Term]]), SnapshotTable[[#This Row],[LP Exp Date]] - MockToday,"")</f>
        <v/>
      </c>
      <c r="BO152" s="163"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7"/>
      <c r="BU152" s="13"/>
      <c r="BV152" s="5"/>
      <c r="BW152" s="419" t="b">
        <f>AND(ISNUMBER(SnapshotTable[[#This Row],[SP Exp Date]]), ISNUMBER(SnapshotTable[[#This Row],[SP Strike Price]]), ISNUMBER(SnapshotTable[[#This Row],[SP Qty]]), ISNUMBER(SnapshotTable[[#This Row],[SP Book Date]]), ISNUMBER(SnapshotTable[[#This Row],[SP Book Price]]))</f>
        <v>0</v>
      </c>
      <c r="BX152" s="419" t="b">
        <f>AND(SnapshotTable[[#This Row],[SP Is Booked]], NOT(ISBLANK(SnapshotTable[[#This Row],[SP Fill Date]])))</f>
        <v>0</v>
      </c>
      <c r="BY152" s="33">
        <f>IF(SnapshotTable[[#This Row],[SP Is Booked]], SnapshotTable[[#This Row],[SP Qty]] * SnapshotTable[[#This Row],[SP Book Price]] * 100, 0)</f>
        <v>0</v>
      </c>
      <c r="BZ152" s="369"/>
      <c r="CA152" s="368">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3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44"/>
      <c r="CK152" s="31">
        <f>IF(ISNUMBER(SnapshotTable[[#This Row],[SP Potential Spend]]),IF(ISNUMBER(SnapshotTable[[#This Row],[SP POW]]), SnapshotTable[[#This Row],[SP POW]] * SnapshotTable[[#This Row],[SP Potential Spend]], SnapshotTable[[#This Row],[SP Potential Spend]]), "")</f>
        <v>0</v>
      </c>
      <c r="CL152" s="164">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8"/>
      <c r="CO152" s="369"/>
      <c r="CP152" s="4" t="str">
        <f>IF(SnapshotTable[[#This Row],[SP Is Filled]], btc_max_buyback_amount(SnapshotTable[[#This Row],[SP Fill Date]],SnapshotTable[[#This Row],[SP Exp Date]], SnapshotTable[[#This Row],[SP Book Price]]),"")</f>
        <v/>
      </c>
      <c r="CQ152" s="78"/>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5" t="str">
        <f>IF(SnapshotTable[[#This Row],[SP Is Filled]], btc_next_cutoff_date(SnapshotTable[[#This Row],[SP Fill Date]],SnapshotTable[[#This Row],[SP Exp Date]]),"")</f>
        <v/>
      </c>
      <c r="CT152" s="23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3"/>
      <c r="CV152" s="235"/>
      <c r="CW152" s="378"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294" t="str">
        <f>IF(ISNUMBER((SnapshotTable[[#This Row],[SP Total Value]])), SnapshotTable[[#This Row],[SP Gain Loss]] / SnapshotTable[[#This Row],[SP Premium]], "")</f>
        <v/>
      </c>
      <c r="DI152" s="406"/>
      <c r="DJ152" s="138"/>
      <c r="DK152" s="148"/>
      <c r="DL152" s="13"/>
      <c r="DM152" s="13"/>
      <c r="DO152" s="31">
        <f>IF(SnapshotTable[[#This Row],[LC Symbol Count]]=1, SnapshotTable[[#This Row],[LC Qty]] * SnapshotTable[[#This Row],[LC Book Price]] * 100, 0)</f>
        <v>0</v>
      </c>
      <c r="DP152" s="163" t="str">
        <f>IF(AND(SnapshotTable[[#This Row],[LC Exp Date]]&gt;0, SnapshotTable[[#This Row],[LC Strike Price]]&gt;0,SnapshotTable[[#This Row],[LC Qty]]&gt;0,SnapshotTable[[#This Row],[LC Book Date]]&gt;0,SnapshotTable[[#This Row],[LC Book Price]]&gt;0,SnapshotTable[[#This Row],[LC Fill Date]]=0),"Y","")</f>
        <v/>
      </c>
      <c r="DQ152" s="386" t="str">
        <f>IF(SnapshotTable[[#This Row],[LC Premium]] &gt; 0,SnapshotTable[[#This Row],[LC Exp Date]]-MAX(SnapshotTable[[#This Row],[LC Book Date]], SnapshotTable[[#This Row],[LC Fill Date]]),"")</f>
        <v/>
      </c>
      <c r="DR152" s="386" t="str">
        <f>IF(ISNUMBER(SnapshotTable[[#This Row],[LC Term]]), SnapshotTable[[#This Row],[LC Exp Date]] - MockToday, "")</f>
        <v/>
      </c>
      <c r="DS152" s="23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40" t="str">
        <f>IF(ISNUMBER(SnapshotTable[[#This Row],[LC Actual Gain Loss]]), SnapshotTable[[#This Row],[LC Actual Gain Loss]] / SnapshotTable[[#This Row],[LC Premium]],"")</f>
        <v/>
      </c>
      <c r="DX152" s="284" t="str">
        <f>IF(ISNUMBER(SnapshotTable[[#This Row],[LC Book Price]]),SnapshotTable[[#This Row],[LC Book Price]] * 1.5,"")</f>
        <v/>
      </c>
      <c r="DY152" s="265" t="str">
        <f>IF(SnapshotTable[[#This Row],[LC Premium]]&gt;0, SnapshotTable[[#This Row],[LC Next Target]] * SnapshotTable[[#This Row],[LC Qty]] * 100,"")</f>
        <v/>
      </c>
      <c r="DZ152" s="265" t="str">
        <f>IF(ISNUMBER(SnapshotTable[[#This Row],[LC Target Gross]]), SnapshotTable[[#This Row],[LC Target Gross]] - SnapshotTable[[#This Row],[LC Premium]], "")</f>
        <v/>
      </c>
      <c r="EA152" s="305" t="str">
        <f>IF(ISNUMBER(SnapshotTable[[#This Row],[LC Target Gain Loss]]), SnapshotTable[[#This Row],[LC Target Gain Loss]]/SnapshotTable[[#This Row],[LC Premium]], "")</f>
        <v/>
      </c>
      <c r="EB152" s="262"/>
      <c r="EC152" s="283" t="str">
        <f>IF(SnapshotTable[[#This Row],[LC Premium]]&gt;0, SnapshotTable[[#This Row],[LC Book Price]] * (1 - LC_StopLoss_Pct),"")</f>
        <v/>
      </c>
      <c r="ED152" s="284"/>
      <c r="EE152" s="28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4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7"/>
      <c r="EL152" s="138"/>
      <c r="EM152" s="148"/>
      <c r="EN152" s="147"/>
      <c r="EO152" s="147"/>
      <c r="EP152" s="138"/>
      <c r="EQ152" s="419" t="b">
        <f>AND(ISNUMBER(SnapshotTable[[#This Row],[SC Exp Date]]), ISNUMBER(SnapshotTable[[#This Row],[SC Strike Price]]), ISNUMBER(SnapshotTable[[#This Row],[SC Qty]]), ISNUMBER(SnapshotTable[[#This Row],[SC Book Date]]), ISNUMBER(SnapshotTable[[#This Row],[SC Book Price]]))</f>
        <v>0</v>
      </c>
      <c r="ER152" s="419" t="b">
        <f>AND(SnapshotTable[[#This Row],[SC Is Booked]], NOT(ISBLANK(SnapshotTable[[#This Row],[SC Fill Date]])))</f>
        <v>0</v>
      </c>
      <c r="ES152" s="370"/>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3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283"/>
      <c r="FA152" s="218"/>
      <c r="FB152" s="370"/>
      <c r="FC152" s="4">
        <f>IF(SnapshotTable[[#This Row],[SC Is Filled]], btc_max_buyback_amount(SnapshotTable[[#This Row],[SC Fill Date]],SnapshotTable[[#This Row],[SC Exp Date]], SnapshotTable[[#This Row],[SC Book Price]]),0)</f>
        <v>0</v>
      </c>
      <c r="FD152" s="5"/>
      <c r="FE152" s="144"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382">
        <f>IF(SnapshotTable[[#This Row],[SC Is Filled]], IF(ISNUMBER(SnapshotTable[[#This Row],[SC Current Ask]]), SnapshotTable[[#This Row],[SC Current Ask]], SnapshotTable[[#This Row],[SC Book Price]]) - SnapshotTable[[#This Row],[SC Intrinsic Value]], 0)</f>
        <v>0</v>
      </c>
      <c r="FI152" s="143"/>
      <c r="FJ152" s="32" t="str">
        <f>IF(SnapshotTable[[#This Row],[SC Is Filled]],100 * SnapshotTable[[#This Row],[SC Qty]] * IF(ISNUMBER(SnapshotTable[[#This Row],[SC Buyback Override]]), SnapshotTable[[#This Row],[SC Buyback Override]], SnapshotTable[[#This Row],[SC Current Ask]]), "")</f>
        <v/>
      </c>
      <c r="FK152" s="250" t="str">
        <f>IF(SnapshotTable[[#This Row],[SC Time Val]]&gt;0, SnapshotTable[[#This Row],[SC Time Val]] / SnapshotTable[[#This Row],[Last Price]],"")</f>
        <v/>
      </c>
      <c r="FL152" s="302" t="str">
        <f>IF(SnapshotTable[[#This Row],[SC Is Booked]], ((SnapshotTable[[#This Row],[Last Price]] -SnapshotTable[[#This Row],[SC Strike Price]]) / SnapshotTable[[#This Row],[Last Price]]) * -1, "")</f>
        <v/>
      </c>
      <c r="FM152" s="157"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33"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36" t="str">
        <f>IF(AND(ISNUMBER(SnapshotTable[[#This Row],[SC Simple ROO]]),SnapshotTable[[#This Row],[SC Simple ROO]] &gt; 0), SnapshotTable[[#This Row],[SC Premium]] + (SnapshotTable[[#This Row],[SC Qty]] * SnapshotTable[[#This Row],[SC Upside Potential]]), "")</f>
        <v/>
      </c>
      <c r="FX152" s="302" t="str" cm="1">
        <f t="array" ref="FX152">IF(ISNUMBER(SnapshotTable[[#This Row],[SC Max Dollars]]), annualize(SnapshotTable[[#This Row],[SC Term]],(SnapshotTable[[#This Row],[SC Max Dollars]]/SnapshotTable[[#This Row],[SC Basis]])),"")</f>
        <v/>
      </c>
      <c r="FY152" s="23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29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280.8</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696</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31">
        <f>MAX(SnapshotTable[[#This Row],[Equity Basis Total]],SnapshotTable[[#This Row],[Equity Value]]) + (SnapshotTable[[#This Row],[SP Potential Spend]]- SnapshotTable[[#This Row],[SP Premium]] + SnapshotTable[[#This Row],[LP Premium]])+ (SnapshotTable[[#This Row],[LC Premium]] - SnapshotTable[[#This Row],[SC Premium]])</f>
        <v>0</v>
      </c>
      <c r="GW152" s="139" t="str">
        <f>IF(AND(SnapshotTable[[#This Row],[Exposure]] &lt;&gt; 0),SnapshotTable[[#This Row],[Exposure]] / SnapshotTable[[#Totals],[Exposure]], "")</f>
        <v/>
      </c>
      <c r="HE152" s="268"/>
      <c r="HF152" s="268"/>
      <c r="HK152" s="1"/>
      <c r="HL152" s="1"/>
      <c r="HM152" s="1"/>
      <c r="HN152" s="1"/>
      <c r="HO152" s="1"/>
      <c r="HP152" s="1"/>
    </row>
    <row r="153" spans="2:224" ht="12.75" hidden="1" customHeight="1" x14ac:dyDescent="0.25">
      <c r="B153" s="12" t="s">
        <v>98</v>
      </c>
      <c r="C153" s="422">
        <v>8.19</v>
      </c>
      <c r="D153" s="208"/>
      <c r="E153" s="39">
        <f>SnapshotTable[[#This Row],[Last Price]]*(1 -CrashDiscount)</f>
        <v>6.9614999999999991</v>
      </c>
      <c r="F153" s="26" t="s">
        <v>97</v>
      </c>
      <c r="G153" s="26" t="s">
        <v>41</v>
      </c>
      <c r="H153" s="149"/>
      <c r="I153" s="194">
        <v>44768.670138888891</v>
      </c>
      <c r="J153" s="195">
        <v>44768.670138888891</v>
      </c>
      <c r="K153" s="196"/>
      <c r="L153" s="326"/>
      <c r="M153" s="140"/>
      <c r="N153" s="140"/>
      <c r="O153" s="140"/>
      <c r="P153" s="22"/>
      <c r="Q153" s="25"/>
      <c r="R153" s="4" t="str">
        <f>IF(SnapshotTable[[#This Row],[Equity Basis Total]] &gt; 0, SnapshotTable[[#This Row],[Equity Basis Total]] / SnapshotTable[[#This Row],[Equity Shares]], "")</f>
        <v/>
      </c>
      <c r="S153" s="269">
        <f>SnapshotTable[[#This Row],[Last Price]] * SnapshotTable[[#This Row],[Equity Shares]]</f>
        <v>0</v>
      </c>
      <c r="T153" s="269">
        <f>SnapshotTable[[#This Row],[Equity Value]] - SnapshotTable[[#This Row],[Equity Basis Total]]</f>
        <v>0</v>
      </c>
      <c r="U153" s="270" t="str">
        <f>IF(SnapshotTable[[#This Row],[Equity Basis Total]] &gt; 0, SnapshotTable[[#This Row],[Equity G/L]] / SnapshotTable[[#This Row],[Equity Basis Total]], "")</f>
        <v/>
      </c>
      <c r="V153" s="268"/>
      <c r="W153" s="26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7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0">
        <v>0.6</v>
      </c>
      <c r="AD153" s="151">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1">
        <v>42247</v>
      </c>
      <c r="AI153" s="5"/>
      <c r="AJ153" s="138">
        <v>20</v>
      </c>
      <c r="AK153" s="152" t="str">
        <f>IF(ISNUMBER( SnapshotTable[[#This Row],[EBF Target]]),(SnapshotTable[[#This Row],[EBF Target]] - SnapshotTable[[#This Row],[Last Price]]) / SnapshotTable[[#This Row],[Last Price]], "")</f>
        <v/>
      </c>
      <c r="AL153" s="152"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2">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6"/>
      <c r="AU153" s="187" t="str">
        <f>IF(OR(SnapshotTable[[#This Row],[LP No Fill]]="Y",SnapshotTable[[#This Row],[SP Is Filled]],SnapshotTable[[#This Row],[LC Not Filled]]="Y",SnapshotTable[[#This Row],[SC Is Filled]]),"Y","")</f>
        <v/>
      </c>
      <c r="AV153" s="219"/>
      <c r="AW153" s="225"/>
      <c r="AX153" s="220"/>
      <c r="AY153" s="219" t="str">
        <f>IF(SnapshotTable[[#This Row],[Implied Move]]&gt;0, SnapshotTable[[#This Row],[Last Price]]-SnapshotTable[[#This Row],[Implied Move]],"")</f>
        <v/>
      </c>
      <c r="AZ153" s="219" t="str">
        <f>IF(SnapshotTable[[#This Row],[Implied Move]]&gt;0, SnapshotTable[[#This Row],[Last Price]] + SnapshotTable[[#This Row],[Implied Move]],"")</f>
        <v/>
      </c>
      <c r="BA153" s="331"/>
      <c r="BB153" s="347"/>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51"/>
      <c r="BE153" s="5"/>
      <c r="BF153" s="14"/>
      <c r="BG153" s="13"/>
      <c r="BH153" s="13"/>
      <c r="BI153" s="5"/>
      <c r="BJ153" s="136">
        <f>IF(SnapshotTable[[#This Row],[LP Qty]] &gt; 0, SnapshotTable[[#This Row],[LP Qty]] * SnapshotTable[[#This Row],[LP Book Price]] * 100,0)</f>
        <v>0</v>
      </c>
      <c r="BK153" s="136">
        <f>IF(SnapshotTable[[#This Row],[LP Premium]] &gt; 0, SnapshotTable[[#This Row],[LP Qty]] * SnapshotTable[[#This Row],[LP Strike Price]] * 100,0)</f>
        <v>0</v>
      </c>
      <c r="BL153" s="154"/>
      <c r="BM153" s="385" t="str">
        <f>IF(SnapshotTable[[#This Row],[LP Premium]] &gt; 0,SnapshotTable[[#This Row],[LP Exp Date]]-MAX(SnapshotTable[[#This Row],[LP Book Date]], SnapshotTable[[#This Row],[LP Fill Date]]),"")</f>
        <v/>
      </c>
      <c r="BN153" s="385" t="str">
        <f>IF(ISNUMBER( SnapshotTable[[#This Row],[LP Term]]), SnapshotTable[[#This Row],[LP Exp Date]] - MockToday,"")</f>
        <v/>
      </c>
      <c r="BO153" s="163"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7"/>
      <c r="BU153" s="13"/>
      <c r="BV153" s="5"/>
      <c r="BW153" s="419" t="b">
        <f>AND(ISNUMBER(SnapshotTable[[#This Row],[SP Exp Date]]), ISNUMBER(SnapshotTable[[#This Row],[SP Strike Price]]), ISNUMBER(SnapshotTable[[#This Row],[SP Qty]]), ISNUMBER(SnapshotTable[[#This Row],[SP Book Date]]), ISNUMBER(SnapshotTable[[#This Row],[SP Book Price]]))</f>
        <v>0</v>
      </c>
      <c r="BX153" s="419" t="b">
        <f>AND(SnapshotTable[[#This Row],[SP Is Booked]], NOT(ISBLANK(SnapshotTable[[#This Row],[SP Fill Date]])))</f>
        <v>0</v>
      </c>
      <c r="BY153" s="33">
        <f>IF(SnapshotTable[[#This Row],[SP Is Booked]], SnapshotTable[[#This Row],[SP Qty]] * SnapshotTable[[#This Row],[SP Book Price]] * 100, 0)</f>
        <v>0</v>
      </c>
      <c r="BZ153" s="369"/>
      <c r="CA153" s="368">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3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44"/>
      <c r="CK153" s="31">
        <f>IF(ISNUMBER(SnapshotTable[[#This Row],[SP Potential Spend]]),IF(ISNUMBER(SnapshotTable[[#This Row],[SP POW]]), SnapshotTable[[#This Row],[SP POW]] * SnapshotTable[[#This Row],[SP Potential Spend]], SnapshotTable[[#This Row],[SP Potential Spend]]), "")</f>
        <v>0</v>
      </c>
      <c r="CL153" s="164">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8"/>
      <c r="CO153" s="369"/>
      <c r="CP153" s="4" t="str">
        <f>IF(SnapshotTable[[#This Row],[SP Is Filled]], btc_max_buyback_amount(SnapshotTable[[#This Row],[SP Fill Date]],SnapshotTable[[#This Row],[SP Exp Date]], SnapshotTable[[#This Row],[SP Book Price]]),"")</f>
        <v/>
      </c>
      <c r="CQ153" s="78"/>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5" t="str">
        <f>IF(SnapshotTable[[#This Row],[SP Is Filled]], btc_next_cutoff_date(SnapshotTable[[#This Row],[SP Fill Date]],SnapshotTable[[#This Row],[SP Exp Date]]),"")</f>
        <v/>
      </c>
      <c r="CT153" s="23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3"/>
      <c r="CV153" s="235"/>
      <c r="CW153" s="378"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294" t="str">
        <f>IF(ISNUMBER((SnapshotTable[[#This Row],[SP Total Value]])), SnapshotTable[[#This Row],[SP Gain Loss]] / SnapshotTable[[#This Row],[SP Premium]], "")</f>
        <v/>
      </c>
      <c r="DI153" s="406"/>
      <c r="DJ153" s="138"/>
      <c r="DK153" s="148"/>
      <c r="DL153" s="13"/>
      <c r="DM153" s="13"/>
      <c r="DO153" s="31">
        <f>IF(SnapshotTable[[#This Row],[LC Symbol Count]]=1, SnapshotTable[[#This Row],[LC Qty]] * SnapshotTable[[#This Row],[LC Book Price]] * 100, 0)</f>
        <v>0</v>
      </c>
      <c r="DP153" s="163" t="str">
        <f>IF(AND(SnapshotTable[[#This Row],[LC Exp Date]]&gt;0, SnapshotTable[[#This Row],[LC Strike Price]]&gt;0,SnapshotTable[[#This Row],[LC Qty]]&gt;0,SnapshotTable[[#This Row],[LC Book Date]]&gt;0,SnapshotTable[[#This Row],[LC Book Price]]&gt;0,SnapshotTable[[#This Row],[LC Fill Date]]=0),"Y","")</f>
        <v/>
      </c>
      <c r="DQ153" s="386" t="str">
        <f>IF(SnapshotTable[[#This Row],[LC Premium]] &gt; 0,SnapshotTable[[#This Row],[LC Exp Date]]-MAX(SnapshotTable[[#This Row],[LC Book Date]], SnapshotTable[[#This Row],[LC Fill Date]]),"")</f>
        <v/>
      </c>
      <c r="DR153" s="386" t="str">
        <f>IF(ISNUMBER(SnapshotTable[[#This Row],[LC Term]]), SnapshotTable[[#This Row],[LC Exp Date]] - MockToday, "")</f>
        <v/>
      </c>
      <c r="DS153" s="23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40" t="str">
        <f>IF(ISNUMBER(SnapshotTable[[#This Row],[LC Actual Gain Loss]]), SnapshotTable[[#This Row],[LC Actual Gain Loss]] / SnapshotTable[[#This Row],[LC Premium]],"")</f>
        <v/>
      </c>
      <c r="DX153" s="284" t="str">
        <f>IF(ISNUMBER(SnapshotTable[[#This Row],[LC Book Price]]),SnapshotTable[[#This Row],[LC Book Price]] * 1.5,"")</f>
        <v/>
      </c>
      <c r="DY153" s="265" t="str">
        <f>IF(SnapshotTable[[#This Row],[LC Premium]]&gt;0, SnapshotTable[[#This Row],[LC Next Target]] * SnapshotTable[[#This Row],[LC Qty]] * 100,"")</f>
        <v/>
      </c>
      <c r="DZ153" s="265" t="str">
        <f>IF(ISNUMBER(SnapshotTable[[#This Row],[LC Target Gross]]), SnapshotTable[[#This Row],[LC Target Gross]] - SnapshotTable[[#This Row],[LC Premium]], "")</f>
        <v/>
      </c>
      <c r="EA153" s="305" t="str">
        <f>IF(ISNUMBER(SnapshotTable[[#This Row],[LC Target Gain Loss]]), SnapshotTable[[#This Row],[LC Target Gain Loss]]/SnapshotTable[[#This Row],[LC Premium]], "")</f>
        <v/>
      </c>
      <c r="EB153" s="262"/>
      <c r="EC153" s="283" t="str">
        <f>IF(SnapshotTable[[#This Row],[LC Premium]]&gt;0, SnapshotTable[[#This Row],[LC Book Price]] * (1 - LC_StopLoss_Pct),"")</f>
        <v/>
      </c>
      <c r="ED153" s="284"/>
      <c r="EE153" s="28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4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7"/>
      <c r="EL153" s="138"/>
      <c r="EM153" s="148"/>
      <c r="EN153" s="147"/>
      <c r="EO153" s="147"/>
      <c r="EP153" s="138"/>
      <c r="EQ153" s="419" t="b">
        <f>AND(ISNUMBER(SnapshotTable[[#This Row],[SC Exp Date]]), ISNUMBER(SnapshotTable[[#This Row],[SC Strike Price]]), ISNUMBER(SnapshotTable[[#This Row],[SC Qty]]), ISNUMBER(SnapshotTable[[#This Row],[SC Book Date]]), ISNUMBER(SnapshotTable[[#This Row],[SC Book Price]]))</f>
        <v>0</v>
      </c>
      <c r="ER153" s="419" t="b">
        <f>AND(SnapshotTable[[#This Row],[SC Is Booked]], NOT(ISBLANK(SnapshotTable[[#This Row],[SC Fill Date]])))</f>
        <v>0</v>
      </c>
      <c r="ES153" s="370"/>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3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283"/>
      <c r="FA153" s="218"/>
      <c r="FB153" s="370"/>
      <c r="FC153" s="4">
        <f>IF(SnapshotTable[[#This Row],[SC Is Filled]], btc_max_buyback_amount(SnapshotTable[[#This Row],[SC Fill Date]],SnapshotTable[[#This Row],[SC Exp Date]], SnapshotTable[[#This Row],[SC Book Price]]),0)</f>
        <v>0</v>
      </c>
      <c r="FD153" s="5"/>
      <c r="FE153" s="144"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382">
        <f>IF(SnapshotTable[[#This Row],[SC Is Filled]], IF(ISNUMBER(SnapshotTable[[#This Row],[SC Current Ask]]), SnapshotTable[[#This Row],[SC Current Ask]], SnapshotTable[[#This Row],[SC Book Price]]) - SnapshotTable[[#This Row],[SC Intrinsic Value]], 0)</f>
        <v>0</v>
      </c>
      <c r="FI153" s="143"/>
      <c r="FJ153" s="32" t="str">
        <f>IF(SnapshotTable[[#This Row],[SC Is Filled]],100 * SnapshotTable[[#This Row],[SC Qty]] * IF(ISNUMBER(SnapshotTable[[#This Row],[SC Buyback Override]]), SnapshotTable[[#This Row],[SC Buyback Override]], SnapshotTable[[#This Row],[SC Current Ask]]), "")</f>
        <v/>
      </c>
      <c r="FK153" s="250" t="str">
        <f>IF(SnapshotTable[[#This Row],[SC Time Val]]&gt;0, SnapshotTable[[#This Row],[SC Time Val]] / SnapshotTable[[#This Row],[Last Price]],"")</f>
        <v/>
      </c>
      <c r="FL153" s="302" t="str">
        <f>IF(SnapshotTable[[#This Row],[SC Is Booked]], ((SnapshotTable[[#This Row],[Last Price]] -SnapshotTable[[#This Row],[SC Strike Price]]) / SnapshotTable[[#This Row],[Last Price]]) * -1, "")</f>
        <v/>
      </c>
      <c r="FM153" s="157"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33"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36" t="str">
        <f>IF(AND(ISNUMBER(SnapshotTable[[#This Row],[SC Simple ROO]]),SnapshotTable[[#This Row],[SC Simple ROO]] &gt; 0), SnapshotTable[[#This Row],[SC Premium]] + (SnapshotTable[[#This Row],[SC Qty]] * SnapshotTable[[#This Row],[SC Upside Potential]]), "")</f>
        <v/>
      </c>
      <c r="FX153" s="302" t="str" cm="1">
        <f t="array" ref="FX153">IF(ISNUMBER(SnapshotTable[[#This Row],[SC Max Dollars]]), annualize(SnapshotTable[[#This Row],[SC Term]],(SnapshotTable[[#This Row],[SC Max Dollars]]/SnapshotTable[[#This Row],[SC Basis]])),"")</f>
        <v/>
      </c>
      <c r="FY153" s="23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29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697</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31">
        <f>MAX(SnapshotTable[[#This Row],[Equity Basis Total]],SnapshotTable[[#This Row],[Equity Value]]) + (SnapshotTable[[#This Row],[SP Potential Spend]]- SnapshotTable[[#This Row],[SP Premium]] + SnapshotTable[[#This Row],[LP Premium]])+ (SnapshotTable[[#This Row],[LC Premium]] - SnapshotTable[[#This Row],[SC Premium]])</f>
        <v>0</v>
      </c>
      <c r="GW153" s="139" t="str">
        <f>IF(AND(SnapshotTable[[#This Row],[Exposure]] &lt;&gt; 0),SnapshotTable[[#This Row],[Exposure]] / SnapshotTable[[#Totals],[Exposure]], "")</f>
        <v/>
      </c>
      <c r="HE153" s="268"/>
      <c r="HF153" s="268"/>
      <c r="HK153" s="1"/>
      <c r="HL153" s="1"/>
      <c r="HM153" s="1"/>
      <c r="HN153" s="1"/>
      <c r="HO153" s="1"/>
      <c r="HP153" s="1"/>
    </row>
    <row r="154" spans="2:224" ht="12.75" hidden="1" customHeight="1" x14ac:dyDescent="0.25">
      <c r="B154" s="12" t="s">
        <v>985</v>
      </c>
      <c r="C154" s="422">
        <v>18.329999999999998</v>
      </c>
      <c r="D154" s="208" t="s">
        <v>578</v>
      </c>
      <c r="E154" s="39">
        <f>SnapshotTable[[#This Row],[Last Price]]*(1 -CrashDiscount)</f>
        <v>15.580499999999999</v>
      </c>
      <c r="F154" s="26" t="s">
        <v>986</v>
      </c>
      <c r="G154" s="26" t="s">
        <v>610</v>
      </c>
      <c r="H154" s="149"/>
      <c r="I154" s="194">
        <v>44768.670138888891</v>
      </c>
      <c r="J154" s="195">
        <v>44768.670138888891</v>
      </c>
      <c r="K154" s="196"/>
      <c r="L154" s="326"/>
      <c r="M154" s="140"/>
      <c r="N154" s="140"/>
      <c r="O154" s="140"/>
      <c r="P154" s="22"/>
      <c r="Q154" s="25"/>
      <c r="R154" s="4" t="str">
        <f>IF(SnapshotTable[[#This Row],[Equity Basis Total]] &gt; 0, SnapshotTable[[#This Row],[Equity Basis Total]] / SnapshotTable[[#This Row],[Equity Shares]], "")</f>
        <v/>
      </c>
      <c r="S154" s="269">
        <f>SnapshotTable[[#This Row],[Last Price]] * SnapshotTable[[#This Row],[Equity Shares]]</f>
        <v>0</v>
      </c>
      <c r="T154" s="269">
        <f>SnapshotTable[[#This Row],[Equity Value]] - SnapshotTable[[#This Row],[Equity Basis Total]]</f>
        <v>0</v>
      </c>
      <c r="U154" s="270" t="str">
        <f>IF(SnapshotTable[[#This Row],[Equity Basis Total]] &gt; 0, SnapshotTable[[#This Row],[Equity G/L]] / SnapshotTable[[#This Row],[Equity Basis Total]], "")</f>
        <v/>
      </c>
      <c r="V154" s="268">
        <v>28.44</v>
      </c>
      <c r="W154" s="26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7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0"/>
      <c r="AD154" s="151"/>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1"/>
      <c r="AI154" s="5"/>
      <c r="AJ154" s="138">
        <v>34</v>
      </c>
      <c r="AK154" s="152" t="str">
        <f>IF(ISNUMBER( SnapshotTable[[#This Row],[EBF Target]]),(SnapshotTable[[#This Row],[EBF Target]] - SnapshotTable[[#This Row],[Last Price]]) / SnapshotTable[[#This Row],[Last Price]], "")</f>
        <v/>
      </c>
      <c r="AL154" s="152"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2">
        <f>IF(AND(ISNUMBER( SnapshotTable[[#This Row],[Long Term Target]]), ISNUMBER(SnapshotTable[[#This Row],[Last Price]])),(SnapshotTable[[#This Row],[Long Term Target]] - SnapshotTable[[#This Row],[Last Price]]) / SnapshotTable[[#This Row],[Last Price]], "")</f>
        <v>0.85488270594653593</v>
      </c>
      <c r="AP154" s="5">
        <v>28.44</v>
      </c>
      <c r="AQ154" s="38" t="s">
        <v>89</v>
      </c>
      <c r="AR154" s="5">
        <v>26.88</v>
      </c>
      <c r="AS154" s="38" t="s">
        <v>32</v>
      </c>
      <c r="AT154" s="146"/>
      <c r="AU154" s="187" t="str">
        <f>IF(OR(SnapshotTable[[#This Row],[LP No Fill]]="Y",SnapshotTable[[#This Row],[SP Is Filled]],SnapshotTable[[#This Row],[LC Not Filled]]="Y",SnapshotTable[[#This Row],[SC Is Filled]]),"Y","")</f>
        <v/>
      </c>
      <c r="AV154" s="219"/>
      <c r="AW154" s="225"/>
      <c r="AX154" s="220"/>
      <c r="AY154" s="219" t="str">
        <f>IF(SnapshotTable[[#This Row],[Implied Move]]&gt;0, SnapshotTable[[#This Row],[Last Price]]-SnapshotTable[[#This Row],[Implied Move]],"")</f>
        <v/>
      </c>
      <c r="AZ154" s="219" t="str">
        <f>IF(SnapshotTable[[#This Row],[Implied Move]]&gt;0, SnapshotTable[[#This Row],[Last Price]] + SnapshotTable[[#This Row],[Implied Move]],"")</f>
        <v/>
      </c>
      <c r="BA154" s="331">
        <v>26.17</v>
      </c>
      <c r="BB154" s="347" t="s">
        <v>997</v>
      </c>
      <c r="BC154" s="37"/>
      <c r="BD154" s="351"/>
      <c r="BE154" s="5"/>
      <c r="BF154" s="14"/>
      <c r="BG154" s="13"/>
      <c r="BH154" s="13"/>
      <c r="BI154" s="5"/>
      <c r="BJ154" s="136">
        <f>IF(SnapshotTable[[#This Row],[LP Qty]] &gt; 0, SnapshotTable[[#This Row],[LP Qty]] * SnapshotTable[[#This Row],[LP Book Price]] * 100,0)</f>
        <v>0</v>
      </c>
      <c r="BK154" s="136">
        <f>IF(SnapshotTable[[#This Row],[LP Premium]] &gt; 0, SnapshotTable[[#This Row],[LP Qty]] * SnapshotTable[[#This Row],[LP Strike Price]] * 100,0)</f>
        <v>0</v>
      </c>
      <c r="BL154" s="154"/>
      <c r="BM154" s="385" t="str">
        <f>IF(SnapshotTable[[#This Row],[LP Premium]] &gt; 0,SnapshotTable[[#This Row],[LP Exp Date]]-MAX(SnapshotTable[[#This Row],[LP Book Date]], SnapshotTable[[#This Row],[LP Fill Date]]),"")</f>
        <v/>
      </c>
      <c r="BN154" s="385" t="str">
        <f>IF(ISNUMBER( SnapshotTable[[#This Row],[LP Term]]), SnapshotTable[[#This Row],[LP Exp Date]] - MockToday,"")</f>
        <v/>
      </c>
      <c r="BO154" s="163"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7"/>
      <c r="BU154" s="13"/>
      <c r="BV154" s="5"/>
      <c r="BW154" s="419" t="b">
        <f>AND(ISNUMBER(SnapshotTable[[#This Row],[SP Exp Date]]), ISNUMBER(SnapshotTable[[#This Row],[SP Strike Price]]), ISNUMBER(SnapshotTable[[#This Row],[SP Qty]]), ISNUMBER(SnapshotTable[[#This Row],[SP Book Date]]), ISNUMBER(SnapshotTable[[#This Row],[SP Book Price]]))</f>
        <v>0</v>
      </c>
      <c r="BX154" s="419" t="b">
        <f>AND(SnapshotTable[[#This Row],[SP Is Booked]], NOT(ISBLANK(SnapshotTable[[#This Row],[SP Fill Date]])))</f>
        <v>0</v>
      </c>
      <c r="BY154" s="33">
        <f>IF(SnapshotTable[[#This Row],[SP Is Booked]], SnapshotTable[[#This Row],[SP Qty]] * SnapshotTable[[#This Row],[SP Book Price]] * 100, 0)</f>
        <v>0</v>
      </c>
      <c r="BZ154" s="369"/>
      <c r="CA154" s="368">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3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44"/>
      <c r="CK154" s="31">
        <f>IF(ISNUMBER(SnapshotTable[[#This Row],[SP Potential Spend]]),IF(ISNUMBER(SnapshotTable[[#This Row],[SP POW]]), SnapshotTable[[#This Row],[SP POW]] * SnapshotTable[[#This Row],[SP Potential Spend]], SnapshotTable[[#This Row],[SP Potential Spend]]), "")</f>
        <v>0</v>
      </c>
      <c r="CL154" s="164">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8"/>
      <c r="CO154" s="369"/>
      <c r="CP154" s="4" t="str">
        <f>IF(SnapshotTable[[#This Row],[SP Is Filled]], btc_max_buyback_amount(SnapshotTable[[#This Row],[SP Fill Date]],SnapshotTable[[#This Row],[SP Exp Date]], SnapshotTable[[#This Row],[SP Book Price]]),"")</f>
        <v/>
      </c>
      <c r="CQ154" s="78"/>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5" t="str">
        <f>IF(SnapshotTable[[#This Row],[SP Is Filled]], btc_next_cutoff_date(SnapshotTable[[#This Row],[SP Fill Date]],SnapshotTable[[#This Row],[SP Exp Date]]),"")</f>
        <v/>
      </c>
      <c r="CT154" s="23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3"/>
      <c r="CV154" s="235"/>
      <c r="CW154" s="378"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294"/>
      <c r="DI154" s="406"/>
      <c r="DJ154" s="138"/>
      <c r="DK154" s="148"/>
      <c r="DL154" s="13"/>
      <c r="DM154" s="13"/>
      <c r="DO154" s="31">
        <f>IF(SnapshotTable[[#This Row],[LC Symbol Count]]=1, SnapshotTable[[#This Row],[LC Qty]] * SnapshotTable[[#This Row],[LC Book Price]] * 100, 0)</f>
        <v>0</v>
      </c>
      <c r="DP154" s="163" t="str">
        <f>IF(AND(SnapshotTable[[#This Row],[LC Exp Date]]&gt;0, SnapshotTable[[#This Row],[LC Strike Price]]&gt;0,SnapshotTable[[#This Row],[LC Qty]]&gt;0,SnapshotTable[[#This Row],[LC Book Date]]&gt;0,SnapshotTable[[#This Row],[LC Book Price]]&gt;0,SnapshotTable[[#This Row],[LC Fill Date]]=0),"Y","")</f>
        <v/>
      </c>
      <c r="DQ154" s="386" t="str">
        <f>IF(SnapshotTable[[#This Row],[LC Premium]] &gt; 0,SnapshotTable[[#This Row],[LC Exp Date]]-MAX(SnapshotTable[[#This Row],[LC Book Date]], SnapshotTable[[#This Row],[LC Fill Date]]),"")</f>
        <v/>
      </c>
      <c r="DR154" s="386" t="str">
        <f>IF(ISNUMBER(SnapshotTable[[#This Row],[LC Term]]), SnapshotTable[[#This Row],[LC Exp Date]] - MockToday, "")</f>
        <v/>
      </c>
      <c r="DS154" s="23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40" t="str">
        <f>IF(ISNUMBER(SnapshotTable[[#This Row],[LC Actual Gain Loss]]), SnapshotTable[[#This Row],[LC Actual Gain Loss]] / SnapshotTable[[#This Row],[LC Premium]],"")</f>
        <v/>
      </c>
      <c r="DX154" s="284" t="str">
        <f>IF(ISNUMBER(SnapshotTable[[#This Row],[LC Book Price]]),SnapshotTable[[#This Row],[LC Book Price]] * 1.5,"")</f>
        <v/>
      </c>
      <c r="DY154" s="265" t="str">
        <f>IF(SnapshotTable[[#This Row],[LC Premium]]&gt;0, SnapshotTable[[#This Row],[LC Next Target]] * SnapshotTable[[#This Row],[LC Qty]] * 100,"")</f>
        <v/>
      </c>
      <c r="DZ154" s="265" t="str">
        <f>IF(ISNUMBER(SnapshotTable[[#This Row],[LC Target Gross]]), SnapshotTable[[#This Row],[LC Target Gross]] - SnapshotTable[[#This Row],[LC Premium]], "")</f>
        <v/>
      </c>
      <c r="EA154" s="305" t="str">
        <f>IF(ISNUMBER(SnapshotTable[[#This Row],[LC Target Gain Loss]]), SnapshotTable[[#This Row],[LC Target Gain Loss]]/SnapshotTable[[#This Row],[LC Premium]], "")</f>
        <v/>
      </c>
      <c r="EB154" s="262"/>
      <c r="EC154" s="283" t="str">
        <f>IF(SnapshotTable[[#This Row],[LC Premium]]&gt;0, SnapshotTable[[#This Row],[LC Book Price]] * (1 - LC_StopLoss_Pct),"")</f>
        <v/>
      </c>
      <c r="ED154" s="284"/>
      <c r="EE154" s="28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40"/>
      <c r="EJ154" s="35">
        <f>IF(ISNUMBER(SnapshotTable[[#This Row],[Equity Shares]]),TRUNC(SnapshotTable[[#This Row],[Equity Shares]] / 100),0) + SnapshotTable[[#This Row],[LC Qty]]</f>
        <v>0</v>
      </c>
      <c r="EK154" s="147"/>
      <c r="EL154" s="138"/>
      <c r="EM154" s="148"/>
      <c r="EN154" s="147"/>
      <c r="EO154" s="147"/>
      <c r="EP154" s="138"/>
      <c r="EQ154" s="419" t="b">
        <f>AND(ISNUMBER(SnapshotTable[[#This Row],[SC Exp Date]]), ISNUMBER(SnapshotTable[[#This Row],[SC Strike Price]]), ISNUMBER(SnapshotTable[[#This Row],[SC Qty]]), ISNUMBER(SnapshotTable[[#This Row],[SC Book Date]]), ISNUMBER(SnapshotTable[[#This Row],[SC Book Price]]))</f>
        <v>0</v>
      </c>
      <c r="ER154" s="419" t="b">
        <f>AND(SnapshotTable[[#This Row],[SC Is Booked]], NOT(ISBLANK(SnapshotTable[[#This Row],[SC Fill Date]])))</f>
        <v>0</v>
      </c>
      <c r="ES154" s="370"/>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3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283"/>
      <c r="FA154" s="218"/>
      <c r="FB154" s="370"/>
      <c r="FC154" s="4">
        <f>IF(SnapshotTable[[#This Row],[SC Is Filled]], btc_max_buyback_amount(SnapshotTable[[#This Row],[SC Fill Date]],SnapshotTable[[#This Row],[SC Exp Date]], SnapshotTable[[#This Row],[SC Book Price]]),0)</f>
        <v>0</v>
      </c>
      <c r="FD154" s="5"/>
      <c r="FE154" s="144"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382">
        <f>IF(SnapshotTable[[#This Row],[SC Is Filled]], IF(ISNUMBER(SnapshotTable[[#This Row],[SC Current Ask]]), SnapshotTable[[#This Row],[SC Current Ask]], SnapshotTable[[#This Row],[SC Book Price]]) - SnapshotTable[[#This Row],[SC Intrinsic Value]], 0)</f>
        <v>0</v>
      </c>
      <c r="FI154" s="143"/>
      <c r="FJ154" s="32" t="str">
        <f>IF(SnapshotTable[[#This Row],[SC Is Filled]],100 * SnapshotTable[[#This Row],[SC Qty]] * IF(ISNUMBER(SnapshotTable[[#This Row],[SC Buyback Override]]), SnapshotTable[[#This Row],[SC Buyback Override]], SnapshotTable[[#This Row],[SC Current Ask]]), "")</f>
        <v/>
      </c>
      <c r="FK154" s="250" t="str">
        <f>IF(SnapshotTable[[#This Row],[SC Time Val]]&gt;0, SnapshotTable[[#This Row],[SC Time Val]] / SnapshotTable[[#This Row],[Last Price]],"")</f>
        <v/>
      </c>
      <c r="FL154" s="302" t="str">
        <f>IF(SnapshotTable[[#This Row],[SC Is Booked]], ((SnapshotTable[[#This Row],[Last Price]] -SnapshotTable[[#This Row],[SC Strike Price]]) / SnapshotTable[[#This Row],[Last Price]]) * -1, "")</f>
        <v/>
      </c>
      <c r="FM154" s="157"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33"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36" t="str">
        <f>IF(AND(ISNUMBER(SnapshotTable[[#This Row],[SC Simple ROO]]),SnapshotTable[[#This Row],[SC Simple ROO]] &gt; 0), SnapshotTable[[#This Row],[SC Premium]] + (SnapshotTable[[#This Row],[SC Qty]] * SnapshotTable[[#This Row],[SC Upside Potential]]), "")</f>
        <v/>
      </c>
      <c r="FX154" s="302" t="str" cm="1">
        <f t="array" ref="FX154">IF(ISNUMBER(SnapshotTable[[#This Row],[SC Max Dollars]]), annualize(SnapshotTable[[#This Row],[SC Term]],(SnapshotTable[[#This Row],[SC Max Dollars]]/SnapshotTable[[#This Row],[SC Basis]])),"")</f>
        <v/>
      </c>
      <c r="FY154" s="23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29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35.743499999999997</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31">
        <f>MAX(SnapshotTable[[#This Row],[Equity Basis Total]],SnapshotTable[[#This Row],[Equity Value]]) + (SnapshotTable[[#This Row],[SP Potential Spend]]- SnapshotTable[[#This Row],[SP Premium]] + SnapshotTable[[#This Row],[LP Premium]])+ (SnapshotTable[[#This Row],[LC Premium]] - SnapshotTable[[#This Row],[SC Premium]])</f>
        <v>0</v>
      </c>
      <c r="GW154" s="139" t="str">
        <f>IF(AND(SnapshotTable[[#This Row],[Exposure]] &lt;&gt; 0),SnapshotTable[[#This Row],[Exposure]] / SnapshotTable[[#Totals],[Exposure]], "")</f>
        <v/>
      </c>
      <c r="HE154" s="268"/>
      <c r="HF154" s="268"/>
      <c r="HK154" s="1"/>
      <c r="HL154" s="1"/>
      <c r="HM154" s="1"/>
      <c r="HN154" s="1"/>
      <c r="HO154" s="1"/>
      <c r="HP154" s="1"/>
    </row>
    <row r="155" spans="2:224" ht="12.75" hidden="1" customHeight="1" x14ac:dyDescent="0.25">
      <c r="B155" s="12" t="s">
        <v>1235</v>
      </c>
      <c r="C155" s="422">
        <v>44.88</v>
      </c>
      <c r="D155" s="208">
        <v>8.1999999999999993</v>
      </c>
      <c r="E155" s="39">
        <f>SnapshotTable[[#This Row],[Last Price]]*(1 -CrashDiscount)</f>
        <v>38.148000000000003</v>
      </c>
      <c r="F155" s="26" t="s">
        <v>975</v>
      </c>
      <c r="G155" s="26" t="s">
        <v>822</v>
      </c>
      <c r="H155" s="149"/>
      <c r="I155" s="194"/>
      <c r="J155" s="195"/>
      <c r="K155" s="196"/>
      <c r="L155" s="326"/>
      <c r="M155" s="140"/>
      <c r="N155" s="140"/>
      <c r="O155" s="140"/>
      <c r="P155" s="22"/>
      <c r="Q155" s="25"/>
      <c r="R155" s="4" t="str">
        <f>IF(SnapshotTable[[#This Row],[Equity Basis Total]] &gt; 0, SnapshotTable[[#This Row],[Equity Basis Total]] / SnapshotTable[[#This Row],[Equity Shares]], "")</f>
        <v/>
      </c>
      <c r="S155" s="269">
        <f>SnapshotTable[[#This Row],[Last Price]] * SnapshotTable[[#This Row],[Equity Shares]]</f>
        <v>0</v>
      </c>
      <c r="T155" s="269">
        <f>SnapshotTable[[#This Row],[Equity Value]] - SnapshotTable[[#This Row],[Equity Basis Total]]</f>
        <v>0</v>
      </c>
      <c r="U155" s="270" t="str">
        <f>IF(SnapshotTable[[#This Row],[Equity Basis Total]] &gt; 0, SnapshotTable[[#This Row],[Equity G/L]] / SnapshotTable[[#This Row],[Equity Basis Total]], "")</f>
        <v/>
      </c>
      <c r="V155" s="268"/>
      <c r="W155" s="26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7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0"/>
      <c r="AD155" s="151"/>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1"/>
      <c r="AI155" s="5"/>
      <c r="AJ155" s="138">
        <v>60.21</v>
      </c>
      <c r="AK155" s="152" t="str">
        <f>IF(ISNUMBER( SnapshotTable[[#This Row],[EBF Target]]),(SnapshotTable[[#This Row],[EBF Target]] - SnapshotTable[[#This Row],[Last Price]]) / SnapshotTable[[#This Row],[Last Price]], "")</f>
        <v/>
      </c>
      <c r="AL155" s="152"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2">
        <f>IF(AND(ISNUMBER( SnapshotTable[[#This Row],[Long Term Target]]), ISNUMBER(SnapshotTable[[#This Row],[Last Price]])),(SnapshotTable[[#This Row],[Long Term Target]] - SnapshotTable[[#This Row],[Last Price]]) / SnapshotTable[[#This Row],[Last Price]], "")</f>
        <v>0.34157754010695179</v>
      </c>
      <c r="AP155" s="5">
        <v>55</v>
      </c>
      <c r="AQ155" s="38" t="s">
        <v>46</v>
      </c>
      <c r="AR155" s="5">
        <v>55</v>
      </c>
      <c r="AS155" s="38" t="s">
        <v>45</v>
      </c>
      <c r="AT155" s="146" t="s">
        <v>575</v>
      </c>
      <c r="AU155" s="187" t="str">
        <f>IF(OR(SnapshotTable[[#This Row],[LP No Fill]]="Y",SnapshotTable[[#This Row],[SP Is Filled]],SnapshotTable[[#This Row],[LC Not Filled]]="Y",SnapshotTable[[#This Row],[SC Is Filled]]),"Y","")</f>
        <v/>
      </c>
      <c r="AV155" s="219"/>
      <c r="AW155" s="225"/>
      <c r="AX155" s="220"/>
      <c r="AY155" s="219" t="str">
        <f>IF(SnapshotTable[[#This Row],[Implied Move]]&gt;0, SnapshotTable[[#This Row],[Last Price]]-SnapshotTable[[#This Row],[Implied Move]],"")</f>
        <v/>
      </c>
      <c r="AZ155" s="219" t="str">
        <f>IF(SnapshotTable[[#This Row],[Implied Move]]&gt;0, SnapshotTable[[#This Row],[Last Price]] + SnapshotTable[[#This Row],[Implied Move]],"")</f>
        <v/>
      </c>
      <c r="BA155" s="331">
        <v>31.45</v>
      </c>
      <c r="BB155" s="347"/>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51"/>
      <c r="BE155" s="5"/>
      <c r="BF155" s="14"/>
      <c r="BG155" s="13"/>
      <c r="BH155" s="13"/>
      <c r="BI155" s="5"/>
      <c r="BJ155" s="136">
        <f>IF(SnapshotTable[[#This Row],[LP Qty]] &gt; 0, SnapshotTable[[#This Row],[LP Qty]] * SnapshotTable[[#This Row],[LP Book Price]] * 100,0)</f>
        <v>0</v>
      </c>
      <c r="BK155" s="136">
        <f>IF(SnapshotTable[[#This Row],[LP Premium]] &gt; 0, SnapshotTable[[#This Row],[LP Qty]] * SnapshotTable[[#This Row],[LP Strike Price]] * 100,0)</f>
        <v>0</v>
      </c>
      <c r="BL155" s="154"/>
      <c r="BM155" s="385" t="str">
        <f>IF(SnapshotTable[[#This Row],[LP Premium]] &gt; 0,SnapshotTable[[#This Row],[LP Exp Date]]-MAX(SnapshotTable[[#This Row],[LP Book Date]], SnapshotTable[[#This Row],[LP Fill Date]]),"")</f>
        <v/>
      </c>
      <c r="BN155" s="385" t="str">
        <f>IF(ISNUMBER( SnapshotTable[[#This Row],[LP Term]]), SnapshotTable[[#This Row],[LP Exp Date]] - MockToday,"")</f>
        <v/>
      </c>
      <c r="BO155" s="163"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7"/>
      <c r="BU155" s="13"/>
      <c r="BV155" s="5"/>
      <c r="BW155" s="419" t="b">
        <f>AND(ISNUMBER(SnapshotTable[[#This Row],[SP Exp Date]]), ISNUMBER(SnapshotTable[[#This Row],[SP Strike Price]]), ISNUMBER(SnapshotTable[[#This Row],[SP Qty]]), ISNUMBER(SnapshotTable[[#This Row],[SP Book Date]]), ISNUMBER(SnapshotTable[[#This Row],[SP Book Price]]))</f>
        <v>0</v>
      </c>
      <c r="BX155" s="419" t="b">
        <f>AND(SnapshotTable[[#This Row],[SP Is Booked]], NOT(ISBLANK(SnapshotTable[[#This Row],[SP Fill Date]])))</f>
        <v>0</v>
      </c>
      <c r="BY155" s="33">
        <f>IF(SnapshotTable[[#This Row],[SP Is Booked]], SnapshotTable[[#This Row],[SP Qty]] * SnapshotTable[[#This Row],[SP Book Price]] * 100, 0)</f>
        <v>0</v>
      </c>
      <c r="BZ155" s="369"/>
      <c r="CA155" s="368">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3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44"/>
      <c r="CK155" s="31">
        <f>IF(ISNUMBER(SnapshotTable[[#This Row],[SP Potential Spend]]),IF(ISNUMBER(SnapshotTable[[#This Row],[SP POW]]), SnapshotTable[[#This Row],[SP POW]] * SnapshotTable[[#This Row],[SP Potential Spend]], SnapshotTable[[#This Row],[SP Potential Spend]]), "")</f>
        <v>0</v>
      </c>
      <c r="CL155" s="164">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8"/>
      <c r="CO155" s="369"/>
      <c r="CP155" s="4" t="str">
        <f>IF(SnapshotTable[[#This Row],[SP Is Filled]], btc_max_buyback_amount(SnapshotTable[[#This Row],[SP Fill Date]],SnapshotTable[[#This Row],[SP Exp Date]], SnapshotTable[[#This Row],[SP Book Price]]),"")</f>
        <v/>
      </c>
      <c r="CQ155" s="78"/>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5" t="str">
        <f>IF(SnapshotTable[[#This Row],[SP Is Filled]], btc_next_cutoff_date(SnapshotTable[[#This Row],[SP Fill Date]],SnapshotTable[[#This Row],[SP Exp Date]]),"")</f>
        <v/>
      </c>
      <c r="CT155" s="23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3"/>
      <c r="CV155" s="235"/>
      <c r="CW155" s="378"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294" t="str">
        <f>IF(ISNUMBER((SnapshotTable[[#This Row],[SP Total Value]])), SnapshotTable[[#This Row],[SP Gain Loss]] / SnapshotTable[[#This Row],[SP Premium]], "")</f>
        <v/>
      </c>
      <c r="DI155" s="406"/>
      <c r="DJ155" s="138"/>
      <c r="DK155" s="148"/>
      <c r="DL155" s="13"/>
      <c r="DM155" s="13"/>
      <c r="DO155" s="31">
        <f>IF(SnapshotTable[[#This Row],[LC Symbol Count]]=1, SnapshotTable[[#This Row],[LC Qty]] * SnapshotTable[[#This Row],[LC Book Price]] * 100, 0)</f>
        <v>0</v>
      </c>
      <c r="DP155" s="163" t="str">
        <f>IF(AND(SnapshotTable[[#This Row],[LC Exp Date]]&gt;0, SnapshotTable[[#This Row],[LC Strike Price]]&gt;0,SnapshotTable[[#This Row],[LC Qty]]&gt;0,SnapshotTable[[#This Row],[LC Book Date]]&gt;0,SnapshotTable[[#This Row],[LC Book Price]]&gt;0,SnapshotTable[[#This Row],[LC Fill Date]]=0),"Y","")</f>
        <v/>
      </c>
      <c r="DQ155" s="386" t="str">
        <f>IF(SnapshotTable[[#This Row],[LC Premium]] &gt; 0,SnapshotTable[[#This Row],[LC Exp Date]]-MAX(SnapshotTable[[#This Row],[LC Book Date]], SnapshotTable[[#This Row],[LC Fill Date]]),"")</f>
        <v/>
      </c>
      <c r="DR155" s="386" t="str">
        <f>IF(ISNUMBER(SnapshotTable[[#This Row],[LC Term]]), SnapshotTable[[#This Row],[LC Exp Date]] - MockToday, "")</f>
        <v/>
      </c>
      <c r="DS155" s="23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40" t="e">
        <f>IF(ISNUMBER(SnapshotTable[[#This Row],[LC Actual Gain Loss]]), SnapshotTable[[#This Row],[LC Actual Gain Loss]] / SnapshotTable[[#This Row],[LC Premium]],"")</f>
        <v>#DIV/0!</v>
      </c>
      <c r="DX155" s="284" t="str">
        <f>IF(ISNUMBER(SnapshotTable[[#This Row],[LC Book Price]]),SnapshotTable[[#This Row],[LC Book Price]] * 1.5,"")</f>
        <v/>
      </c>
      <c r="DY155" s="265" t="str">
        <f>IF(SnapshotTable[[#This Row],[LC Premium]]&gt;0, SnapshotTable[[#This Row],[LC Next Target]] * SnapshotTable[[#This Row],[LC Qty]] * 100,"")</f>
        <v/>
      </c>
      <c r="DZ155" s="265" t="str">
        <f>IF(ISNUMBER(SnapshotTable[[#This Row],[LC Target Gross]]), SnapshotTable[[#This Row],[LC Target Gross]] - SnapshotTable[[#This Row],[LC Premium]], "")</f>
        <v/>
      </c>
      <c r="EA155" s="305" t="str">
        <f>IF(ISNUMBER(SnapshotTable[[#This Row],[LC Target Gain Loss]]), SnapshotTable[[#This Row],[LC Target Gain Loss]]/SnapshotTable[[#This Row],[LC Premium]], "")</f>
        <v/>
      </c>
      <c r="EB155" s="262"/>
      <c r="EC155" s="283" t="str">
        <f>IF(SnapshotTable[[#This Row],[LC Premium]]&gt;0, SnapshotTable[[#This Row],[LC Book Price]] * (1 - LC_StopLoss_Pct),"")</f>
        <v/>
      </c>
      <c r="ED155" s="284"/>
      <c r="EE155" s="28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4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7"/>
      <c r="EL155" s="138"/>
      <c r="EM155" s="148"/>
      <c r="EN155" s="147"/>
      <c r="EO155" s="147"/>
      <c r="EP155" s="138"/>
      <c r="EQ155" s="419" t="b">
        <f>AND(ISNUMBER(SnapshotTable[[#This Row],[SC Exp Date]]), ISNUMBER(SnapshotTable[[#This Row],[SC Strike Price]]), ISNUMBER(SnapshotTable[[#This Row],[SC Qty]]), ISNUMBER(SnapshotTable[[#This Row],[SC Book Date]]), ISNUMBER(SnapshotTable[[#This Row],[SC Book Price]]))</f>
        <v>0</v>
      </c>
      <c r="ER155" s="419" t="b">
        <f>AND(SnapshotTable[[#This Row],[SC Is Booked]], NOT(ISBLANK(SnapshotTable[[#This Row],[SC Fill Date]])))</f>
        <v>0</v>
      </c>
      <c r="ES155" s="370"/>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3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283"/>
      <c r="FA155" s="218"/>
      <c r="FB155" s="370"/>
      <c r="FC155" s="4">
        <f>IF(SnapshotTable[[#This Row],[SC Is Filled]], btc_max_buyback_amount(SnapshotTable[[#This Row],[SC Fill Date]],SnapshotTable[[#This Row],[SC Exp Date]], SnapshotTable[[#This Row],[SC Book Price]]),0)</f>
        <v>0</v>
      </c>
      <c r="FD155" s="5"/>
      <c r="FE155" s="144"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382">
        <f>IF(SnapshotTable[[#This Row],[SC Is Filled]], IF(ISNUMBER(SnapshotTable[[#This Row],[SC Current Ask]]), SnapshotTable[[#This Row],[SC Current Ask]], SnapshotTable[[#This Row],[SC Book Price]]) - SnapshotTable[[#This Row],[SC Intrinsic Value]], 0)</f>
        <v>0</v>
      </c>
      <c r="FI155" s="143"/>
      <c r="FJ155" s="32" t="str">
        <f>IF(SnapshotTable[[#This Row],[SC Is Filled]],100 * SnapshotTable[[#This Row],[SC Qty]] * IF(ISNUMBER(SnapshotTable[[#This Row],[SC Buyback Override]]), SnapshotTable[[#This Row],[SC Buyback Override]], SnapshotTable[[#This Row],[SC Current Ask]]), "")</f>
        <v/>
      </c>
      <c r="FK155" s="250" t="str">
        <f>IF(SnapshotTable[[#This Row],[SC Time Val]]&gt;0, SnapshotTable[[#This Row],[SC Time Val]] / SnapshotTable[[#This Row],[Last Price]],"")</f>
        <v/>
      </c>
      <c r="FL155" s="302" t="str">
        <f>IF(SnapshotTable[[#This Row],[SC Is Booked]], ((SnapshotTable[[#This Row],[Last Price]] -SnapshotTable[[#This Row],[SC Strike Price]]) / SnapshotTable[[#This Row],[Last Price]]) * -1, "")</f>
        <v/>
      </c>
      <c r="FM155" s="157"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33"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36" t="str">
        <f>IF(AND(ISNUMBER(SnapshotTable[[#This Row],[SC Simple ROO]]),SnapshotTable[[#This Row],[SC Simple ROO]] &gt; 0), SnapshotTable[[#This Row],[SC Premium]] + (SnapshotTable[[#This Row],[SC Qty]] * SnapshotTable[[#This Row],[SC Upside Potential]]), "")</f>
        <v/>
      </c>
      <c r="FX155" s="302" t="str" cm="1">
        <f t="array" ref="FX155">IF(ISNUMBER(SnapshotTable[[#This Row],[SC Max Dollars]]), annualize(SnapshotTable[[#This Row],[SC Term]],(SnapshotTable[[#This Row],[SC Max Dollars]]/SnapshotTable[[#This Row],[SC Basis]])),"")</f>
        <v/>
      </c>
      <c r="FY155" s="23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29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87.516000000000005</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1150</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31">
        <f>MAX(SnapshotTable[[#This Row],[Equity Basis Total]],SnapshotTable[[#This Row],[Equity Value]]) + (SnapshotTable[[#This Row],[SP Potential Spend]]- SnapshotTable[[#This Row],[SP Premium]] + SnapshotTable[[#This Row],[LP Premium]])+ (SnapshotTable[[#This Row],[LC Premium]] - SnapshotTable[[#This Row],[SC Premium]])</f>
        <v>0</v>
      </c>
      <c r="GW155" s="139" t="str">
        <f>IF(AND(SnapshotTable[[#This Row],[Exposure]] &lt;&gt; 0),SnapshotTable[[#This Row],[Exposure]] / SnapshotTable[[#Totals],[Exposure]], "")</f>
        <v/>
      </c>
      <c r="HE155" s="268"/>
      <c r="HF155" s="268"/>
      <c r="HK155" s="1"/>
      <c r="HL155" s="1"/>
      <c r="HM155" s="1"/>
      <c r="HN155" s="1"/>
      <c r="HO155" s="1"/>
      <c r="HP155" s="1"/>
    </row>
    <row r="156" spans="2:224" ht="12.75" hidden="1" customHeight="1" x14ac:dyDescent="0.25">
      <c r="B156" s="12" t="s">
        <v>194</v>
      </c>
      <c r="C156" s="422">
        <v>406.91</v>
      </c>
      <c r="D156" s="208"/>
      <c r="E156" s="39">
        <f>SnapshotTable[[#This Row],[Last Price]]*(1 -CrashDiscount)</f>
        <v>345.87350000000004</v>
      </c>
      <c r="F156" s="26" t="s">
        <v>29</v>
      </c>
      <c r="G156" s="26" t="s">
        <v>20</v>
      </c>
      <c r="H156" s="149"/>
      <c r="I156" s="194">
        <v>44775.270833333336</v>
      </c>
      <c r="J156" s="195">
        <v>44775.270833333336</v>
      </c>
      <c r="K156" s="196"/>
      <c r="L156" s="326"/>
      <c r="M156" s="140"/>
      <c r="N156" s="140"/>
      <c r="O156" s="140"/>
      <c r="P156" s="22"/>
      <c r="Q156" s="25"/>
      <c r="R156" s="4" t="str">
        <f>IF(SnapshotTable[[#This Row],[Equity Basis Total]] &gt; 0, SnapshotTable[[#This Row],[Equity Basis Total]] / SnapshotTable[[#This Row],[Equity Shares]], "")</f>
        <v/>
      </c>
      <c r="S156" s="269">
        <f>SnapshotTable[[#This Row],[Last Price]] * SnapshotTable[[#This Row],[Equity Shares]]</f>
        <v>0</v>
      </c>
      <c r="T156" s="269">
        <f>SnapshotTable[[#This Row],[Equity Value]] - SnapshotTable[[#This Row],[Equity Basis Total]]</f>
        <v>0</v>
      </c>
      <c r="U156" s="270" t="str">
        <f>IF(SnapshotTable[[#This Row],[Equity Basis Total]] &gt; 0, SnapshotTable[[#This Row],[Equity G/L]] / SnapshotTable[[#This Row],[Equity Basis Total]], "")</f>
        <v/>
      </c>
      <c r="V156" s="268"/>
      <c r="W156" s="26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7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0">
        <v>2.2000000000000002</v>
      </c>
      <c r="AD156" s="151">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5.4066009682730825E-3</v>
      </c>
      <c r="AH156" s="151">
        <v>42213</v>
      </c>
      <c r="AI156" s="5"/>
      <c r="AJ156" s="138">
        <v>74</v>
      </c>
      <c r="AK156" s="152" t="str">
        <f>IF(ISNUMBER( SnapshotTable[[#This Row],[EBF Target]]),(SnapshotTable[[#This Row],[EBF Target]] - SnapshotTable[[#This Row],[Last Price]]) / SnapshotTable[[#This Row],[Last Price]], "")</f>
        <v/>
      </c>
      <c r="AL156" s="152"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2">
        <f>IF(AND(ISNUMBER( SnapshotTable[[#This Row],[Long Term Target]]), ISNUMBER(SnapshotTable[[#This Row],[Last Price]])),(SnapshotTable[[#This Row],[Long Term Target]] - SnapshotTable[[#This Row],[Last Price]]) / SnapshotTable[[#This Row],[Last Price]], "")</f>
        <v>-0.81814160379445089</v>
      </c>
      <c r="AP156" s="5"/>
      <c r="AQ156" s="38"/>
      <c r="AR156" s="5"/>
      <c r="AS156" s="38"/>
      <c r="AT156" s="146"/>
      <c r="AU156" s="187" t="str">
        <f>IF(OR(SnapshotTable[[#This Row],[LP No Fill]]="Y",SnapshotTable[[#This Row],[SP Is Filled]],SnapshotTable[[#This Row],[LC Not Filled]]="Y",SnapshotTable[[#This Row],[SC Is Filled]]),"Y","")</f>
        <v/>
      </c>
      <c r="AV156" s="219"/>
      <c r="AW156" s="225"/>
      <c r="AX156" s="220"/>
      <c r="AY156" s="219" t="str">
        <f>IF(SnapshotTable[[#This Row],[Implied Move]]&gt;0, SnapshotTable[[#This Row],[Last Price]]-SnapshotTable[[#This Row],[Implied Move]],"")</f>
        <v/>
      </c>
      <c r="AZ156" s="219" t="str">
        <f>IF(SnapshotTable[[#This Row],[Implied Move]]&gt;0, SnapshotTable[[#This Row],[Last Price]] + SnapshotTable[[#This Row],[Implied Move]],"")</f>
        <v/>
      </c>
      <c r="BA156" s="331"/>
      <c r="BB156" s="347"/>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51"/>
      <c r="BE156" s="5"/>
      <c r="BF156" s="14"/>
      <c r="BG156" s="13"/>
      <c r="BH156" s="13"/>
      <c r="BI156" s="5"/>
      <c r="BJ156" s="136">
        <f>IF(SnapshotTable[[#This Row],[LP Qty]] &gt; 0, SnapshotTable[[#This Row],[LP Qty]] * SnapshotTable[[#This Row],[LP Book Price]] * 100,0)</f>
        <v>0</v>
      </c>
      <c r="BK156" s="136">
        <f>IF(SnapshotTable[[#This Row],[LP Premium]] &gt; 0, SnapshotTable[[#This Row],[LP Qty]] * SnapshotTable[[#This Row],[LP Strike Price]] * 100,0)</f>
        <v>0</v>
      </c>
      <c r="BL156" s="154"/>
      <c r="BM156" s="385" t="str">
        <f>IF(SnapshotTable[[#This Row],[LP Premium]] &gt; 0,SnapshotTable[[#This Row],[LP Exp Date]]-MAX(SnapshotTable[[#This Row],[LP Book Date]], SnapshotTable[[#This Row],[LP Fill Date]]),"")</f>
        <v/>
      </c>
      <c r="BN156" s="385" t="str">
        <f>IF(ISNUMBER( SnapshotTable[[#This Row],[LP Term]]), SnapshotTable[[#This Row],[LP Exp Date]] - MockToday,"")</f>
        <v/>
      </c>
      <c r="BO156" s="163"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7"/>
      <c r="BU156" s="13"/>
      <c r="BV156" s="5"/>
      <c r="BW156" s="419" t="b">
        <f>AND(ISNUMBER(SnapshotTable[[#This Row],[SP Exp Date]]), ISNUMBER(SnapshotTable[[#This Row],[SP Strike Price]]), ISNUMBER(SnapshotTable[[#This Row],[SP Qty]]), ISNUMBER(SnapshotTable[[#This Row],[SP Book Date]]), ISNUMBER(SnapshotTable[[#This Row],[SP Book Price]]))</f>
        <v>0</v>
      </c>
      <c r="BX156" s="419" t="b">
        <f>AND(SnapshotTable[[#This Row],[SP Is Booked]], NOT(ISBLANK(SnapshotTable[[#This Row],[SP Fill Date]])))</f>
        <v>0</v>
      </c>
      <c r="BY156" s="33">
        <f>IF(SnapshotTable[[#This Row],[SP Is Booked]], SnapshotTable[[#This Row],[SP Qty]] * SnapshotTable[[#This Row],[SP Book Price]] * 100, 0)</f>
        <v>0</v>
      </c>
      <c r="BZ156" s="369"/>
      <c r="CA156" s="368">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3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44"/>
      <c r="CK156" s="31">
        <f>IF(ISNUMBER(SnapshotTable[[#This Row],[SP Potential Spend]]),IF(ISNUMBER(SnapshotTable[[#This Row],[SP POW]]), SnapshotTable[[#This Row],[SP POW]] * SnapshotTable[[#This Row],[SP Potential Spend]], SnapshotTable[[#This Row],[SP Potential Spend]]), "")</f>
        <v>0</v>
      </c>
      <c r="CL156" s="164">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8"/>
      <c r="CO156" s="369"/>
      <c r="CP156" s="4" t="str">
        <f>IF(SnapshotTable[[#This Row],[SP Is Filled]], btc_max_buyback_amount(SnapshotTable[[#This Row],[SP Fill Date]],SnapshotTable[[#This Row],[SP Exp Date]], SnapshotTable[[#This Row],[SP Book Price]]),"")</f>
        <v/>
      </c>
      <c r="CQ156" s="78"/>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5" t="str">
        <f>IF(SnapshotTable[[#This Row],[SP Is Filled]], btc_next_cutoff_date(SnapshotTable[[#This Row],[SP Fill Date]],SnapshotTable[[#This Row],[SP Exp Date]]),"")</f>
        <v/>
      </c>
      <c r="CT156" s="23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3"/>
      <c r="CV156" s="235"/>
      <c r="CW156" s="378"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294" t="str">
        <f>IF(ISNUMBER((SnapshotTable[[#This Row],[SP Total Value]])), SnapshotTable[[#This Row],[SP Gain Loss]] / SnapshotTable[[#This Row],[SP Premium]], "")</f>
        <v/>
      </c>
      <c r="DI156" s="406"/>
      <c r="DJ156" s="138"/>
      <c r="DK156" s="148"/>
      <c r="DL156" s="13"/>
      <c r="DM156" s="13"/>
      <c r="DO156" s="31">
        <f>IF(SnapshotTable[[#This Row],[LC Symbol Count]]=1, SnapshotTable[[#This Row],[LC Qty]] * SnapshotTable[[#This Row],[LC Book Price]] * 100, 0)</f>
        <v>0</v>
      </c>
      <c r="DP156" s="163" t="str">
        <f>IF(AND(SnapshotTable[[#This Row],[LC Exp Date]]&gt;0, SnapshotTable[[#This Row],[LC Strike Price]]&gt;0,SnapshotTable[[#This Row],[LC Qty]]&gt;0,SnapshotTable[[#This Row],[LC Book Date]]&gt;0,SnapshotTable[[#This Row],[LC Book Price]]&gt;0,SnapshotTable[[#This Row],[LC Fill Date]]=0),"Y","")</f>
        <v/>
      </c>
      <c r="DQ156" s="386" t="str">
        <f>IF(SnapshotTable[[#This Row],[LC Premium]] &gt; 0,SnapshotTable[[#This Row],[LC Exp Date]]-MAX(SnapshotTable[[#This Row],[LC Book Date]], SnapshotTable[[#This Row],[LC Fill Date]]),"")</f>
        <v/>
      </c>
      <c r="DR156" s="386" t="str">
        <f>IF(ISNUMBER(SnapshotTable[[#This Row],[LC Term]]), SnapshotTable[[#This Row],[LC Exp Date]] - MockToday, "")</f>
        <v/>
      </c>
      <c r="DS156" s="23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40" t="str">
        <f>IF(ISNUMBER(SnapshotTable[[#This Row],[LC Actual Gain Loss]]), SnapshotTable[[#This Row],[LC Actual Gain Loss]] / SnapshotTable[[#This Row],[LC Premium]],"")</f>
        <v/>
      </c>
      <c r="DX156" s="284" t="str">
        <f>IF(ISNUMBER(SnapshotTable[[#This Row],[LC Book Price]]),SnapshotTable[[#This Row],[LC Book Price]] * 1.5,"")</f>
        <v/>
      </c>
      <c r="DY156" s="265" t="str">
        <f>IF(SnapshotTable[[#This Row],[LC Premium]]&gt;0, SnapshotTable[[#This Row],[LC Next Target]] * SnapshotTable[[#This Row],[LC Qty]] * 100,"")</f>
        <v/>
      </c>
      <c r="DZ156" s="265" t="str">
        <f>IF(ISNUMBER(SnapshotTable[[#This Row],[LC Target Gross]]), SnapshotTable[[#This Row],[LC Target Gross]] - SnapshotTable[[#This Row],[LC Premium]], "")</f>
        <v/>
      </c>
      <c r="EA156" s="305" t="str">
        <f>IF(ISNUMBER(SnapshotTable[[#This Row],[LC Target Gain Loss]]), SnapshotTable[[#This Row],[LC Target Gain Loss]]/SnapshotTable[[#This Row],[LC Premium]], "")</f>
        <v/>
      </c>
      <c r="EB156" s="262"/>
      <c r="EC156" s="283" t="str">
        <f>IF(SnapshotTable[[#This Row],[LC Premium]]&gt;0, SnapshotTable[[#This Row],[LC Book Price]] * (1 - LC_StopLoss_Pct),"")</f>
        <v/>
      </c>
      <c r="ED156" s="284"/>
      <c r="EE156" s="28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4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7"/>
      <c r="EL156" s="138"/>
      <c r="EM156" s="148"/>
      <c r="EN156" s="147"/>
      <c r="EO156" s="147"/>
      <c r="EP156" s="138"/>
      <c r="EQ156" s="419" t="b">
        <f>AND(ISNUMBER(SnapshotTable[[#This Row],[SC Exp Date]]), ISNUMBER(SnapshotTable[[#This Row],[SC Strike Price]]), ISNUMBER(SnapshotTable[[#This Row],[SC Qty]]), ISNUMBER(SnapshotTable[[#This Row],[SC Book Date]]), ISNUMBER(SnapshotTable[[#This Row],[SC Book Price]]))</f>
        <v>0</v>
      </c>
      <c r="ER156" s="419" t="b">
        <f>AND(SnapshotTable[[#This Row],[SC Is Booked]], NOT(ISBLANK(SnapshotTable[[#This Row],[SC Fill Date]])))</f>
        <v>0</v>
      </c>
      <c r="ES156" s="370"/>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3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283"/>
      <c r="FA156" s="218"/>
      <c r="FB156" s="370"/>
      <c r="FC156" s="4">
        <f>IF(SnapshotTable[[#This Row],[SC Is Filled]], btc_max_buyback_amount(SnapshotTable[[#This Row],[SC Fill Date]],SnapshotTable[[#This Row],[SC Exp Date]], SnapshotTable[[#This Row],[SC Book Price]]),0)</f>
        <v>0</v>
      </c>
      <c r="FD156" s="5"/>
      <c r="FE156" s="144"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382">
        <f>IF(SnapshotTable[[#This Row],[SC Is Filled]], IF(ISNUMBER(SnapshotTable[[#This Row],[SC Current Ask]]), SnapshotTable[[#This Row],[SC Current Ask]], SnapshotTable[[#This Row],[SC Book Price]]) - SnapshotTable[[#This Row],[SC Intrinsic Value]], 0)</f>
        <v>0</v>
      </c>
      <c r="FI156" s="143"/>
      <c r="FJ156" s="32" t="str">
        <f>IF(SnapshotTable[[#This Row],[SC Is Filled]],100 * SnapshotTable[[#This Row],[SC Qty]] * IF(ISNUMBER(SnapshotTable[[#This Row],[SC Buyback Override]]), SnapshotTable[[#This Row],[SC Buyback Override]], SnapshotTable[[#This Row],[SC Current Ask]]), "")</f>
        <v/>
      </c>
      <c r="FK156" s="250" t="str">
        <f>IF(SnapshotTable[[#This Row],[SC Time Val]]&gt;0, SnapshotTable[[#This Row],[SC Time Val]] / SnapshotTable[[#This Row],[Last Price]],"")</f>
        <v/>
      </c>
      <c r="FL156" s="302" t="str">
        <f>IF(SnapshotTable[[#This Row],[SC Is Booked]], ((SnapshotTable[[#This Row],[Last Price]] -SnapshotTable[[#This Row],[SC Strike Price]]) / SnapshotTable[[#This Row],[Last Price]]) * -1, "")</f>
        <v/>
      </c>
      <c r="FM156" s="157"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33"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36" t="str">
        <f>IF(AND(ISNUMBER(SnapshotTable[[#This Row],[SC Simple ROO]]),SnapshotTable[[#This Row],[SC Simple ROO]] &gt; 0), SnapshotTable[[#This Row],[SC Premium]] + (SnapshotTable[[#This Row],[SC Qty]] * SnapshotTable[[#This Row],[SC Upside Potential]]), "")</f>
        <v/>
      </c>
      <c r="FX156" s="302" t="str" cm="1">
        <f t="array" ref="FX156">IF(ISNUMBER(SnapshotTable[[#This Row],[SC Max Dollars]]), annualize(SnapshotTable[[#This Row],[SC Term]],(SnapshotTable[[#This Row],[SC Max Dollars]]/SnapshotTable[[#This Row],[SC Basis]])),"")</f>
        <v/>
      </c>
      <c r="FY156" s="23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29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793.47450000000003</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698</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31">
        <f>MAX(SnapshotTable[[#This Row],[Equity Basis Total]],SnapshotTable[[#This Row],[Equity Value]]) + (SnapshotTable[[#This Row],[SP Potential Spend]]- SnapshotTable[[#This Row],[SP Premium]] + SnapshotTable[[#This Row],[LP Premium]])+ (SnapshotTable[[#This Row],[LC Premium]] - SnapshotTable[[#This Row],[SC Premium]])</f>
        <v>0</v>
      </c>
      <c r="GW156" s="139" t="str">
        <f>IF(AND(SnapshotTable[[#This Row],[Exposure]] &lt;&gt; 0),SnapshotTable[[#This Row],[Exposure]] / SnapshotTable[[#Totals],[Exposure]], "")</f>
        <v/>
      </c>
      <c r="HE156" s="268"/>
      <c r="HF156" s="268"/>
      <c r="HK156" s="1"/>
      <c r="HL156" s="1"/>
      <c r="HM156" s="1"/>
      <c r="HN156" s="1"/>
      <c r="HO156" s="1"/>
      <c r="HP156" s="1"/>
    </row>
    <row r="157" spans="2:224" ht="12.75" hidden="1" customHeight="1" x14ac:dyDescent="0.25">
      <c r="B157" s="12" t="s">
        <v>569</v>
      </c>
      <c r="C157" s="422">
        <v>36.619999999999997</v>
      </c>
      <c r="D157" s="208"/>
      <c r="E157" s="39">
        <f>SnapshotTable[[#This Row],[Last Price]]*(1 -CrashDiscount)</f>
        <v>31.126999999999995</v>
      </c>
      <c r="F157" s="26" t="s">
        <v>5</v>
      </c>
      <c r="G157" s="26" t="s">
        <v>4</v>
      </c>
      <c r="H157" s="149"/>
      <c r="I157" s="194">
        <v>44775.270833333336</v>
      </c>
      <c r="J157" s="195">
        <v>44775.270833333336</v>
      </c>
      <c r="K157" s="196"/>
      <c r="L157" s="326"/>
      <c r="M157" s="140"/>
      <c r="N157" s="140"/>
      <c r="O157" s="140"/>
      <c r="P157" s="22"/>
      <c r="Q157" s="25"/>
      <c r="R157" s="4" t="str">
        <f>IF(SnapshotTable[[#This Row],[Equity Basis Total]] &gt; 0, SnapshotTable[[#This Row],[Equity Basis Total]] / SnapshotTable[[#This Row],[Equity Shares]], "")</f>
        <v/>
      </c>
      <c r="S157" s="269">
        <f>SnapshotTable[[#This Row],[Last Price]] * SnapshotTable[[#This Row],[Equity Shares]]</f>
        <v>0</v>
      </c>
      <c r="T157" s="269">
        <f>SnapshotTable[[#This Row],[Equity Value]] - SnapshotTable[[#This Row],[Equity Basis Total]]</f>
        <v>0</v>
      </c>
      <c r="U157" s="270" t="str">
        <f>IF(SnapshotTable[[#This Row],[Equity Basis Total]] &gt; 0, SnapshotTable[[#This Row],[Equity G/L]] / SnapshotTable[[#This Row],[Equity Basis Total]], "")</f>
        <v/>
      </c>
      <c r="V157" s="268"/>
      <c r="W157" s="26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7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0"/>
      <c r="AD157" s="151"/>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1"/>
      <c r="AI157" s="5"/>
      <c r="AJ157" s="138" t="s">
        <v>164</v>
      </c>
      <c r="AK157" s="152" t="str">
        <f>IF(ISNUMBER( SnapshotTable[[#This Row],[EBF Target]]),(SnapshotTable[[#This Row],[EBF Target]] - SnapshotTable[[#This Row],[Last Price]]) / SnapshotTable[[#This Row],[Last Price]], "")</f>
        <v/>
      </c>
      <c r="AL157" s="152"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2" t="str">
        <f>IF(AND(ISNUMBER( SnapshotTable[[#This Row],[Long Term Target]]), ISNUMBER(SnapshotTable[[#This Row],[Last Price]])),(SnapshotTable[[#This Row],[Long Term Target]] - SnapshotTable[[#This Row],[Last Price]]) / SnapshotTable[[#This Row],[Last Price]], "")</f>
        <v/>
      </c>
      <c r="AP157" s="5">
        <v>40.5</v>
      </c>
      <c r="AQ157" s="38" t="s">
        <v>38</v>
      </c>
      <c r="AR157" s="5">
        <v>40.5</v>
      </c>
      <c r="AS157" s="38" t="s">
        <v>26</v>
      </c>
      <c r="AT157" s="146" t="s">
        <v>538</v>
      </c>
      <c r="AU157" s="187" t="str">
        <f>IF(OR(SnapshotTable[[#This Row],[LP No Fill]]="Y",SnapshotTable[[#This Row],[SP Is Filled]],SnapshotTable[[#This Row],[LC Not Filled]]="Y",SnapshotTable[[#This Row],[SC Is Filled]]),"Y","")</f>
        <v/>
      </c>
      <c r="AV157" s="219"/>
      <c r="AW157" s="225"/>
      <c r="AX157" s="220"/>
      <c r="AY157" s="219" t="str">
        <f>IF(SnapshotTable[[#This Row],[Implied Move]]&gt;0, SnapshotTable[[#This Row],[Last Price]]-SnapshotTable[[#This Row],[Implied Move]],"")</f>
        <v/>
      </c>
      <c r="AZ157" s="219" t="str">
        <f>IF(SnapshotTable[[#This Row],[Implied Move]]&gt;0, SnapshotTable[[#This Row],[Last Price]] + SnapshotTable[[#This Row],[Implied Move]],"")</f>
        <v/>
      </c>
      <c r="BA157" s="331"/>
      <c r="BB157" s="347"/>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51"/>
      <c r="BE157" s="168"/>
      <c r="BF157" s="169"/>
      <c r="BG157" s="170"/>
      <c r="BH157" s="170"/>
      <c r="BI157" s="5"/>
      <c r="BJ157" s="153">
        <f>IF(SnapshotTable[[#This Row],[LP Qty]] &gt; 0, SnapshotTable[[#This Row],[LP Qty]] * SnapshotTable[[#This Row],[LP Book Price]] * 100,0)</f>
        <v>0</v>
      </c>
      <c r="BK157" s="136">
        <f>IF(SnapshotTable[[#This Row],[LP Premium]] &gt; 0, SnapshotTable[[#This Row],[LP Qty]] * SnapshotTable[[#This Row],[LP Strike Price]] * 100,0)</f>
        <v>0</v>
      </c>
      <c r="BL157" s="154"/>
      <c r="BM157" s="385" t="str">
        <f>IF(SnapshotTable[[#This Row],[LP Premium]] &gt; 0,SnapshotTable[[#This Row],[LP Exp Date]]-MAX(SnapshotTable[[#This Row],[LP Book Date]], SnapshotTable[[#This Row],[LP Fill Date]]),"")</f>
        <v/>
      </c>
      <c r="BN157" s="385" t="str">
        <f>IF(ISNUMBER( SnapshotTable[[#This Row],[LP Term]]), SnapshotTable[[#This Row],[LP Exp Date]] - MockToday,"")</f>
        <v/>
      </c>
      <c r="BO157" s="163"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7"/>
      <c r="BU157" s="13"/>
      <c r="BV157" s="5"/>
      <c r="BW157" s="419" t="b">
        <f>AND(ISNUMBER(SnapshotTable[[#This Row],[SP Exp Date]]), ISNUMBER(SnapshotTable[[#This Row],[SP Strike Price]]), ISNUMBER(SnapshotTable[[#This Row],[SP Qty]]), ISNUMBER(SnapshotTable[[#This Row],[SP Book Date]]), ISNUMBER(SnapshotTable[[#This Row],[SP Book Price]]))</f>
        <v>0</v>
      </c>
      <c r="BX157" s="419" t="b">
        <f>AND(SnapshotTable[[#This Row],[SP Is Booked]], NOT(ISBLANK(SnapshotTable[[#This Row],[SP Fill Date]])))</f>
        <v>0</v>
      </c>
      <c r="BY157" s="33">
        <f>IF(SnapshotTable[[#This Row],[SP Is Booked]], SnapshotTable[[#This Row],[SP Qty]] * SnapshotTable[[#This Row],[SP Book Price]] * 100, 0)</f>
        <v>0</v>
      </c>
      <c r="BZ157" s="369"/>
      <c r="CA157" s="368">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3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44"/>
      <c r="CK157" s="31">
        <f>IF(ISNUMBER(SnapshotTable[[#This Row],[SP Potential Spend]]),IF(ISNUMBER(SnapshotTable[[#This Row],[SP POW]]), SnapshotTable[[#This Row],[SP POW]] * SnapshotTable[[#This Row],[SP Potential Spend]], SnapshotTable[[#This Row],[SP Potential Spend]]), "")</f>
        <v>0</v>
      </c>
      <c r="CL157" s="164">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4"/>
      <c r="CO157" s="369"/>
      <c r="CP157" s="4" t="str">
        <f>IF(SnapshotTable[[#This Row],[SP Is Filled]], btc_max_buyback_amount(SnapshotTable[[#This Row],[SP Fill Date]],SnapshotTable[[#This Row],[SP Exp Date]], SnapshotTable[[#This Row],[SP Book Price]]),"")</f>
        <v/>
      </c>
      <c r="CQ157" s="78"/>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5" t="str">
        <f>IF(SnapshotTable[[#This Row],[SP Is Filled]], btc_next_cutoff_date(SnapshotTable[[#This Row],[SP Fill Date]],SnapshotTable[[#This Row],[SP Exp Date]]),"")</f>
        <v/>
      </c>
      <c r="CT157" s="23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6"/>
      <c r="CV157" s="235"/>
      <c r="CW157" s="378"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294" t="str">
        <f>IF(ISNUMBER((SnapshotTable[[#This Row],[SP Total Value]])), SnapshotTable[[#This Row],[SP Gain Loss]] / SnapshotTable[[#This Row],[SP Premium]], "")</f>
        <v/>
      </c>
      <c r="DI157" s="406"/>
      <c r="DJ157" s="138"/>
      <c r="DK157" s="148"/>
      <c r="DL157" s="13"/>
      <c r="DM157" s="13"/>
      <c r="DO157" s="31">
        <f>IF(SnapshotTable[[#This Row],[LC Symbol Count]]=1, SnapshotTable[[#This Row],[LC Qty]] * SnapshotTable[[#This Row],[LC Book Price]] * 100, 0)</f>
        <v>0</v>
      </c>
      <c r="DP157" s="163" t="str">
        <f>IF(AND(SnapshotTable[[#This Row],[LC Exp Date]]&gt;0, SnapshotTable[[#This Row],[LC Strike Price]]&gt;0,SnapshotTable[[#This Row],[LC Qty]]&gt;0,SnapshotTable[[#This Row],[LC Book Date]]&gt;0,SnapshotTable[[#This Row],[LC Book Price]]&gt;0,SnapshotTable[[#This Row],[LC Fill Date]]=0),"Y","")</f>
        <v/>
      </c>
      <c r="DQ157" s="386" t="str">
        <f>IF(SnapshotTable[[#This Row],[LC Premium]] &gt; 0,SnapshotTable[[#This Row],[LC Exp Date]]-MAX(SnapshotTable[[#This Row],[LC Book Date]], SnapshotTable[[#This Row],[LC Fill Date]]),"")</f>
        <v/>
      </c>
      <c r="DR157" s="386" t="str">
        <f>IF(ISNUMBER(SnapshotTable[[#This Row],[LC Term]]), SnapshotTable[[#This Row],[LC Exp Date]] - MockToday, "")</f>
        <v/>
      </c>
      <c r="DS157" s="23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40" t="str">
        <f>IF(ISNUMBER(SnapshotTable[[#This Row],[LC Actual Gain Loss]]), SnapshotTable[[#This Row],[LC Actual Gain Loss]] / SnapshotTable[[#This Row],[LC Premium]],"")</f>
        <v/>
      </c>
      <c r="DX157" s="284" t="str">
        <f>IF(ISNUMBER(SnapshotTable[[#This Row],[LC Book Price]]),SnapshotTable[[#This Row],[LC Book Price]] * 1.5,"")</f>
        <v/>
      </c>
      <c r="DY157" s="265" t="str">
        <f>IF(SnapshotTable[[#This Row],[LC Premium]]&gt;0, SnapshotTable[[#This Row],[LC Next Target]] * SnapshotTable[[#This Row],[LC Qty]] * 100,"")</f>
        <v/>
      </c>
      <c r="DZ157" s="265" t="str">
        <f>IF(ISNUMBER(SnapshotTable[[#This Row],[LC Target Gross]]), SnapshotTable[[#This Row],[LC Target Gross]] - SnapshotTable[[#This Row],[LC Premium]], "")</f>
        <v/>
      </c>
      <c r="EA157" s="305" t="str">
        <f>IF(ISNUMBER(SnapshotTable[[#This Row],[LC Target Gain Loss]]), SnapshotTable[[#This Row],[LC Target Gain Loss]]/SnapshotTable[[#This Row],[LC Premium]], "")</f>
        <v/>
      </c>
      <c r="EB157" s="262"/>
      <c r="EC157" s="283" t="str">
        <f>IF(SnapshotTable[[#This Row],[LC Premium]]&gt;0, SnapshotTable[[#This Row],[LC Book Price]] * (1 - LC_StopLoss_Pct),"")</f>
        <v/>
      </c>
      <c r="ED157" s="284"/>
      <c r="EE157" s="28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4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7"/>
      <c r="EL157" s="138"/>
      <c r="EM157" s="148"/>
      <c r="EN157" s="147"/>
      <c r="EO157" s="147"/>
      <c r="EP157" s="138"/>
      <c r="EQ157" s="419" t="b">
        <f>AND(ISNUMBER(SnapshotTable[[#This Row],[SC Exp Date]]), ISNUMBER(SnapshotTable[[#This Row],[SC Strike Price]]), ISNUMBER(SnapshotTable[[#This Row],[SC Qty]]), ISNUMBER(SnapshotTable[[#This Row],[SC Book Date]]), ISNUMBER(SnapshotTable[[#This Row],[SC Book Price]]))</f>
        <v>0</v>
      </c>
      <c r="ER157" s="419" t="b">
        <f>AND(SnapshotTable[[#This Row],[SC Is Booked]], NOT(ISBLANK(SnapshotTable[[#This Row],[SC Fill Date]])))</f>
        <v>0</v>
      </c>
      <c r="ES157" s="370"/>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3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283"/>
      <c r="FA157" s="218"/>
      <c r="FB157" s="370"/>
      <c r="FC157" s="4">
        <f>IF(SnapshotTable[[#This Row],[SC Is Filled]], btc_max_buyback_amount(SnapshotTable[[#This Row],[SC Fill Date]],SnapshotTable[[#This Row],[SC Exp Date]], SnapshotTable[[#This Row],[SC Book Price]]),0)</f>
        <v>0</v>
      </c>
      <c r="FD157" s="5"/>
      <c r="FE157" s="144"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382">
        <f>IF(SnapshotTable[[#This Row],[SC Is Filled]], IF(ISNUMBER(SnapshotTable[[#This Row],[SC Current Ask]]), SnapshotTable[[#This Row],[SC Current Ask]], SnapshotTable[[#This Row],[SC Book Price]]) - SnapshotTable[[#This Row],[SC Intrinsic Value]], 0)</f>
        <v>0</v>
      </c>
      <c r="FI157" s="143"/>
      <c r="FJ157" s="32" t="str">
        <f>IF(SnapshotTable[[#This Row],[SC Is Filled]],100 * SnapshotTable[[#This Row],[SC Qty]] * IF(ISNUMBER(SnapshotTable[[#This Row],[SC Buyback Override]]), SnapshotTable[[#This Row],[SC Buyback Override]], SnapshotTable[[#This Row],[SC Current Ask]]), "")</f>
        <v/>
      </c>
      <c r="FK157" s="250" t="str">
        <f>IF(SnapshotTable[[#This Row],[SC Time Val]]&gt;0, SnapshotTable[[#This Row],[SC Time Val]] / SnapshotTable[[#This Row],[Last Price]],"")</f>
        <v/>
      </c>
      <c r="FL157" s="302" t="str">
        <f>IF(SnapshotTable[[#This Row],[SC Is Booked]], ((SnapshotTable[[#This Row],[Last Price]] -SnapshotTable[[#This Row],[SC Strike Price]]) / SnapshotTable[[#This Row],[Last Price]]) * -1, "")</f>
        <v/>
      </c>
      <c r="FM157" s="157" t="str">
        <f>IF(SnapshotTable[[#This Row],[SC Is Booked]],  (SnapshotTable[[#This Row],[SC Qty]] * 100 * SnapshotTable[[#This Row],[SC Strike Price]]) - SnapshotTable[[#This Row],[SC Current Ask]], "")</f>
        <v/>
      </c>
      <c r="FN15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7"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33"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36" t="str">
        <f>IF(AND(ISNUMBER(SnapshotTable[[#This Row],[SC Simple ROO]]),SnapshotTable[[#This Row],[SC Simple ROO]] &gt; 0), SnapshotTable[[#This Row],[SC Premium]] + (SnapshotTable[[#This Row],[SC Qty]] * SnapshotTable[[#This Row],[SC Upside Potential]]), "")</f>
        <v/>
      </c>
      <c r="FX157" s="302" t="str" cm="1">
        <f t="array" ref="FX157">IF(ISNUMBER(SnapshotTable[[#This Row],[SC Max Dollars]]), annualize(SnapshotTable[[#This Row],[SC Term]],(SnapshotTable[[#This Row],[SC Max Dollars]]/SnapshotTable[[#This Row],[SC Basis]])),"")</f>
        <v/>
      </c>
      <c r="FY157" s="23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294" t="str">
        <f>IFERROR( IF(ISNUMBER((SnapshotTable[[#This Row],[SC Current Value]])), SnapshotTable[[#This Row],[SC Gain Loss]] / SnapshotTable[[#This Row],[SC Premium]], ""), "")</f>
        <v/>
      </c>
      <c r="GB157" s="171">
        <f>SnapshotTable[[#This Row],[Equity Shares]] * SaleSharesToConsiderPercentage</f>
        <v>0</v>
      </c>
      <c r="GC157" s="172" t="e">
        <f>SnapshotTable[[#This Row],[Long Term Target]] * SellingPriceToConsiderBasedOnTargetPercentage</f>
        <v>#VALUE!</v>
      </c>
      <c r="GD157" s="172">
        <f>SnapshotTable[[#This Row],[Last Price]] * (1+ SellingPriceToConsiderBasedOnTargetPercentage)</f>
        <v>71.408999999999992</v>
      </c>
      <c r="GE157" s="173"/>
      <c r="GF157" s="172"/>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8" t="str">
        <f>IF(SnapshotTable[[#This Row],[Sale G/L]]&gt;0, SnapshotTable[[#This Row],[Sale G/L]] / SnapshotTable[[#This Row],[Sale Basis]], IF(ISNUMBER(SnapshotTable[[#This Row],[SC Exercise P&amp;L (TAX)]]), SnapshotTable[[#This Row],[SC Exercise P&amp;L (TAX)]] / SnapshotTable[[#This Row],[SC Basis]], ""))</f>
        <v/>
      </c>
      <c r="GK157" s="158" t="s">
        <v>699</v>
      </c>
      <c r="GL157" s="159"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59" t="str">
        <f>IF(AND(SnapshotTable[[#This Row],[LC Exp Date]]&gt;0,SnapshotTable[[#This Row],[LC Strike Price]]&gt;0), [1]!ToOptionSymbol(SnapshotTable[[#This Row],[Symbol]], SnapshotTable[[#This Row],[LC Strike Price]],SnapshotTable[[#This Row],[LC Exp Date]],0), "")</f>
        <v/>
      </c>
      <c r="GQ157" s="160" t="str">
        <f>IF(LEN(SnapshotTable[[#This Row],[LC Symbol]])&gt;0, 1, "")</f>
        <v/>
      </c>
      <c r="GR157" s="159" t="str">
        <f>IF(AND(SnapshotTable[[#This Row],[SC Exp Date]]&gt;0,SnapshotTable[[#This Row],[SC Strike Price]]&gt;0), [1]!ToOptionSymbol(SnapshotTable[[#This Row],[Symbol]], SnapshotTable[[#This Row],[SC Strike Price]],SnapshotTable[[#This Row],[SC Exp Date]],0), "")</f>
        <v/>
      </c>
      <c r="GS157" s="160" t="str">
        <f>IF(LEN(SnapshotTable[[#This Row],[SC Symbol]])&gt;0, 1, "")</f>
        <v/>
      </c>
      <c r="GT157" s="161"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31">
        <f>MAX(SnapshotTable[[#This Row],[Equity Basis Total]],SnapshotTable[[#This Row],[Equity Value]]) + (SnapshotTable[[#This Row],[SP Potential Spend]]- SnapshotTable[[#This Row],[SP Premium]] + SnapshotTable[[#This Row],[LP Premium]])+ (SnapshotTable[[#This Row],[LC Premium]] - SnapshotTable[[#This Row],[SC Premium]])</f>
        <v>0</v>
      </c>
      <c r="GW157" s="139" t="str">
        <f>IF(AND(SnapshotTable[[#This Row],[Exposure]] &lt;&gt; 0),SnapshotTable[[#This Row],[Exposure]] / SnapshotTable[[#Totals],[Exposure]], "")</f>
        <v/>
      </c>
      <c r="HE157" s="268"/>
      <c r="HF157" s="268"/>
      <c r="HK157" s="1"/>
      <c r="HL157" s="1"/>
      <c r="HM157" s="1"/>
      <c r="HN157" s="1"/>
      <c r="HO157" s="1"/>
      <c r="HP157" s="1"/>
    </row>
    <row r="158" spans="2:224" ht="12.75" hidden="1" customHeight="1" x14ac:dyDescent="0.25">
      <c r="B158" s="12" t="s">
        <v>1183</v>
      </c>
      <c r="C158" s="422">
        <v>54.98</v>
      </c>
      <c r="D158" s="208" t="s">
        <v>578</v>
      </c>
      <c r="E158" s="39">
        <f>SnapshotTable[[#This Row],[Last Price]]*(1 -CrashDiscount)</f>
        <v>46.732999999999997</v>
      </c>
      <c r="F158" s="325" t="s">
        <v>223</v>
      </c>
      <c r="G158" s="325" t="s">
        <v>49</v>
      </c>
      <c r="H158" s="149"/>
      <c r="I158" s="194"/>
      <c r="J158" s="195"/>
      <c r="K158" s="196"/>
      <c r="L158" s="326"/>
      <c r="M158" s="140"/>
      <c r="N158" s="140"/>
      <c r="O158" s="140"/>
      <c r="P158" s="22"/>
      <c r="Q158" s="25"/>
      <c r="R158" s="4" t="str">
        <f>IF(SnapshotTable[[#This Row],[Equity Basis Total]] &gt; 0, SnapshotTable[[#This Row],[Equity Basis Total]] / SnapshotTable[[#This Row],[Equity Shares]], "")</f>
        <v/>
      </c>
      <c r="S158" s="269">
        <f>SnapshotTable[[#This Row],[Last Price]] * SnapshotTable[[#This Row],[Equity Shares]]</f>
        <v>0</v>
      </c>
      <c r="T158" s="269">
        <f>SnapshotTable[[#This Row],[Equity Value]] - SnapshotTable[[#This Row],[Equity Basis Total]]</f>
        <v>0</v>
      </c>
      <c r="U158" s="270" t="str">
        <f>IF(SnapshotTable[[#This Row],[Equity Basis Total]] &gt; 0, SnapshotTable[[#This Row],[Equity G/L]] / SnapshotTable[[#This Row],[Equity Basis Total]], "")</f>
        <v/>
      </c>
      <c r="V158" s="268">
        <v>32</v>
      </c>
      <c r="W158" s="26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7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0"/>
      <c r="AD158" s="151"/>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1"/>
      <c r="AI158" s="5"/>
      <c r="AJ158" s="138"/>
      <c r="AK158" s="152" t="str">
        <f>IF(ISNUMBER( SnapshotTable[[#This Row],[EBF Target]]),(SnapshotTable[[#This Row],[EBF Target]] - SnapshotTable[[#This Row],[Last Price]]) / SnapshotTable[[#This Row],[Last Price]], "")</f>
        <v/>
      </c>
      <c r="AL158" s="152"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2" t="str">
        <f>IF(AND(ISNUMBER( SnapshotTable[[#This Row],[Long Term Target]]), ISNUMBER(SnapshotTable[[#This Row],[Last Price]])),(SnapshotTable[[#This Row],[Long Term Target]] - SnapshotTable[[#This Row],[Last Price]]) / SnapshotTable[[#This Row],[Last Price]], "")</f>
        <v/>
      </c>
      <c r="AP158" s="5"/>
      <c r="AQ158" s="38"/>
      <c r="AR158" s="5"/>
      <c r="AS158" s="38"/>
      <c r="AT158" s="146"/>
      <c r="AU158" s="187" t="str">
        <f>IF(OR(SnapshotTable[[#This Row],[LP No Fill]]="Y",SnapshotTable[[#This Row],[SP Is Filled]],SnapshotTable[[#This Row],[LC Not Filled]]="Y",SnapshotTable[[#This Row],[SC Is Filled]]),"Y","")</f>
        <v/>
      </c>
      <c r="AV158" s="219"/>
      <c r="AW158" s="225"/>
      <c r="AX158" s="220"/>
      <c r="AY158" s="219" t="str">
        <f>IF(SnapshotTable[[#This Row],[Implied Move]]&gt;0, SnapshotTable[[#This Row],[Last Price]]-SnapshotTable[[#This Row],[Implied Move]],"")</f>
        <v/>
      </c>
      <c r="AZ158" s="219" t="str">
        <f>IF(SnapshotTable[[#This Row],[Implied Move]]&gt;0, SnapshotTable[[#This Row],[Last Price]] + SnapshotTable[[#This Row],[Implied Move]],"")</f>
        <v/>
      </c>
      <c r="BA158" s="331"/>
      <c r="BB158" s="347"/>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51"/>
      <c r="BE158" s="5"/>
      <c r="BF158" s="14"/>
      <c r="BG158" s="13"/>
      <c r="BH158" s="13"/>
      <c r="BI158" s="5"/>
      <c r="BJ158" s="136">
        <f>IF(SnapshotTable[[#This Row],[LP Qty]] &gt; 0, SnapshotTable[[#This Row],[LP Qty]] * SnapshotTable[[#This Row],[LP Book Price]] * 100,0)</f>
        <v>0</v>
      </c>
      <c r="BK158" s="136">
        <f>IF(SnapshotTable[[#This Row],[LP Premium]] &gt; 0, SnapshotTable[[#This Row],[LP Qty]] * SnapshotTable[[#This Row],[LP Strike Price]] * 100,0)</f>
        <v>0</v>
      </c>
      <c r="BL158" s="154"/>
      <c r="BM158" s="385" t="str">
        <f>IF(SnapshotTable[[#This Row],[LP Premium]] &gt; 0,SnapshotTable[[#This Row],[LP Exp Date]]-MAX(SnapshotTable[[#This Row],[LP Book Date]], SnapshotTable[[#This Row],[LP Fill Date]]),"")</f>
        <v/>
      </c>
      <c r="BN158" s="385" t="str">
        <f>IF(ISNUMBER( SnapshotTable[[#This Row],[LP Term]]), SnapshotTable[[#This Row],[LP Exp Date]] - MockToday,"")</f>
        <v/>
      </c>
      <c r="BO158" s="163"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7"/>
      <c r="BU158" s="13"/>
      <c r="BV158" s="5"/>
      <c r="BW158" s="419" t="b">
        <f>AND(ISNUMBER(SnapshotTable[[#This Row],[SP Exp Date]]), ISNUMBER(SnapshotTable[[#This Row],[SP Strike Price]]), ISNUMBER(SnapshotTable[[#This Row],[SP Qty]]), ISNUMBER(SnapshotTable[[#This Row],[SP Book Date]]), ISNUMBER(SnapshotTable[[#This Row],[SP Book Price]]))</f>
        <v>0</v>
      </c>
      <c r="BX158" s="419" t="b">
        <f>AND(SnapshotTable[[#This Row],[SP Is Booked]], NOT(ISBLANK(SnapshotTable[[#This Row],[SP Fill Date]])))</f>
        <v>0</v>
      </c>
      <c r="BY158" s="33">
        <f>IF(SnapshotTable[[#This Row],[SP Is Booked]], SnapshotTable[[#This Row],[SP Qty]] * SnapshotTable[[#This Row],[SP Book Price]] * 100, 0)</f>
        <v>0</v>
      </c>
      <c r="BZ158" s="369"/>
      <c r="CA158" s="368">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3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44"/>
      <c r="CK158" s="31">
        <f>IF(ISNUMBER(SnapshotTable[[#This Row],[SP Potential Spend]]),IF(ISNUMBER(SnapshotTable[[#This Row],[SP POW]]), SnapshotTable[[#This Row],[SP POW]] * SnapshotTable[[#This Row],[SP Potential Spend]], SnapshotTable[[#This Row],[SP Potential Spend]]), "")</f>
        <v>0</v>
      </c>
      <c r="CL158" s="164">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8"/>
      <c r="CO158" s="369"/>
      <c r="CP158" s="4" t="str">
        <f>IF(SnapshotTable[[#This Row],[SP Is Filled]], btc_max_buyback_amount(SnapshotTable[[#This Row],[SP Fill Date]],SnapshotTable[[#This Row],[SP Exp Date]], SnapshotTable[[#This Row],[SP Book Price]]),"")</f>
        <v/>
      </c>
      <c r="CQ158" s="78"/>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5" t="str">
        <f>IF(SnapshotTable[[#This Row],[SP Is Filled]], btc_next_cutoff_date(SnapshotTable[[#This Row],[SP Fill Date]],SnapshotTable[[#This Row],[SP Exp Date]]),"")</f>
        <v/>
      </c>
      <c r="CT158" s="23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6"/>
      <c r="CV158" s="235"/>
      <c r="CW158" s="378"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294" t="str">
        <f>IF(ISNUMBER((SnapshotTable[[#This Row],[SP Total Value]])), SnapshotTable[[#This Row],[SP Gain Loss]] / SnapshotTable[[#This Row],[SP Premium]], "")</f>
        <v/>
      </c>
      <c r="DI158" s="406"/>
      <c r="DJ158" s="138"/>
      <c r="DK158" s="148"/>
      <c r="DL158" s="13"/>
      <c r="DM158" s="13"/>
      <c r="DO158" s="31">
        <f>IF(SnapshotTable[[#This Row],[LC Symbol Count]]=1, SnapshotTable[[#This Row],[LC Qty]] * SnapshotTable[[#This Row],[LC Book Price]] * 100, 0)</f>
        <v>0</v>
      </c>
      <c r="DP158" s="163" t="str">
        <f>IF(AND(SnapshotTable[[#This Row],[LC Exp Date]]&gt;0, SnapshotTable[[#This Row],[LC Strike Price]]&gt;0,SnapshotTable[[#This Row],[LC Qty]]&gt;0,SnapshotTable[[#This Row],[LC Book Date]]&gt;0,SnapshotTable[[#This Row],[LC Book Price]]&gt;0,SnapshotTable[[#This Row],[LC Fill Date]]=0),"Y","")</f>
        <v/>
      </c>
      <c r="DQ158" s="386" t="str">
        <f>IF(SnapshotTable[[#This Row],[LC Premium]] &gt; 0,SnapshotTable[[#This Row],[LC Exp Date]]-MAX(SnapshotTable[[#This Row],[LC Book Date]], SnapshotTable[[#This Row],[LC Fill Date]]),"")</f>
        <v/>
      </c>
      <c r="DR158" s="386" t="str">
        <f>IF(ISNUMBER(SnapshotTable[[#This Row],[LC Term]]), SnapshotTable[[#This Row],[LC Exp Date]] - MockToday, "")</f>
        <v/>
      </c>
      <c r="DS158" s="23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40" t="str">
        <f>IF(ISNUMBER(SnapshotTable[[#This Row],[LC Actual Gain Loss]]), SnapshotTable[[#This Row],[LC Actual Gain Loss]] / SnapshotTable[[#This Row],[LC Premium]],"")</f>
        <v/>
      </c>
      <c r="DX158" s="284" t="str">
        <f>IF(ISNUMBER(SnapshotTable[[#This Row],[LC Book Price]]),SnapshotTable[[#This Row],[LC Book Price]] * 1.5,"")</f>
        <v/>
      </c>
      <c r="DY158" s="265" t="str">
        <f>IF(SnapshotTable[[#This Row],[LC Premium]]&gt;0, SnapshotTable[[#This Row],[LC Next Target]] * SnapshotTable[[#This Row],[LC Qty]] * 100,"")</f>
        <v/>
      </c>
      <c r="DZ158" s="265" t="str">
        <f>IF(ISNUMBER(SnapshotTable[[#This Row],[LC Target Gross]]), SnapshotTable[[#This Row],[LC Target Gross]] - SnapshotTable[[#This Row],[LC Premium]], "")</f>
        <v/>
      </c>
      <c r="EA158" s="305" t="str">
        <f>IF(ISNUMBER(SnapshotTable[[#This Row],[LC Target Gain Loss]]), SnapshotTable[[#This Row],[LC Target Gain Loss]]/SnapshotTable[[#This Row],[LC Premium]], "")</f>
        <v/>
      </c>
      <c r="EB158" s="262"/>
      <c r="EC158" s="283" t="str">
        <f>IF(SnapshotTable[[#This Row],[LC Premium]]&gt;0, SnapshotTable[[#This Row],[LC Book Price]] * (1 - LC_StopLoss_Pct),"")</f>
        <v/>
      </c>
      <c r="ED158" s="284"/>
      <c r="EE158" s="28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4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7"/>
      <c r="EL158" s="138"/>
      <c r="EM158" s="148"/>
      <c r="EN158" s="147"/>
      <c r="EO158" s="147"/>
      <c r="EP158" s="138"/>
      <c r="EQ158" s="419" t="b">
        <f>AND(ISNUMBER(SnapshotTable[[#This Row],[SC Exp Date]]), ISNUMBER(SnapshotTable[[#This Row],[SC Strike Price]]), ISNUMBER(SnapshotTable[[#This Row],[SC Qty]]), ISNUMBER(SnapshotTable[[#This Row],[SC Book Date]]), ISNUMBER(SnapshotTable[[#This Row],[SC Book Price]]))</f>
        <v>0</v>
      </c>
      <c r="ER158" s="419" t="b">
        <f>AND(SnapshotTable[[#This Row],[SC Is Booked]], NOT(ISBLANK(SnapshotTable[[#This Row],[SC Fill Date]])))</f>
        <v>0</v>
      </c>
      <c r="ES158" s="370"/>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3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283"/>
      <c r="FA158" s="218"/>
      <c r="FB158" s="370"/>
      <c r="FC158" s="4">
        <f>IF(SnapshotTable[[#This Row],[SC Is Filled]], btc_max_buyback_amount(SnapshotTable[[#This Row],[SC Fill Date]],SnapshotTable[[#This Row],[SC Exp Date]], SnapshotTable[[#This Row],[SC Book Price]]),0)</f>
        <v>0</v>
      </c>
      <c r="FD158" s="5"/>
      <c r="FE158" s="144"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382">
        <f>IF(SnapshotTable[[#This Row],[SC Is Filled]], IF(ISNUMBER(SnapshotTable[[#This Row],[SC Current Ask]]), SnapshotTable[[#This Row],[SC Current Ask]], SnapshotTable[[#This Row],[SC Book Price]]) - SnapshotTable[[#This Row],[SC Intrinsic Value]], 0)</f>
        <v>0</v>
      </c>
      <c r="FI158" s="143">
        <v>45786</v>
      </c>
      <c r="FJ158" s="32" t="str">
        <f>IF(SnapshotTable[[#This Row],[SC Is Filled]],100 * SnapshotTable[[#This Row],[SC Qty]] * IF(ISNUMBER(SnapshotTable[[#This Row],[SC Buyback Override]]), SnapshotTable[[#This Row],[SC Buyback Override]], SnapshotTable[[#This Row],[SC Current Ask]]), "")</f>
        <v/>
      </c>
      <c r="FK158" s="250" t="str">
        <f>IF(SnapshotTable[[#This Row],[SC Time Val]]&gt;0, SnapshotTable[[#This Row],[SC Time Val]] / SnapshotTable[[#This Row],[Last Price]],"")</f>
        <v/>
      </c>
      <c r="FL158" s="302" t="str">
        <f>IF(SnapshotTable[[#This Row],[SC Is Booked]], ((SnapshotTable[[#This Row],[Last Price]] -SnapshotTable[[#This Row],[SC Strike Price]]) / SnapshotTable[[#This Row],[Last Price]]) * -1, "")</f>
        <v/>
      </c>
      <c r="FM158" s="157"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33"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36" t="str">
        <f>IF(AND(ISNUMBER(SnapshotTable[[#This Row],[SC Simple ROO]]),SnapshotTable[[#This Row],[SC Simple ROO]] &gt; 0), SnapshotTable[[#This Row],[SC Premium]] + (SnapshotTable[[#This Row],[SC Qty]] * SnapshotTable[[#This Row],[SC Upside Potential]]), "")</f>
        <v/>
      </c>
      <c r="FX158" s="302" t="str" cm="1">
        <f t="array" ref="FX158">IF(ISNUMBER(SnapshotTable[[#This Row],[SC Max Dollars]]), annualize(SnapshotTable[[#This Row],[SC Term]],(SnapshotTable[[#This Row],[SC Max Dollars]]/SnapshotTable[[#This Row],[SC Basis]])),"")</f>
        <v/>
      </c>
      <c r="FY158" s="23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29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107.211</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31">
        <f>MAX(SnapshotTable[[#This Row],[Equity Basis Total]],SnapshotTable[[#This Row],[Equity Value]]) + (SnapshotTable[[#This Row],[SP Potential Spend]]- SnapshotTable[[#This Row],[SP Premium]] + SnapshotTable[[#This Row],[LP Premium]])+ (SnapshotTable[[#This Row],[LC Premium]] - SnapshotTable[[#This Row],[SC Premium]])</f>
        <v>0</v>
      </c>
      <c r="GW158" s="139" t="str">
        <f>IF(AND(SnapshotTable[[#This Row],[Exposure]] &lt;&gt; 0),SnapshotTable[[#This Row],[Exposure]] / SnapshotTable[[#Totals],[Exposure]], "")</f>
        <v/>
      </c>
      <c r="HE158" s="268"/>
      <c r="HF158" s="268"/>
      <c r="HK158" s="1"/>
      <c r="HL158" s="1"/>
      <c r="HM158" s="1"/>
      <c r="HN158" s="1"/>
      <c r="HO158" s="1"/>
      <c r="HP158" s="1"/>
    </row>
    <row r="159" spans="2:224" ht="12.75" hidden="1" customHeight="1" x14ac:dyDescent="0.25">
      <c r="B159" s="12" t="s">
        <v>170</v>
      </c>
      <c r="C159" s="422">
        <v>68.819999999999993</v>
      </c>
      <c r="D159" s="208"/>
      <c r="E159" s="39">
        <f>SnapshotTable[[#This Row],[Last Price]]*(1 -CrashDiscount)</f>
        <v>58.496999999999993</v>
      </c>
      <c r="F159" s="26" t="s">
        <v>5</v>
      </c>
      <c r="G159" s="26" t="s">
        <v>4</v>
      </c>
      <c r="H159" s="149"/>
      <c r="I159" s="194">
        <v>44775.270833333336</v>
      </c>
      <c r="J159" s="195">
        <v>44775.270833333336</v>
      </c>
      <c r="K159" s="196"/>
      <c r="L159" s="326"/>
      <c r="M159" s="140"/>
      <c r="N159" s="140"/>
      <c r="O159" s="140"/>
      <c r="P159" s="22"/>
      <c r="Q159" s="25"/>
      <c r="R159" s="4" t="str">
        <f>IF(SnapshotTable[[#This Row],[Equity Basis Total]] &gt; 0, SnapshotTable[[#This Row],[Equity Basis Total]] / SnapshotTable[[#This Row],[Equity Shares]], "")</f>
        <v/>
      </c>
      <c r="S159" s="269">
        <f>SnapshotTable[[#This Row],[Last Price]] * SnapshotTable[[#This Row],[Equity Shares]]</f>
        <v>0</v>
      </c>
      <c r="T159" s="269">
        <f>SnapshotTable[[#This Row],[Equity Value]] - SnapshotTable[[#This Row],[Equity Basis Total]]</f>
        <v>0</v>
      </c>
      <c r="U159" s="270" t="str">
        <f>IF(SnapshotTable[[#This Row],[Equity Basis Total]] &gt; 0, SnapshotTable[[#This Row],[Equity G/L]] / SnapshotTable[[#This Row],[Equity Basis Total]], "")</f>
        <v/>
      </c>
      <c r="V159" s="268"/>
      <c r="W159" s="26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7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0"/>
      <c r="AD159" s="151"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1"/>
      <c r="AI159" s="5"/>
      <c r="AJ159" s="138" t="s">
        <v>164</v>
      </c>
      <c r="AK159" s="152" t="str">
        <f>IF(ISNUMBER( SnapshotTable[[#This Row],[EBF Target]]),(SnapshotTable[[#This Row],[EBF Target]] - SnapshotTable[[#This Row],[Last Price]]) / SnapshotTable[[#This Row],[Last Price]], "")</f>
        <v/>
      </c>
      <c r="AL159" s="152"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2" t="str">
        <f>IF(AND(ISNUMBER( SnapshotTable[[#This Row],[Long Term Target]]), ISNUMBER(SnapshotTable[[#This Row],[Last Price]])),(SnapshotTable[[#This Row],[Long Term Target]] - SnapshotTable[[#This Row],[Last Price]]) / SnapshotTable[[#This Row],[Last Price]], "")</f>
        <v/>
      </c>
      <c r="AP159" s="5"/>
      <c r="AQ159" s="38"/>
      <c r="AR159" s="5"/>
      <c r="AS159" s="38"/>
      <c r="AT159" s="146"/>
      <c r="AU159" s="187" t="str">
        <f>IF(OR(SnapshotTable[[#This Row],[LP No Fill]]="Y",SnapshotTable[[#This Row],[SP Is Filled]],SnapshotTable[[#This Row],[LC Not Filled]]="Y",SnapshotTable[[#This Row],[SC Is Filled]]),"Y","")</f>
        <v/>
      </c>
      <c r="AV159" s="219"/>
      <c r="AW159" s="225"/>
      <c r="AX159" s="220"/>
      <c r="AY159" s="219" t="str">
        <f>IF(SnapshotTable[[#This Row],[Implied Move]]&gt;0, SnapshotTable[[#This Row],[Last Price]]-SnapshotTable[[#This Row],[Implied Move]],"")</f>
        <v/>
      </c>
      <c r="AZ159" s="219" t="str">
        <f>IF(SnapshotTable[[#This Row],[Implied Move]]&gt;0, SnapshotTable[[#This Row],[Last Price]] + SnapshotTable[[#This Row],[Implied Move]],"")</f>
        <v/>
      </c>
      <c r="BA159" s="331"/>
      <c r="BB159" s="347"/>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51"/>
      <c r="BE159" s="5"/>
      <c r="BF159" s="14"/>
      <c r="BG159" s="13"/>
      <c r="BH159" s="13"/>
      <c r="BI159" s="5"/>
      <c r="BJ159" s="136">
        <f>IF(SnapshotTable[[#This Row],[LP Qty]] &gt; 0, SnapshotTable[[#This Row],[LP Qty]] * SnapshotTable[[#This Row],[LP Book Price]] * 100,0)</f>
        <v>0</v>
      </c>
      <c r="BK159" s="136">
        <f>IF(SnapshotTable[[#This Row],[LP Premium]] &gt; 0, SnapshotTable[[#This Row],[LP Qty]] * SnapshotTable[[#This Row],[LP Strike Price]] * 100,0)</f>
        <v>0</v>
      </c>
      <c r="BL159" s="154"/>
      <c r="BM159" s="385" t="str">
        <f>IF(SnapshotTable[[#This Row],[LP Premium]] &gt; 0,SnapshotTable[[#This Row],[LP Exp Date]]-MAX(SnapshotTable[[#This Row],[LP Book Date]], SnapshotTable[[#This Row],[LP Fill Date]]),"")</f>
        <v/>
      </c>
      <c r="BN159" s="385" t="str">
        <f>IF(ISNUMBER( SnapshotTable[[#This Row],[LP Term]]), SnapshotTable[[#This Row],[LP Exp Date]] - MockToday,"")</f>
        <v/>
      </c>
      <c r="BO159" s="163"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7"/>
      <c r="BU159" s="13"/>
      <c r="BV159" s="5"/>
      <c r="BW159" s="419" t="b">
        <f>AND(ISNUMBER(SnapshotTable[[#This Row],[SP Exp Date]]), ISNUMBER(SnapshotTable[[#This Row],[SP Strike Price]]), ISNUMBER(SnapshotTable[[#This Row],[SP Qty]]), ISNUMBER(SnapshotTable[[#This Row],[SP Book Date]]), ISNUMBER(SnapshotTable[[#This Row],[SP Book Price]]))</f>
        <v>0</v>
      </c>
      <c r="BX159" s="419" t="b">
        <f>AND(SnapshotTable[[#This Row],[SP Is Booked]], NOT(ISBLANK(SnapshotTable[[#This Row],[SP Fill Date]])))</f>
        <v>0</v>
      </c>
      <c r="BY159" s="33">
        <f>IF(SnapshotTable[[#This Row],[SP Is Booked]], SnapshotTable[[#This Row],[SP Qty]] * SnapshotTable[[#This Row],[SP Book Price]] * 100, 0)</f>
        <v>0</v>
      </c>
      <c r="BZ159" s="369"/>
      <c r="CA159" s="368">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3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44"/>
      <c r="CK159" s="31">
        <f>IF(ISNUMBER(SnapshotTable[[#This Row],[SP Potential Spend]]),IF(ISNUMBER(SnapshotTable[[#This Row],[SP POW]]), SnapshotTable[[#This Row],[SP POW]] * SnapshotTable[[#This Row],[SP Potential Spend]], SnapshotTable[[#This Row],[SP Potential Spend]]), "")</f>
        <v>0</v>
      </c>
      <c r="CL159" s="164">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8"/>
      <c r="CO159" s="369"/>
      <c r="CP159" s="4" t="str">
        <f>IF(SnapshotTable[[#This Row],[SP Is Filled]], btc_max_buyback_amount(SnapshotTable[[#This Row],[SP Fill Date]],SnapshotTable[[#This Row],[SP Exp Date]], SnapshotTable[[#This Row],[SP Book Price]]),"")</f>
        <v/>
      </c>
      <c r="CQ159" s="78"/>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5" t="str">
        <f>IF(SnapshotTable[[#This Row],[SP Is Filled]], btc_next_cutoff_date(SnapshotTable[[#This Row],[SP Fill Date]],SnapshotTable[[#This Row],[SP Exp Date]]),"")</f>
        <v/>
      </c>
      <c r="CT159" s="23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3"/>
      <c r="CV159" s="235"/>
      <c r="CW159" s="378"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294" t="str">
        <f>IF(ISNUMBER((SnapshotTable[[#This Row],[SP Total Value]])), SnapshotTable[[#This Row],[SP Gain Loss]] / SnapshotTable[[#This Row],[SP Premium]], "")</f>
        <v/>
      </c>
      <c r="DI159" s="406"/>
      <c r="DJ159" s="138"/>
      <c r="DK159" s="148"/>
      <c r="DL159" s="13"/>
      <c r="DM159" s="13"/>
      <c r="DO159" s="31">
        <f>IF(SnapshotTable[[#This Row],[LC Symbol Count]]=1, SnapshotTable[[#This Row],[LC Qty]] * SnapshotTable[[#This Row],[LC Book Price]] * 100, 0)</f>
        <v>0</v>
      </c>
      <c r="DP159" s="163" t="str">
        <f>IF(AND(SnapshotTable[[#This Row],[LC Exp Date]]&gt;0, SnapshotTable[[#This Row],[LC Strike Price]]&gt;0,SnapshotTable[[#This Row],[LC Qty]]&gt;0,SnapshotTable[[#This Row],[LC Book Date]]&gt;0,SnapshotTable[[#This Row],[LC Book Price]]&gt;0,SnapshotTable[[#This Row],[LC Fill Date]]=0),"Y","")</f>
        <v/>
      </c>
      <c r="DQ159" s="386" t="str">
        <f>IF(SnapshotTable[[#This Row],[LC Premium]] &gt; 0,SnapshotTable[[#This Row],[LC Exp Date]]-MAX(SnapshotTable[[#This Row],[LC Book Date]], SnapshotTable[[#This Row],[LC Fill Date]]),"")</f>
        <v/>
      </c>
      <c r="DR159" s="386" t="str">
        <f>IF(ISNUMBER(SnapshotTable[[#This Row],[LC Term]]), SnapshotTable[[#This Row],[LC Exp Date]] - MockToday, "")</f>
        <v/>
      </c>
      <c r="DS159" s="23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40" t="str">
        <f>IF(ISNUMBER(SnapshotTable[[#This Row],[LC Actual Gain Loss]]), SnapshotTable[[#This Row],[LC Actual Gain Loss]] / SnapshotTable[[#This Row],[LC Premium]],"")</f>
        <v/>
      </c>
      <c r="DX159" s="284" t="str">
        <f>IF(ISNUMBER(SnapshotTable[[#This Row],[LC Book Price]]),SnapshotTable[[#This Row],[LC Book Price]] * 1.5,"")</f>
        <v/>
      </c>
      <c r="DY159" s="265" t="str">
        <f>IF(SnapshotTable[[#This Row],[LC Premium]]&gt;0, SnapshotTable[[#This Row],[LC Next Target]] * SnapshotTable[[#This Row],[LC Qty]] * 100,"")</f>
        <v/>
      </c>
      <c r="DZ159" s="265" t="str">
        <f>IF(ISNUMBER(SnapshotTable[[#This Row],[LC Target Gross]]), SnapshotTable[[#This Row],[LC Target Gross]] - SnapshotTable[[#This Row],[LC Premium]], "")</f>
        <v/>
      </c>
      <c r="EA159" s="305" t="str">
        <f>IF(ISNUMBER(SnapshotTable[[#This Row],[LC Target Gain Loss]]), SnapshotTable[[#This Row],[LC Target Gain Loss]]/SnapshotTable[[#This Row],[LC Premium]], "")</f>
        <v/>
      </c>
      <c r="EB159" s="262"/>
      <c r="EC159" s="283" t="str">
        <f>IF(SnapshotTable[[#This Row],[LC Premium]]&gt;0, SnapshotTable[[#This Row],[LC Book Price]] * (1 - LC_StopLoss_Pct),"")</f>
        <v/>
      </c>
      <c r="ED159" s="284"/>
      <c r="EE159" s="28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4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7"/>
      <c r="EL159" s="138"/>
      <c r="EM159" s="148"/>
      <c r="EN159" s="147"/>
      <c r="EO159" s="147"/>
      <c r="EP159" s="138"/>
      <c r="EQ159" s="419" t="b">
        <f>AND(ISNUMBER(SnapshotTable[[#This Row],[SC Exp Date]]), ISNUMBER(SnapshotTable[[#This Row],[SC Strike Price]]), ISNUMBER(SnapshotTable[[#This Row],[SC Qty]]), ISNUMBER(SnapshotTable[[#This Row],[SC Book Date]]), ISNUMBER(SnapshotTable[[#This Row],[SC Book Price]]))</f>
        <v>0</v>
      </c>
      <c r="ER159" s="419" t="b">
        <f>AND(SnapshotTable[[#This Row],[SC Is Booked]], NOT(ISBLANK(SnapshotTable[[#This Row],[SC Fill Date]])))</f>
        <v>0</v>
      </c>
      <c r="ES159" s="370"/>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3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283"/>
      <c r="FA159" s="218"/>
      <c r="FB159" s="370"/>
      <c r="FC159" s="4">
        <f>IF(SnapshotTable[[#This Row],[SC Is Filled]], btc_max_buyback_amount(SnapshotTable[[#This Row],[SC Fill Date]],SnapshotTable[[#This Row],[SC Exp Date]], SnapshotTable[[#This Row],[SC Book Price]]),0)</f>
        <v>0</v>
      </c>
      <c r="FD159" s="5"/>
      <c r="FE159" s="144"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382">
        <f>IF(SnapshotTable[[#This Row],[SC Is Filled]], IF(ISNUMBER(SnapshotTable[[#This Row],[SC Current Ask]]), SnapshotTable[[#This Row],[SC Current Ask]], SnapshotTable[[#This Row],[SC Book Price]]) - SnapshotTable[[#This Row],[SC Intrinsic Value]], 0)</f>
        <v>0</v>
      </c>
      <c r="FI159" s="143"/>
      <c r="FJ159" s="32" t="str">
        <f>IF(SnapshotTable[[#This Row],[SC Is Filled]],100 * SnapshotTable[[#This Row],[SC Qty]] * IF(ISNUMBER(SnapshotTable[[#This Row],[SC Buyback Override]]), SnapshotTable[[#This Row],[SC Buyback Override]], SnapshotTable[[#This Row],[SC Current Ask]]), "")</f>
        <v/>
      </c>
      <c r="FK159" s="250" t="str">
        <f>IF(SnapshotTable[[#This Row],[SC Time Val]]&gt;0, SnapshotTable[[#This Row],[SC Time Val]] / SnapshotTable[[#This Row],[Last Price]],"")</f>
        <v/>
      </c>
      <c r="FL159" s="302" t="str">
        <f>IF(SnapshotTable[[#This Row],[SC Is Booked]], ((SnapshotTable[[#This Row],[Last Price]] -SnapshotTable[[#This Row],[SC Strike Price]]) / SnapshotTable[[#This Row],[Last Price]]) * -1, "")</f>
        <v/>
      </c>
      <c r="FM159" s="157"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33"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36" t="str">
        <f>IF(AND(ISNUMBER(SnapshotTable[[#This Row],[SC Simple ROO]]),SnapshotTable[[#This Row],[SC Simple ROO]] &gt; 0), SnapshotTable[[#This Row],[SC Premium]] + (SnapshotTable[[#This Row],[SC Qty]] * SnapshotTable[[#This Row],[SC Upside Potential]]), "")</f>
        <v/>
      </c>
      <c r="FX159" s="302" t="str" cm="1">
        <f t="array" ref="FX159">IF(ISNUMBER(SnapshotTable[[#This Row],[SC Max Dollars]]), annualize(SnapshotTable[[#This Row],[SC Term]],(SnapshotTable[[#This Row],[SC Max Dollars]]/SnapshotTable[[#This Row],[SC Basis]])),"")</f>
        <v/>
      </c>
      <c r="FY159" s="23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29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134.19899999999998</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700</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31">
        <f>MAX(SnapshotTable[[#This Row],[Equity Basis Total]],SnapshotTable[[#This Row],[Equity Value]]) + (SnapshotTable[[#This Row],[SP Potential Spend]]- SnapshotTable[[#This Row],[SP Premium]] + SnapshotTable[[#This Row],[LP Premium]])+ (SnapshotTable[[#This Row],[LC Premium]] - SnapshotTable[[#This Row],[SC Premium]])</f>
        <v>0</v>
      </c>
      <c r="GW159" s="139" t="str">
        <f>IF(AND(SnapshotTable[[#This Row],[Exposure]] &lt;&gt; 0),SnapshotTable[[#This Row],[Exposure]] / SnapshotTable[[#Totals],[Exposure]], "")</f>
        <v/>
      </c>
      <c r="HE159" s="268"/>
      <c r="HF159" s="268"/>
      <c r="HK159" s="1"/>
      <c r="HL159" s="1"/>
      <c r="HM159" s="1"/>
      <c r="HN159" s="1"/>
      <c r="HO159" s="1"/>
      <c r="HP159" s="1"/>
    </row>
    <row r="160" spans="2:224" ht="12.75" hidden="1" customHeight="1" x14ac:dyDescent="0.25">
      <c r="B160" s="12" t="s">
        <v>134</v>
      </c>
      <c r="C160" s="422">
        <v>45.33</v>
      </c>
      <c r="D160" s="208"/>
      <c r="E160" s="39">
        <f>SnapshotTable[[#This Row],[Last Price]]*(1 -CrashDiscount)</f>
        <v>38.530499999999996</v>
      </c>
      <c r="F160" s="26" t="s">
        <v>133</v>
      </c>
      <c r="G160" s="26" t="s">
        <v>14</v>
      </c>
      <c r="H160" s="149"/>
      <c r="I160" s="194">
        <v>44755.284722222219</v>
      </c>
      <c r="J160" s="195">
        <v>44755.284722222219</v>
      </c>
      <c r="K160" s="196"/>
      <c r="L160" s="326"/>
      <c r="M160" s="140"/>
      <c r="N160" s="140"/>
      <c r="O160" s="140"/>
      <c r="P160" s="22"/>
      <c r="Q160" s="25"/>
      <c r="R160" s="4" t="str">
        <f>IF(SnapshotTable[[#This Row],[Equity Basis Total]] &gt; 0, SnapshotTable[[#This Row],[Equity Basis Total]] / SnapshotTable[[#This Row],[Equity Shares]], "")</f>
        <v/>
      </c>
      <c r="S160" s="269">
        <f>SnapshotTable[[#This Row],[Last Price]] * SnapshotTable[[#This Row],[Equity Shares]]</f>
        <v>0</v>
      </c>
      <c r="T160" s="269">
        <f>SnapshotTable[[#This Row],[Equity Value]] - SnapshotTable[[#This Row],[Equity Basis Total]]</f>
        <v>0</v>
      </c>
      <c r="U160" s="270" t="str">
        <f>IF(SnapshotTable[[#This Row],[Equity Basis Total]] &gt; 0, SnapshotTable[[#This Row],[Equity G/L]] / SnapshotTable[[#This Row],[Equity Basis Total]], "")</f>
        <v/>
      </c>
      <c r="V160" s="268"/>
      <c r="W160" s="26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7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0">
        <v>1.28</v>
      </c>
      <c r="AD160" s="151">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2.8237370394881979E-2</v>
      </c>
      <c r="AH160" s="151">
        <v>42852</v>
      </c>
      <c r="AI160" s="5"/>
      <c r="AJ160" s="138">
        <v>50.4</v>
      </c>
      <c r="AK160" s="152" t="str">
        <f>IF(ISNUMBER( SnapshotTable[[#This Row],[EBF Target]]),(SnapshotTable[[#This Row],[EBF Target]] - SnapshotTable[[#This Row],[Last Price]]) / SnapshotTable[[#This Row],[Last Price]], "")</f>
        <v/>
      </c>
      <c r="AL160" s="152"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2">
        <f>IF(AND(ISNUMBER( SnapshotTable[[#This Row],[Long Term Target]]), ISNUMBER(SnapshotTable[[#This Row],[Last Price]])),(SnapshotTable[[#This Row],[Long Term Target]] - SnapshotTable[[#This Row],[Last Price]]) / SnapshotTable[[#This Row],[Last Price]], "")</f>
        <v>0.11184645929847783</v>
      </c>
      <c r="AP160" s="5">
        <v>51.58</v>
      </c>
      <c r="AQ160" s="38" t="s">
        <v>46</v>
      </c>
      <c r="AR160" s="5">
        <v>51.58</v>
      </c>
      <c r="AS160" s="38" t="s">
        <v>45</v>
      </c>
      <c r="AT160" s="146"/>
      <c r="AU160" s="187" t="str">
        <f>IF(OR(SnapshotTable[[#This Row],[LP No Fill]]="Y",SnapshotTable[[#This Row],[SP Is Filled]],SnapshotTable[[#This Row],[LC Not Filled]]="Y",SnapshotTable[[#This Row],[SC Is Filled]]),"Y","")</f>
        <v/>
      </c>
      <c r="AV160" s="219"/>
      <c r="AW160" s="225"/>
      <c r="AX160" s="220"/>
      <c r="AY160" s="219" t="str">
        <f>IF(SnapshotTable[[#This Row],[Implied Move]]&gt;0, SnapshotTable[[#This Row],[Last Price]]-SnapshotTable[[#This Row],[Implied Move]],"")</f>
        <v/>
      </c>
      <c r="AZ160" s="219" t="str">
        <f>IF(SnapshotTable[[#This Row],[Implied Move]]&gt;0, SnapshotTable[[#This Row],[Last Price]] + SnapshotTable[[#This Row],[Implied Move]],"")</f>
        <v/>
      </c>
      <c r="BA160" s="331"/>
      <c r="BB160" s="347"/>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51"/>
      <c r="BE160" s="5"/>
      <c r="BF160" s="14"/>
      <c r="BG160" s="13"/>
      <c r="BH160" s="13"/>
      <c r="BI160" s="5"/>
      <c r="BJ160" s="136">
        <f>IF(SnapshotTable[[#This Row],[LP Qty]] &gt; 0, SnapshotTable[[#This Row],[LP Qty]] * SnapshotTable[[#This Row],[LP Book Price]] * 100,0)</f>
        <v>0</v>
      </c>
      <c r="BK160" s="136">
        <f>IF(SnapshotTable[[#This Row],[LP Premium]] &gt; 0, SnapshotTable[[#This Row],[LP Qty]] * SnapshotTable[[#This Row],[LP Strike Price]] * 100,0)</f>
        <v>0</v>
      </c>
      <c r="BL160" s="154"/>
      <c r="BM160" s="385" t="str">
        <f>IF(SnapshotTable[[#This Row],[LP Premium]] &gt; 0,SnapshotTable[[#This Row],[LP Exp Date]]-MAX(SnapshotTable[[#This Row],[LP Book Date]], SnapshotTable[[#This Row],[LP Fill Date]]),"")</f>
        <v/>
      </c>
      <c r="BN160" s="385" t="str">
        <f>IF(ISNUMBER( SnapshotTable[[#This Row],[LP Term]]), SnapshotTable[[#This Row],[LP Exp Date]] - MockToday,"")</f>
        <v/>
      </c>
      <c r="BO160" s="163"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7"/>
      <c r="BU160" s="13"/>
      <c r="BV160" s="5"/>
      <c r="BW160" s="419" t="b">
        <f>AND(ISNUMBER(SnapshotTable[[#This Row],[SP Exp Date]]), ISNUMBER(SnapshotTable[[#This Row],[SP Strike Price]]), ISNUMBER(SnapshotTable[[#This Row],[SP Qty]]), ISNUMBER(SnapshotTable[[#This Row],[SP Book Date]]), ISNUMBER(SnapshotTable[[#This Row],[SP Book Price]]))</f>
        <v>0</v>
      </c>
      <c r="BX160" s="419" t="b">
        <f>AND(SnapshotTable[[#This Row],[SP Is Booked]], NOT(ISBLANK(SnapshotTable[[#This Row],[SP Fill Date]])))</f>
        <v>0</v>
      </c>
      <c r="BY160" s="33">
        <f>IF(SnapshotTable[[#This Row],[SP Is Booked]], SnapshotTable[[#This Row],[SP Qty]] * SnapshotTable[[#This Row],[SP Book Price]] * 100, 0)</f>
        <v>0</v>
      </c>
      <c r="BZ160" s="369"/>
      <c r="CA160" s="368">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3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44"/>
      <c r="CK160" s="31">
        <f>IF(ISNUMBER(SnapshotTable[[#This Row],[SP Potential Spend]]),IF(ISNUMBER(SnapshotTable[[#This Row],[SP POW]]), SnapshotTable[[#This Row],[SP POW]] * SnapshotTable[[#This Row],[SP Potential Spend]], SnapshotTable[[#This Row],[SP Potential Spend]]), "")</f>
        <v>0</v>
      </c>
      <c r="CL160" s="164">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8"/>
      <c r="CO160" s="369"/>
      <c r="CP160" s="4" t="str">
        <f>IF(SnapshotTable[[#This Row],[SP Is Filled]], btc_max_buyback_amount(SnapshotTable[[#This Row],[SP Fill Date]],SnapshotTable[[#This Row],[SP Exp Date]], SnapshotTable[[#This Row],[SP Book Price]]),"")</f>
        <v/>
      </c>
      <c r="CQ160" s="78"/>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5" t="str">
        <f>IF(SnapshotTable[[#This Row],[SP Is Filled]], btc_next_cutoff_date(SnapshotTable[[#This Row],[SP Fill Date]],SnapshotTable[[#This Row],[SP Exp Date]]),"")</f>
        <v/>
      </c>
      <c r="CT160" s="23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3"/>
      <c r="CV160" s="235"/>
      <c r="CW160" s="378"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294" t="str">
        <f>IF(ISNUMBER((SnapshotTable[[#This Row],[SP Total Value]])), SnapshotTable[[#This Row],[SP Gain Loss]] / SnapshotTable[[#This Row],[SP Premium]], "")</f>
        <v/>
      </c>
      <c r="DI160" s="406"/>
      <c r="DJ160" s="138"/>
      <c r="DK160" s="148"/>
      <c r="DL160" s="13"/>
      <c r="DM160" s="13"/>
      <c r="DO160" s="31">
        <f>IF(SnapshotTable[[#This Row],[LC Symbol Count]]=1, SnapshotTable[[#This Row],[LC Qty]] * SnapshotTable[[#This Row],[LC Book Price]] * 100, 0)</f>
        <v>0</v>
      </c>
      <c r="DP160" s="163" t="str">
        <f>IF(AND(SnapshotTable[[#This Row],[LC Exp Date]]&gt;0, SnapshotTable[[#This Row],[LC Strike Price]]&gt;0,SnapshotTable[[#This Row],[LC Qty]]&gt;0,SnapshotTable[[#This Row],[LC Book Date]]&gt;0,SnapshotTable[[#This Row],[LC Book Price]]&gt;0,SnapshotTable[[#This Row],[LC Fill Date]]=0),"Y","")</f>
        <v/>
      </c>
      <c r="DQ160" s="386" t="str">
        <f>IF(SnapshotTable[[#This Row],[LC Premium]] &gt; 0,SnapshotTable[[#This Row],[LC Exp Date]]-MAX(SnapshotTable[[#This Row],[LC Book Date]], SnapshotTable[[#This Row],[LC Fill Date]]),"")</f>
        <v/>
      </c>
      <c r="DR160" s="386" t="str">
        <f>IF(ISNUMBER(SnapshotTable[[#This Row],[LC Term]]), SnapshotTable[[#This Row],[LC Exp Date]] - MockToday, "")</f>
        <v/>
      </c>
      <c r="DS160" s="23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40" t="str">
        <f>IF(ISNUMBER(SnapshotTable[[#This Row],[LC Actual Gain Loss]]), SnapshotTable[[#This Row],[LC Actual Gain Loss]] / SnapshotTable[[#This Row],[LC Premium]],"")</f>
        <v/>
      </c>
      <c r="DX160" s="284" t="str">
        <f>IF(ISNUMBER(SnapshotTable[[#This Row],[LC Book Price]]),SnapshotTable[[#This Row],[LC Book Price]] * 1.5,"")</f>
        <v/>
      </c>
      <c r="DY160" s="265" t="str">
        <f>IF(SnapshotTable[[#This Row],[LC Premium]]&gt;0, SnapshotTable[[#This Row],[LC Next Target]] * SnapshotTable[[#This Row],[LC Qty]] * 100,"")</f>
        <v/>
      </c>
      <c r="DZ160" s="265" t="str">
        <f>IF(ISNUMBER(SnapshotTable[[#This Row],[LC Target Gross]]), SnapshotTable[[#This Row],[LC Target Gross]] - SnapshotTable[[#This Row],[LC Premium]], "")</f>
        <v/>
      </c>
      <c r="EA160" s="305" t="str">
        <f>IF(ISNUMBER(SnapshotTable[[#This Row],[LC Target Gain Loss]]), SnapshotTable[[#This Row],[LC Target Gain Loss]]/SnapshotTable[[#This Row],[LC Premium]], "")</f>
        <v/>
      </c>
      <c r="EB160" s="262"/>
      <c r="EC160" s="283" t="str">
        <f>IF(SnapshotTable[[#This Row],[LC Premium]]&gt;0, SnapshotTable[[#This Row],[LC Book Price]] * (1 - LC_StopLoss_Pct),"")</f>
        <v/>
      </c>
      <c r="ED160" s="284"/>
      <c r="EE160" s="28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4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7"/>
      <c r="EL160" s="138"/>
      <c r="EM160" s="148"/>
      <c r="EN160" s="147"/>
      <c r="EO160" s="147"/>
      <c r="EP160" s="138"/>
      <c r="EQ160" s="419" t="b">
        <f>AND(ISNUMBER(SnapshotTable[[#This Row],[SC Exp Date]]), ISNUMBER(SnapshotTable[[#This Row],[SC Strike Price]]), ISNUMBER(SnapshotTable[[#This Row],[SC Qty]]), ISNUMBER(SnapshotTable[[#This Row],[SC Book Date]]), ISNUMBER(SnapshotTable[[#This Row],[SC Book Price]]))</f>
        <v>0</v>
      </c>
      <c r="ER160" s="419" t="b">
        <f>AND(SnapshotTable[[#This Row],[SC Is Booked]], NOT(ISBLANK(SnapshotTable[[#This Row],[SC Fill Date]])))</f>
        <v>0</v>
      </c>
      <c r="ES160" s="370"/>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3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283"/>
      <c r="FA160" s="218"/>
      <c r="FB160" s="370"/>
      <c r="FC160" s="4">
        <f>IF(SnapshotTable[[#This Row],[SC Is Filled]], btc_max_buyback_amount(SnapshotTable[[#This Row],[SC Fill Date]],SnapshotTable[[#This Row],[SC Exp Date]], SnapshotTable[[#This Row],[SC Book Price]]),0)</f>
        <v>0</v>
      </c>
      <c r="FD160" s="5"/>
      <c r="FE160" s="144"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382">
        <f>IF(SnapshotTable[[#This Row],[SC Is Filled]], IF(ISNUMBER(SnapshotTable[[#This Row],[SC Current Ask]]), SnapshotTable[[#This Row],[SC Current Ask]], SnapshotTable[[#This Row],[SC Book Price]]) - SnapshotTable[[#This Row],[SC Intrinsic Value]], 0)</f>
        <v>0</v>
      </c>
      <c r="FI160" s="143"/>
      <c r="FJ160" s="32" t="str">
        <f>IF(SnapshotTable[[#This Row],[SC Is Filled]],100 * SnapshotTable[[#This Row],[SC Qty]] * IF(ISNUMBER(SnapshotTable[[#This Row],[SC Buyback Override]]), SnapshotTable[[#This Row],[SC Buyback Override]], SnapshotTable[[#This Row],[SC Current Ask]]), "")</f>
        <v/>
      </c>
      <c r="FK160" s="250" t="str">
        <f>IF(SnapshotTable[[#This Row],[SC Time Val]]&gt;0, SnapshotTable[[#This Row],[SC Time Val]] / SnapshotTable[[#This Row],[Last Price]],"")</f>
        <v/>
      </c>
      <c r="FL160" s="302" t="str">
        <f>IF(SnapshotTable[[#This Row],[SC Is Booked]], ((SnapshotTable[[#This Row],[Last Price]] -SnapshotTable[[#This Row],[SC Strike Price]]) / SnapshotTable[[#This Row],[Last Price]]) * -1, "")</f>
        <v/>
      </c>
      <c r="FM160" s="157"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33"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36" t="str">
        <f>IF(AND(ISNUMBER(SnapshotTable[[#This Row],[SC Simple ROO]]),SnapshotTable[[#This Row],[SC Simple ROO]] &gt; 0), SnapshotTable[[#This Row],[SC Premium]] + (SnapshotTable[[#This Row],[SC Qty]] * SnapshotTable[[#This Row],[SC Upside Potential]]), "")</f>
        <v/>
      </c>
      <c r="FX160" s="302" t="str" cm="1">
        <f t="array" ref="FX160">IF(ISNUMBER(SnapshotTable[[#This Row],[SC Max Dollars]]), annualize(SnapshotTable[[#This Row],[SC Term]],(SnapshotTable[[#This Row],[SC Max Dollars]]/SnapshotTable[[#This Row],[SC Basis]])),"")</f>
        <v/>
      </c>
      <c r="FY160" s="23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29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88.393499999999989</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701</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31">
        <f>MAX(SnapshotTable[[#This Row],[Equity Basis Total]],SnapshotTable[[#This Row],[Equity Value]]) + (SnapshotTable[[#This Row],[SP Potential Spend]]- SnapshotTable[[#This Row],[SP Premium]] + SnapshotTable[[#This Row],[LP Premium]])+ (SnapshotTable[[#This Row],[LC Premium]] - SnapshotTable[[#This Row],[SC Premium]])</f>
        <v>0</v>
      </c>
      <c r="GW160" s="139" t="str">
        <f>IF(AND(SnapshotTable[[#This Row],[Exposure]] &lt;&gt; 0),SnapshotTable[[#This Row],[Exposure]] / SnapshotTable[[#Totals],[Exposure]], "")</f>
        <v/>
      </c>
      <c r="HE160" s="268"/>
      <c r="HF160" s="268"/>
      <c r="HK160" s="1"/>
      <c r="HL160" s="1"/>
      <c r="HM160" s="1"/>
      <c r="HN160" s="1"/>
      <c r="HO160" s="1"/>
      <c r="HP160" s="1"/>
    </row>
    <row r="161" spans="2:224" ht="12.75" customHeight="1" x14ac:dyDescent="0.25">
      <c r="B161" s="12" t="s">
        <v>254</v>
      </c>
      <c r="C161" s="387">
        <v>219</v>
      </c>
      <c r="D161" s="208" t="s">
        <v>885</v>
      </c>
      <c r="E161" s="39">
        <f>SnapshotTable[[#This Row],[Last Price]]*(1 -CrashDiscount)</f>
        <v>186.15</v>
      </c>
      <c r="F161" s="26" t="s">
        <v>970</v>
      </c>
      <c r="G161" s="26" t="s">
        <v>872</v>
      </c>
      <c r="H161" s="149"/>
      <c r="I161" s="194">
        <v>44951</v>
      </c>
      <c r="J161" s="195">
        <v>44951</v>
      </c>
      <c r="K161" s="196"/>
      <c r="L161" s="326"/>
      <c r="M161" s="140"/>
      <c r="N161" s="140"/>
      <c r="O161" s="140"/>
      <c r="P161" s="22">
        <v>100</v>
      </c>
      <c r="Q161" s="25">
        <v>22261.360000000001</v>
      </c>
      <c r="R161" s="4">
        <f>IF(SnapshotTable[[#This Row],[Equity Basis Total]] &gt; 0, SnapshotTable[[#This Row],[Equity Basis Total]] / SnapshotTable[[#This Row],[Equity Shares]], "")</f>
        <v>222.61360000000002</v>
      </c>
      <c r="S161" s="269">
        <f>SnapshotTable[[#This Row],[Last Price]] * SnapshotTable[[#This Row],[Equity Shares]]</f>
        <v>21900</v>
      </c>
      <c r="T161" s="269">
        <f>SnapshotTable[[#This Row],[Equity Value]] - SnapshotTable[[#This Row],[Equity Basis Total]]</f>
        <v>-361.36000000000058</v>
      </c>
      <c r="U161" s="270">
        <f>IF(SnapshotTable[[#This Row],[Equity Basis Total]] &gt; 0, SnapshotTable[[#This Row],[Equity G/L]] / SnapshotTable[[#This Row],[Equity Basis Total]], "")</f>
        <v>-1.6232611125286171E-2</v>
      </c>
      <c r="V161" s="268">
        <v>270</v>
      </c>
      <c r="W161" s="26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7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0">
        <v>4.3600000000000003</v>
      </c>
      <c r="AD161" s="151">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1.9908675799086759E-2</v>
      </c>
      <c r="AH161" s="151">
        <v>43228</v>
      </c>
      <c r="AI161" s="5">
        <f>SnapshotTable[[#This Row],[Equity Target]]</f>
        <v>270</v>
      </c>
      <c r="AJ161" s="138">
        <v>191.12</v>
      </c>
      <c r="AK161" s="152">
        <f>IF(ISNUMBER( SnapshotTable[[#This Row],[EBF Target]]),(SnapshotTable[[#This Row],[EBF Target]] - SnapshotTable[[#This Row],[Last Price]]) / SnapshotTable[[#This Row],[Last Price]], "")</f>
        <v>0.23287671232876711</v>
      </c>
      <c r="AL161" s="152">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-2788</v>
      </c>
      <c r="AO161" s="152">
        <f>IF(AND(ISNUMBER( SnapshotTable[[#This Row],[Long Term Target]]), ISNUMBER(SnapshotTable[[#This Row],[Last Price]])),(SnapshotTable[[#This Row],[Long Term Target]] - SnapshotTable[[#This Row],[Last Price]]) / SnapshotTable[[#This Row],[Last Price]], "")</f>
        <v>-0.12730593607305934</v>
      </c>
      <c r="AP161" s="5">
        <v>180</v>
      </c>
      <c r="AQ161" s="38" t="s">
        <v>38</v>
      </c>
      <c r="AR161" s="5">
        <v>180</v>
      </c>
      <c r="AS161" s="38" t="s">
        <v>26</v>
      </c>
      <c r="AT161" s="146" t="s">
        <v>538</v>
      </c>
      <c r="AU161" s="187" t="str">
        <f ca="1">IF(OR(SnapshotTable[[#This Row],[LP No Fill]]="Y",SnapshotTable[[#This Row],[SP Is Filled]],SnapshotTable[[#This Row],[LC Not Filled]]="Y",SnapshotTable[[#This Row],[SC Is Filled]]),"Y","")</f>
        <v>Y</v>
      </c>
      <c r="AV161" s="219"/>
      <c r="AW161" s="225"/>
      <c r="AX161" s="220"/>
      <c r="AY161" s="219" t="str">
        <f>IF(SnapshotTable[[#This Row],[Implied Move]]&gt;0, SnapshotTable[[#This Row],[Last Price]]-SnapshotTable[[#This Row],[Implied Move]],"")</f>
        <v/>
      </c>
      <c r="AZ161" s="219" t="str">
        <f>IF(SnapshotTable[[#This Row],[Implied Move]]&gt;0, SnapshotTable[[#This Row],[Last Price]] + SnapshotTable[[#This Row],[Implied Move]],"")</f>
        <v/>
      </c>
      <c r="BA161" s="331">
        <v>218.03</v>
      </c>
      <c r="BB161" s="347"/>
      <c r="BC16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161" s="351"/>
      <c r="BE161" s="5"/>
      <c r="BF161" s="14"/>
      <c r="BG161" s="13"/>
      <c r="BH161" s="13"/>
      <c r="BI161" s="5"/>
      <c r="BJ161" s="136">
        <f>IF(SnapshotTable[[#This Row],[LP Qty]] &gt; 0, SnapshotTable[[#This Row],[LP Qty]] * SnapshotTable[[#This Row],[LP Book Price]] * 100,0)</f>
        <v>0</v>
      </c>
      <c r="BK161" s="136">
        <f>IF(SnapshotTable[[#This Row],[LP Premium]] &gt; 0, SnapshotTable[[#This Row],[LP Qty]] * SnapshotTable[[#This Row],[LP Strike Price]] * 100,0)</f>
        <v>0</v>
      </c>
      <c r="BL161" s="280"/>
      <c r="BM161" s="385" t="str">
        <f>IF(SnapshotTable[[#This Row],[LP Premium]] &gt; 0,SnapshotTable[[#This Row],[LP Exp Date]]-MAX(SnapshotTable[[#This Row],[LP Book Date]], SnapshotTable[[#This Row],[LP Fill Date]]),"")</f>
        <v/>
      </c>
      <c r="BN161" s="385" t="str">
        <f>IF(ISNUMBER( SnapshotTable[[#This Row],[LP Term]]), SnapshotTable[[#This Row],[LP Exp Date]] - MockToday,"")</f>
        <v/>
      </c>
      <c r="BO161" s="163"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7"/>
      <c r="BU161" s="13"/>
      <c r="BV161" s="5"/>
      <c r="BW161" s="419" t="b">
        <f>AND(ISNUMBER(SnapshotTable[[#This Row],[SP Exp Date]]), ISNUMBER(SnapshotTable[[#This Row],[SP Strike Price]]), ISNUMBER(SnapshotTable[[#This Row],[SP Qty]]), ISNUMBER(SnapshotTable[[#This Row],[SP Book Date]]), ISNUMBER(SnapshotTable[[#This Row],[SP Book Price]]))</f>
        <v>0</v>
      </c>
      <c r="BX161" s="419" t="b">
        <f>AND(SnapshotTable[[#This Row],[SP Is Booked]], NOT(ISBLANK(SnapshotTable[[#This Row],[SP Fill Date]])))</f>
        <v>0</v>
      </c>
      <c r="BY161" s="33">
        <f>IF(SnapshotTable[[#This Row],[SP Is Booked]], SnapshotTable[[#This Row],[SP Qty]] * SnapshotTable[[#This Row],[SP Book Price]] * 100, 0)</f>
        <v>0</v>
      </c>
      <c r="BZ161" s="369">
        <v>0.65</v>
      </c>
      <c r="CA161" s="368">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3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44"/>
      <c r="CK161" s="31">
        <f>IF(ISNUMBER(SnapshotTable[[#This Row],[SP Potential Spend]]),IF(ISNUMBER(SnapshotTable[[#This Row],[SP POW]]), SnapshotTable[[#This Row],[SP POW]] * SnapshotTable[[#This Row],[SP Potential Spend]], SnapshotTable[[#This Row],[SP Potential Spend]]), "")</f>
        <v>0</v>
      </c>
      <c r="CL161" s="164">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8"/>
      <c r="CO161" s="369"/>
      <c r="CP161" s="4" t="str">
        <f>IF(SnapshotTable[[#This Row],[SP Is Filled]], btc_max_buyback_amount(SnapshotTable[[#This Row],[SP Fill Date]],SnapshotTable[[#This Row],[SP Exp Date]], SnapshotTable[[#This Row],[SP Book Price]]),"")</f>
        <v/>
      </c>
      <c r="CQ161" s="78"/>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5" t="str">
        <f>IF(SnapshotTable[[#This Row],[SP Is Filled]], btc_next_cutoff_date(SnapshotTable[[#This Row],[SP Fill Date]],SnapshotTable[[#This Row],[SP Exp Date]]),"")</f>
        <v/>
      </c>
      <c r="CT161" s="23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3"/>
      <c r="CV161" s="235"/>
      <c r="CW161" s="378"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294" t="str">
        <f>IF(ISNUMBER((SnapshotTable[[#This Row],[SP Total Value]])), SnapshotTable[[#This Row],[SP Gain Loss]] / SnapshotTable[[#This Row],[SP Premium]], "")</f>
        <v/>
      </c>
      <c r="DI161" s="406"/>
      <c r="DJ161" s="138"/>
      <c r="DK161" s="148"/>
      <c r="DL161" s="13"/>
      <c r="DM161" s="13"/>
      <c r="DO161" s="31">
        <f>IF(SnapshotTable[[#This Row],[LC Symbol Count]]=1, SnapshotTable[[#This Row],[LC Qty]] * SnapshotTable[[#This Row],[LC Book Price]] * 100, 0)</f>
        <v>0</v>
      </c>
      <c r="DP161" s="163" t="str">
        <f>IF(AND(SnapshotTable[[#This Row],[LC Exp Date]]&gt;0, SnapshotTable[[#This Row],[LC Strike Price]]&gt;0,SnapshotTable[[#This Row],[LC Qty]]&gt;0,SnapshotTable[[#This Row],[LC Book Date]]&gt;0,SnapshotTable[[#This Row],[LC Book Price]]&gt;0,SnapshotTable[[#This Row],[LC Fill Date]]=0),"Y","")</f>
        <v/>
      </c>
      <c r="DQ161" s="386" t="str">
        <f>IF(SnapshotTable[[#This Row],[LC Premium]] &gt; 0,SnapshotTable[[#This Row],[LC Exp Date]]-MAX(SnapshotTable[[#This Row],[LC Book Date]], SnapshotTable[[#This Row],[LC Fill Date]]),"")</f>
        <v/>
      </c>
      <c r="DR161" s="386" t="str">
        <f>IF(ISNUMBER(SnapshotTable[[#This Row],[LC Term]]), SnapshotTable[[#This Row],[LC Exp Date]] - MockToday, "")</f>
        <v/>
      </c>
      <c r="DS161" s="23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40" t="str">
        <f>IF(ISNUMBER(SnapshotTable[[#This Row],[LC Actual Gain Loss]]), SnapshotTable[[#This Row],[LC Actual Gain Loss]] / SnapshotTable[[#This Row],[LC Premium]],"")</f>
        <v/>
      </c>
      <c r="DX161" s="284"/>
      <c r="DY161" s="265" t="str">
        <f>IF(SnapshotTable[[#This Row],[LC Premium]]&gt;0, SnapshotTable[[#This Row],[LC Next Target]] * SnapshotTable[[#This Row],[LC Qty]] * 100,"")</f>
        <v/>
      </c>
      <c r="DZ161" s="265" t="str">
        <f>IF(ISNUMBER(SnapshotTable[[#This Row],[LC Target Gross]]), SnapshotTable[[#This Row],[LC Target Gross]] - SnapshotTable[[#This Row],[LC Premium]], "")</f>
        <v/>
      </c>
      <c r="EA161" s="305" t="str">
        <f>IF(ISNUMBER(SnapshotTable[[#This Row],[LC Target Gain Loss]]), SnapshotTable[[#This Row],[LC Target Gain Loss]]/SnapshotTable[[#This Row],[LC Premium]], "")</f>
        <v/>
      </c>
      <c r="EB161" s="262"/>
      <c r="EC161" s="283" t="str">
        <f>IF(SnapshotTable[[#This Row],[LC Premium]]&gt;0, SnapshotTable[[#This Row],[LC Book Price]] * (1 - LC_StopLoss_Pct),"")</f>
        <v/>
      </c>
      <c r="ED161" s="284"/>
      <c r="EE161" s="28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4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7">
        <f ca="1">NextFridayOpex</f>
        <v>46234</v>
      </c>
      <c r="EL161" s="138">
        <v>220</v>
      </c>
      <c r="EM161" s="148">
        <v>1</v>
      </c>
      <c r="EN161" s="147">
        <f ca="1">WORKDAY(MockToday, 0)</f>
        <v>46233</v>
      </c>
      <c r="EO161" s="147">
        <f ca="1">SnapshotTable[[#This Row],[SC Book Date]]</f>
        <v>46233</v>
      </c>
      <c r="EP161" s="138">
        <v>1.41</v>
      </c>
      <c r="EQ161" s="419" t="b">
        <f ca="1">AND(ISNUMBER(SnapshotTable[[#This Row],[SC Exp Date]]), ISNUMBER(SnapshotTable[[#This Row],[SC Strike Price]]), ISNUMBER(SnapshotTable[[#This Row],[SC Qty]]), ISNUMBER(SnapshotTable[[#This Row],[SC Book Date]]), ISNUMBER(SnapshotTable[[#This Row],[SC Book Price]]))</f>
        <v>1</v>
      </c>
      <c r="ER161" s="419" t="b">
        <f ca="1">AND(SnapshotTable[[#This Row],[SC Is Booked]], NOT(ISBLANK(SnapshotTable[[#This Row],[SC Fill Date]])))</f>
        <v>1</v>
      </c>
      <c r="ES161" s="370">
        <v>0.38</v>
      </c>
      <c r="ET161" s="34">
        <f ca="1">IF(AND(ISNUMBER(SnapshotTable[[#This Row],[SC Exp Date]]), ISNUMBER(SnapshotTable[[#This Row],[SC Book Date]])), SnapshotTable[[#This Row],[SC Exp Date]] - MAX(SnapshotTable[[#This Row],[SC Book Date]], SnapshotTable[[#This Row],[SC Fill Date]]) + 1, "")</f>
        <v>2</v>
      </c>
      <c r="EU161" s="34">
        <f ca="1">IF(ISNUMBER(SnapshotTable[[#This Row],[SC Term]]), SnapshotTable[[#This Row],[SC Exp Date]]- MockToday, "")</f>
        <v>1</v>
      </c>
      <c r="EV161" s="31">
        <f ca="1">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217.59</v>
      </c>
      <c r="EX161" s="234">
        <f ca="1">IF(SnapshotTable[[#This Row],[SC Is Booked]],IF(SnapshotTable[[#This Row],[SC Intrinsic Value]] &gt; 0, SnapshotTable[[#This Row],[SC Strike Price]], SnapshotTable[[#This Row],[Last Price]]), "")</f>
        <v>219</v>
      </c>
      <c r="EY161" s="4">
        <f ca="1">IF(SnapshotTable[[#This Row],[SC Is Booked]], (MinimumPremiumRequired * SnapshotTable[[#This Row],[SC Basis]] * SnapshotTable[[#This Row],[SC Term]]), 0)</f>
        <v>0.438</v>
      </c>
      <c r="EZ161" s="283"/>
      <c r="FA161" s="218">
        <v>2.71</v>
      </c>
      <c r="FB161" s="370">
        <v>0.09</v>
      </c>
      <c r="FC161" s="4" t="e">
        <f ca="1">IF(SnapshotTable[[#This Row],[SC Is Filled]], btc_max_buyback_amount(SnapshotTable[[#This Row],[SC Fill Date]],SnapshotTable[[#This Row],[SC Exp Date]], SnapshotTable[[#This Row],[SC Book Price]]),0)</f>
        <v>#NAME?</v>
      </c>
      <c r="FD161" s="5"/>
      <c r="FE161" s="144"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 ca="1">IF(SnapshotTable[[#This Row],[SC Is Filled]], MAX(0,SnapshotTable[[#This Row],[Last Price]]  - SnapshotTable[[#This Row],[SC Strike Price]]), 0)</f>
        <v>0</v>
      </c>
      <c r="FH161" s="382">
        <f ca="1">IF(SnapshotTable[[#This Row],[SC Is Filled]], IF(ISNUMBER(SnapshotTable[[#This Row],[SC Current Ask]]), SnapshotTable[[#This Row],[SC Current Ask]], SnapshotTable[[#This Row],[SC Book Price]]) - SnapshotTable[[#This Row],[SC Intrinsic Value]], 0)</f>
        <v>2.71</v>
      </c>
      <c r="FI161" s="143">
        <v>46211</v>
      </c>
      <c r="FJ161" s="32">
        <f ca="1">IF(SnapshotTable[[#This Row],[SC Is Filled]],100 * SnapshotTable[[#This Row],[SC Qty]] * IF(ISNUMBER(SnapshotTable[[#This Row],[SC Buyback Override]]), SnapshotTable[[#This Row],[SC Buyback Override]], SnapshotTable[[#This Row],[SC Current Ask]]), "")</f>
        <v>271</v>
      </c>
      <c r="FK161" s="250">
        <f ca="1">IF(SnapshotTable[[#This Row],[SC Time Val]]&gt;0, SnapshotTable[[#This Row],[SC Time Val]] / SnapshotTable[[#This Row],[Last Price]],"")</f>
        <v>1.2374429223744291E-2</v>
      </c>
      <c r="FL161" s="302">
        <f ca="1">IF(SnapshotTable[[#This Row],[SC Is Booked]], ((SnapshotTable[[#This Row],[Last Price]] -SnapshotTable[[#This Row],[SC Strike Price]]) / SnapshotTable[[#This Row],[Last Price]]) * -1, "")</f>
        <v>4.5662100456621002E-3</v>
      </c>
      <c r="FM161" s="157">
        <f ca="1">IF(SnapshotTable[[#This Row],[SC Is Booked]],  (SnapshotTable[[#This Row],[SC Qty]] * 100 * SnapshotTable[[#This Row],[SC Strike Price]]) - SnapshotTable[[#This Row],[SC Current Ask]], "")</f>
        <v>21997.29</v>
      </c>
      <c r="FN161"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 ca="1">IF(AND(ISNUMBER(SnapshotTable[[#This Row],[SC Exercise Gross]]), ISNUMBER(SnapshotTable[[#This Row],[Equity Basis Per Share]] )), SnapshotTable[[#This Row],[SC Exercise Gross]] - SnapshotTable[[#This Row],[Equity Basis Total]] +  SnapshotTable[[#This Row],[SC Premium]], "")</f>
        <v>-123.06999999999971</v>
      </c>
      <c r="FP161" s="5">
        <f ca="1">IF(ISNUMBER(SnapshotTable[[#This Row],[SC Exercise Gross]]), (SnapshotTable[[#This Row],[SC Exercise Gross]]) / (SnapshotTable[[#This Row],[SC Qty]] * 100), "")</f>
        <v>219.97290000000001</v>
      </c>
      <c r="FQ161" s="27">
        <f ca="1">IF(SnapshotTable[[#This Row],[SC Is Booked]],SnapshotTable[[#This Row],[SC Time Val]] /SnapshotTable[[#This Row],[SC Basis]], "")</f>
        <v>1.2374429223744291E-2</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1</v>
      </c>
      <c r="FT161" s="27">
        <f>IF(AND(ISNUMBER(SnapshotTable[[#This Row],[SC Upside Potential]]), SnapshotTable[[#This Row],[SC Upside Potential]] &gt; 0),(SnapshotTable[[#This Row],[SC Upside Potential]]/ SnapshotTable[[#This Row],[ACB]]),"")</f>
        <v>4.5865247901664911E-3</v>
      </c>
      <c r="FU161" s="333" t="str">
        <f ca="1">IF(SnapshotTable[[#This Row],[SC Intrinsic Value]] &gt; 0,SnapshotTable[[#This Row],[SC Intrinsic Value]],"")</f>
        <v/>
      </c>
      <c r="FV161" s="27" t="str">
        <f ca="1">IF(AND( ISNUMBER( SnapshotTable[[#This Row],[ACB]]),ISNUMBER(SnapshotTable[[#This Row],[SC Downside Protect]])),SnapshotTable[[#This Row],[SC Downside Protect]] / SnapshotTable[[#This Row],[ACB]],"")</f>
        <v/>
      </c>
      <c r="FW161" s="236">
        <f ca="1">IF(AND(ISNUMBER(SnapshotTable[[#This Row],[SC Simple ROO]]),SnapshotTable[[#This Row],[SC Simple ROO]] &gt; 0), SnapshotTable[[#This Row],[SC Premium]] + (SnapshotTable[[#This Row],[SC Qty]] * SnapshotTable[[#This Row],[SC Upside Potential]]), "")</f>
        <v>142</v>
      </c>
      <c r="FX161" s="302" t="e" cm="1">
        <f t="array" aca="1" ref="FX161" ca="1">IF(ISNUMBER(SnapshotTable[[#This Row],[SC Max Dollars]]), annualize(SnapshotTable[[#This Row],[SC Term]],(SnapshotTable[[#This Row],[SC Max Dollars]]/SnapshotTable[[#This Row],[SC Basis]])),"")</f>
        <v>#NAME?</v>
      </c>
      <c r="FY161" s="236">
        <f>IF(AND(SnapshotTable[[#This Row],[SC Qty]]&gt;0,SnapshotTable[[#This Row],[SC Current Ask]]&gt;0), SnapshotTable[[#This Row],[SC Qty]] * SnapshotTable[[#This Row],[SC Current Ask]] * -100, "")</f>
        <v>-271</v>
      </c>
      <c r="FZ161" s="31">
        <f ca="1">IF(ISNUMBER((SnapshotTable[[#This Row],[SC Current Value]])), SnapshotTable[[#This Row],[SC Premium]] + SnapshotTable[[#This Row],[SC Current Value]], "")</f>
        <v>-130</v>
      </c>
      <c r="GA161" s="294">
        <f ca="1">IFERROR( IF(ISNUMBER((SnapshotTable[[#This Row],[SC Current Value]])), SnapshotTable[[#This Row],[SC Gain Loss]] / SnapshotTable[[#This Row],[SC Premium]], ""), "")</f>
        <v>-0.92198581560283688</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427.05</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 ca="1">IF(SnapshotTable[[#This Row],[Sale G/L]]&gt;0, SnapshotTable[[#This Row],[Sale G/L]] / SnapshotTable[[#This Row],[Sale Basis]], IF(ISNUMBER(SnapshotTable[[#This Row],[SC Exercise P&amp;L (TAX)]]), SnapshotTable[[#This Row],[SC Exercise P&amp;L (TAX)]] / SnapshotTable[[#This Row],[SC Basis]], ""))</f>
        <v>-0.56196347031963334</v>
      </c>
      <c r="GK161" s="27" t="s">
        <v>1014</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 ca="1">IF(AND(SnapshotTable[[#This Row],[SC Exp Date]]&gt;0,SnapshotTable[[#This Row],[SC Strike Price]]&gt;0), [1]!ToOptionSymbol(SnapshotTable[[#This Row],[Symbol]], SnapshotTable[[#This Row],[SC Strike Price]],SnapshotTable[[#This Row],[SC Exp Date]],0), "")</f>
        <v>BA260731C00220000</v>
      </c>
      <c r="GS161" s="30">
        <f ca="1">IF(LEN(SnapshotTable[[#This Row],[SC Symbol]])&gt;0, 1, "")</f>
        <v>1</v>
      </c>
      <c r="GT161" s="29" t="str">
        <f ca="1">IF(COUNT(SnapshotTable[[#This Row],[LP Symbol Count]],SnapshotTable[[#This Row],[SP Symbol Count]],SnapshotTable[[#This Row],[LC Symbol Count]],SnapshotTable[[#This Row],[SC Symbol Count]])&gt;0, "Y", "")</f>
        <v>Y</v>
      </c>
      <c r="GU16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31">
        <f ca="1">MAX(SnapshotTable[[#This Row],[Equity Basis Total]],SnapshotTable[[#This Row],[Equity Value]]) + (SnapshotTable[[#This Row],[SP Potential Spend]]- SnapshotTable[[#This Row],[SP Premium]] + SnapshotTable[[#This Row],[LP Premium]])+ (SnapshotTable[[#This Row],[LC Premium]] - SnapshotTable[[#This Row],[SC Premium]])</f>
        <v>22120.36</v>
      </c>
      <c r="GW161" s="139">
        <f ca="1">IF(AND(SnapshotTable[[#This Row],[Exposure]] &lt;&gt; 0),SnapshotTable[[#This Row],[Exposure]] / SnapshotTable[[#Totals],[Exposure]], "")</f>
        <v>0.10412160452358646</v>
      </c>
      <c r="HE161" s="268"/>
      <c r="HF161" s="268"/>
      <c r="HK161" s="1"/>
      <c r="HL161" s="1"/>
      <c r="HM161" s="1"/>
      <c r="HN161" s="1"/>
      <c r="HO161" s="1"/>
      <c r="HP161" s="1"/>
    </row>
    <row r="162" spans="2:224" ht="12.75" hidden="1" customHeight="1" x14ac:dyDescent="0.25">
      <c r="B162" s="12" t="s">
        <v>1250</v>
      </c>
      <c r="C162" s="422">
        <v>31.49</v>
      </c>
      <c r="D162" s="208"/>
      <c r="E162" s="39">
        <f>SnapshotTable[[#This Row],[Last Price]]*(1 -CrashDiscount)</f>
        <v>26.766499999999997</v>
      </c>
      <c r="F162" s="325" t="s">
        <v>223</v>
      </c>
      <c r="G162" s="325" t="s">
        <v>49</v>
      </c>
      <c r="H162" s="149"/>
      <c r="I162" s="194"/>
      <c r="J162" s="195"/>
      <c r="K162" s="196"/>
      <c r="L162" s="326"/>
      <c r="M162" s="140"/>
      <c r="N162" s="140"/>
      <c r="O162" s="140"/>
      <c r="P162" s="22"/>
      <c r="Q162" s="25"/>
      <c r="R162" s="4" t="str">
        <f>IF(SnapshotTable[[#This Row],[Equity Basis Total]] &gt; 0, SnapshotTable[[#This Row],[Equity Basis Total]] / SnapshotTable[[#This Row],[Equity Shares]], "")</f>
        <v/>
      </c>
      <c r="S162" s="269">
        <f>SnapshotTable[[#This Row],[Last Price]] * SnapshotTable[[#This Row],[Equity Shares]]</f>
        <v>0</v>
      </c>
      <c r="T162" s="269">
        <f>SnapshotTable[[#This Row],[Equity Value]] - SnapshotTable[[#This Row],[Equity Basis Total]]</f>
        <v>0</v>
      </c>
      <c r="U162" s="270" t="str">
        <f>IF(SnapshotTable[[#This Row],[Equity Basis Total]] &gt; 0, SnapshotTable[[#This Row],[Equity G/L]] / SnapshotTable[[#This Row],[Equity Basis Total]], "")</f>
        <v/>
      </c>
      <c r="V162" s="268"/>
      <c r="W162" s="26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7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0"/>
      <c r="AD162" s="151"/>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1"/>
      <c r="AI162" s="5"/>
      <c r="AJ162" s="138"/>
      <c r="AK162" s="152" t="str">
        <f>IF(ISNUMBER( SnapshotTable[[#This Row],[EBF Target]]),(SnapshotTable[[#This Row],[EBF Target]] - SnapshotTable[[#This Row],[Last Price]]) / SnapshotTable[[#This Row],[Last Price]], "")</f>
        <v/>
      </c>
      <c r="AL162" s="152"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2" t="str">
        <f>IF(AND(ISNUMBER( SnapshotTable[[#This Row],[Long Term Target]]), ISNUMBER(SnapshotTable[[#This Row],[Last Price]])),(SnapshotTable[[#This Row],[Long Term Target]] - SnapshotTable[[#This Row],[Last Price]]) / SnapshotTable[[#This Row],[Last Price]], "")</f>
        <v/>
      </c>
      <c r="AP162" s="5"/>
      <c r="AQ162" s="38"/>
      <c r="AR162" s="5"/>
      <c r="AS162" s="38"/>
      <c r="AT162" s="146"/>
      <c r="AU162" s="187" t="str">
        <f>IF(OR(SnapshotTable[[#This Row],[LP No Fill]]="Y",SnapshotTable[[#This Row],[SP Is Filled]],SnapshotTable[[#This Row],[LC Not Filled]]="Y",SnapshotTable[[#This Row],[SC Is Filled]]),"Y","")</f>
        <v/>
      </c>
      <c r="AV162" s="219"/>
      <c r="AW162" s="225"/>
      <c r="AX162" s="220"/>
      <c r="AY162" s="219" t="str">
        <f>IF(SnapshotTable[[#This Row],[Implied Move]]&gt;0, SnapshotTable[[#This Row],[Last Price]]-SnapshotTable[[#This Row],[Implied Move]],"")</f>
        <v/>
      </c>
      <c r="AZ162" s="219" t="str">
        <f>IF(SnapshotTable[[#This Row],[Implied Move]]&gt;0, SnapshotTable[[#This Row],[Last Price]] + SnapshotTable[[#This Row],[Implied Move]],"")</f>
        <v/>
      </c>
      <c r="BA162" s="331">
        <v>24.29</v>
      </c>
      <c r="BB162" s="347"/>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51"/>
      <c r="BE162" s="5"/>
      <c r="BF162" s="14"/>
      <c r="BG162" s="13"/>
      <c r="BH162" s="13"/>
      <c r="BI162" s="5"/>
      <c r="BJ162" s="136">
        <f>IF(SnapshotTable[[#This Row],[LP Qty]] &gt; 0, SnapshotTable[[#This Row],[LP Qty]] * SnapshotTable[[#This Row],[LP Book Price]] * 100,0)</f>
        <v>0</v>
      </c>
      <c r="BK162" s="136">
        <f>IF(SnapshotTable[[#This Row],[LP Premium]] &gt; 0, SnapshotTable[[#This Row],[LP Qty]] * SnapshotTable[[#This Row],[LP Strike Price]] * 100,0)</f>
        <v>0</v>
      </c>
      <c r="BL162" s="154"/>
      <c r="BM162" s="385" t="str">
        <f>IF(SnapshotTable[[#This Row],[LP Premium]] &gt; 0,SnapshotTable[[#This Row],[LP Exp Date]]-MAX(SnapshotTable[[#This Row],[LP Book Date]], SnapshotTable[[#This Row],[LP Fill Date]]),"")</f>
        <v/>
      </c>
      <c r="BN162" s="385" t="str">
        <f>IF(ISNUMBER( SnapshotTable[[#This Row],[LP Term]]), SnapshotTable[[#This Row],[LP Exp Date]] - MockToday,"")</f>
        <v/>
      </c>
      <c r="BO162" s="163"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7"/>
      <c r="BU162" s="13"/>
      <c r="BV162" s="5"/>
      <c r="BW162" s="419" t="b">
        <f>AND(ISNUMBER(SnapshotTable[[#This Row],[SP Exp Date]]), ISNUMBER(SnapshotTable[[#This Row],[SP Strike Price]]), ISNUMBER(SnapshotTable[[#This Row],[SP Qty]]), ISNUMBER(SnapshotTable[[#This Row],[SP Book Date]]), ISNUMBER(SnapshotTable[[#This Row],[SP Book Price]]))</f>
        <v>0</v>
      </c>
      <c r="BX162" s="419" t="b">
        <f>AND(SnapshotTable[[#This Row],[SP Is Booked]], NOT(ISBLANK(SnapshotTable[[#This Row],[SP Fill Date]])))</f>
        <v>0</v>
      </c>
      <c r="BY162" s="33">
        <f>IF(SnapshotTable[[#This Row],[SP Is Booked]], SnapshotTable[[#This Row],[SP Qty]] * SnapshotTable[[#This Row],[SP Book Price]] * 100, 0)</f>
        <v>0</v>
      </c>
      <c r="BZ162" s="369"/>
      <c r="CA162" s="368">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3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44"/>
      <c r="CK162" s="31">
        <f>IF(ISNUMBER(SnapshotTable[[#This Row],[SP Potential Spend]]),IF(ISNUMBER(SnapshotTable[[#This Row],[SP POW]]), SnapshotTable[[#This Row],[SP POW]] * SnapshotTable[[#This Row],[SP Potential Spend]], SnapshotTable[[#This Row],[SP Potential Spend]]), "")</f>
        <v>0</v>
      </c>
      <c r="CL162" s="164">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8"/>
      <c r="CO162" s="369"/>
      <c r="CP162" s="4" t="str">
        <f>IF(SnapshotTable[[#This Row],[SP Is Filled]], btc_max_buyback_amount(SnapshotTable[[#This Row],[SP Fill Date]],SnapshotTable[[#This Row],[SP Exp Date]], SnapshotTable[[#This Row],[SP Book Price]]),"")</f>
        <v/>
      </c>
      <c r="CQ162" s="78"/>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5" t="str">
        <f>IF(SnapshotTable[[#This Row],[SP Is Filled]], btc_next_cutoff_date(SnapshotTable[[#This Row],[SP Fill Date]],SnapshotTable[[#This Row],[SP Exp Date]]),"")</f>
        <v/>
      </c>
      <c r="CT162" s="23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6"/>
      <c r="CV162" s="235"/>
      <c r="CW162" s="378"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294" t="str">
        <f>IF(ISNUMBER((SnapshotTable[[#This Row],[SP Total Value]])), SnapshotTable[[#This Row],[SP Gain Loss]] / SnapshotTable[[#This Row],[SP Premium]], "")</f>
        <v/>
      </c>
      <c r="DI162" s="406"/>
      <c r="DJ162" s="138"/>
      <c r="DK162" s="148"/>
      <c r="DL162" s="13"/>
      <c r="DM162" s="13"/>
      <c r="DO162" s="31">
        <f>IF(SnapshotTable[[#This Row],[LC Symbol Count]]=1, SnapshotTable[[#This Row],[LC Qty]] * SnapshotTable[[#This Row],[LC Book Price]] * 100, 0)</f>
        <v>0</v>
      </c>
      <c r="DP162" s="163" t="str">
        <f>IF(AND(SnapshotTable[[#This Row],[LC Exp Date]]&gt;0, SnapshotTable[[#This Row],[LC Strike Price]]&gt;0,SnapshotTable[[#This Row],[LC Qty]]&gt;0,SnapshotTable[[#This Row],[LC Book Date]]&gt;0,SnapshotTable[[#This Row],[LC Book Price]]&gt;0,SnapshotTable[[#This Row],[LC Fill Date]]=0),"Y","")</f>
        <v/>
      </c>
      <c r="DQ162" s="386" t="str">
        <f>IF(SnapshotTable[[#This Row],[LC Premium]] &gt; 0,SnapshotTable[[#This Row],[LC Exp Date]]-MAX(SnapshotTable[[#This Row],[LC Book Date]], SnapshotTable[[#This Row],[LC Fill Date]]),"")</f>
        <v/>
      </c>
      <c r="DR162" s="386" t="str">
        <f>IF(ISNUMBER(SnapshotTable[[#This Row],[LC Term]]), SnapshotTable[[#This Row],[LC Exp Date]] - MockToday, "")</f>
        <v/>
      </c>
      <c r="DS162" s="23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40" t="str">
        <f>IF(ISNUMBER(SnapshotTable[[#This Row],[LC Actual Gain Loss]]), SnapshotTable[[#This Row],[LC Actual Gain Loss]] / SnapshotTable[[#This Row],[LC Premium]],"")</f>
        <v/>
      </c>
      <c r="DX162" s="284" t="str">
        <f>IF(ISNUMBER(SnapshotTable[[#This Row],[LC Book Price]]),SnapshotTable[[#This Row],[LC Book Price]] * 1.5,"")</f>
        <v/>
      </c>
      <c r="DY162" s="265" t="str">
        <f>IF(SnapshotTable[[#This Row],[LC Premium]]&gt;0, SnapshotTable[[#This Row],[LC Next Target]] * SnapshotTable[[#This Row],[LC Qty]] * 100,"")</f>
        <v/>
      </c>
      <c r="DZ162" s="265" t="str">
        <f>IF(ISNUMBER(SnapshotTable[[#This Row],[LC Target Gross]]), SnapshotTable[[#This Row],[LC Target Gross]] - SnapshotTable[[#This Row],[LC Premium]], "")</f>
        <v/>
      </c>
      <c r="EA162" s="305" t="str">
        <f>IF(ISNUMBER(SnapshotTable[[#This Row],[LC Target Gain Loss]]), SnapshotTable[[#This Row],[LC Target Gain Loss]]/SnapshotTable[[#This Row],[LC Premium]], "")</f>
        <v/>
      </c>
      <c r="EB162" s="262"/>
      <c r="EC162" s="283" t="str">
        <f>IF(SnapshotTable[[#This Row],[LC Premium]]&gt;0, SnapshotTable[[#This Row],[LC Book Price]] * (1 - LC_StopLoss_Pct),"")</f>
        <v/>
      </c>
      <c r="ED162" s="284"/>
      <c r="EE162" s="28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4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7"/>
      <c r="EL162" s="138"/>
      <c r="EM162" s="148"/>
      <c r="EN162" s="147"/>
      <c r="EO162" s="147"/>
      <c r="EP162" s="138"/>
      <c r="EQ162" s="419" t="b">
        <f>AND(ISNUMBER(SnapshotTable[[#This Row],[SC Exp Date]]), ISNUMBER(SnapshotTable[[#This Row],[SC Strike Price]]), ISNUMBER(SnapshotTable[[#This Row],[SC Qty]]), ISNUMBER(SnapshotTable[[#This Row],[SC Book Date]]), ISNUMBER(SnapshotTable[[#This Row],[SC Book Price]]))</f>
        <v>0</v>
      </c>
      <c r="ER162" s="419" t="b">
        <f>AND(SnapshotTable[[#This Row],[SC Is Booked]], NOT(ISBLANK(SnapshotTable[[#This Row],[SC Fill Date]])))</f>
        <v>0</v>
      </c>
      <c r="ES162" s="370"/>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3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283"/>
      <c r="FA162" s="218"/>
      <c r="FB162" s="370"/>
      <c r="FC162" s="4">
        <f>IF(SnapshotTable[[#This Row],[SC Is Filled]], btc_max_buyback_amount(SnapshotTable[[#This Row],[SC Fill Date]],SnapshotTable[[#This Row],[SC Exp Date]], SnapshotTable[[#This Row],[SC Book Price]]),0)</f>
        <v>0</v>
      </c>
      <c r="FD162" s="5"/>
      <c r="FE162" s="144"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382">
        <f>IF(SnapshotTable[[#This Row],[SC Is Filled]], IF(ISNUMBER(SnapshotTable[[#This Row],[SC Current Ask]]), SnapshotTable[[#This Row],[SC Current Ask]], SnapshotTable[[#This Row],[SC Book Price]]) - SnapshotTable[[#This Row],[SC Intrinsic Value]], 0)</f>
        <v>0</v>
      </c>
      <c r="FI162" s="143"/>
      <c r="FJ162" s="32" t="str">
        <f>IF(SnapshotTable[[#This Row],[SC Is Filled]],100 * SnapshotTable[[#This Row],[SC Qty]] * IF(ISNUMBER(SnapshotTable[[#This Row],[SC Buyback Override]]), SnapshotTable[[#This Row],[SC Buyback Override]], SnapshotTable[[#This Row],[SC Current Ask]]), "")</f>
        <v/>
      </c>
      <c r="FK162" s="250" t="str">
        <f>IF(SnapshotTable[[#This Row],[SC Time Val]]&gt;0, SnapshotTable[[#This Row],[SC Time Val]] / SnapshotTable[[#This Row],[Last Price]],"")</f>
        <v/>
      </c>
      <c r="FL162" s="302" t="str">
        <f>IF(SnapshotTable[[#This Row],[SC Is Booked]], ((SnapshotTable[[#This Row],[Last Price]] -SnapshotTable[[#This Row],[SC Strike Price]]) / SnapshotTable[[#This Row],[Last Price]]) * -1, "")</f>
        <v/>
      </c>
      <c r="FM162" s="157"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33"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36" t="str">
        <f>IF(AND(ISNUMBER(SnapshotTable[[#This Row],[SC Simple ROO]]),SnapshotTable[[#This Row],[SC Simple ROO]] &gt; 0), SnapshotTable[[#This Row],[SC Premium]] + (SnapshotTable[[#This Row],[SC Qty]] * SnapshotTable[[#This Row],[SC Upside Potential]]), "")</f>
        <v/>
      </c>
      <c r="FX162" s="302" t="str" cm="1">
        <f t="array" ref="FX162">IF(ISNUMBER(SnapshotTable[[#This Row],[SC Max Dollars]]), annualize(SnapshotTable[[#This Row],[SC Term]],(SnapshotTable[[#This Row],[SC Max Dollars]]/SnapshotTable[[#This Row],[SC Basis]])),"")</f>
        <v/>
      </c>
      <c r="FY162" s="23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29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61.405499999999996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31">
        <f>MAX(SnapshotTable[[#This Row],[Equity Basis Total]],SnapshotTable[[#This Row],[Equity Value]]) + (SnapshotTable[[#This Row],[SP Potential Spend]]- SnapshotTable[[#This Row],[SP Premium]] + SnapshotTable[[#This Row],[LP Premium]])+ (SnapshotTable[[#This Row],[LC Premium]] - SnapshotTable[[#This Row],[SC Premium]])</f>
        <v>0</v>
      </c>
      <c r="GW162" s="139" t="str">
        <f>IF(AND(SnapshotTable[[#This Row],[Exposure]] &lt;&gt; 0),SnapshotTable[[#This Row],[Exposure]] / SnapshotTable[[#Totals],[Exposure]], "")</f>
        <v/>
      </c>
      <c r="HE162" s="268"/>
      <c r="HF162" s="268"/>
      <c r="HK162" s="1"/>
      <c r="HL162" s="1"/>
      <c r="HM162" s="1"/>
      <c r="HN162" s="1"/>
      <c r="HO162" s="1"/>
      <c r="HP162" s="1"/>
    </row>
    <row r="163" spans="2:224" ht="12.75" hidden="1" customHeight="1" x14ac:dyDescent="0.25">
      <c r="B163" s="12" t="s">
        <v>1268</v>
      </c>
      <c r="C163" s="422">
        <v>10.17</v>
      </c>
      <c r="D163" s="208"/>
      <c r="E163" s="39">
        <f>SnapshotTable[[#This Row],[Last Price]]*(1 -CrashDiscount)</f>
        <v>8.644499999999999</v>
      </c>
      <c r="F163" s="325" t="s">
        <v>917</v>
      </c>
      <c r="G163" s="325" t="s">
        <v>872</v>
      </c>
      <c r="H163" s="149"/>
      <c r="I163" s="194"/>
      <c r="J163" s="195"/>
      <c r="K163" s="196"/>
      <c r="L163" s="326"/>
      <c r="M163" s="140"/>
      <c r="N163" s="140"/>
      <c r="O163" s="140"/>
      <c r="P163" s="22"/>
      <c r="Q163" s="25"/>
      <c r="R163" s="4" t="str">
        <f>IF(SnapshotTable[[#This Row],[Equity Basis Total]] &gt; 0, SnapshotTable[[#This Row],[Equity Basis Total]] / SnapshotTable[[#This Row],[Equity Shares]], "")</f>
        <v/>
      </c>
      <c r="S163" s="269">
        <f>SnapshotTable[[#This Row],[Last Price]] * SnapshotTable[[#This Row],[Equity Shares]]</f>
        <v>0</v>
      </c>
      <c r="T163" s="269">
        <f>SnapshotTable[[#This Row],[Equity Value]] - SnapshotTable[[#This Row],[Equity Basis Total]]</f>
        <v>0</v>
      </c>
      <c r="U163" s="270" t="str">
        <f>IF(SnapshotTable[[#This Row],[Equity Basis Total]] &gt; 0, SnapshotTable[[#This Row],[Equity G/L]] / SnapshotTable[[#This Row],[Equity Basis Total]], "")</f>
        <v/>
      </c>
      <c r="V163" s="268">
        <v>24.5</v>
      </c>
      <c r="W163" s="26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7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0"/>
      <c r="AD163" s="151"/>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1"/>
      <c r="AI163" s="5"/>
      <c r="AJ163" s="138"/>
      <c r="AK163" s="152" t="str">
        <f>IF(ISNUMBER( SnapshotTable[[#This Row],[EBF Target]]),(SnapshotTable[[#This Row],[EBF Target]] - SnapshotTable[[#This Row],[Last Price]]) / SnapshotTable[[#This Row],[Last Price]], "")</f>
        <v/>
      </c>
      <c r="AL163" s="152"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2" t="str">
        <f>IF(AND(ISNUMBER( SnapshotTable[[#This Row],[Long Term Target]]), ISNUMBER(SnapshotTable[[#This Row],[Last Price]])),(SnapshotTable[[#This Row],[Long Term Target]] - SnapshotTable[[#This Row],[Last Price]]) / SnapshotTable[[#This Row],[Last Price]], "")</f>
        <v/>
      </c>
      <c r="AP163" s="5"/>
      <c r="AQ163" s="38"/>
      <c r="AR163" s="5"/>
      <c r="AS163" s="38"/>
      <c r="AT163" s="146"/>
      <c r="AU163" s="187" t="str">
        <f>IF(OR(SnapshotTable[[#This Row],[LP No Fill]]="Y",SnapshotTable[[#This Row],[SP Is Filled]],SnapshotTable[[#This Row],[LC Not Filled]]="Y",SnapshotTable[[#This Row],[SC Is Filled]]),"Y","")</f>
        <v/>
      </c>
      <c r="AV163" s="219"/>
      <c r="AW163" s="225"/>
      <c r="AX163" s="220"/>
      <c r="AY163" s="219" t="str">
        <f>IF(SnapshotTable[[#This Row],[Implied Move]]&gt;0, SnapshotTable[[#This Row],[Last Price]]-SnapshotTable[[#This Row],[Implied Move]],"")</f>
        <v/>
      </c>
      <c r="AZ163" s="219" t="str">
        <f>IF(SnapshotTable[[#This Row],[Implied Move]]&gt;0, SnapshotTable[[#This Row],[Last Price]] + SnapshotTable[[#This Row],[Implied Move]],"")</f>
        <v/>
      </c>
      <c r="BA163" s="331">
        <v>20.85</v>
      </c>
      <c r="BB163" s="404"/>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51"/>
      <c r="BE163" s="5"/>
      <c r="BF163" s="14"/>
      <c r="BG163" s="13"/>
      <c r="BH163" s="13"/>
      <c r="BI163" s="5"/>
      <c r="BJ163" s="136">
        <f>IF(SnapshotTable[[#This Row],[LP Qty]] &gt; 0, SnapshotTable[[#This Row],[LP Qty]] * SnapshotTable[[#This Row],[LP Book Price]] * 100,0)</f>
        <v>0</v>
      </c>
      <c r="BK163" s="136">
        <f>IF(SnapshotTable[[#This Row],[LP Premium]] &gt; 0, SnapshotTable[[#This Row],[LP Qty]] * SnapshotTable[[#This Row],[LP Strike Price]] * 100,0)</f>
        <v>0</v>
      </c>
      <c r="BL163" s="154"/>
      <c r="BM163" s="385" t="str">
        <f>IF(SnapshotTable[[#This Row],[LP Premium]] &gt; 0,SnapshotTable[[#This Row],[LP Exp Date]]-MAX(SnapshotTable[[#This Row],[LP Book Date]], SnapshotTable[[#This Row],[LP Fill Date]]),"")</f>
        <v/>
      </c>
      <c r="BN163" s="385" t="str">
        <f>IF(ISNUMBER( SnapshotTable[[#This Row],[LP Term]]), SnapshotTable[[#This Row],[LP Exp Date]] - MockToday,"")</f>
        <v/>
      </c>
      <c r="BO163" s="163"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7"/>
      <c r="BU163" s="13"/>
      <c r="BV163" s="5"/>
      <c r="BW163" s="419" t="b">
        <f>AND(ISNUMBER(SnapshotTable[[#This Row],[SP Exp Date]]), ISNUMBER(SnapshotTable[[#This Row],[SP Strike Price]]), ISNUMBER(SnapshotTable[[#This Row],[SP Qty]]), ISNUMBER(SnapshotTable[[#This Row],[SP Book Date]]), ISNUMBER(SnapshotTable[[#This Row],[SP Book Price]]))</f>
        <v>0</v>
      </c>
      <c r="BX163" s="419" t="b">
        <f>AND(SnapshotTable[[#This Row],[SP Is Booked]], NOT(ISBLANK(SnapshotTable[[#This Row],[SP Fill Date]])))</f>
        <v>0</v>
      </c>
      <c r="BY163" s="33">
        <f>IF(SnapshotTable[[#This Row],[SP Is Booked]], SnapshotTable[[#This Row],[SP Qty]] * SnapshotTable[[#This Row],[SP Book Price]] * 100, 0)</f>
        <v>0</v>
      </c>
      <c r="BZ163" s="369"/>
      <c r="CA163" s="368">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3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44"/>
      <c r="CK163" s="31">
        <f>IF(ISNUMBER(SnapshotTable[[#This Row],[SP Potential Spend]]),IF(ISNUMBER(SnapshotTable[[#This Row],[SP POW]]), SnapshotTable[[#This Row],[SP POW]] * SnapshotTable[[#This Row],[SP Potential Spend]], SnapshotTable[[#This Row],[SP Potential Spend]]), "")</f>
        <v>0</v>
      </c>
      <c r="CL163" s="164">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8"/>
      <c r="CO163" s="369"/>
      <c r="CP163" s="4" t="str">
        <f>IF(SnapshotTable[[#This Row],[SP Is Filled]], btc_max_buyback_amount(SnapshotTable[[#This Row],[SP Fill Date]],SnapshotTable[[#This Row],[SP Exp Date]], SnapshotTable[[#This Row],[SP Book Price]]),"")</f>
        <v/>
      </c>
      <c r="CQ163" s="78"/>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5" t="str">
        <f>IF(SnapshotTable[[#This Row],[SP Is Filled]], btc_next_cutoff_date(SnapshotTable[[#This Row],[SP Fill Date]],SnapshotTable[[#This Row],[SP Exp Date]]),"")</f>
        <v/>
      </c>
      <c r="CT163" s="23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3"/>
      <c r="CV163" s="235"/>
      <c r="CW163" s="378"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294" t="str">
        <f>IF(ISNUMBER((SnapshotTable[[#This Row],[SP Total Value]])), SnapshotTable[[#This Row],[SP Gain Loss]] / SnapshotTable[[#This Row],[SP Premium]], "")</f>
        <v/>
      </c>
      <c r="DI163" s="406"/>
      <c r="DJ163" s="138"/>
      <c r="DK163" s="148"/>
      <c r="DL163" s="13"/>
      <c r="DM163" s="13"/>
      <c r="DO163" s="31">
        <f>IF(SnapshotTable[[#This Row],[LC Symbol Count]]=1, SnapshotTable[[#This Row],[LC Qty]] * SnapshotTable[[#This Row],[LC Book Price]] * 100, 0)</f>
        <v>0</v>
      </c>
      <c r="DP163" s="163" t="str">
        <f>IF(AND(SnapshotTable[[#This Row],[LC Exp Date]]&gt;0, SnapshotTable[[#This Row],[LC Strike Price]]&gt;0,SnapshotTable[[#This Row],[LC Qty]]&gt;0,SnapshotTable[[#This Row],[LC Book Date]]&gt;0,SnapshotTable[[#This Row],[LC Book Price]]&gt;0,SnapshotTable[[#This Row],[LC Fill Date]]=0),"Y","")</f>
        <v/>
      </c>
      <c r="DQ163" s="386" t="str">
        <f>IF(SnapshotTable[[#This Row],[LC Premium]] &gt; 0,SnapshotTable[[#This Row],[LC Exp Date]]-MAX(SnapshotTable[[#This Row],[LC Book Date]], SnapshotTable[[#This Row],[LC Fill Date]]),"")</f>
        <v/>
      </c>
      <c r="DR163" s="386" t="str">
        <f>IF(ISNUMBER(SnapshotTable[[#This Row],[LC Term]]), SnapshotTable[[#This Row],[LC Exp Date]] - MockToday, "")</f>
        <v/>
      </c>
      <c r="DS163" s="23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40" t="str">
        <f>IF(ISNUMBER(SnapshotTable[[#This Row],[LC Actual Gain Loss]]), SnapshotTable[[#This Row],[LC Actual Gain Loss]] / SnapshotTable[[#This Row],[LC Premium]],"")</f>
        <v/>
      </c>
      <c r="DX163" s="284" t="str">
        <f>IF(ISNUMBER(SnapshotTable[[#This Row],[LC Book Price]]),SnapshotTable[[#This Row],[LC Book Price]] * 1.5,"")</f>
        <v/>
      </c>
      <c r="DY163" s="265" t="str">
        <f>IF(SnapshotTable[[#This Row],[LC Premium]]&gt;0, SnapshotTable[[#This Row],[LC Next Target]] * SnapshotTable[[#This Row],[LC Qty]] * 100,"")</f>
        <v/>
      </c>
      <c r="DZ163" s="265" t="str">
        <f>IF(ISNUMBER(SnapshotTable[[#This Row],[LC Target Gross]]), SnapshotTable[[#This Row],[LC Target Gross]] - SnapshotTable[[#This Row],[LC Premium]], "")</f>
        <v/>
      </c>
      <c r="EA163" s="305" t="str">
        <f>IF(ISNUMBER(SnapshotTable[[#This Row],[LC Target Gain Loss]]), SnapshotTable[[#This Row],[LC Target Gain Loss]]/SnapshotTable[[#This Row],[LC Premium]], "")</f>
        <v/>
      </c>
      <c r="EB163" s="262"/>
      <c r="EC163" s="283" t="str">
        <f>IF(SnapshotTable[[#This Row],[LC Premium]]&gt;0, SnapshotTable[[#This Row],[LC Book Price]] * (1 - LC_StopLoss_Pct),"")</f>
        <v/>
      </c>
      <c r="ED163" s="284"/>
      <c r="EE163" s="28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4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7"/>
      <c r="EL163" s="138"/>
      <c r="EM163" s="148"/>
      <c r="EN163" s="147"/>
      <c r="EO163" s="147"/>
      <c r="EP163" s="138"/>
      <c r="EQ163" s="419" t="b">
        <f>AND(ISNUMBER(SnapshotTable[[#This Row],[SC Exp Date]]), ISNUMBER(SnapshotTable[[#This Row],[SC Strike Price]]), ISNUMBER(SnapshotTable[[#This Row],[SC Qty]]), ISNUMBER(SnapshotTable[[#This Row],[SC Book Date]]), ISNUMBER(SnapshotTable[[#This Row],[SC Book Price]]))</f>
        <v>0</v>
      </c>
      <c r="ER163" s="419" t="b">
        <f>AND(SnapshotTable[[#This Row],[SC Is Booked]], NOT(ISBLANK(SnapshotTable[[#This Row],[SC Fill Date]])))</f>
        <v>0</v>
      </c>
      <c r="ES163" s="370"/>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3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283"/>
      <c r="FA163" s="218"/>
      <c r="FB163" s="370"/>
      <c r="FC163" s="4">
        <f>IF(SnapshotTable[[#This Row],[SC Is Filled]], btc_max_buyback_amount(SnapshotTable[[#This Row],[SC Fill Date]],SnapshotTable[[#This Row],[SC Exp Date]], SnapshotTable[[#This Row],[SC Book Price]]),0)</f>
        <v>0</v>
      </c>
      <c r="FD163" s="5"/>
      <c r="FE163" s="144"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382">
        <f>IF(SnapshotTable[[#This Row],[SC Is Filled]], IF(ISNUMBER(SnapshotTable[[#This Row],[SC Current Ask]]), SnapshotTable[[#This Row],[SC Current Ask]], SnapshotTable[[#This Row],[SC Book Price]]) - SnapshotTable[[#This Row],[SC Intrinsic Value]], 0)</f>
        <v>0</v>
      </c>
      <c r="FI163" s="143"/>
      <c r="FJ163" s="32" t="str">
        <f>IF(SnapshotTable[[#This Row],[SC Is Filled]],100 * SnapshotTable[[#This Row],[SC Qty]] * IF(ISNUMBER(SnapshotTable[[#This Row],[SC Buyback Override]]), SnapshotTable[[#This Row],[SC Buyback Override]], SnapshotTable[[#This Row],[SC Current Ask]]), "")</f>
        <v/>
      </c>
      <c r="FK163" s="250" t="str">
        <f>IF(SnapshotTable[[#This Row],[SC Time Val]]&gt;0, SnapshotTable[[#This Row],[SC Time Val]] / SnapshotTable[[#This Row],[Last Price]],"")</f>
        <v/>
      </c>
      <c r="FL163" s="302" t="str">
        <f>IF(SnapshotTable[[#This Row],[SC Is Booked]], ((SnapshotTable[[#This Row],[Last Price]] -SnapshotTable[[#This Row],[SC Strike Price]]) / SnapshotTable[[#This Row],[Last Price]]) * -1, "")</f>
        <v/>
      </c>
      <c r="FM163" s="157"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33"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36" t="str">
        <f>IF(AND(ISNUMBER(SnapshotTable[[#This Row],[SC Simple ROO]]),SnapshotTable[[#This Row],[SC Simple ROO]] &gt; 0), SnapshotTable[[#This Row],[SC Premium]] + (SnapshotTable[[#This Row],[SC Qty]] * SnapshotTable[[#This Row],[SC Upside Potential]]), "")</f>
        <v/>
      </c>
      <c r="FX163" s="302" t="str" cm="1">
        <f t="array" ref="FX163">IF(ISNUMBER(SnapshotTable[[#This Row],[SC Max Dollars]]), annualize(SnapshotTable[[#This Row],[SC Term]],(SnapshotTable[[#This Row],[SC Max Dollars]]/SnapshotTable[[#This Row],[SC Basis]])),"")</f>
        <v/>
      </c>
      <c r="FY163" s="23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29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19.831499999999998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31">
        <f>MAX(SnapshotTable[[#This Row],[Equity Basis Total]],SnapshotTable[[#This Row],[Equity Value]]) + (SnapshotTable[[#This Row],[SP Potential Spend]]- SnapshotTable[[#This Row],[SP Premium]] + SnapshotTable[[#This Row],[LP Premium]])+ (SnapshotTable[[#This Row],[LC Premium]] - SnapshotTable[[#This Row],[SC Premium]])</f>
        <v>0</v>
      </c>
      <c r="GW163" s="139" t="str">
        <f>IF(AND(SnapshotTable[[#This Row],[Exposure]] &lt;&gt; 0),SnapshotTable[[#This Row],[Exposure]] / SnapshotTable[[#Totals],[Exposure]], "")</f>
        <v/>
      </c>
      <c r="HE163" s="268"/>
      <c r="HF163" s="268"/>
      <c r="HK163" s="1"/>
      <c r="HL163" s="1"/>
      <c r="HM163" s="1"/>
      <c r="HN163" s="1"/>
      <c r="HO163" s="1"/>
      <c r="HP163" s="1"/>
    </row>
    <row r="164" spans="2:224" ht="12.75" hidden="1" customHeight="1" x14ac:dyDescent="0.25">
      <c r="B164" s="12" t="s">
        <v>1273</v>
      </c>
      <c r="C164" s="422">
        <v>113.37</v>
      </c>
      <c r="D164" s="208" t="s">
        <v>578</v>
      </c>
      <c r="E164" s="39">
        <f>SnapshotTable[[#This Row],[Last Price]]*(1 -CrashDiscount)</f>
        <v>96.364500000000007</v>
      </c>
      <c r="F164" s="26" t="s">
        <v>34</v>
      </c>
      <c r="G164" s="26" t="s">
        <v>17</v>
      </c>
      <c r="H164" s="149"/>
      <c r="I164" s="194">
        <v>44805.670138888891</v>
      </c>
      <c r="J164" s="195">
        <v>44805.670138888891</v>
      </c>
      <c r="K164" s="196"/>
      <c r="L164" s="326"/>
      <c r="M164" s="140"/>
      <c r="N164" s="140"/>
      <c r="O164" s="140"/>
      <c r="P164" s="22"/>
      <c r="Q164" s="25"/>
      <c r="R164" s="4" t="str">
        <f>IF(SnapshotTable[[#This Row],[Equity Basis Total]] &gt; 0, SnapshotTable[[#This Row],[Equity Basis Total]] / SnapshotTable[[#This Row],[Equity Shares]], "")</f>
        <v/>
      </c>
      <c r="S164" s="269">
        <f>SnapshotTable[[#This Row],[Last Price]] * SnapshotTable[[#This Row],[Equity Shares]]</f>
        <v>0</v>
      </c>
      <c r="T164" s="269">
        <f>SnapshotTable[[#This Row],[Equity Value]] - SnapshotTable[[#This Row],[Equity Basis Total]]</f>
        <v>0</v>
      </c>
      <c r="U164" s="270" t="str">
        <f>IF(SnapshotTable[[#This Row],[Equity Basis Total]] &gt; 0, SnapshotTable[[#This Row],[Equity G/L]] / SnapshotTable[[#This Row],[Equity Basis Total]], "")</f>
        <v/>
      </c>
      <c r="V164" s="268">
        <v>350</v>
      </c>
      <c r="W164" s="26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7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0"/>
      <c r="AD164" s="151"/>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1" t="s">
        <v>2</v>
      </c>
      <c r="AI164" s="5"/>
      <c r="AJ164" s="138">
        <v>320.74</v>
      </c>
      <c r="AK164" s="152" t="str">
        <f>IF(ISNUMBER( SnapshotTable[[#This Row],[EBF Target]]),(SnapshotTable[[#This Row],[EBF Target]] - SnapshotTable[[#This Row],[Last Price]]) / SnapshotTable[[#This Row],[Last Price]], "")</f>
        <v/>
      </c>
      <c r="AL164" s="152"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2">
        <f>IF(AND(ISNUMBER( SnapshotTable[[#This Row],[Long Term Target]]), ISNUMBER(SnapshotTable[[#This Row],[Last Price]])),(SnapshotTable[[#This Row],[Long Term Target]] - SnapshotTable[[#This Row],[Last Price]]) / SnapshotTable[[#This Row],[Last Price]], "")</f>
        <v>1.8291435123930493</v>
      </c>
      <c r="AP164" s="5">
        <v>350</v>
      </c>
      <c r="AQ164" s="38" t="s">
        <v>27</v>
      </c>
      <c r="AR164" s="5">
        <v>350</v>
      </c>
      <c r="AS164" s="38" t="s">
        <v>38</v>
      </c>
      <c r="AT164" s="146" t="s">
        <v>542</v>
      </c>
      <c r="AU164" s="187" t="str">
        <f>IF(OR(SnapshotTable[[#This Row],[LP No Fill]]="Y",SnapshotTable[[#This Row],[SP Is Filled]],SnapshotTable[[#This Row],[LC Not Filled]]="Y",SnapshotTable[[#This Row],[SC Is Filled]]),"Y","")</f>
        <v/>
      </c>
      <c r="AV164" s="219"/>
      <c r="AW164" s="225"/>
      <c r="AX164" s="220"/>
      <c r="AY164" s="219" t="str">
        <f>IF(SnapshotTable[[#This Row],[Implied Move]]&gt;0, SnapshotTable[[#This Row],[Last Price]]-SnapshotTable[[#This Row],[Implied Move]],"")</f>
        <v/>
      </c>
      <c r="AZ164" s="219" t="str">
        <f>IF(SnapshotTable[[#This Row],[Implied Move]]&gt;0, SnapshotTable[[#This Row],[Last Price]] + SnapshotTable[[#This Row],[Implied Move]],"")</f>
        <v/>
      </c>
      <c r="BA164" s="331">
        <v>159.34</v>
      </c>
      <c r="BB164" s="347"/>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51"/>
      <c r="BE164" s="5"/>
      <c r="BF164" s="14"/>
      <c r="BG164" s="13"/>
      <c r="BH164" s="13"/>
      <c r="BI164" s="5"/>
      <c r="BJ164" s="136">
        <f>IF(SnapshotTable[[#This Row],[LP Qty]] &gt; 0, SnapshotTable[[#This Row],[LP Qty]] * SnapshotTable[[#This Row],[LP Book Price]] * 100,0)</f>
        <v>0</v>
      </c>
      <c r="BK164" s="136">
        <f>IF(SnapshotTable[[#This Row],[LP Premium]] &gt; 0, SnapshotTable[[#This Row],[LP Qty]] * SnapshotTable[[#This Row],[LP Strike Price]] * 100,0)</f>
        <v>0</v>
      </c>
      <c r="BL164" s="154"/>
      <c r="BM164" s="385" t="str">
        <f>IF(SnapshotTable[[#This Row],[LP Premium]] &gt; 0,SnapshotTable[[#This Row],[LP Exp Date]]-MAX(SnapshotTable[[#This Row],[LP Book Date]], SnapshotTable[[#This Row],[LP Fill Date]]),"")</f>
        <v/>
      </c>
      <c r="BN164" s="385" t="str">
        <f>IF(ISNUMBER( SnapshotTable[[#This Row],[LP Term]]), SnapshotTable[[#This Row],[LP Exp Date]] - MockToday,"")</f>
        <v/>
      </c>
      <c r="BO164" s="163"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7"/>
      <c r="BU164" s="13"/>
      <c r="BV164" s="5"/>
      <c r="BW164" s="419" t="b">
        <f>AND(ISNUMBER(SnapshotTable[[#This Row],[SP Exp Date]]), ISNUMBER(SnapshotTable[[#This Row],[SP Strike Price]]), ISNUMBER(SnapshotTable[[#This Row],[SP Qty]]), ISNUMBER(SnapshotTable[[#This Row],[SP Book Date]]), ISNUMBER(SnapshotTable[[#This Row],[SP Book Price]]))</f>
        <v>0</v>
      </c>
      <c r="BX164" s="419" t="b">
        <f>AND(SnapshotTable[[#This Row],[SP Is Booked]], NOT(ISBLANK(SnapshotTable[[#This Row],[SP Fill Date]])))</f>
        <v>0</v>
      </c>
      <c r="BY164" s="33">
        <f>IF(SnapshotTable[[#This Row],[SP Is Booked]], SnapshotTable[[#This Row],[SP Qty]] * SnapshotTable[[#This Row],[SP Book Price]] * 100, 0)</f>
        <v>0</v>
      </c>
      <c r="BZ164" s="369"/>
      <c r="CA164" s="368">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3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44"/>
      <c r="CK164" s="31">
        <f>IF(ISNUMBER(SnapshotTable[[#This Row],[SP Potential Spend]]),IF(ISNUMBER(SnapshotTable[[#This Row],[SP POW]]), SnapshotTable[[#This Row],[SP POW]] * SnapshotTable[[#This Row],[SP Potential Spend]], SnapshotTable[[#This Row],[SP Potential Spend]]), "")</f>
        <v>0</v>
      </c>
      <c r="CL164" s="164">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8"/>
      <c r="CO164" s="369"/>
      <c r="CP164" s="4" t="str">
        <f>IF(SnapshotTable[[#This Row],[SP Is Filled]], btc_max_buyback_amount(SnapshotTable[[#This Row],[SP Fill Date]],SnapshotTable[[#This Row],[SP Exp Date]], SnapshotTable[[#This Row],[SP Book Price]]),"")</f>
        <v/>
      </c>
      <c r="CQ164" s="78"/>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5" t="str">
        <f>IF(SnapshotTable[[#This Row],[SP Is Filled]], btc_next_cutoff_date(SnapshotTable[[#This Row],[SP Fill Date]],SnapshotTable[[#This Row],[SP Exp Date]]),"")</f>
        <v/>
      </c>
      <c r="CT164" s="23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3"/>
      <c r="CV164" s="235"/>
      <c r="CW164" s="378"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294" t="str">
        <f>IF(ISNUMBER((SnapshotTable[[#This Row],[SP Total Value]])), SnapshotTable[[#This Row],[SP Gain Loss]] / SnapshotTable[[#This Row],[SP Premium]], "")</f>
        <v/>
      </c>
      <c r="DI164" s="406"/>
      <c r="DJ164" s="138"/>
      <c r="DK164" s="148"/>
      <c r="DL164" s="13"/>
      <c r="DM164" s="13"/>
      <c r="DO164" s="31">
        <f>IF(SnapshotTable[[#This Row],[LC Symbol Count]]=1, SnapshotTable[[#This Row],[LC Qty]] * SnapshotTable[[#This Row],[LC Book Price]] * 100, 0)</f>
        <v>0</v>
      </c>
      <c r="DP164" s="163" t="str">
        <f>IF(AND(SnapshotTable[[#This Row],[LC Exp Date]]&gt;0, SnapshotTable[[#This Row],[LC Strike Price]]&gt;0,SnapshotTable[[#This Row],[LC Qty]]&gt;0,SnapshotTable[[#This Row],[LC Book Date]]&gt;0,SnapshotTable[[#This Row],[LC Book Price]]&gt;0,SnapshotTable[[#This Row],[LC Fill Date]]=0),"Y","")</f>
        <v/>
      </c>
      <c r="DQ164" s="386" t="str">
        <f>IF(SnapshotTable[[#This Row],[LC Premium]] &gt; 0,SnapshotTable[[#This Row],[LC Exp Date]]-MAX(SnapshotTable[[#This Row],[LC Book Date]], SnapshotTable[[#This Row],[LC Fill Date]]),"")</f>
        <v/>
      </c>
      <c r="DR164" s="386" t="str">
        <f>IF(ISNUMBER(SnapshotTable[[#This Row],[LC Term]]), SnapshotTable[[#This Row],[LC Exp Date]] - MockToday, "")</f>
        <v/>
      </c>
      <c r="DS164" s="23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40" t="str">
        <f>IF(ISNUMBER(SnapshotTable[[#This Row],[LC Actual Gain Loss]]), SnapshotTable[[#This Row],[LC Actual Gain Loss]] / SnapshotTable[[#This Row],[LC Premium]],"")</f>
        <v/>
      </c>
      <c r="DX164" s="284" t="str">
        <f>IF(ISNUMBER(SnapshotTable[[#This Row],[LC Book Price]]),SnapshotTable[[#This Row],[LC Book Price]] * 1.5,"")</f>
        <v/>
      </c>
      <c r="DY164" s="265" t="str">
        <f>IF(SnapshotTable[[#This Row],[LC Premium]]&gt;0, SnapshotTable[[#This Row],[LC Next Target]] * SnapshotTable[[#This Row],[LC Qty]] * 100,"")</f>
        <v/>
      </c>
      <c r="DZ164" s="265" t="str">
        <f>IF(ISNUMBER(SnapshotTable[[#This Row],[LC Target Gross]]), SnapshotTable[[#This Row],[LC Target Gross]] - SnapshotTable[[#This Row],[LC Premium]], "")</f>
        <v/>
      </c>
      <c r="EA164" s="305" t="str">
        <f>IF(ISNUMBER(SnapshotTable[[#This Row],[LC Target Gain Loss]]), SnapshotTable[[#This Row],[LC Target Gain Loss]]/SnapshotTable[[#This Row],[LC Premium]], "")</f>
        <v/>
      </c>
      <c r="EB164" s="262"/>
      <c r="EC164" s="283" t="str">
        <f>IF(SnapshotTable[[#This Row],[LC Premium]]&gt;0, SnapshotTable[[#This Row],[LC Book Price]] * (1 - LC_StopLoss_Pct),"")</f>
        <v/>
      </c>
      <c r="ED164" s="284"/>
      <c r="EE164" s="28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4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7"/>
      <c r="EL164" s="138"/>
      <c r="EM164" s="148"/>
      <c r="EN164" s="147"/>
      <c r="EO164" s="147"/>
      <c r="EP164" s="138"/>
      <c r="EQ164" s="419" t="b">
        <f>AND(ISNUMBER(SnapshotTable[[#This Row],[SC Exp Date]]), ISNUMBER(SnapshotTable[[#This Row],[SC Strike Price]]), ISNUMBER(SnapshotTable[[#This Row],[SC Qty]]), ISNUMBER(SnapshotTable[[#This Row],[SC Book Date]]), ISNUMBER(SnapshotTable[[#This Row],[SC Book Price]]))</f>
        <v>0</v>
      </c>
      <c r="ER164" s="419" t="b">
        <f>AND(SnapshotTable[[#This Row],[SC Is Booked]], NOT(ISBLANK(SnapshotTable[[#This Row],[SC Fill Date]])))</f>
        <v>0</v>
      </c>
      <c r="ES164" s="370"/>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3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283"/>
      <c r="FA164" s="218"/>
      <c r="FB164" s="370"/>
      <c r="FC164" s="4">
        <f>IF(SnapshotTable[[#This Row],[SC Is Filled]], btc_max_buyback_amount(SnapshotTable[[#This Row],[SC Fill Date]],SnapshotTable[[#This Row],[SC Exp Date]], SnapshotTable[[#This Row],[SC Book Price]]),0)</f>
        <v>0</v>
      </c>
      <c r="FD164" s="5"/>
      <c r="FE164" s="144"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382">
        <f>IF(SnapshotTable[[#This Row],[SC Is Filled]], IF(ISNUMBER(SnapshotTable[[#This Row],[SC Current Ask]]), SnapshotTable[[#This Row],[SC Current Ask]], SnapshotTable[[#This Row],[SC Book Price]]) - SnapshotTable[[#This Row],[SC Intrinsic Value]], 0)</f>
        <v>0</v>
      </c>
      <c r="FI164" s="143"/>
      <c r="FJ164" s="32" t="str">
        <f>IF(SnapshotTable[[#This Row],[SC Is Filled]],100 * SnapshotTable[[#This Row],[SC Qty]] * IF(ISNUMBER(SnapshotTable[[#This Row],[SC Buyback Override]]), SnapshotTable[[#This Row],[SC Buyback Override]], SnapshotTable[[#This Row],[SC Current Ask]]), "")</f>
        <v/>
      </c>
      <c r="FK164" s="250" t="str">
        <f>IF(SnapshotTable[[#This Row],[SC Time Val]]&gt;0, SnapshotTable[[#This Row],[SC Time Val]] / SnapshotTable[[#This Row],[Last Price]],"")</f>
        <v/>
      </c>
      <c r="FL164" s="302" t="str">
        <f>IF(SnapshotTable[[#This Row],[SC Is Booked]], ((SnapshotTable[[#This Row],[Last Price]] -SnapshotTable[[#This Row],[SC Strike Price]]) / SnapshotTable[[#This Row],[Last Price]]) * -1, "")</f>
        <v/>
      </c>
      <c r="FM164" s="157"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33"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36" t="str">
        <f>IF(AND(ISNUMBER(SnapshotTable[[#This Row],[SC Simple ROO]]),SnapshotTable[[#This Row],[SC Simple ROO]] &gt; 0), SnapshotTable[[#This Row],[SC Premium]] + (SnapshotTable[[#This Row],[SC Qty]] * SnapshotTable[[#This Row],[SC Upside Potential]]), "")</f>
        <v/>
      </c>
      <c r="FX164" s="302" t="str" cm="1">
        <f t="array" ref="FX164">IF(ISNUMBER(SnapshotTable[[#This Row],[SC Max Dollars]]), annualize(SnapshotTable[[#This Row],[SC Term]],(SnapshotTable[[#This Row],[SC Max Dollars]]/SnapshotTable[[#This Row],[SC Basis]])),"")</f>
        <v/>
      </c>
      <c r="FY164" s="23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29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221.07150000000001</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749</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31">
        <f>MAX(SnapshotTable[[#This Row],[Equity Basis Total]],SnapshotTable[[#This Row],[Equity Value]]) + (SnapshotTable[[#This Row],[SP Potential Spend]]- SnapshotTable[[#This Row],[SP Premium]] + SnapshotTable[[#This Row],[LP Premium]])+ (SnapshotTable[[#This Row],[LC Premium]] - SnapshotTable[[#This Row],[SC Premium]])</f>
        <v>0</v>
      </c>
      <c r="GW164" s="139" t="str">
        <f>IF(AND(SnapshotTable[[#This Row],[Exposure]] &lt;&gt; 0),SnapshotTable[[#This Row],[Exposure]] / SnapshotTable[[#Totals],[Exposure]], "")</f>
        <v/>
      </c>
      <c r="HE164" s="268"/>
      <c r="HF164" s="268"/>
      <c r="HK164" s="1"/>
      <c r="HL164" s="1"/>
      <c r="HM164" s="1"/>
      <c r="HN164" s="1"/>
      <c r="HO164" s="1"/>
      <c r="HP164" s="1"/>
    </row>
    <row r="165" spans="2:224" ht="12.75" hidden="1" customHeight="1" x14ac:dyDescent="0.25">
      <c r="B165" s="12" t="s">
        <v>1274</v>
      </c>
      <c r="C165" s="422">
        <v>421.21</v>
      </c>
      <c r="D165" s="208"/>
      <c r="E165" s="39">
        <f>SnapshotTable[[#This Row],[Last Price]]*(1 -CrashDiscount)</f>
        <v>358.02849999999995</v>
      </c>
      <c r="F165" s="408"/>
      <c r="G165" s="325"/>
      <c r="H165" s="149"/>
      <c r="I165" s="372"/>
      <c r="J165" s="352"/>
      <c r="K165" s="353"/>
      <c r="L165" s="327"/>
      <c r="M165" s="140"/>
      <c r="N165" s="140"/>
      <c r="O165" s="140"/>
      <c r="P165" s="328"/>
      <c r="Q165" s="354"/>
      <c r="R165" s="4" t="str">
        <f>IF(SnapshotTable[[#This Row],[Equity Basis Total]] &gt; 0, SnapshotTable[[#This Row],[Equity Basis Total]] / SnapshotTable[[#This Row],[Equity Shares]], "")</f>
        <v/>
      </c>
      <c r="S165" s="329">
        <f>SnapshotTable[[#This Row],[Last Price]] * SnapshotTable[[#This Row],[Equity Shares]]</f>
        <v>0</v>
      </c>
      <c r="T165" s="269">
        <f>SnapshotTable[[#This Row],[Equity Value]] - SnapshotTable[[#This Row],[Equity Basis Total]]</f>
        <v>0</v>
      </c>
      <c r="U165" s="270" t="str">
        <f>IF(SnapshotTable[[#This Row],[Equity Basis Total]] &gt; 0, SnapshotTable[[#This Row],[Equity G/L]] / SnapshotTable[[#This Row],[Equity Basis Total]], "")</f>
        <v/>
      </c>
      <c r="V165" s="268"/>
      <c r="W165" s="26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7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0"/>
      <c r="AD165" s="350"/>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50"/>
      <c r="AI165" s="330"/>
      <c r="AJ165" s="138"/>
      <c r="AK165" s="152" t="str">
        <f>IF(ISNUMBER( SnapshotTable[[#This Row],[EBF Target]]),(SnapshotTable[[#This Row],[EBF Target]] - SnapshotTable[[#This Row],[Last Price]]) / SnapshotTable[[#This Row],[Last Price]], "")</f>
        <v/>
      </c>
      <c r="AL165" s="152"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2" t="str">
        <f>IF(AND(ISNUMBER( SnapshotTable[[#This Row],[Long Term Target]]), ISNUMBER(SnapshotTable[[#This Row],[Last Price]])),(SnapshotTable[[#This Row],[Long Term Target]] - SnapshotTable[[#This Row],[Last Price]]) / SnapshotTable[[#This Row],[Last Price]], "")</f>
        <v/>
      </c>
      <c r="AP165" s="330"/>
      <c r="AQ165" s="388"/>
      <c r="AR165" s="330"/>
      <c r="AS165" s="388"/>
      <c r="AT165" s="389"/>
      <c r="AU165" s="187" t="str">
        <f>IF(OR(SnapshotTable[[#This Row],[LP No Fill]]="Y",SnapshotTable[[#This Row],[SP Is Filled]],SnapshotTable[[#This Row],[LC Not Filled]]="Y",SnapshotTable[[#This Row],[SC Is Filled]]),"Y","")</f>
        <v/>
      </c>
      <c r="AV165" s="338"/>
      <c r="AW165" s="339"/>
      <c r="AX165" s="220"/>
      <c r="AY165" s="219" t="str">
        <f>IF(SnapshotTable[[#This Row],[Implied Move]]&gt;0, SnapshotTable[[#This Row],[Last Price]]-SnapshotTable[[#This Row],[Implied Move]],"")</f>
        <v/>
      </c>
      <c r="AZ165" s="219" t="str">
        <f>IF(SnapshotTable[[#This Row],[Implied Move]]&gt;0, SnapshotTable[[#This Row],[Last Price]] + SnapshotTable[[#This Row],[Implied Move]],"")</f>
        <v/>
      </c>
      <c r="BA165" s="331">
        <v>323.20999999999998</v>
      </c>
      <c r="BB165" s="347"/>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51"/>
      <c r="BE165" s="409"/>
      <c r="BF165" s="410"/>
      <c r="BG165" s="411"/>
      <c r="BH165" s="411"/>
      <c r="BI165" s="412"/>
      <c r="BJ165" s="153">
        <f>IF(SnapshotTable[[#This Row],[LP Qty]] &gt; 0, SnapshotTable[[#This Row],[LP Qty]] * SnapshotTable[[#This Row],[LP Book Price]] * 100,0)</f>
        <v>0</v>
      </c>
      <c r="BK165" s="136">
        <f>IF(SnapshotTable[[#This Row],[LP Premium]] &gt; 0, SnapshotTable[[#This Row],[LP Qty]] * SnapshotTable[[#This Row],[LP Strike Price]] * 100,0)</f>
        <v>0</v>
      </c>
      <c r="BL165" s="154"/>
      <c r="BM165" s="385" t="str">
        <f>IF(SnapshotTable[[#This Row],[LP Premium]] &gt; 0,SnapshotTable[[#This Row],[LP Exp Date]]-MAX(SnapshotTable[[#This Row],[LP Book Date]], SnapshotTable[[#This Row],[LP Fill Date]]),"")</f>
        <v/>
      </c>
      <c r="BN165" s="385" t="str">
        <f>IF(ISNUMBER( SnapshotTable[[#This Row],[LP Term]]), SnapshotTable[[#This Row],[LP Exp Date]] - MockToday,"")</f>
        <v/>
      </c>
      <c r="BO165" s="163"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7"/>
      <c r="BR165" s="138"/>
      <c r="BS165" s="413"/>
      <c r="BT165" s="147"/>
      <c r="BU165" s="147"/>
      <c r="BV165" s="138"/>
      <c r="BW165" s="419" t="b">
        <f>AND(ISNUMBER(SnapshotTable[[#This Row],[SP Exp Date]]), ISNUMBER(SnapshotTable[[#This Row],[SP Strike Price]]), ISNUMBER(SnapshotTable[[#This Row],[SP Qty]]), ISNUMBER(SnapshotTable[[#This Row],[SP Book Date]]), ISNUMBER(SnapshotTable[[#This Row],[SP Book Price]]))</f>
        <v>0</v>
      </c>
      <c r="BX165" s="419" t="b">
        <f>AND(SnapshotTable[[#This Row],[SP Is Booked]], NOT(ISBLANK(SnapshotTable[[#This Row],[SP Fill Date]])))</f>
        <v>0</v>
      </c>
      <c r="BY165" s="33">
        <f>IF(SnapshotTable[[#This Row],[SP Is Booked]], SnapshotTable[[#This Row],[SP Qty]] * SnapshotTable[[#This Row],[SP Book Price]] * 100, 0)</f>
        <v>0</v>
      </c>
      <c r="BZ165" s="369"/>
      <c r="CA165" s="368">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3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44"/>
      <c r="CK165" s="31">
        <f>IF(ISNUMBER(SnapshotTable[[#This Row],[SP Potential Spend]]),IF(ISNUMBER(SnapshotTable[[#This Row],[SP POW]]), SnapshotTable[[#This Row],[SP POW]] * SnapshotTable[[#This Row],[SP Potential Spend]], SnapshotTable[[#This Row],[SP Potential Spend]]), "")</f>
        <v>0</v>
      </c>
      <c r="CL165" s="164">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4"/>
      <c r="CO165" s="369"/>
      <c r="CP165" s="320" t="str">
        <f>IF(SnapshotTable[[#This Row],[SP Is Filled]], btc_max_buyback_amount(SnapshotTable[[#This Row],[SP Fill Date]],SnapshotTable[[#This Row],[SP Exp Date]], SnapshotTable[[#This Row],[SP Book Price]]),"")</f>
        <v/>
      </c>
      <c r="CQ165" s="78"/>
      <c r="CR165"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5" t="str">
        <f>IF(SnapshotTable[[#This Row],[SP Is Filled]], btc_next_cutoff_date(SnapshotTable[[#This Row],[SP Fill Date]],SnapshotTable[[#This Row],[SP Exp Date]]),"")</f>
        <v/>
      </c>
      <c r="CT165" s="23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6"/>
      <c r="CV165" s="394"/>
      <c r="CW165" s="378"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294" t="str">
        <f>IF(ISNUMBER((SnapshotTable[[#This Row],[SP Total Value]])), SnapshotTable[[#This Row],[SP Gain Loss]] / SnapshotTable[[#This Row],[SP Premium]], "")</f>
        <v/>
      </c>
      <c r="DI165" s="406"/>
      <c r="DJ165" s="147"/>
      <c r="DK165" s="148"/>
      <c r="DL165" s="147"/>
      <c r="DM165" s="147"/>
      <c r="DN165" s="147"/>
      <c r="DO165" s="31">
        <f>IF(SnapshotTable[[#This Row],[LC Symbol Count]]=1, SnapshotTable[[#This Row],[LC Qty]] * SnapshotTable[[#This Row],[LC Book Price]] * 100, 0)</f>
        <v>0</v>
      </c>
      <c r="DP165" s="289" t="str">
        <f>IF(AND(SnapshotTable[[#This Row],[LC Exp Date]]&gt;0, SnapshotTable[[#This Row],[LC Strike Price]]&gt;0,SnapshotTable[[#This Row],[LC Qty]]&gt;0,SnapshotTable[[#This Row],[LC Book Date]]&gt;0,SnapshotTable[[#This Row],[LC Book Price]]&gt;0,SnapshotTable[[#This Row],[LC Fill Date]]=0),"Y","")</f>
        <v/>
      </c>
      <c r="DQ165" s="386" t="str">
        <f>IF(SnapshotTable[[#This Row],[LC Premium]] &gt; 0,SnapshotTable[[#This Row],[LC Exp Date]]-MAX(SnapshotTable[[#This Row],[LC Book Date]], SnapshotTable[[#This Row],[LC Fill Date]]),"")</f>
        <v/>
      </c>
      <c r="DR165" s="386" t="str">
        <f>IF(ISNUMBER(SnapshotTable[[#This Row],[LC Term]]), SnapshotTable[[#This Row],[LC Exp Date]] - MockToday, "")</f>
        <v/>
      </c>
      <c r="DS165" s="355" t="str">
        <f>IF(SnapshotTable[[#This Row],[LC Premium]]&gt;0,SnapshotTable[[#This Row],[LC Strike Price]] + SnapshotTable[[#This Row],[LC Book Price]],"")</f>
        <v/>
      </c>
      <c r="DT165" s="163"/>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40" t="str">
        <f>IF(ISNUMBER(SnapshotTable[[#This Row],[LC Actual Gain Loss]]), SnapshotTable[[#This Row],[LC Actual Gain Loss]] / SnapshotTable[[#This Row],[LC Premium]],"")</f>
        <v/>
      </c>
      <c r="DX165" s="284" t="str">
        <f>IF(ISNUMBER(SnapshotTable[[#This Row],[LC Book Price]]),SnapshotTable[[#This Row],[LC Book Price]] * 1.5,"")</f>
        <v/>
      </c>
      <c r="DY165" s="265" t="str">
        <f>IF(SnapshotTable[[#This Row],[LC Premium]]&gt;0, SnapshotTable[[#This Row],[LC Next Target]] * SnapshotTable[[#This Row],[LC Qty]] * 100,"")</f>
        <v/>
      </c>
      <c r="DZ165" s="265" t="str">
        <f>IF(ISNUMBER(SnapshotTable[[#This Row],[LC Target Gross]]), SnapshotTable[[#This Row],[LC Target Gross]] - SnapshotTable[[#This Row],[LC Premium]], "")</f>
        <v/>
      </c>
      <c r="EA165" s="305" t="str">
        <f>IF(ISNUMBER(SnapshotTable[[#This Row],[LC Target Gain Loss]]), SnapshotTable[[#This Row],[LC Target Gain Loss]]/SnapshotTable[[#This Row],[LC Premium]], "")</f>
        <v/>
      </c>
      <c r="EB165" s="262"/>
      <c r="EC165" s="290" t="str">
        <f>IF(SnapshotTable[[#This Row],[LC Premium]]&gt;0, SnapshotTable[[#This Row],[LC Book Price]] * (1 - LC_StopLoss_Pct),"")</f>
        <v/>
      </c>
      <c r="ED165" s="284"/>
      <c r="EE165" s="290" t="str">
        <f>IF(ISNUMBER(SnapshotTable[[#This Row],[LC Contract Value]]),IF(ISNUMBER(SnapshotTable[[#This Row],[LC Stop Loss Override]]), SnapshotTable[[#This Row],[LC Stop Loss Override]],SnapshotTable[[#This Row],[LC Stop Loss Calc Target]]),"")</f>
        <v/>
      </c>
      <c r="EF165" s="321"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4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7"/>
      <c r="EL165" s="138"/>
      <c r="EM165" s="148"/>
      <c r="EN165" s="147"/>
      <c r="EO165" s="147"/>
      <c r="EP165" s="138"/>
      <c r="EQ165" s="419" t="b">
        <f>AND(ISNUMBER(SnapshotTable[[#This Row],[SC Exp Date]]), ISNUMBER(SnapshotTable[[#This Row],[SC Strike Price]]), ISNUMBER(SnapshotTable[[#This Row],[SC Qty]]), ISNUMBER(SnapshotTable[[#This Row],[SC Book Date]]), ISNUMBER(SnapshotTable[[#This Row],[SC Book Price]]))</f>
        <v>0</v>
      </c>
      <c r="ER165" s="419" t="b">
        <f>AND(SnapshotTable[[#This Row],[SC Is Booked]], NOT(ISBLANK(SnapshotTable[[#This Row],[SC Fill Date]])))</f>
        <v>0</v>
      </c>
      <c r="ES165" s="370"/>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374"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14"/>
      <c r="FA165" s="395"/>
      <c r="FB165" s="396"/>
      <c r="FC165" s="4">
        <f>IF(SnapshotTable[[#This Row],[SC Is Filled]], btc_max_buyback_amount(SnapshotTable[[#This Row],[SC Fill Date]],SnapshotTable[[#This Row],[SC Exp Date]], SnapshotTable[[#This Row],[SC Book Price]]),0)</f>
        <v>0</v>
      </c>
      <c r="FD165" s="5"/>
      <c r="FE165" s="144"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382">
        <f>IF(SnapshotTable[[#This Row],[SC Is Filled]], IF(ISNUMBER(SnapshotTable[[#This Row],[SC Current Ask]]), SnapshotTable[[#This Row],[SC Current Ask]], SnapshotTable[[#This Row],[SC Book Price]]) - SnapshotTable[[#This Row],[SC Intrinsic Value]], 0)</f>
        <v>0</v>
      </c>
      <c r="FI165" s="156"/>
      <c r="FJ165" s="32" t="str">
        <f>IF(SnapshotTable[[#This Row],[SC Is Filled]],100 * SnapshotTable[[#This Row],[SC Qty]] * IF(ISNUMBER(SnapshotTable[[#This Row],[SC Buyback Override]]), SnapshotTable[[#This Row],[SC Buyback Override]], SnapshotTable[[#This Row],[SC Current Ask]]), "")</f>
        <v/>
      </c>
      <c r="FK165" s="250" t="str">
        <f>IF(SnapshotTable[[#This Row],[SC Time Val]]&gt;0, SnapshotTable[[#This Row],[SC Time Val]] / SnapshotTable[[#This Row],[Last Price]],"")</f>
        <v/>
      </c>
      <c r="FL165" s="302" t="str">
        <f>IF(SnapshotTable[[#This Row],[SC Is Booked]], ((SnapshotTable[[#This Row],[Last Price]] -SnapshotTable[[#This Row],[SC Strike Price]]) / SnapshotTable[[#This Row],[Last Price]]) * -1, "")</f>
        <v/>
      </c>
      <c r="FM165" s="157" t="str">
        <f>IF(SnapshotTable[[#This Row],[SC Is Booked]],  (SnapshotTable[[#This Row],[SC Qty]] * 100 * SnapshotTable[[#This Row],[SC Strike Price]]) - SnapshotTable[[#This Row],[SC Current Ask]], "")</f>
        <v/>
      </c>
      <c r="FN16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7"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33"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36" t="str">
        <f>IF(AND(ISNUMBER(SnapshotTable[[#This Row],[SC Simple ROO]]),SnapshotTable[[#This Row],[SC Simple ROO]] &gt; 0), SnapshotTable[[#This Row],[SC Premium]] + (SnapshotTable[[#This Row],[SC Qty]] * SnapshotTable[[#This Row],[SC Upside Potential]]), "")</f>
        <v/>
      </c>
      <c r="FX165" s="302" t="str" cm="1">
        <f t="array" ref="FX165">IF(ISNUMBER(SnapshotTable[[#This Row],[SC Max Dollars]]), annualize(SnapshotTable[[#This Row],[SC Term]],(SnapshotTable[[#This Row],[SC Max Dollars]]/SnapshotTable[[#This Row],[SC Basis]])),"")</f>
        <v/>
      </c>
      <c r="FY165" s="236" t="str">
        <f>IF(AND(SnapshotTable[[#This Row],[SC Qty]]&gt;0,SnapshotTable[[#This Row],[SC Current Ask]]&gt;0), SnapshotTable[[#This Row],[SC Qty]] * SnapshotTable[[#This Row],[SC Current Ask]] * -100, "")</f>
        <v/>
      </c>
      <c r="FZ165" s="235" t="str">
        <f>IF(ISNUMBER((SnapshotTable[[#This Row],[SC Current Value]])), SnapshotTable[[#This Row],[SC Premium]] + SnapshotTable[[#This Row],[SC Current Value]], "")</f>
        <v/>
      </c>
      <c r="GA165" s="294" t="str">
        <f>IFERROR( IF(ISNUMBER((SnapshotTable[[#This Row],[SC Current Value]])), SnapshotTable[[#This Row],[SC Gain Loss]] / SnapshotTable[[#This Row],[SC Premium]], ""), "")</f>
        <v/>
      </c>
      <c r="GB165" s="415">
        <f>SnapshotTable[[#This Row],[Equity Shares]] * SaleSharesToConsiderPercentage</f>
        <v>0</v>
      </c>
      <c r="GC165" s="416">
        <f>SnapshotTable[[#This Row],[Long Term Target]] * SellingPriceToConsiderBasedOnTargetPercentage</f>
        <v>0</v>
      </c>
      <c r="GD165" s="416">
        <f>SnapshotTable[[#This Row],[Last Price]] * (1+ SellingPriceToConsiderBasedOnTargetPercentage)</f>
        <v>821.35949999999991</v>
      </c>
      <c r="GE165" s="417"/>
      <c r="GF165" s="416"/>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8" t="str">
        <f>IF(SnapshotTable[[#This Row],[Sale G/L]]&gt;0, SnapshotTable[[#This Row],[Sale G/L]] / SnapshotTable[[#This Row],[Sale Basis]], IF(ISNUMBER(SnapshotTable[[#This Row],[SC Exercise P&amp;L (TAX)]]), SnapshotTable[[#This Row],[SC Exercise P&amp;L (TAX)]] / SnapshotTable[[#This Row],[SC Basis]], ""))</f>
        <v/>
      </c>
      <c r="GK165" s="27"/>
      <c r="GL165" s="159"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59" t="str">
        <f>IF(AND(SnapshotTable[[#This Row],[LC Exp Date]]&gt;0,SnapshotTable[[#This Row],[LC Strike Price]]&gt;0), [1]!ToOptionSymbol(SnapshotTable[[#This Row],[Symbol]], SnapshotTable[[#This Row],[LC Strike Price]],SnapshotTable[[#This Row],[LC Exp Date]],0), "")</f>
        <v/>
      </c>
      <c r="GQ165" s="160" t="str">
        <f>IF(LEN(SnapshotTable[[#This Row],[LC Symbol]])&gt;0, 1, "")</f>
        <v/>
      </c>
      <c r="GR165" s="159" t="str">
        <f>IF(AND(SnapshotTable[[#This Row],[SC Exp Date]]&gt;0,SnapshotTable[[#This Row],[SC Strike Price]]&gt;0), [1]!ToOptionSymbol(SnapshotTable[[#This Row],[Symbol]], SnapshotTable[[#This Row],[SC Strike Price]],SnapshotTable[[#This Row],[SC Exp Date]],0), "")</f>
        <v/>
      </c>
      <c r="GS165" s="160" t="str">
        <f>IF(LEN(SnapshotTable[[#This Row],[SC Symbol]])&gt;0, 1, "")</f>
        <v/>
      </c>
      <c r="GT165" s="161"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31">
        <f>MAX(SnapshotTable[[#This Row],[Equity Basis Total]],SnapshotTable[[#This Row],[Equity Value]]) + (SnapshotTable[[#This Row],[SP Potential Spend]]- SnapshotTable[[#This Row],[SP Premium]] + SnapshotTable[[#This Row],[LP Premium]])+ (SnapshotTable[[#This Row],[LC Premium]] - SnapshotTable[[#This Row],[SC Premium]])</f>
        <v>0</v>
      </c>
      <c r="GW165" s="139" t="str">
        <f>IF(AND(SnapshotTable[[#This Row],[Exposure]] &lt;&gt; 0),SnapshotTable[[#This Row],[Exposure]] / SnapshotTable[[#Totals],[Exposure]], "")</f>
        <v/>
      </c>
      <c r="HE165" s="268"/>
      <c r="HF165" s="268"/>
      <c r="HK165" s="1"/>
      <c r="HL165" s="1"/>
      <c r="HM165" s="1"/>
      <c r="HN165" s="1"/>
      <c r="HO165" s="1"/>
      <c r="HP165" s="1"/>
    </row>
    <row r="166" spans="2:224" ht="12.75" hidden="1" customHeight="1" x14ac:dyDescent="0.25">
      <c r="B166" s="12" t="s">
        <v>838</v>
      </c>
      <c r="C166" s="422">
        <v>91.63</v>
      </c>
      <c r="D166" s="208"/>
      <c r="E166" s="39">
        <f>SnapshotTable[[#This Row],[Last Price]]*(1 -CrashDiscount)</f>
        <v>77.885499999999993</v>
      </c>
      <c r="F166" s="26" t="s">
        <v>839</v>
      </c>
      <c r="G166" s="26" t="s">
        <v>821</v>
      </c>
      <c r="H166" s="149"/>
      <c r="I166" s="194">
        <v>44762.288194444445</v>
      </c>
      <c r="J166" s="195">
        <v>44762.288194444445</v>
      </c>
      <c r="K166" s="196" t="s">
        <v>3</v>
      </c>
      <c r="L166" s="326"/>
      <c r="M166" s="140">
        <v>1</v>
      </c>
      <c r="N166" s="140"/>
      <c r="O166" s="140"/>
      <c r="P166" s="22"/>
      <c r="Q166" s="25"/>
      <c r="R166" s="4" t="str">
        <f>IF(SnapshotTable[[#This Row],[Equity Basis Total]] &gt; 0, SnapshotTable[[#This Row],[Equity Basis Total]] / SnapshotTable[[#This Row],[Equity Shares]], "")</f>
        <v/>
      </c>
      <c r="S166" s="269">
        <f>SnapshotTable[[#This Row],[Last Price]] * SnapshotTable[[#This Row],[Equity Shares]]</f>
        <v>0</v>
      </c>
      <c r="T166" s="269">
        <f>SnapshotTable[[#This Row],[Equity Value]] - SnapshotTable[[#This Row],[Equity Basis Total]]</f>
        <v>0</v>
      </c>
      <c r="U166" s="270" t="str">
        <f>IF(SnapshotTable[[#This Row],[Equity Basis Total]] &gt; 0, SnapshotTable[[#This Row],[Equity G/L]] / SnapshotTable[[#This Row],[Equity Basis Total]], "")</f>
        <v/>
      </c>
      <c r="V166" s="268"/>
      <c r="W166" s="26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7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0"/>
      <c r="AD166" s="151"/>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1"/>
      <c r="AI166" s="5">
        <v>77</v>
      </c>
      <c r="AJ166" s="138">
        <v>75.69</v>
      </c>
      <c r="AK166" s="152">
        <f>IF(ISNUMBER( SnapshotTable[[#This Row],[EBF Target]]),(SnapshotTable[[#This Row],[EBF Target]] - SnapshotTable[[#This Row],[Last Price]]) / SnapshotTable[[#This Row],[Last Price]], "")</f>
        <v>-0.15966386554621845</v>
      </c>
      <c r="AL166" s="152" t="str">
        <f>IF(AND(SnapshotTable[[#This Row],[Equity Basis Total]] &gt; 0,ISNUMBER( SnapshotTable[[#This Row],[Long Term Target]])), SnapshotTable[[#This Row],[From Basis $]] / SnapshotTable[[#This Row],[Equity Basis Total]], "")</f>
        <v/>
      </c>
      <c r="AM166" s="9">
        <f>IF( AND(SnapshotTable[[#This Row],[Equity Shares]] &gt;0,ISNUMBER( SnapshotTable[[#This Row],[Long Term Target]])),(SnapshotTable[[#This Row],[Equity Shares]] * SnapshotTable[[#This Row],[Long Term Target]]) - SnapshotTable[[#This Row],[Equity Basis Total]],0)</f>
        <v>0</v>
      </c>
      <c r="AN166" s="9">
        <f>IF( AND(SnapshotTable[[#This Row],[Equity Shares]] &gt;0,ISNUMBER( SnapshotTable[[#This Row],[Long Term Target]])),(SnapshotTable[[#This Row],[Equity Shares]]*SnapshotTable[[#This Row],[Long Term Target]]) - SnapshotTable[[#This Row],[Equity Value]],0)</f>
        <v>0</v>
      </c>
      <c r="AO166" s="152">
        <f>IF(AND(ISNUMBER( SnapshotTable[[#This Row],[Long Term Target]]), ISNUMBER(SnapshotTable[[#This Row],[Last Price]])),(SnapshotTable[[#This Row],[Long Term Target]] - SnapshotTable[[#This Row],[Last Price]]) / SnapshotTable[[#This Row],[Last Price]], "")</f>
        <v>-0.17396049328822435</v>
      </c>
      <c r="AP166" s="5"/>
      <c r="AQ166" s="38"/>
      <c r="AR166" s="5"/>
      <c r="AS166" s="38"/>
      <c r="AT166" s="146"/>
      <c r="AU166" s="187" t="str">
        <f>IF(OR(SnapshotTable[[#This Row],[LP No Fill]]="Y",SnapshotTable[[#This Row],[SP Is Filled]],SnapshotTable[[#This Row],[LC Not Filled]]="Y",SnapshotTable[[#This Row],[SC Is Filled]]),"Y","")</f>
        <v/>
      </c>
      <c r="AV166" s="219"/>
      <c r="AW166" s="225"/>
      <c r="AX166" s="220"/>
      <c r="AY166" s="219" t="str">
        <f>IF(SnapshotTable[[#This Row],[Implied Move]]&gt;0, SnapshotTable[[#This Row],[Last Price]]-SnapshotTable[[#This Row],[Implied Move]],"")</f>
        <v/>
      </c>
      <c r="AZ166" s="219" t="str">
        <f>IF(SnapshotTable[[#This Row],[Implied Move]]&gt;0, SnapshotTable[[#This Row],[Last Price]] + SnapshotTable[[#This Row],[Implied Move]],"")</f>
        <v/>
      </c>
      <c r="BA166" s="331"/>
      <c r="BB166" s="347"/>
      <c r="BC1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6" s="351"/>
      <c r="BE166" s="138"/>
      <c r="BF166" s="166"/>
      <c r="BG166" s="167"/>
      <c r="BH166" s="167"/>
      <c r="BI166" s="221"/>
      <c r="BJ166" s="153">
        <f>IF(SnapshotTable[[#This Row],[LP Qty]] &gt; 0, SnapshotTable[[#This Row],[LP Qty]] * SnapshotTable[[#This Row],[LP Book Price]] * 100,0)</f>
        <v>0</v>
      </c>
      <c r="BK166" s="136">
        <f>IF(SnapshotTable[[#This Row],[LP Premium]] &gt; 0, SnapshotTable[[#This Row],[LP Qty]] * SnapshotTable[[#This Row],[LP Strike Price]] * 100,0)</f>
        <v>0</v>
      </c>
      <c r="BL166" s="154"/>
      <c r="BM166" s="385" t="str">
        <f>IF(SnapshotTable[[#This Row],[LP Premium]] &gt; 0,SnapshotTable[[#This Row],[LP Exp Date]]-MAX(SnapshotTable[[#This Row],[LP Book Date]], SnapshotTable[[#This Row],[LP Fill Date]]),"")</f>
        <v/>
      </c>
      <c r="BN166" s="385" t="str">
        <f>IF(ISNUMBER( SnapshotTable[[#This Row],[LP Term]]), SnapshotTable[[#This Row],[LP Exp Date]] - MockToday,"")</f>
        <v/>
      </c>
      <c r="BO166" s="163"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7"/>
      <c r="BU166" s="13"/>
      <c r="BV166" s="5"/>
      <c r="BW166" s="419" t="b">
        <f>AND(ISNUMBER(SnapshotTable[[#This Row],[SP Exp Date]]), ISNUMBER(SnapshotTable[[#This Row],[SP Strike Price]]), ISNUMBER(SnapshotTable[[#This Row],[SP Qty]]), ISNUMBER(SnapshotTable[[#This Row],[SP Book Date]]), ISNUMBER(SnapshotTable[[#This Row],[SP Book Price]]))</f>
        <v>0</v>
      </c>
      <c r="BX166" s="419" t="b">
        <f>AND(SnapshotTable[[#This Row],[SP Is Booked]], NOT(ISBLANK(SnapshotTable[[#This Row],[SP Fill Date]])))</f>
        <v>0</v>
      </c>
      <c r="BY166" s="33">
        <f>IF(SnapshotTable[[#This Row],[SP Is Booked]], SnapshotTable[[#This Row],[SP Qty]] * SnapshotTable[[#This Row],[SP Book Price]] * 100, 0)</f>
        <v>0</v>
      </c>
      <c r="BZ166" s="369"/>
      <c r="CA166" s="368">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3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44"/>
      <c r="CK166" s="31">
        <f>IF(ISNUMBER(SnapshotTable[[#This Row],[SP Potential Spend]]),IF(ISNUMBER(SnapshotTable[[#This Row],[SP POW]]), SnapshotTable[[#This Row],[SP POW]] * SnapshotTable[[#This Row],[SP Potential Spend]], SnapshotTable[[#This Row],[SP Potential Spend]]), "")</f>
        <v>0</v>
      </c>
      <c r="CL166" s="164">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154"/>
      <c r="CO166" s="369"/>
      <c r="CP166" s="4" t="str">
        <f>IF(SnapshotTable[[#This Row],[SP Is Filled]], btc_max_buyback_amount(SnapshotTable[[#This Row],[SP Fill Date]],SnapshotTable[[#This Row],[SP Exp Date]], SnapshotTable[[#This Row],[SP Book Price]]),"")</f>
        <v/>
      </c>
      <c r="CQ166" s="78"/>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5" t="str">
        <f>IF(SnapshotTable[[#This Row],[SP Is Filled]], btc_next_cutoff_date(SnapshotTable[[#This Row],[SP Fill Date]],SnapshotTable[[#This Row],[SP Exp Date]]),"")</f>
        <v/>
      </c>
      <c r="CT166" s="23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56"/>
      <c r="CV166" s="235"/>
      <c r="CW166" s="378"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294" t="str">
        <f>IF(ISNUMBER((SnapshotTable[[#This Row],[SP Total Value]])), SnapshotTable[[#This Row],[SP Gain Loss]] / SnapshotTable[[#This Row],[SP Premium]], "")</f>
        <v/>
      </c>
      <c r="DI166" s="406"/>
      <c r="DJ166" s="138"/>
      <c r="DK166" s="148"/>
      <c r="DL166" s="147"/>
      <c r="DM166" s="147"/>
      <c r="DO166" s="31">
        <f>IF(SnapshotTable[[#This Row],[LC Symbol Count]]=1, SnapshotTable[[#This Row],[LC Qty]] * SnapshotTable[[#This Row],[LC Book Price]] * 100, 0)</f>
        <v>0</v>
      </c>
      <c r="DP166" s="163" t="str">
        <f>IF(AND(SnapshotTable[[#This Row],[LC Exp Date]]&gt;0, SnapshotTable[[#This Row],[LC Strike Price]]&gt;0,SnapshotTable[[#This Row],[LC Qty]]&gt;0,SnapshotTable[[#This Row],[LC Book Date]]&gt;0,SnapshotTable[[#This Row],[LC Book Price]]&gt;0,SnapshotTable[[#This Row],[LC Fill Date]]=0),"Y","")</f>
        <v/>
      </c>
      <c r="DQ166" s="386" t="str">
        <f>IF(SnapshotTable[[#This Row],[LC Premium]] &gt; 0,SnapshotTable[[#This Row],[LC Exp Date]]-MAX(SnapshotTable[[#This Row],[LC Book Date]], SnapshotTable[[#This Row],[LC Fill Date]]),"")</f>
        <v/>
      </c>
      <c r="DR166" s="386" t="str">
        <f>IF(ISNUMBER(SnapshotTable[[#This Row],[LC Term]]), SnapshotTable[[#This Row],[LC Exp Date]] - MockToday, "")</f>
        <v/>
      </c>
      <c r="DS166" s="23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40" t="str">
        <f>IF(ISNUMBER(SnapshotTable[[#This Row],[LC Actual Gain Loss]]), SnapshotTable[[#This Row],[LC Actual Gain Loss]] / SnapshotTable[[#This Row],[LC Premium]],"")</f>
        <v/>
      </c>
      <c r="DX166" s="284" t="str">
        <f>IF(ISNUMBER(SnapshotTable[[#This Row],[LC Book Price]]),SnapshotTable[[#This Row],[LC Book Price]] * 1.5,"")</f>
        <v/>
      </c>
      <c r="DY166" s="265" t="str">
        <f>IF(SnapshotTable[[#This Row],[LC Premium]]&gt;0, SnapshotTable[[#This Row],[LC Next Target]] * SnapshotTable[[#This Row],[LC Qty]] * 100,"")</f>
        <v/>
      </c>
      <c r="DZ166" s="265" t="str">
        <f>IF(ISNUMBER(SnapshotTable[[#This Row],[LC Target Gross]]), SnapshotTable[[#This Row],[LC Target Gross]] - SnapshotTable[[#This Row],[LC Premium]], "")</f>
        <v/>
      </c>
      <c r="EA166" s="305" t="str">
        <f>IF(ISNUMBER(SnapshotTable[[#This Row],[LC Target Gain Loss]]), SnapshotTable[[#This Row],[LC Target Gain Loss]]/SnapshotTable[[#This Row],[LC Premium]], "")</f>
        <v/>
      </c>
      <c r="EB166" s="262"/>
      <c r="EC166" s="283" t="str">
        <f>IF(SnapshotTable[[#This Row],[LC Premium]]&gt;0, SnapshotTable[[#This Row],[LC Book Price]] * (1 - LC_StopLoss_Pct),"")</f>
        <v/>
      </c>
      <c r="ED166" s="284"/>
      <c r="EE166" s="28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4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0</v>
      </c>
      <c r="EK166" s="147"/>
      <c r="EL166" s="138"/>
      <c r="EM166" s="148"/>
      <c r="EN166" s="147"/>
      <c r="EO166" s="147"/>
      <c r="EP166" s="138"/>
      <c r="EQ166" s="419" t="b">
        <f>AND(ISNUMBER(SnapshotTable[[#This Row],[SC Exp Date]]), ISNUMBER(SnapshotTable[[#This Row],[SC Strike Price]]), ISNUMBER(SnapshotTable[[#This Row],[SC Qty]]), ISNUMBER(SnapshotTable[[#This Row],[SC Book Date]]), ISNUMBER(SnapshotTable[[#This Row],[SC Book Price]]))</f>
        <v>0</v>
      </c>
      <c r="ER166" s="419" t="b">
        <f>AND(SnapshotTable[[#This Row],[SC Is Booked]], NOT(ISBLANK(SnapshotTable[[#This Row],[SC Fill Date]])))</f>
        <v>0</v>
      </c>
      <c r="ES166" s="370"/>
      <c r="ET166" s="34" t="str">
        <f>IF(AND(ISNUMBER(SnapshotTable[[#This Row],[SC Exp Date]]), ISNUMBER(SnapshotTable[[#This Row],[SC Book Date]])), SnapshotTable[[#This Row],[SC Exp Date]] - MAX(SnapshotTable[[#This Row],[SC Book Date]], SnapshotTable[[#This Row],[SC Fill Date]]) + 1, "")</f>
        <v/>
      </c>
      <c r="EU166" s="34" t="str">
        <f>IF(ISNUMBER(SnapshotTable[[#This Row],[SC Term]]), SnapshotTable[[#This Row],[SC Exp Date]]- MockToday, "")</f>
        <v/>
      </c>
      <c r="EV166" s="31">
        <f>IF(SnapshotTable[[#This Row],[SC Is Booked]], SnapshotTable[[#This Row],[SC Qty]] * SnapshotTable[[#This Row],[SC Book Price]] * 100, 0)</f>
        <v>0</v>
      </c>
      <c r="EW166" s="4" t="str">
        <f>IF(AND(ISNUMBER(SnapshotTable[[#This Row],[Last Price]]), ISNUMBER( SnapshotTable[[#This Row],[SC Book Price]])), SnapshotTable[[#This Row],[Last Price]] - SnapshotTable[[#This Row],[SC Book Price]],"")</f>
        <v/>
      </c>
      <c r="EX166" s="234" t="str">
        <f>IF(SnapshotTable[[#This Row],[SC Is Booked]],IF(SnapshotTable[[#This Row],[SC Intrinsic Value]] &gt; 0, SnapshotTable[[#This Row],[SC Strike Price]], SnapshotTable[[#This Row],[Last Price]]), "")</f>
        <v/>
      </c>
      <c r="EY166" s="4">
        <f>IF(SnapshotTable[[#This Row],[SC Is Booked]], (MinimumPremiumRequired * SnapshotTable[[#This Row],[SC Basis]] * SnapshotTable[[#This Row],[SC Term]]), 0)</f>
        <v>0</v>
      </c>
      <c r="EZ166" s="283"/>
      <c r="FA166" s="218"/>
      <c r="FB166" s="370"/>
      <c r="FC166" s="4">
        <f>IF(SnapshotTable[[#This Row],[SC Is Filled]], btc_max_buyback_amount(SnapshotTable[[#This Row],[SC Fill Date]],SnapshotTable[[#This Row],[SC Exp Date]], SnapshotTable[[#This Row],[SC Book Price]]),0)</f>
        <v>0</v>
      </c>
      <c r="FD166" s="5"/>
      <c r="FE166" s="144" t="str">
        <f>IF(SnapshotTable[[#This Row],[SC Is Filled]], btc_next_cutoff_date(SnapshotTable[[#This Row],[SC Fill Date]],SnapshotTable[[#This Row],[SC Exp Date]]),"")</f>
        <v/>
      </c>
      <c r="FF166" s="4" t="str" cm="1">
        <f t="array" ref="FF166">IF(SnapshotTable[[#This Row],[SC Is Filled]], btc_should_buy_back(SnapshotTable[[#This Row],[SC Fill Date]], SnapshotTable[[#This Row],[SC Exp Date]], SnapshotTable[[#This Row],[SC Book Price]], SnapshotTable[[#This Row],[SC Current Ask]], MockToday, SnapshotTable[[#This Row],[SC Buyback Override]]),"")</f>
        <v/>
      </c>
      <c r="FG166" s="4">
        <f>IF(SnapshotTable[[#This Row],[SC Is Filled]], MAX(0,SnapshotTable[[#This Row],[Last Price]]  - SnapshotTable[[#This Row],[SC Strike Price]]), 0)</f>
        <v>0</v>
      </c>
      <c r="FH166" s="382">
        <f>IF(SnapshotTable[[#This Row],[SC Is Filled]], IF(ISNUMBER(SnapshotTable[[#This Row],[SC Current Ask]]), SnapshotTable[[#This Row],[SC Current Ask]], SnapshotTable[[#This Row],[SC Book Price]]) - SnapshotTable[[#This Row],[SC Intrinsic Value]], 0)</f>
        <v>0</v>
      </c>
      <c r="FI166" s="143"/>
      <c r="FJ166" s="32" t="str">
        <f>IF(SnapshotTable[[#This Row],[SC Is Filled]],100 * SnapshotTable[[#This Row],[SC Qty]] * IF(ISNUMBER(SnapshotTable[[#This Row],[SC Buyback Override]]), SnapshotTable[[#This Row],[SC Buyback Override]], SnapshotTable[[#This Row],[SC Current Ask]]), "")</f>
        <v/>
      </c>
      <c r="FK166" s="250" t="str">
        <f>IF(SnapshotTable[[#This Row],[SC Time Val]]&gt;0, SnapshotTable[[#This Row],[SC Time Val]] / SnapshotTable[[#This Row],[Last Price]],"")</f>
        <v/>
      </c>
      <c r="FL166" s="302" t="str">
        <f>IF(SnapshotTable[[#This Row],[SC Is Booked]], ((SnapshotTable[[#This Row],[Last Price]] -SnapshotTable[[#This Row],[SC Strike Price]]) / SnapshotTable[[#This Row],[Last Price]]) * -1, "")</f>
        <v/>
      </c>
      <c r="FM166" s="157" t="str">
        <f>IF(SnapshotTable[[#This Row],[SC Is Booked]],  (SnapshotTable[[#This Row],[SC Qty]] * 100 * SnapshotTable[[#This Row],[SC Strike Price]]) - SnapshotTable[[#This Row],[SC Current Ask]], "")</f>
        <v/>
      </c>
      <c r="FN16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157" t="str">
        <f>IF(AND(ISNUMBER(SnapshotTable[[#This Row],[SC Exercise Gross]]), ISNUMBER(SnapshotTable[[#This Row],[Equity Basis Per Share]] )), SnapshotTable[[#This Row],[SC Exercise Gross]] - SnapshotTable[[#This Row],[Equity Basis Total]] +  SnapshotTable[[#This Row],[SC Premium]], "")</f>
        <v/>
      </c>
      <c r="FP166" s="5" t="str">
        <f>IF(ISNUMBER(SnapshotTable[[#This Row],[SC Exercise Gross]]), (SnapshotTable[[#This Row],[SC Exercise Gross]]) / (SnapshotTable[[#This Row],[SC Qty]] * 100), "")</f>
        <v/>
      </c>
      <c r="FQ166" s="27" t="str">
        <f>IF(SnapshotTable[[#This Row],[SC Is Booked]],SnapshotTable[[#This Row],[SC Time Val]] /SnapshotTable[[#This Row],[SC Basis]], "")</f>
        <v/>
      </c>
      <c r="FR166" s="27" t="str" cm="1">
        <f t="array" ref="FR166">IF(AND(ISNUMBER(SnapshotTable[[#This Row],[SC Term]]),ISNUMBER(SnapshotTable[[#This Row],[SC Simple ROO]])), EllmanAnnualize(SnapshotTable[[#This Row],[SC DTE]], SnapshotTable[[#This Row],[SC Simple ROO]] ),"")</f>
        <v/>
      </c>
      <c r="FS166" s="4">
        <f>IF(SnapshotTable[[#This Row],[SC Strike Price]] &gt; SnapshotTable[[#This Row],[Last Price]], SnapshotTable[[#This Row],[SC Strike Price]] - SnapshotTable[[#This Row],[Last Price]],0)</f>
        <v>0</v>
      </c>
      <c r="FT166" s="27" t="str">
        <f>IF(AND(ISNUMBER(SnapshotTable[[#This Row],[SC Upside Potential]]), SnapshotTable[[#This Row],[SC Upside Potential]] &gt; 0),(SnapshotTable[[#This Row],[SC Upside Potential]]/ SnapshotTable[[#This Row],[ACB]]),"")</f>
        <v/>
      </c>
      <c r="FU166" s="333"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36" t="str">
        <f>IF(AND(ISNUMBER(SnapshotTable[[#This Row],[SC Simple ROO]]),SnapshotTable[[#This Row],[SC Simple ROO]] &gt; 0), SnapshotTable[[#This Row],[SC Premium]] + (SnapshotTable[[#This Row],[SC Qty]] * SnapshotTable[[#This Row],[SC Upside Potential]]), "")</f>
        <v/>
      </c>
      <c r="FX166" s="302" t="str" cm="1">
        <f t="array" ref="FX166">IF(ISNUMBER(SnapshotTable[[#This Row],[SC Max Dollars]]), annualize(SnapshotTable[[#This Row],[SC Term]],(SnapshotTable[[#This Row],[SC Max Dollars]]/SnapshotTable[[#This Row],[SC Basis]])),"")</f>
        <v/>
      </c>
      <c r="FY166" s="236" t="str">
        <f>IF(AND(SnapshotTable[[#This Row],[SC Qty]]&gt;0,SnapshotTable[[#This Row],[SC Current Ask]]&gt;0), SnapshotTable[[#This Row],[SC Qty]] * SnapshotTable[[#This Row],[SC Current Ask]] * -100, "")</f>
        <v/>
      </c>
      <c r="FZ166" s="31" t="str">
        <f>IF(ISNUMBER((SnapshotTable[[#This Row],[SC Current Value]])), SnapshotTable[[#This Row],[SC Premium]] + SnapshotTable[[#This Row],[SC Current Value]], "")</f>
        <v/>
      </c>
      <c r="GA166" s="294" t="str">
        <f>IFERROR( IF(ISNUMBER((SnapshotTable[[#This Row],[SC Current Value]])), SnapshotTable[[#This Row],[SC Gain Loss]] / SnapshotTable[[#This Row],[SC Premium]], ""), "")</f>
        <v/>
      </c>
      <c r="GB166" s="42">
        <f>SnapshotTable[[#This Row],[Equity Shares]] * SaleSharesToConsiderPercentage</f>
        <v>0</v>
      </c>
      <c r="GC166" s="40">
        <f>SnapshotTable[[#This Row],[Long Term Target]] * SellingPriceToConsiderBasedOnTargetPercentage</f>
        <v>71.905499999999989</v>
      </c>
      <c r="GD166" s="40">
        <f>SnapshotTable[[#This Row],[Last Price]] * (1+ SellingPriceToConsiderBasedOnTargetPercentage)</f>
        <v>178.67849999999999</v>
      </c>
      <c r="GE166" s="41"/>
      <c r="GF166" s="40"/>
      <c r="GG166" s="31">
        <f>SnapshotTable[[#This Row],[Booked Sale Shares]] * SnapshotTable[[#This Row],[Booked Sale Price]]</f>
        <v>0</v>
      </c>
      <c r="GH166" s="31" t="str">
        <f>IF(SnapshotTable[[#This Row],[Equity Basis Total]] &gt; 0, SnapshotTable[[#This Row],[Equity Basis Per Share]] * SnapshotTable[[#This Row],[Booked Sale Shares]], "")</f>
        <v/>
      </c>
      <c r="GI166" s="31">
        <f>IF(SnapshotTable[[#This Row],[Sale Proceeds]]&gt;0, SnapshotTable[[#This Row],[Sale Proceeds]] - SnapshotTable[[#This Row],[Sale Basis]], 0)</f>
        <v>0</v>
      </c>
      <c r="GJ166" s="158" t="str">
        <f>IF(SnapshotTable[[#This Row],[Sale G/L]]&gt;0, SnapshotTable[[#This Row],[Sale G/L]] / SnapshotTable[[#This Row],[Sale Basis]], IF(ISNUMBER(SnapshotTable[[#This Row],[SC Exercise P&amp;L (TAX)]]), SnapshotTable[[#This Row],[SC Exercise P&amp;L (TAX)]] / SnapshotTable[[#This Row],[SC Basis]], ""))</f>
        <v/>
      </c>
      <c r="GK166" s="27"/>
      <c r="GL166" s="159"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159" t="str">
        <f>IF(AND(SnapshotTable[[#This Row],[LC Exp Date]]&gt;0,SnapshotTable[[#This Row],[LC Strike Price]]&gt;0), [1]!ToOptionSymbol(SnapshotTable[[#This Row],[Symbol]], SnapshotTable[[#This Row],[LC Strike Price]],SnapshotTable[[#This Row],[LC Exp Date]],0), "")</f>
        <v/>
      </c>
      <c r="GQ166" s="160" t="str">
        <f>IF(LEN(SnapshotTable[[#This Row],[LC Symbol]])&gt;0, 1, "")</f>
        <v/>
      </c>
      <c r="GR166" s="159" t="str">
        <f>IF(AND(SnapshotTable[[#This Row],[SC Exp Date]]&gt;0,SnapshotTable[[#This Row],[SC Strike Price]]&gt;0), [1]!ToOptionSymbol(SnapshotTable[[#This Row],[Symbol]], SnapshotTable[[#This Row],[SC Strike Price]],SnapshotTable[[#This Row],[SC Exp Date]],0), "")</f>
        <v/>
      </c>
      <c r="GS166" s="160" t="str">
        <f>IF(LEN(SnapshotTable[[#This Row],[SC Symbol]])&gt;0, 1, "")</f>
        <v/>
      </c>
      <c r="GT166" s="161" t="str">
        <f>IF(COUNT(SnapshotTable[[#This Row],[LP Symbol Count]],SnapshotTable[[#This Row],[SP Symbol Count]],SnapshotTable[[#This Row],[LC Symbol Count]],SnapshotTable[[#This Row],[SC Symbol Count]])&gt;0, "Y", "")</f>
        <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6" s="231">
        <f>MAX(SnapshotTable[[#This Row],[Equity Basis Total]],SnapshotTable[[#This Row],[Equity Value]]) + (SnapshotTable[[#This Row],[SP Potential Spend]]- SnapshotTable[[#This Row],[SP Premium]] + SnapshotTable[[#This Row],[LP Premium]])+ (SnapshotTable[[#This Row],[LC Premium]] - SnapshotTable[[#This Row],[SC Premium]])</f>
        <v>0</v>
      </c>
      <c r="GW166" s="139" t="str">
        <f>IF(AND(SnapshotTable[[#This Row],[Exposure]] &lt;&gt; 0),SnapshotTable[[#This Row],[Exposure]] / SnapshotTable[[#Totals],[Exposure]], "")</f>
        <v/>
      </c>
      <c r="HE166" s="268"/>
      <c r="HF166" s="268"/>
      <c r="HK166" s="1"/>
      <c r="HL166" s="1"/>
      <c r="HM166" s="1"/>
      <c r="HN166" s="1"/>
      <c r="HO166" s="1"/>
      <c r="HP166" s="1"/>
    </row>
    <row r="167" spans="2:224" ht="12.75" hidden="1" customHeight="1" x14ac:dyDescent="0.25">
      <c r="B167" s="12" t="s">
        <v>1267</v>
      </c>
      <c r="C167" s="422">
        <v>8.09</v>
      </c>
      <c r="D167" s="208"/>
      <c r="E167" s="39">
        <f>SnapshotTable[[#This Row],[Last Price]]*(1 -CrashDiscount)</f>
        <v>6.8765000000000001</v>
      </c>
      <c r="F167" s="325" t="s">
        <v>1217</v>
      </c>
      <c r="G167" s="325" t="s">
        <v>872</v>
      </c>
      <c r="H167" s="149"/>
      <c r="I167" s="194"/>
      <c r="J167" s="195"/>
      <c r="K167" s="196"/>
      <c r="L167" s="326"/>
      <c r="M167" s="140"/>
      <c r="N167" s="140"/>
      <c r="O167" s="140"/>
      <c r="P167" s="22">
        <v>800</v>
      </c>
      <c r="Q167" s="25">
        <v>13600</v>
      </c>
      <c r="R167" s="4">
        <f>IF(SnapshotTable[[#This Row],[Equity Basis Total]] &gt; 0, SnapshotTable[[#This Row],[Equity Basis Total]] / SnapshotTable[[#This Row],[Equity Shares]], "")</f>
        <v>17</v>
      </c>
      <c r="S167" s="269">
        <f>SnapshotTable[[#This Row],[Last Price]] * SnapshotTable[[#This Row],[Equity Shares]]</f>
        <v>6472</v>
      </c>
      <c r="T167" s="269">
        <f>SnapshotTable[[#This Row],[Equity Value]] - SnapshotTable[[#This Row],[Equity Basis Total]]</f>
        <v>-7128</v>
      </c>
      <c r="U167" s="270">
        <f>IF(SnapshotTable[[#This Row],[Equity Basis Total]] &gt; 0, SnapshotTable[[#This Row],[Equity G/L]] / SnapshotTable[[#This Row],[Equity Basis Total]], "")</f>
        <v>-0.52411764705882358</v>
      </c>
      <c r="V167" s="268">
        <v>25</v>
      </c>
      <c r="W167" s="268">
        <v>17.66</v>
      </c>
      <c r="X167" s="4">
        <f>IF(AND(ISNUMBER(SnapshotTable[[#This Row],[Equity Basis Per Share]]),ISNUMBER(SnapshotTable[[#This Row],[Equity Target]])),SnapshotTable[[#This Row],[Equity Target]]-SnapshotTable[[#This Row],[Equity Basis Per Share]],"")</f>
        <v>8</v>
      </c>
      <c r="Y167" s="4">
        <f>IF(AND(ISNUMBER(SnapshotTable[[#This Row],[Equity Basis Per Share]]),ISNUMBER(SnapshotTable[[#This Row],[Equity Stop Loss]])),SnapshotTable[[#This Row],[Equity Stop Loss]]-SnapshotTable[[#This Row],[Equity Basis Per Share]],"")</f>
        <v>0.66000000000000014</v>
      </c>
      <c r="Z167" s="275" t="str">
        <f>IFERROR( TEXT(SnapshotTable[[#This Row],[Equity Max Gain Per Share]] /ABS( SnapshotTable[[#This Row],[Equity Max Loss Per Share]]),"0.0 " ) &amp; " : 1", "")</f>
        <v>12.1  : 1</v>
      </c>
      <c r="AA167" s="31">
        <f>IF(ISNUMBER(SnapshotTable[[#This Row],[Equity Max Gain Per Share]]),SnapshotTable[[#This Row],[Equity Max Gain Per Share]] * SnapshotTable[[#This Row],[Equity Shares]],"")</f>
        <v>6400</v>
      </c>
      <c r="AB167" s="31">
        <f>IF(ISNUMBER(SnapshotTable[[#This Row],[Equity Max Loss Per Share]]),SnapshotTable[[#This Row],[Equity Max Loss Per Share]] * SnapshotTable[[#This Row],[Equity Shares]],"")</f>
        <v>528.00000000000011</v>
      </c>
      <c r="AC167" s="150"/>
      <c r="AD167" s="151"/>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1"/>
      <c r="AI167" s="5"/>
      <c r="AJ167" s="138"/>
      <c r="AK167" s="152" t="str">
        <f>IF(ISNUMBER( SnapshotTable[[#This Row],[EBF Target]]),(SnapshotTable[[#This Row],[EBF Target]] - SnapshotTable[[#This Row],[Last Price]]) / SnapshotTable[[#This Row],[Last Price]], "")</f>
        <v/>
      </c>
      <c r="AL167" s="152"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2" t="str">
        <f>IF(AND(ISNUMBER( SnapshotTable[[#This Row],[Long Term Target]]), ISNUMBER(SnapshotTable[[#This Row],[Last Price]])),(SnapshotTable[[#This Row],[Long Term Target]] - SnapshotTable[[#This Row],[Last Price]]) / SnapshotTable[[#This Row],[Last Price]], "")</f>
        <v/>
      </c>
      <c r="AP167" s="5"/>
      <c r="AQ167" s="38"/>
      <c r="AR167" s="5"/>
      <c r="AS167" s="38"/>
      <c r="AT167" s="146"/>
      <c r="AU167" s="187" t="str">
        <f>IF(OR(SnapshotTable[[#This Row],[LP No Fill]]="Y",SnapshotTable[[#This Row],[SP Is Filled]],SnapshotTable[[#This Row],[LC Not Filled]]="Y",SnapshotTable[[#This Row],[SC Is Filled]]),"Y","")</f>
        <v>Y</v>
      </c>
      <c r="AV167" s="219"/>
      <c r="AW167" s="225"/>
      <c r="AX167" s="220"/>
      <c r="AY167" s="219" t="str">
        <f>IF(SnapshotTable[[#This Row],[Implied Move]]&gt;0, SnapshotTable[[#This Row],[Last Price]]-SnapshotTable[[#This Row],[Implied Move]],"")</f>
        <v/>
      </c>
      <c r="AZ167" s="219" t="str">
        <f>IF(SnapshotTable[[#This Row],[Implied Move]]&gt;0, SnapshotTable[[#This Row],[Last Price]] + SnapshotTable[[#This Row],[Implied Move]],"")</f>
        <v/>
      </c>
      <c r="BA167" s="331">
        <v>13.36</v>
      </c>
      <c r="BB167" s="347"/>
      <c r="BC16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7" s="351"/>
      <c r="BE167" s="5"/>
      <c r="BF167" s="14"/>
      <c r="BG167" s="13"/>
      <c r="BH167" s="13"/>
      <c r="BI167" s="5"/>
      <c r="BJ167" s="136">
        <f>IF(SnapshotTable[[#This Row],[LP Qty]] &gt; 0, SnapshotTable[[#This Row],[LP Qty]] * SnapshotTable[[#This Row],[LP Book Price]] * 100,0)</f>
        <v>0</v>
      </c>
      <c r="BK167" s="136">
        <f>IF(SnapshotTable[[#This Row],[LP Premium]] &gt; 0, SnapshotTable[[#This Row],[LP Qty]] * SnapshotTable[[#This Row],[LP Strike Price]] * 100,0)</f>
        <v>0</v>
      </c>
      <c r="BL167" s="154"/>
      <c r="BM167" s="385" t="str">
        <f>IF(SnapshotTable[[#This Row],[LP Premium]] &gt; 0,SnapshotTable[[#This Row],[LP Exp Date]]-MAX(SnapshotTable[[#This Row],[LP Book Date]], SnapshotTable[[#This Row],[LP Fill Date]]),"")</f>
        <v/>
      </c>
      <c r="BN167" s="385" t="str">
        <f>IF(ISNUMBER( SnapshotTable[[#This Row],[LP Term]]), SnapshotTable[[#This Row],[LP Exp Date]] - MockToday,"")</f>
        <v/>
      </c>
      <c r="BO167" s="163"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v>46213</v>
      </c>
      <c r="BR167" s="5">
        <v>10.5</v>
      </c>
      <c r="BS167" s="36">
        <v>8</v>
      </c>
      <c r="BT167" s="147">
        <v>46199</v>
      </c>
      <c r="BU167" s="13">
        <v>46199</v>
      </c>
      <c r="BV167" s="5">
        <v>0.5</v>
      </c>
      <c r="BW167" s="419" t="b">
        <f>AND(ISNUMBER(SnapshotTable[[#This Row],[SP Exp Date]]), ISNUMBER(SnapshotTable[[#This Row],[SP Strike Price]]), ISNUMBER(SnapshotTable[[#This Row],[SP Qty]]), ISNUMBER(SnapshotTable[[#This Row],[SP Book Date]]), ISNUMBER(SnapshotTable[[#This Row],[SP Book Price]]))</f>
        <v>1</v>
      </c>
      <c r="BX167" s="419" t="b">
        <f>AND(SnapshotTable[[#This Row],[SP Is Booked]], NOT(ISBLANK(SnapshotTable[[#This Row],[SP Fill Date]])))</f>
        <v>1</v>
      </c>
      <c r="BY167" s="33">
        <f>IF(SnapshotTable[[#This Row],[SP Is Booked]], SnapshotTable[[#This Row],[SP Qty]] * SnapshotTable[[#This Row],[SP Book Price]] * 100, 0)</f>
        <v>400</v>
      </c>
      <c r="BZ167" s="369">
        <v>0.55000000000000004</v>
      </c>
      <c r="CA167" s="368">
        <f>SnapshotTable[[#This Row],[LP Qty]]</f>
        <v>0</v>
      </c>
      <c r="CB167" s="4">
        <f>IF(SnapshotTable[[#This Row],[SP Is Booked]], SnapshotTable[[#This Row],[SP Strike Price]] - SnapshotTable[[#This Row],[SP Book Price]], "")</f>
        <v>10</v>
      </c>
      <c r="CC167" s="19">
        <f>IF(SnapshotTable[[#This Row],[SP Is Booked]],SnapshotTable[[#This Row],[SP Exp Date]]-MAX(SnapshotTable[[#This Row],[SP Book Date]], SnapshotTable[[#This Row],[SP Fill Date]]),"")</f>
        <v>14</v>
      </c>
      <c r="CD167" s="7">
        <f>IF(SnapshotTable[[#This Row],[SP Is Booked]], SnapshotTable[[#This Row],[SP Book Price]]/SnapshotTable[[#This Row],[SP Strike Price]], "")</f>
        <v>4.7619047619047616E-2</v>
      </c>
      <c r="CE167" s="7">
        <f>IF(ISNUMBER(SnapshotTable[[#This Row],[SP ROO Term]]),SnapshotTable[[#This Row],[SP ROO Term]]*(365/SnapshotTable[[#This Row],[SP Term]]),"")</f>
        <v>1.2414965986394557</v>
      </c>
      <c r="CF167" s="236">
        <f>SnapshotTable[[#This Row],[LP Strike Price]] * SnapshotTable[[#This Row],[LP Qty]] * 100</f>
        <v>0</v>
      </c>
      <c r="CG167" s="31">
        <f>IF(ISNUMBER(SnapshotTable[[#This Row],[SP Premium]]), (SnapshotTable[[#This Row],[SP Qty]] * SnapshotTable[[#This Row],[SP Strike Price]]* 100) - SnapshotTable[[#This Row],[LP Protection]], 0)</f>
        <v>8400</v>
      </c>
      <c r="CH167" s="7">
        <f>IF(ISNUMBER(SnapshotTable[[#This Row],[SP Break Even]]),-1 * (SnapshotTable[[#This Row],[SP Break Even]] - SnapshotTable[[#This Row],[Last Price]]) / SnapshotTable[[#This Row],[Last Price]], "")</f>
        <v>-0.23609394313967863</v>
      </c>
      <c r="CI167" s="31">
        <f>IF(AND(ISNUMBER((SnapshotTable[[#This Row],[SP Potential Spend]])), SnapshotTable[[#This Row],[SP Strike Price]] &gt; SnapshotTable[[#This Row],[Last Price]], SnapshotTable[[#This Row],[SP Is Filled]]), SnapshotTable[[#This Row],[SP Potential Spend]] -  SnapshotTable[[#This Row],[LP Max Value]], 0)</f>
        <v>8400</v>
      </c>
      <c r="CJ167" s="244"/>
      <c r="CK167" s="31">
        <f>IF(ISNUMBER(SnapshotTable[[#This Row],[SP Potential Spend]]),IF(ISNUMBER(SnapshotTable[[#This Row],[SP POW]]), SnapshotTable[[#This Row],[SP POW]] * SnapshotTable[[#This Row],[SP Potential Spend]], SnapshotTable[[#This Row],[SP Potential Spend]]), "")</f>
        <v>8400</v>
      </c>
      <c r="CL167" s="164" t="str">
        <f>IF(NOT(SnapshotTable[[#This Row],[SP Is Filled]]),(SnapshotTable[[#This Row],[SP Qty]] * SnapshotTable[[#This Row],[SP Strike Price]] * 100) - SnapshotTable[[#This Row],[LP Max Value]],"")</f>
        <v/>
      </c>
      <c r="CM167" s="31">
        <f>IF(SnapshotTable[[#This Row],[SP Actual Spend]]&lt;&gt;0, ((SnapshotTable[[#This Row],[SP Strike Price]]-SnapshotTable[[#This Row],[Last Price]]) *(SnapshotTable[[#This Row],[SP Qty]]*100) - SnapshotTable[[#This Row],[SP Premium]]) * - 1, "")</f>
        <v>-1528</v>
      </c>
      <c r="CN167" s="78">
        <v>1.03</v>
      </c>
      <c r="CO167" s="369">
        <v>0.55000000000000004</v>
      </c>
      <c r="CP167" s="4" t="e">
        <f ca="1">IF(SnapshotTable[[#This Row],[SP Is Filled]], btc_max_buyback_amount(SnapshotTable[[#This Row],[SP Fill Date]],SnapshotTable[[#This Row],[SP Exp Date]], SnapshotTable[[#This Row],[SP Book Price]]),"")</f>
        <v>#NAME?</v>
      </c>
      <c r="CQ167" s="78"/>
      <c r="CR16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7" s="155" t="e">
        <f ca="1">IF(SnapshotTable[[#This Row],[SP Is Filled]], btc_next_cutoff_date(SnapshotTable[[#This Row],[SP Fill Date]],SnapshotTable[[#This Row],[SP Exp Date]]),"")</f>
        <v>#NAME?</v>
      </c>
      <c r="CT167" s="235" t="e" cm="1">
        <f t="array" aca="1" ref="CT167" ca="1">IF(SnapshotTable[[#This Row],[SP Is Filled]], btc_should_buy_back(SnapshotTable[[#This Row],[SP Fill Date]], SnapshotTable[[#This Row],[SP Exp Date]], SnapshotTable[[#This Row],[SP Book Price]], SnapshotTable[[#This Row],[SP Current Ask]], MockToday, SnapshotTable[[#This Row],[SP Buyback Override]]),"")</f>
        <v>#NAME?</v>
      </c>
      <c r="CU167" s="143">
        <v>46213</v>
      </c>
      <c r="CV167" s="235"/>
      <c r="CW167" s="378">
        <f ca="1">IF(ISNUMBER( SnapshotTable[[#This Row],[SP Term]]), SnapshotTable[[#This Row],[SP Exp Date]] - MockToday,"")</f>
        <v>-20</v>
      </c>
      <c r="CX167" s="31" t="e">
        <f ca="1">IF(SnapshotTable[[#This Row],[SP Is Filled]],SnapshotTable[[#This Row],[SP Buyback Price to Use]] * 100 * SnapshotTable[[#This Row],[SP Qty]], "")</f>
        <v>#NAME?</v>
      </c>
      <c r="CY167" s="4">
        <f>IF(ISNUMBER(SnapshotTable[[#This Row],[SP Strike Price]]), SnapshotTable[[#This Row],[SP Strike Price]] * (1 - SP_MaxLoss_StrikePct), "")</f>
        <v>10.185</v>
      </c>
      <c r="CZ167" s="31">
        <f>IF(ISNUMBER(SnapshotTable[[#This Row],[SP Strike  Stop Per Share]]),SnapshotTable[[#This Row],[SP Premium]] - ((SnapshotTable[[#This Row],[SP Strike Price]]-SnapshotTable[[#This Row],[SP Strike  Stop Per Share]]) *(SnapshotTable[[#This Row],[SP Qty]] * 100)),"")</f>
        <v>148.0000000000004</v>
      </c>
      <c r="DA167" s="4">
        <f>IF(AND(ISNUMBER(SnapshotTable[[#This Row],[SP Premium]]),SnapshotTable[[#This Row],[SP Premium]]&gt;0), SnapshotTable[[#This Row],[SP Book Price]] * (1 + SP_MaxLoss_OptionPct), "")</f>
        <v>0.75</v>
      </c>
      <c r="DB167" s="31">
        <f>IF(ISNUMBER(SnapshotTable[[#This Row],[SP Option  Stop Contract]]),(SnapshotTable[[#This Row],[SP Option  Stop Contract]] *(SnapshotTable[[#This Row],[SP Qty]] * 100) - SnapshotTable[[#This Row],[SP Premium]]),"")</f>
        <v>200</v>
      </c>
      <c r="DC167" s="4"/>
      <c r="DD167" s="4"/>
      <c r="DE167" s="4" t="str">
        <f>IF(AND(SnapshotTable[[#This Row],[SP Qty]]&gt;0, SnapshotTable[[#This Row],[SP Stop To Use]]&gt;0),SnapshotTable[[#This Row],[SP Premium]] - ( SnapshotTable[[#This Row],[SP Qty]] * SnapshotTable[[#This Row],[SP Stop To Use]] * 100), "")</f>
        <v/>
      </c>
      <c r="DF167" s="31">
        <f>IF(AND(SnapshotTable[[#This Row],[SP Qty]]&gt;0,SnapshotTable[[#This Row],[SP Current Ask]]&gt;0), SnapshotTable[[#This Row],[SP Qty]] * SnapshotTable[[#This Row],[SP Current Ask]] * -100, "")</f>
        <v>-824</v>
      </c>
      <c r="DG167" s="31">
        <f>IF(ISNUMBER((SnapshotTable[[#This Row],[SP Total Value]])), SnapshotTable[[#This Row],[SP Premium]] + SnapshotTable[[#This Row],[SP Total Value]], "")</f>
        <v>-424</v>
      </c>
      <c r="DH167" s="294">
        <f>IF(ISNUMBER((SnapshotTable[[#This Row],[SP Total Value]])), SnapshotTable[[#This Row],[SP Gain Loss]] / SnapshotTable[[#This Row],[SP Premium]], "")</f>
        <v>-1.06</v>
      </c>
      <c r="DI167" s="406"/>
      <c r="DJ167" s="138"/>
      <c r="DK167" s="148"/>
      <c r="DL167" s="13"/>
      <c r="DM167" s="13"/>
      <c r="DO167" s="31">
        <f>IF(SnapshotTable[[#This Row],[LC Symbol Count]]=1, SnapshotTable[[#This Row],[LC Qty]] * SnapshotTable[[#This Row],[LC Book Price]] * 100, 0)</f>
        <v>0</v>
      </c>
      <c r="DP167" s="163" t="str">
        <f>IF(AND(SnapshotTable[[#This Row],[LC Exp Date]]&gt;0, SnapshotTable[[#This Row],[LC Strike Price]]&gt;0,SnapshotTable[[#This Row],[LC Qty]]&gt;0,SnapshotTable[[#This Row],[LC Book Date]]&gt;0,SnapshotTable[[#This Row],[LC Book Price]]&gt;0,SnapshotTable[[#This Row],[LC Fill Date]]=0),"Y","")</f>
        <v/>
      </c>
      <c r="DQ167" s="386" t="str">
        <f>IF(SnapshotTable[[#This Row],[LC Premium]] &gt; 0,SnapshotTable[[#This Row],[LC Exp Date]]-MAX(SnapshotTable[[#This Row],[LC Book Date]], SnapshotTable[[#This Row],[LC Fill Date]]),"")</f>
        <v/>
      </c>
      <c r="DR167" s="386" t="str">
        <f>IF(ISNUMBER(SnapshotTable[[#This Row],[LC Term]]), SnapshotTable[[#This Row],[LC Exp Date]] - MockToday, "")</f>
        <v/>
      </c>
      <c r="DS167" s="23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40" t="str">
        <f>IF(ISNUMBER(SnapshotTable[[#This Row],[LC Actual Gain Loss]]), SnapshotTable[[#This Row],[LC Actual Gain Loss]] / SnapshotTable[[#This Row],[LC Premium]],"")</f>
        <v/>
      </c>
      <c r="DX167" s="284" t="str">
        <f>IF(ISNUMBER(SnapshotTable[[#This Row],[LC Book Price]]),SnapshotTable[[#This Row],[LC Book Price]] * 1.5,"")</f>
        <v/>
      </c>
      <c r="DY167" s="265" t="str">
        <f>IF(SnapshotTable[[#This Row],[LC Premium]]&gt;0, SnapshotTable[[#This Row],[LC Next Target]] * SnapshotTable[[#This Row],[LC Qty]] * 100,"")</f>
        <v/>
      </c>
      <c r="DZ167" s="265" t="str">
        <f>IF(ISNUMBER(SnapshotTable[[#This Row],[LC Target Gross]]), SnapshotTable[[#This Row],[LC Target Gross]] - SnapshotTable[[#This Row],[LC Premium]], "")</f>
        <v/>
      </c>
      <c r="EA167" s="305" t="str">
        <f>IF(ISNUMBER(SnapshotTable[[#This Row],[LC Target Gain Loss]]), SnapshotTable[[#This Row],[LC Target Gain Loss]]/SnapshotTable[[#This Row],[LC Premium]], "")</f>
        <v/>
      </c>
      <c r="EB167" s="262"/>
      <c r="EC167" s="283" t="str">
        <f>IF(SnapshotTable[[#This Row],[LC Premium]]&gt;0, SnapshotTable[[#This Row],[LC Book Price]] * (1 - LC_StopLoss_Pct),"")</f>
        <v/>
      </c>
      <c r="ED167" s="284"/>
      <c r="EE167" s="28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4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8</v>
      </c>
      <c r="EK167" s="147"/>
      <c r="EL167" s="138"/>
      <c r="EM167" s="148"/>
      <c r="EN167" s="147"/>
      <c r="EO167" s="147"/>
      <c r="EP167" s="138"/>
      <c r="EQ167" s="419" t="b">
        <f>AND(ISNUMBER(SnapshotTable[[#This Row],[SC Exp Date]]), ISNUMBER(SnapshotTable[[#This Row],[SC Strike Price]]), ISNUMBER(SnapshotTable[[#This Row],[SC Qty]]), ISNUMBER(SnapshotTable[[#This Row],[SC Book Date]]), ISNUMBER(SnapshotTable[[#This Row],[SC Book Price]]))</f>
        <v>0</v>
      </c>
      <c r="ER167" s="419" t="b">
        <f>AND(SnapshotTable[[#This Row],[SC Is Booked]], NOT(ISBLANK(SnapshotTable[[#This Row],[SC Fill Date]])))</f>
        <v>0</v>
      </c>
      <c r="ES167" s="370"/>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3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283"/>
      <c r="FA167" s="218"/>
      <c r="FB167" s="370"/>
      <c r="FC167" s="4">
        <f>IF(SnapshotTable[[#This Row],[SC Is Filled]], btc_max_buyback_amount(SnapshotTable[[#This Row],[SC Fill Date]],SnapshotTable[[#This Row],[SC Exp Date]], SnapshotTable[[#This Row],[SC Book Price]]),0)</f>
        <v>0</v>
      </c>
      <c r="FD167" s="5"/>
      <c r="FE167" s="144"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382">
        <f>IF(SnapshotTable[[#This Row],[SC Is Filled]], IF(ISNUMBER(SnapshotTable[[#This Row],[SC Current Ask]]), SnapshotTable[[#This Row],[SC Current Ask]], SnapshotTable[[#This Row],[SC Book Price]]) - SnapshotTable[[#This Row],[SC Intrinsic Value]], 0)</f>
        <v>0</v>
      </c>
      <c r="FI167" s="143"/>
      <c r="FJ167" s="32" t="str">
        <f>IF(SnapshotTable[[#This Row],[SC Is Filled]],100 * SnapshotTable[[#This Row],[SC Qty]] * IF(ISNUMBER(SnapshotTable[[#This Row],[SC Buyback Override]]), SnapshotTable[[#This Row],[SC Buyback Override]], SnapshotTable[[#This Row],[SC Current Ask]]), "")</f>
        <v/>
      </c>
      <c r="FK167" s="250" t="str">
        <f>IF(SnapshotTable[[#This Row],[SC Time Val]]&gt;0, SnapshotTable[[#This Row],[SC Time Val]] / SnapshotTable[[#This Row],[Last Price]],"")</f>
        <v/>
      </c>
      <c r="FL167" s="302" t="str">
        <f>IF(SnapshotTable[[#This Row],[SC Is Booked]], ((SnapshotTable[[#This Row],[Last Price]] -SnapshotTable[[#This Row],[SC Strike Price]]) / SnapshotTable[[#This Row],[Last Price]]) * -1, "")</f>
        <v/>
      </c>
      <c r="FM167" s="157" t="str">
        <f>IF(SnapshotTable[[#This Row],[SC Is Booked]],  (SnapshotTable[[#This Row],[SC Qty]] * 100 * SnapshotTable[[#This Row],[SC Strike Price]]) - SnapshotTable[[#This Row],[SC Current Ask]], "")</f>
        <v/>
      </c>
      <c r="FN1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31"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33"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36" t="str">
        <f>IF(AND(ISNUMBER(SnapshotTable[[#This Row],[SC Simple ROO]]),SnapshotTable[[#This Row],[SC Simple ROO]] &gt; 0), SnapshotTable[[#This Row],[SC Premium]] + (SnapshotTable[[#This Row],[SC Qty]] * SnapshotTable[[#This Row],[SC Upside Potential]]), "")</f>
        <v/>
      </c>
      <c r="FX167" s="302" t="str" cm="1">
        <f t="array" ref="FX167">IF(ISNUMBER(SnapshotTable[[#This Row],[SC Max Dollars]]), annualize(SnapshotTable[[#This Row],[SC Term]],(SnapshotTable[[#This Row],[SC Max Dollars]]/SnapshotTable[[#This Row],[SC Basis]])),"")</f>
        <v/>
      </c>
      <c r="FY167" s="23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294" t="str">
        <f>IFERROR( IF(ISNUMBER((SnapshotTable[[#This Row],[SC Current Value]])), SnapshotTable[[#This Row],[SC Gain Loss]] / SnapshotTable[[#This Row],[SC Premium]], ""), "")</f>
        <v/>
      </c>
      <c r="GB167" s="42">
        <f>SnapshotTable[[#This Row],[Equity Shares]] * SaleSharesToConsiderPercentage</f>
        <v>160</v>
      </c>
      <c r="GC167" s="40">
        <f>SnapshotTable[[#This Row],[Long Term Target]] * SellingPriceToConsiderBasedOnTargetPercentage</f>
        <v>0</v>
      </c>
      <c r="GD167" s="40">
        <f>SnapshotTable[[#This Row],[Last Price]] * (1+ SellingPriceToConsiderBasedOnTargetPercentage)</f>
        <v>15.775499999999999</v>
      </c>
      <c r="GE167" s="41"/>
      <c r="GF167" s="40"/>
      <c r="GG167" s="31">
        <f>SnapshotTable[[#This Row],[Booked Sale Shares]] * SnapshotTable[[#This Row],[Booked Sale Price]]</f>
        <v>0</v>
      </c>
      <c r="GH167" s="31">
        <f>IF(SnapshotTable[[#This Row],[Equity Basis Total]] &gt; 0, SnapshotTable[[#This Row],[Equity Basis Per Share]] * SnapshotTable[[#This Row],[Booked Sale Shares]], "")</f>
        <v>0</v>
      </c>
      <c r="GI167" s="31">
        <f>IF(SnapshotTable[[#This Row],[Sale Proceeds]]&gt;0, SnapshotTable[[#This Row],[Sale Proceeds]] - SnapshotTable[[#This Row],[Sale Basis]], 0)</f>
        <v>0</v>
      </c>
      <c r="GJ167" s="27" t="str">
        <f>IF(SnapshotTable[[#This Row],[Sale G/L]]&gt;0, SnapshotTable[[#This Row],[Sale G/L]] / SnapshotTable[[#This Row],[Sale Basis]], IF(ISNUMBER(SnapshotTable[[#This Row],[SC Exercise P&amp;L (TAX)]]), SnapshotTable[[#This Row],[SC Exercise P&amp;L (TAX)]] / SnapshotTable[[#This Row],[SC Basis]], ""))</f>
        <v/>
      </c>
      <c r="GK167" s="27"/>
      <c r="GL167" s="43"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SMR260710P00010500</v>
      </c>
      <c r="GO167" s="30">
        <f>IF(LEN(SnapshotTable[[#This Row],[SP Symbol]])&gt;0, 1, "")</f>
        <v>1</v>
      </c>
      <c r="GP167" s="43" t="str">
        <f>IF(AND(SnapshotTable[[#This Row],[LC Exp Date]]&gt;0,SnapshotTable[[#This Row],[LC Strike Price]]&gt;0), [1]!ToOptionSymbol(SnapshotTable[[#This Row],[Symbol]], SnapshotTable[[#This Row],[LC Strike Price]],SnapshotTable[[#This Row],[LC Exp Date]],0), "")</f>
        <v/>
      </c>
      <c r="GQ167" s="30" t="str">
        <f>IF(LEN(SnapshotTable[[#This Row],[LC Symbol]])&gt;0, 1, "")</f>
        <v/>
      </c>
      <c r="GR167" s="43" t="str">
        <f>IF(AND(SnapshotTable[[#This Row],[SC Exp Date]]&gt;0,SnapshotTable[[#This Row],[SC Strike Price]]&gt;0), [1]!ToOptionSymbol(SnapshotTable[[#This Row],[Symbol]], SnapshotTable[[#This Row],[SC Strike Price]],SnapshotTable[[#This Row],[SC Exp Date]],0), "")</f>
        <v/>
      </c>
      <c r="GS167" s="30" t="str">
        <f>IF(LEN(SnapshotTable[[#This Row],[SC Symbol]])&gt;0, 1, "")</f>
        <v/>
      </c>
      <c r="GT167" s="29" t="str">
        <f>IF(COUNT(SnapshotTable[[#This Row],[LP Symbol Count]],SnapshotTable[[#This Row],[SP Symbol Count]],SnapshotTable[[#This Row],[LC Symbol Count]],SnapshotTable[[#This Row],[SC Symbol Count]])&gt;0, "Y", "")</f>
        <v>Y</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7" s="231">
        <f>MAX(SnapshotTable[[#This Row],[Equity Basis Total]],SnapshotTable[[#This Row],[Equity Value]]) + (SnapshotTable[[#This Row],[SP Potential Spend]]- SnapshotTable[[#This Row],[SP Premium]] + SnapshotTable[[#This Row],[LP Premium]])+ (SnapshotTable[[#This Row],[LC Premium]] - SnapshotTable[[#This Row],[SC Premium]])</f>
        <v>21600</v>
      </c>
      <c r="GW167" s="139">
        <f ca="1">IF(AND(SnapshotTable[[#This Row],[Exposure]] &lt;&gt; 0),SnapshotTable[[#This Row],[Exposure]] / SnapshotTable[[#Totals],[Exposure]], "")</f>
        <v>0.10167224483279058</v>
      </c>
      <c r="HE167" s="268"/>
      <c r="HF167" s="268"/>
      <c r="HK167" s="1"/>
      <c r="HL167" s="1"/>
      <c r="HM167" s="1"/>
      <c r="HN167" s="1"/>
      <c r="HO167" s="1"/>
      <c r="HP167" s="1"/>
    </row>
    <row r="168" spans="2:224" ht="12.75" hidden="1" customHeight="1" x14ac:dyDescent="0.25">
      <c r="B168" s="12" t="s">
        <v>222</v>
      </c>
      <c r="C168" s="422">
        <v>31.69</v>
      </c>
      <c r="D168" s="208"/>
      <c r="E168" s="39">
        <f>SnapshotTable[[#This Row],[Last Price]]*(1 -CrashDiscount)</f>
        <v>26.936499999999999</v>
      </c>
      <c r="F168" s="26" t="s">
        <v>221</v>
      </c>
      <c r="G168" s="26" t="s">
        <v>14</v>
      </c>
      <c r="H168" s="149"/>
      <c r="I168" s="194">
        <v>44763.322916666664</v>
      </c>
      <c r="J168" s="195">
        <v>44763.322916666664</v>
      </c>
      <c r="K168" s="196"/>
      <c r="L168" s="326"/>
      <c r="M168" s="140"/>
      <c r="N168" s="140"/>
      <c r="O168" s="140"/>
      <c r="P168" s="22"/>
      <c r="Q168" s="25"/>
      <c r="R168" s="4" t="str">
        <f>IF(SnapshotTable[[#This Row],[Equity Basis Total]] &gt; 0, SnapshotTable[[#This Row],[Equity Basis Total]] / SnapshotTable[[#This Row],[Equity Shares]], "")</f>
        <v/>
      </c>
      <c r="S168" s="269">
        <f>SnapshotTable[[#This Row],[Last Price]] * SnapshotTable[[#This Row],[Equity Shares]]</f>
        <v>0</v>
      </c>
      <c r="T168" s="269">
        <f>SnapshotTable[[#This Row],[Equity Value]] - SnapshotTable[[#This Row],[Equity Basis Total]]</f>
        <v>0</v>
      </c>
      <c r="U168" s="270" t="str">
        <f>IF(SnapshotTable[[#This Row],[Equity Basis Total]] &gt; 0, SnapshotTable[[#This Row],[Equity G/L]] / SnapshotTable[[#This Row],[Equity Basis Total]], "")</f>
        <v/>
      </c>
      <c r="V168" s="268"/>
      <c r="W168" s="268"/>
      <c r="X168" s="4" t="str">
        <f>IF(AND(ISNUMBER(SnapshotTable[[#This Row],[Equity Basis Per Share]]),ISNUMBER(SnapshotTable[[#This Row],[Equity Target]])),SnapshotTable[[#This Row],[Equity Target]]-SnapshotTable[[#This Row],[Equity Basis Per Share]],"")</f>
        <v/>
      </c>
      <c r="Y168" s="4" t="str">
        <f>IF(AND(ISNUMBER(SnapshotTable[[#This Row],[Equity Basis Per Share]]),ISNUMBER(SnapshotTable[[#This Row],[Equity Stop Loss]])),SnapshotTable[[#This Row],[Equity Stop Loss]]-SnapshotTable[[#This Row],[Equity Basis Per Share]],"")</f>
        <v/>
      </c>
      <c r="Z168" s="275" t="str">
        <f>IFERROR( TEXT(SnapshotTable[[#This Row],[Equity Max Gain Per Share]] /ABS( SnapshotTable[[#This Row],[Equity Max Loss Per Share]]),"0.0 " ) &amp; " : 1", "")</f>
        <v/>
      </c>
      <c r="AA168" s="31" t="str">
        <f>IF(ISNUMBER(SnapshotTable[[#This Row],[Equity Max Gain Per Share]]),SnapshotTable[[#This Row],[Equity Max Gain Per Share]] * SnapshotTable[[#This Row],[Equity Shares]],"")</f>
        <v/>
      </c>
      <c r="AB168" s="31" t="str">
        <f>IF(ISNUMBER(SnapshotTable[[#This Row],[Equity Max Loss Per Share]]),SnapshotTable[[#This Row],[Equity Max Loss Per Share]] * SnapshotTable[[#This Row],[Equity Shares]],"")</f>
        <v/>
      </c>
      <c r="AC168" s="150"/>
      <c r="AD168" s="151"/>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1"/>
      <c r="AI168" s="5">
        <v>21</v>
      </c>
      <c r="AJ168" s="138">
        <v>21.22</v>
      </c>
      <c r="AK168" s="152">
        <f>IF(ISNUMBER( SnapshotTable[[#This Row],[EBF Target]]),(SnapshotTable[[#This Row],[EBF Target]] - SnapshotTable[[#This Row],[Last Price]]) / SnapshotTable[[#This Row],[Last Price]], "")</f>
        <v>-0.33733038813505839</v>
      </c>
      <c r="AL168" s="152"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2">
        <f>IF(AND(ISNUMBER( SnapshotTable[[#This Row],[Long Term Target]]), ISNUMBER(SnapshotTable[[#This Row],[Last Price]])),(SnapshotTable[[#This Row],[Long Term Target]] - SnapshotTable[[#This Row],[Last Price]]) / SnapshotTable[[#This Row],[Last Price]], "")</f>
        <v>-0.33038813505837811</v>
      </c>
      <c r="AP168" s="5"/>
      <c r="AQ168" s="38"/>
      <c r="AR168" s="5"/>
      <c r="AS168" s="38"/>
      <c r="AT168" s="146"/>
      <c r="AU168" s="187" t="str">
        <f>IF(OR(SnapshotTable[[#This Row],[LP No Fill]]="Y",SnapshotTable[[#This Row],[SP Is Filled]],SnapshotTable[[#This Row],[LC Not Filled]]="Y",SnapshotTable[[#This Row],[SC Is Filled]]),"Y","")</f>
        <v/>
      </c>
      <c r="AV168" s="219"/>
      <c r="AW168" s="225"/>
      <c r="AX168" s="220"/>
      <c r="AY168" s="219" t="str">
        <f>IF(SnapshotTable[[#This Row],[Implied Move]]&gt;0, SnapshotTable[[#This Row],[Last Price]]-SnapshotTable[[#This Row],[Implied Move]],"")</f>
        <v/>
      </c>
      <c r="AZ168" s="219" t="str">
        <f>IF(SnapshotTable[[#This Row],[Implied Move]]&gt;0, SnapshotTable[[#This Row],[Last Price]] + SnapshotTable[[#This Row],[Implied Move]],"")</f>
        <v/>
      </c>
      <c r="BA168" s="331"/>
      <c r="BB168" s="347"/>
      <c r="BC1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8" s="351"/>
      <c r="BE168" s="5"/>
      <c r="BF168" s="14"/>
      <c r="BG168" s="13"/>
      <c r="BH168" s="13"/>
      <c r="BI168" s="5"/>
      <c r="BJ168" s="136">
        <f>IF(SnapshotTable[[#This Row],[LP Qty]] &gt; 0, SnapshotTable[[#This Row],[LP Qty]] * SnapshotTable[[#This Row],[LP Book Price]] * 100,0)</f>
        <v>0</v>
      </c>
      <c r="BK168" s="136">
        <f>IF(SnapshotTable[[#This Row],[LP Premium]] &gt; 0, SnapshotTable[[#This Row],[LP Qty]] * SnapshotTable[[#This Row],[LP Strike Price]] * 100,0)</f>
        <v>0</v>
      </c>
      <c r="BL168" s="154"/>
      <c r="BM168" s="385" t="str">
        <f>IF(SnapshotTable[[#This Row],[LP Premium]] &gt; 0,SnapshotTable[[#This Row],[LP Exp Date]]-MAX(SnapshotTable[[#This Row],[LP Book Date]], SnapshotTable[[#This Row],[LP Fill Date]]),"")</f>
        <v/>
      </c>
      <c r="BN168" s="385" t="str">
        <f>IF(ISNUMBER( SnapshotTable[[#This Row],[LP Term]]), SnapshotTable[[#This Row],[LP Exp Date]] - MockToday,"")</f>
        <v/>
      </c>
      <c r="BO168" s="163"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c r="BR168" s="5"/>
      <c r="BS168" s="36"/>
      <c r="BT168" s="147"/>
      <c r="BU168" s="13"/>
      <c r="BV168" s="5"/>
      <c r="BW168" s="419" t="b">
        <f>AND(ISNUMBER(SnapshotTable[[#This Row],[SP Exp Date]]), ISNUMBER(SnapshotTable[[#This Row],[SP Strike Price]]), ISNUMBER(SnapshotTable[[#This Row],[SP Qty]]), ISNUMBER(SnapshotTable[[#This Row],[SP Book Date]]), ISNUMBER(SnapshotTable[[#This Row],[SP Book Price]]))</f>
        <v>0</v>
      </c>
      <c r="BX168" s="419" t="b">
        <f>AND(SnapshotTable[[#This Row],[SP Is Booked]], NOT(ISBLANK(SnapshotTable[[#This Row],[SP Fill Date]])))</f>
        <v>0</v>
      </c>
      <c r="BY168" s="33">
        <f>IF(SnapshotTable[[#This Row],[SP Is Booked]], SnapshotTable[[#This Row],[SP Qty]] * SnapshotTable[[#This Row],[SP Book Price]] * 100, 0)</f>
        <v>0</v>
      </c>
      <c r="BZ168" s="369"/>
      <c r="CA168" s="368">
        <f>SnapshotTable[[#This Row],[LP Qty]]</f>
        <v>0</v>
      </c>
      <c r="CB168" s="4" t="str">
        <f>IF(SnapshotTable[[#This Row],[SP Is Booked]], SnapshotTable[[#This Row],[SP Strike Price]] - SnapshotTable[[#This Row],[SP Book Price]], "")</f>
        <v/>
      </c>
      <c r="CC168" s="19" t="str">
        <f>IF(SnapshotTable[[#This Row],[SP Is Booked]],SnapshotTable[[#This Row],[SP Exp Date]]-MAX(SnapshotTable[[#This Row],[SP Book Date]], SnapshotTable[[#This Row],[SP Fill Date]]),"")</f>
        <v/>
      </c>
      <c r="CD168" s="7" t="str">
        <f>IF(SnapshotTable[[#This Row],[SP Is Booked]], SnapshotTable[[#This Row],[SP Book Price]]/SnapshotTable[[#This Row],[SP Strike Price]], "")</f>
        <v/>
      </c>
      <c r="CE168" s="7" t="str">
        <f>IF(ISNUMBER(SnapshotTable[[#This Row],[SP ROO Term]]),SnapshotTable[[#This Row],[SP ROO Term]]*(365/SnapshotTable[[#This Row],[SP Term]]),"")</f>
        <v/>
      </c>
      <c r="CF168" s="236">
        <f>SnapshotTable[[#This Row],[LP Strike Price]] * SnapshotTable[[#This Row],[LP Qty]] * 100</f>
        <v>0</v>
      </c>
      <c r="CG168" s="31">
        <f>IF(ISNUMBER(SnapshotTable[[#This Row],[SP Premium]]), (SnapshotTable[[#This Row],[SP Qty]] * SnapshotTable[[#This Row],[SP Strike Price]]* 100) - SnapshotTable[[#This Row],[LP Protection]], 0)</f>
        <v>0</v>
      </c>
      <c r="CH168" s="7" t="str">
        <f>IF(ISNUMBER(SnapshotTable[[#This Row],[SP Break Even]]),-1 * (SnapshotTable[[#This Row],[SP Break Even]] - SnapshotTable[[#This Row],[Last Price]]) / SnapshotTable[[#This Row],[Last Price]], "")</f>
        <v/>
      </c>
      <c r="CI168" s="31">
        <f>IF(AND(ISNUMBER((SnapshotTable[[#This Row],[SP Potential Spend]])), SnapshotTable[[#This Row],[SP Strike Price]] &gt; SnapshotTable[[#This Row],[Last Price]], SnapshotTable[[#This Row],[SP Is Filled]]), SnapshotTable[[#This Row],[SP Potential Spend]] -  SnapshotTable[[#This Row],[LP Max Value]], 0)</f>
        <v>0</v>
      </c>
      <c r="CJ168" s="244"/>
      <c r="CK168" s="31">
        <f>IF(ISNUMBER(SnapshotTable[[#This Row],[SP Potential Spend]]),IF(ISNUMBER(SnapshotTable[[#This Row],[SP POW]]), SnapshotTable[[#This Row],[SP POW]] * SnapshotTable[[#This Row],[SP Potential Spend]], SnapshotTable[[#This Row],[SP Potential Spend]]), "")</f>
        <v>0</v>
      </c>
      <c r="CL168" s="164">
        <f>IF(NOT(SnapshotTable[[#This Row],[SP Is Filled]]),(SnapshotTable[[#This Row],[SP Qty]] * SnapshotTable[[#This Row],[SP Strike Price]] * 100) - SnapshotTable[[#This Row],[LP Max Value]],"")</f>
        <v>0</v>
      </c>
      <c r="CM168" s="31" t="str">
        <f>IF(SnapshotTable[[#This Row],[SP Actual Spend]]&lt;&gt;0, ((SnapshotTable[[#This Row],[SP Strike Price]]-SnapshotTable[[#This Row],[Last Price]]) *(SnapshotTable[[#This Row],[SP Qty]]*100) - SnapshotTable[[#This Row],[SP Premium]]) * - 1, "")</f>
        <v/>
      </c>
      <c r="CN168" s="78"/>
      <c r="CO168" s="369"/>
      <c r="CP168" s="4" t="str">
        <f>IF(SnapshotTable[[#This Row],[SP Is Filled]], btc_max_buyback_amount(SnapshotTable[[#This Row],[SP Fill Date]],SnapshotTable[[#This Row],[SP Exp Date]], SnapshotTable[[#This Row],[SP Book Price]]),"")</f>
        <v/>
      </c>
      <c r="CQ168" s="78"/>
      <c r="CR1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8" s="155" t="str">
        <f>IF(SnapshotTable[[#This Row],[SP Is Filled]], btc_next_cutoff_date(SnapshotTable[[#This Row],[SP Fill Date]],SnapshotTable[[#This Row],[SP Exp Date]]),"")</f>
        <v/>
      </c>
      <c r="CT168" s="235" t="str" cm="1">
        <f t="array" ref="CT168">IF(SnapshotTable[[#This Row],[SP Is Filled]], btc_should_buy_back(SnapshotTable[[#This Row],[SP Fill Date]], SnapshotTable[[#This Row],[SP Exp Date]], SnapshotTable[[#This Row],[SP Book Price]], SnapshotTable[[#This Row],[SP Current Ask]], MockToday, SnapshotTable[[#This Row],[SP Buyback Override]]),"")</f>
        <v/>
      </c>
      <c r="CU168" s="143"/>
      <c r="CV168" s="235"/>
      <c r="CW168" s="378" t="str">
        <f>IF(ISNUMBER( SnapshotTable[[#This Row],[SP Term]]), SnapshotTable[[#This Row],[SP Exp Date]] - MockToday,"")</f>
        <v/>
      </c>
      <c r="CX168" s="31" t="str">
        <f>IF(SnapshotTable[[#This Row],[SP Is Filled]],SnapshotTable[[#This Row],[SP Buyback Price to Use]] * 100 * SnapshotTable[[#This Row],[SP Qty]], "")</f>
        <v/>
      </c>
      <c r="CY168" s="4" t="str">
        <f>IF(ISNUMBER(SnapshotTable[[#This Row],[SP Strike Price]]), SnapshotTable[[#This Row],[SP Strike Price]] * (1 - SP_MaxLoss_StrikePct), "")</f>
        <v/>
      </c>
      <c r="CZ168" s="31" t="str">
        <f>IF(ISNUMBER(SnapshotTable[[#This Row],[SP Strike  Stop Per Share]]),SnapshotTable[[#This Row],[SP Premium]] - ((SnapshotTable[[#This Row],[SP Strike Price]]-SnapshotTable[[#This Row],[SP Strike  Stop Per Share]]) *(SnapshotTable[[#This Row],[SP Qty]] * 100)),"")</f>
        <v/>
      </c>
      <c r="DA168" s="4" t="str">
        <f>IF(AND(ISNUMBER(SnapshotTable[[#This Row],[SP Premium]]),SnapshotTable[[#This Row],[SP Premium]]&gt;0), SnapshotTable[[#This Row],[SP Book Price]] * (1 + SP_MaxLoss_OptionPct), "")</f>
        <v/>
      </c>
      <c r="DB168" s="31" t="str">
        <f>IF(ISNUMBER(SnapshotTable[[#This Row],[SP Option  Stop Contract]]),(SnapshotTable[[#This Row],[SP Option  Stop Contract]] *(SnapshotTable[[#This Row],[SP Qty]] * 100) - SnapshotTable[[#This Row],[SP Premium]]),"")</f>
        <v/>
      </c>
      <c r="DC168" s="4"/>
      <c r="DD168" s="4"/>
      <c r="DE168" s="4" t="str">
        <f>IF(AND(SnapshotTable[[#This Row],[SP Qty]]&gt;0, SnapshotTable[[#This Row],[SP Stop To Use]]&gt;0),SnapshotTable[[#This Row],[SP Premium]] - ( SnapshotTable[[#This Row],[SP Qty]] * SnapshotTable[[#This Row],[SP Stop To Use]] * 100), "")</f>
        <v/>
      </c>
      <c r="DF168" s="31" t="str">
        <f>IF(AND(SnapshotTable[[#This Row],[SP Qty]]&gt;0,SnapshotTable[[#This Row],[SP Current Ask]]&gt;0), SnapshotTable[[#This Row],[SP Qty]] * SnapshotTable[[#This Row],[SP Current Ask]] * -100, "")</f>
        <v/>
      </c>
      <c r="DG168" s="31" t="str">
        <f>IF(ISNUMBER((SnapshotTable[[#This Row],[SP Total Value]])), SnapshotTable[[#This Row],[SP Premium]] + SnapshotTable[[#This Row],[SP Total Value]], "")</f>
        <v/>
      </c>
      <c r="DH168" s="294" t="str">
        <f>IF(ISNUMBER((SnapshotTable[[#This Row],[SP Total Value]])), SnapshotTable[[#This Row],[SP Gain Loss]] / SnapshotTable[[#This Row],[SP Premium]], "")</f>
        <v/>
      </c>
      <c r="DI168" s="406"/>
      <c r="DJ168" s="138"/>
      <c r="DK168" s="148"/>
      <c r="DL168" s="13"/>
      <c r="DM168" s="13"/>
      <c r="DO168" s="31">
        <f>IF(SnapshotTable[[#This Row],[LC Symbol Count]]=1, SnapshotTable[[#This Row],[LC Qty]] * SnapshotTable[[#This Row],[LC Book Price]] * 100, 0)</f>
        <v>0</v>
      </c>
      <c r="DP168" s="163" t="str">
        <f>IF(AND(SnapshotTable[[#This Row],[LC Exp Date]]&gt;0, SnapshotTable[[#This Row],[LC Strike Price]]&gt;0,SnapshotTable[[#This Row],[LC Qty]]&gt;0,SnapshotTable[[#This Row],[LC Book Date]]&gt;0,SnapshotTable[[#This Row],[LC Book Price]]&gt;0,SnapshotTable[[#This Row],[LC Fill Date]]=0),"Y","")</f>
        <v/>
      </c>
      <c r="DQ168" s="386" t="str">
        <f>IF(SnapshotTable[[#This Row],[LC Premium]] &gt; 0,SnapshotTable[[#This Row],[LC Exp Date]]-MAX(SnapshotTable[[#This Row],[LC Book Date]], SnapshotTable[[#This Row],[LC Fill Date]]),"")</f>
        <v/>
      </c>
      <c r="DR168" s="386" t="str">
        <f>IF(ISNUMBER(SnapshotTable[[#This Row],[LC Term]]), SnapshotTable[[#This Row],[LC Exp Date]] - MockToday, "")</f>
        <v/>
      </c>
      <c r="DS168" s="23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40" t="str">
        <f>IF(ISNUMBER(SnapshotTable[[#This Row],[LC Actual Gain Loss]]), SnapshotTable[[#This Row],[LC Actual Gain Loss]] / SnapshotTable[[#This Row],[LC Premium]],"")</f>
        <v/>
      </c>
      <c r="DX168" s="284" t="str">
        <f>IF(ISNUMBER(SnapshotTable[[#This Row],[LC Book Price]]),SnapshotTable[[#This Row],[LC Book Price]] * 1.5,"")</f>
        <v/>
      </c>
      <c r="DY168" s="265" t="str">
        <f>IF(SnapshotTable[[#This Row],[LC Premium]]&gt;0, SnapshotTable[[#This Row],[LC Next Target]] * SnapshotTable[[#This Row],[LC Qty]] * 100,"")</f>
        <v/>
      </c>
      <c r="DZ168" s="265" t="str">
        <f>IF(ISNUMBER(SnapshotTable[[#This Row],[LC Target Gross]]), SnapshotTable[[#This Row],[LC Target Gross]] - SnapshotTable[[#This Row],[LC Premium]], "")</f>
        <v/>
      </c>
      <c r="EA168" s="305" t="str">
        <f>IF(ISNUMBER(SnapshotTable[[#This Row],[LC Target Gain Loss]]), SnapshotTable[[#This Row],[LC Target Gain Loss]]/SnapshotTable[[#This Row],[LC Premium]], "")</f>
        <v/>
      </c>
      <c r="EB168" s="262"/>
      <c r="EC168" s="283" t="str">
        <f>IF(SnapshotTable[[#This Row],[LC Premium]]&gt;0, SnapshotTable[[#This Row],[LC Book Price]] * (1 - LC_StopLoss_Pct),"")</f>
        <v/>
      </c>
      <c r="ED168" s="284"/>
      <c r="EE168" s="28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4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0</v>
      </c>
      <c r="EK168" s="147"/>
      <c r="EL168" s="138"/>
      <c r="EM168" s="148"/>
      <c r="EN168" s="147"/>
      <c r="EO168" s="147"/>
      <c r="EP168" s="138"/>
      <c r="EQ168" s="419" t="b">
        <f>AND(ISNUMBER(SnapshotTable[[#This Row],[SC Exp Date]]), ISNUMBER(SnapshotTable[[#This Row],[SC Strike Price]]), ISNUMBER(SnapshotTable[[#This Row],[SC Qty]]), ISNUMBER(SnapshotTable[[#This Row],[SC Book Date]]), ISNUMBER(SnapshotTable[[#This Row],[SC Book Price]]))</f>
        <v>0</v>
      </c>
      <c r="ER168" s="419" t="b">
        <f>AND(SnapshotTable[[#This Row],[SC Is Booked]], NOT(ISBLANK(SnapshotTable[[#This Row],[SC Fill Date]])))</f>
        <v>0</v>
      </c>
      <c r="ES168" s="370"/>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3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283"/>
      <c r="FA168" s="218"/>
      <c r="FB168" s="370"/>
      <c r="FC168" s="4">
        <f>IF(SnapshotTable[[#This Row],[SC Is Filled]], btc_max_buyback_amount(SnapshotTable[[#This Row],[SC Fill Date]],SnapshotTable[[#This Row],[SC Exp Date]], SnapshotTable[[#This Row],[SC Book Price]]),0)</f>
        <v>0</v>
      </c>
      <c r="FD168" s="5"/>
      <c r="FE168" s="144"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382">
        <f>IF(SnapshotTable[[#This Row],[SC Is Filled]], IF(ISNUMBER(SnapshotTable[[#This Row],[SC Current Ask]]), SnapshotTable[[#This Row],[SC Current Ask]], SnapshotTable[[#This Row],[SC Book Price]]) - SnapshotTable[[#This Row],[SC Intrinsic Value]], 0)</f>
        <v>0</v>
      </c>
      <c r="FI168" s="143"/>
      <c r="FJ168" s="32" t="str">
        <f>IF(SnapshotTable[[#This Row],[SC Is Filled]],100 * SnapshotTable[[#This Row],[SC Qty]] * IF(ISNUMBER(SnapshotTable[[#This Row],[SC Buyback Override]]), SnapshotTable[[#This Row],[SC Buyback Override]], SnapshotTable[[#This Row],[SC Current Ask]]), "")</f>
        <v/>
      </c>
      <c r="FK168" s="250" t="str">
        <f>IF(SnapshotTable[[#This Row],[SC Time Val]]&gt;0, SnapshotTable[[#This Row],[SC Time Val]] / SnapshotTable[[#This Row],[Last Price]],"")</f>
        <v/>
      </c>
      <c r="FL168" s="302" t="str">
        <f>IF(SnapshotTable[[#This Row],[SC Is Booked]], ((SnapshotTable[[#This Row],[Last Price]] -SnapshotTable[[#This Row],[SC Strike Price]]) / SnapshotTable[[#This Row],[Last Price]]) * -1, "")</f>
        <v/>
      </c>
      <c r="FM168" s="157"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33"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36" t="str">
        <f>IF(AND(ISNUMBER(SnapshotTable[[#This Row],[SC Simple ROO]]),SnapshotTable[[#This Row],[SC Simple ROO]] &gt; 0), SnapshotTable[[#This Row],[SC Premium]] + (SnapshotTable[[#This Row],[SC Qty]] * SnapshotTable[[#This Row],[SC Upside Potential]]), "")</f>
        <v/>
      </c>
      <c r="FX168" s="302" t="str" cm="1">
        <f t="array" ref="FX168">IF(ISNUMBER(SnapshotTable[[#This Row],[SC Max Dollars]]), annualize(SnapshotTable[[#This Row],[SC Term]],(SnapshotTable[[#This Row],[SC Max Dollars]]/SnapshotTable[[#This Row],[SC Basis]])),"")</f>
        <v/>
      </c>
      <c r="FY168" s="23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294" t="str">
        <f>IFERROR( IF(ISNUMBER((SnapshotTable[[#This Row],[SC Current Value]])), SnapshotTable[[#This Row],[SC Gain Loss]] / SnapshotTable[[#This Row],[SC Premium]], ""), "")</f>
        <v/>
      </c>
      <c r="GB168" s="42">
        <f>SnapshotTable[[#This Row],[Equity Shares]] * SaleSharesToConsiderPercentage</f>
        <v>0</v>
      </c>
      <c r="GC168" s="40">
        <f>SnapshotTable[[#This Row],[Long Term Target]] * SellingPriceToConsiderBasedOnTargetPercentage</f>
        <v>20.158999999999999</v>
      </c>
      <c r="GD168" s="40">
        <f>SnapshotTable[[#This Row],[Last Price]] * (1+ SellingPriceToConsiderBasedOnTargetPercentage)</f>
        <v>61.795500000000004</v>
      </c>
      <c r="GE168" s="41"/>
      <c r="GF168" s="40"/>
      <c r="GG168" s="31">
        <f>SnapshotTable[[#This Row],[Booked Sale Shares]] * SnapshotTable[[#This Row],[Booked Sale Price]]</f>
        <v>0</v>
      </c>
      <c r="GH168" s="31" t="str">
        <f>IF(SnapshotTable[[#This Row],[Equity Basis Total]] &gt; 0, SnapshotTable[[#This Row],[Equity Basis Per Share]] * SnapshotTable[[#This Row],[Booked Sale Shares]], "")</f>
        <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t="s">
        <v>702</v>
      </c>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
      </c>
      <c r="GO168" s="30" t="str">
        <f>IF(LEN(SnapshotTable[[#This Row],[SP Symbol]])&gt;0, 1, "")</f>
        <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8" s="231">
        <f>MAX(SnapshotTable[[#This Row],[Equity Basis Total]],SnapshotTable[[#This Row],[Equity Value]]) + (SnapshotTable[[#This Row],[SP Potential Spend]]- SnapshotTable[[#This Row],[SP Premium]] + SnapshotTable[[#This Row],[LP Premium]])+ (SnapshotTable[[#This Row],[LC Premium]] - SnapshotTable[[#This Row],[SC Premium]])</f>
        <v>0</v>
      </c>
      <c r="GW168" s="139" t="str">
        <f>IF(AND(SnapshotTable[[#This Row],[Exposure]] &lt;&gt; 0),SnapshotTable[[#This Row],[Exposure]] / SnapshotTable[[#Totals],[Exposure]], "")</f>
        <v/>
      </c>
      <c r="HE168" s="268"/>
      <c r="HF168" s="268"/>
      <c r="HK168" s="1"/>
      <c r="HL168" s="1"/>
      <c r="HM168" s="1"/>
      <c r="HN168" s="1"/>
      <c r="HO168" s="1"/>
      <c r="HP168" s="1"/>
    </row>
    <row r="169" spans="2:224" ht="12.75" hidden="1" customHeight="1" x14ac:dyDescent="0.25">
      <c r="B169" s="12" t="s">
        <v>250</v>
      </c>
      <c r="C169" s="422">
        <v>321.02</v>
      </c>
      <c r="D169" s="208" t="s">
        <v>578</v>
      </c>
      <c r="E169" s="39">
        <f>SnapshotTable[[#This Row],[Last Price]]*(1 -CrashDiscount)</f>
        <v>272.86699999999996</v>
      </c>
      <c r="F169" s="26" t="s">
        <v>15</v>
      </c>
      <c r="G169" s="26" t="s">
        <v>14</v>
      </c>
      <c r="H169" s="149"/>
      <c r="I169" s="194">
        <v>44735.666666666664</v>
      </c>
      <c r="J169" s="195">
        <v>44735.666666666664</v>
      </c>
      <c r="K169" s="196" t="s">
        <v>3</v>
      </c>
      <c r="L169" s="326"/>
      <c r="M169" s="140"/>
      <c r="N169" s="140"/>
      <c r="O169" s="140"/>
      <c r="P169" s="22"/>
      <c r="Q169" s="25"/>
      <c r="R169" s="4" t="str">
        <f>IF(SnapshotTable[[#This Row],[Equity Basis Total]] &gt; 0, SnapshotTable[[#This Row],[Equity Basis Total]] / SnapshotTable[[#This Row],[Equity Shares]], "")</f>
        <v/>
      </c>
      <c r="S169" s="269">
        <f>SnapshotTable[[#This Row],[Last Price]] * SnapshotTable[[#This Row],[Equity Shares]]</f>
        <v>0</v>
      </c>
      <c r="T169" s="269">
        <f>SnapshotTable[[#This Row],[Equity Value]] - SnapshotTable[[#This Row],[Equity Basis Total]]</f>
        <v>0</v>
      </c>
      <c r="U169" s="270" t="str">
        <f>IF(SnapshotTable[[#This Row],[Equity Basis Total]] &gt; 0, SnapshotTable[[#This Row],[Equity G/L]] / SnapshotTable[[#This Row],[Equity Basis Total]], "")</f>
        <v/>
      </c>
      <c r="V169" s="268"/>
      <c r="W169" s="26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7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0"/>
      <c r="AD169" s="151"/>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0</v>
      </c>
      <c r="AH169" s="151"/>
      <c r="AI169" s="5"/>
      <c r="AJ169" s="138">
        <v>336.19</v>
      </c>
      <c r="AK169" s="152" t="str">
        <f>IF(ISNUMBER( SnapshotTable[[#This Row],[EBF Target]]),(SnapshotTable[[#This Row],[EBF Target]] - SnapshotTable[[#This Row],[Last Price]]) / SnapshotTable[[#This Row],[Last Price]], "")</f>
        <v/>
      </c>
      <c r="AL169" s="152"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2">
        <f>IF(AND(ISNUMBER( SnapshotTable[[#This Row],[Long Term Target]]), ISNUMBER(SnapshotTable[[#This Row],[Last Price]])),(SnapshotTable[[#This Row],[Long Term Target]] - SnapshotTable[[#This Row],[Last Price]]) / SnapshotTable[[#This Row],[Last Price]], "")</f>
        <v>4.7255622702635405E-2</v>
      </c>
      <c r="AP169" s="5">
        <v>320</v>
      </c>
      <c r="AQ169" s="38" t="s">
        <v>27</v>
      </c>
      <c r="AR169" s="5">
        <v>300</v>
      </c>
      <c r="AS169" s="38" t="s">
        <v>45</v>
      </c>
      <c r="AT169" s="146" t="s">
        <v>826</v>
      </c>
      <c r="AU169" s="187" t="str">
        <f>IF(OR(SnapshotTable[[#This Row],[LP No Fill]]="Y",SnapshotTable[[#This Row],[SP Is Filled]],SnapshotTable[[#This Row],[LC Not Filled]]="Y",SnapshotTable[[#This Row],[SC Is Filled]]),"Y","")</f>
        <v/>
      </c>
      <c r="AV169" s="219" t="s">
        <v>990</v>
      </c>
      <c r="AW169" s="225"/>
      <c r="AX169" s="220"/>
      <c r="AY169" s="219" t="str">
        <f>IF(SnapshotTable[[#This Row],[Implied Move]]&gt;0, SnapshotTable[[#This Row],[Last Price]]-SnapshotTable[[#This Row],[Implied Move]],"")</f>
        <v/>
      </c>
      <c r="AZ169" s="219" t="str">
        <f>IF(SnapshotTable[[#This Row],[Implied Move]]&gt;0, SnapshotTable[[#This Row],[Last Price]] + SnapshotTable[[#This Row],[Implied Move]],"")</f>
        <v/>
      </c>
      <c r="BA169" s="331">
        <v>11.67</v>
      </c>
      <c r="BB169" s="347"/>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51"/>
      <c r="BE169" s="5"/>
      <c r="BF169" s="14"/>
      <c r="BG169" s="13"/>
      <c r="BH169" s="13"/>
      <c r="BI169" s="5"/>
      <c r="BJ169" s="136">
        <f>IF(SnapshotTable[[#This Row],[LP Qty]] &gt; 0, SnapshotTable[[#This Row],[LP Qty]] * SnapshotTable[[#This Row],[LP Book Price]] * 100,0)</f>
        <v>0</v>
      </c>
      <c r="BK169" s="136">
        <f>IF(SnapshotTable[[#This Row],[LP Premium]] &gt; 0, SnapshotTable[[#This Row],[LP Qty]] * SnapshotTable[[#This Row],[LP Strike Price]] * 100,0)</f>
        <v>0</v>
      </c>
      <c r="BL169" s="154"/>
      <c r="BM169" s="385" t="str">
        <f>IF(SnapshotTable[[#This Row],[LP Premium]] &gt; 0,SnapshotTable[[#This Row],[LP Exp Date]]-MAX(SnapshotTable[[#This Row],[LP Book Date]], SnapshotTable[[#This Row],[LP Fill Date]]),"")</f>
        <v/>
      </c>
      <c r="BN169" s="385" t="str">
        <f>IF(ISNUMBER( SnapshotTable[[#This Row],[LP Term]]), SnapshotTable[[#This Row],[LP Exp Date]] - MockToday,"")</f>
        <v/>
      </c>
      <c r="BO169" s="163"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7"/>
      <c r="BU169" s="13"/>
      <c r="BV169" s="5"/>
      <c r="BW169" s="419" t="b">
        <f>AND(ISNUMBER(SnapshotTable[[#This Row],[SP Exp Date]]), ISNUMBER(SnapshotTable[[#This Row],[SP Strike Price]]), ISNUMBER(SnapshotTable[[#This Row],[SP Qty]]), ISNUMBER(SnapshotTable[[#This Row],[SP Book Date]]), ISNUMBER(SnapshotTable[[#This Row],[SP Book Price]]))</f>
        <v>0</v>
      </c>
      <c r="BX169" s="419" t="b">
        <f>AND(SnapshotTable[[#This Row],[SP Is Booked]], NOT(ISBLANK(SnapshotTable[[#This Row],[SP Fill Date]])))</f>
        <v>0</v>
      </c>
      <c r="BY169" s="33">
        <f>IF(SnapshotTable[[#This Row],[SP Is Booked]], SnapshotTable[[#This Row],[SP Qty]] * SnapshotTable[[#This Row],[SP Book Price]] * 100, 0)</f>
        <v>0</v>
      </c>
      <c r="BZ169" s="369"/>
      <c r="CA169" s="368">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3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44"/>
      <c r="CK169" s="31">
        <f>IF(ISNUMBER(SnapshotTable[[#This Row],[SP Potential Spend]]),IF(ISNUMBER(SnapshotTable[[#This Row],[SP POW]]), SnapshotTable[[#This Row],[SP POW]] * SnapshotTable[[#This Row],[SP Potential Spend]], SnapshotTable[[#This Row],[SP Potential Spend]]), "")</f>
        <v>0</v>
      </c>
      <c r="CL169" s="164">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8"/>
      <c r="CO169" s="369"/>
      <c r="CP169" s="4" t="str">
        <f>IF(SnapshotTable[[#This Row],[SP Is Filled]], btc_max_buyback_amount(SnapshotTable[[#This Row],[SP Fill Date]],SnapshotTable[[#This Row],[SP Exp Date]], SnapshotTable[[#This Row],[SP Book Price]]),"")</f>
        <v/>
      </c>
      <c r="CQ169" s="78"/>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5" t="str">
        <f>IF(SnapshotTable[[#This Row],[SP Is Filled]], btc_next_cutoff_date(SnapshotTable[[#This Row],[SP Fill Date]],SnapshotTable[[#This Row],[SP Exp Date]]),"")</f>
        <v/>
      </c>
      <c r="CT169" s="23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43"/>
      <c r="CV169" s="235"/>
      <c r="CW169" s="378"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294" t="str">
        <f>IF(ISNUMBER((SnapshotTable[[#This Row],[SP Total Value]])), SnapshotTable[[#This Row],[SP Gain Loss]] / SnapshotTable[[#This Row],[SP Premium]], "")</f>
        <v/>
      </c>
      <c r="DI169" s="406"/>
      <c r="DJ169" s="138"/>
      <c r="DK169" s="148"/>
      <c r="DL169" s="13"/>
      <c r="DM169" s="13"/>
      <c r="DO169" s="31">
        <f>IF(SnapshotTable[[#This Row],[LC Symbol Count]]=1, SnapshotTable[[#This Row],[LC Qty]] * SnapshotTable[[#This Row],[LC Book Price]] * 100, 0)</f>
        <v>0</v>
      </c>
      <c r="DP169" s="163" t="str">
        <f>IF(AND(SnapshotTable[[#This Row],[LC Exp Date]]&gt;0, SnapshotTable[[#This Row],[LC Strike Price]]&gt;0,SnapshotTable[[#This Row],[LC Qty]]&gt;0,SnapshotTable[[#This Row],[LC Book Date]]&gt;0,SnapshotTable[[#This Row],[LC Book Price]]&gt;0,SnapshotTable[[#This Row],[LC Fill Date]]=0),"Y","")</f>
        <v/>
      </c>
      <c r="DQ169" s="386" t="str">
        <f>IF(SnapshotTable[[#This Row],[LC Premium]] &gt; 0,SnapshotTable[[#This Row],[LC Exp Date]]-MAX(SnapshotTable[[#This Row],[LC Book Date]], SnapshotTable[[#This Row],[LC Fill Date]]),"")</f>
        <v/>
      </c>
      <c r="DR169" s="386" t="str">
        <f>IF(ISNUMBER(SnapshotTable[[#This Row],[LC Term]]), SnapshotTable[[#This Row],[LC Exp Date]] - MockToday, "")</f>
        <v/>
      </c>
      <c r="DS169" s="23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40" t="str">
        <f>IF(ISNUMBER(SnapshotTable[[#This Row],[LC Actual Gain Loss]]), SnapshotTable[[#This Row],[LC Actual Gain Loss]] / SnapshotTable[[#This Row],[LC Premium]],"")</f>
        <v/>
      </c>
      <c r="DX169" s="284" t="str">
        <f>IF(ISNUMBER(SnapshotTable[[#This Row],[LC Book Price]]),SnapshotTable[[#This Row],[LC Book Price]] * 1.5,"")</f>
        <v/>
      </c>
      <c r="DY169" s="265" t="str">
        <f>IF(SnapshotTable[[#This Row],[LC Premium]]&gt;0, SnapshotTable[[#This Row],[LC Next Target]] * SnapshotTable[[#This Row],[LC Qty]] * 100,"")</f>
        <v/>
      </c>
      <c r="DZ169" s="265" t="str">
        <f>IF(ISNUMBER(SnapshotTable[[#This Row],[LC Target Gross]]), SnapshotTable[[#This Row],[LC Target Gross]] - SnapshotTable[[#This Row],[LC Premium]], "")</f>
        <v/>
      </c>
      <c r="EA169" s="305" t="str">
        <f>IF(ISNUMBER(SnapshotTable[[#This Row],[LC Target Gain Loss]]), SnapshotTable[[#This Row],[LC Target Gain Loss]]/SnapshotTable[[#This Row],[LC Premium]], "")</f>
        <v/>
      </c>
      <c r="EB169" s="262"/>
      <c r="EC169" s="283" t="str">
        <f>IF(SnapshotTable[[#This Row],[LC Premium]]&gt;0, SnapshotTable[[#This Row],[LC Book Price]] * (1 - LC_StopLoss_Pct),"")</f>
        <v/>
      </c>
      <c r="ED169" s="284"/>
      <c r="EE169" s="28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4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7"/>
      <c r="EL169" s="138"/>
      <c r="EM169" s="148"/>
      <c r="EN169" s="147"/>
      <c r="EO169" s="147"/>
      <c r="EP169" s="138"/>
      <c r="EQ169" s="419" t="b">
        <f>AND(ISNUMBER(SnapshotTable[[#This Row],[SC Exp Date]]), ISNUMBER(SnapshotTable[[#This Row],[SC Strike Price]]), ISNUMBER(SnapshotTable[[#This Row],[SC Qty]]), ISNUMBER(SnapshotTable[[#This Row],[SC Book Date]]), ISNUMBER(SnapshotTable[[#This Row],[SC Book Price]]))</f>
        <v>0</v>
      </c>
      <c r="ER169" s="419" t="b">
        <f>AND(SnapshotTable[[#This Row],[SC Is Booked]], NOT(ISBLANK(SnapshotTable[[#This Row],[SC Fill Date]])))</f>
        <v>0</v>
      </c>
      <c r="ES169" s="370"/>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3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283"/>
      <c r="FA169" s="218"/>
      <c r="FB169" s="370"/>
      <c r="FC169" s="4">
        <f>IF(SnapshotTable[[#This Row],[SC Is Filled]], btc_max_buyback_amount(SnapshotTable[[#This Row],[SC Fill Date]],SnapshotTable[[#This Row],[SC Exp Date]], SnapshotTable[[#This Row],[SC Book Price]]),0)</f>
        <v>0</v>
      </c>
      <c r="FD169" s="5"/>
      <c r="FE169" s="144"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382">
        <f>IF(SnapshotTable[[#This Row],[SC Is Filled]], IF(ISNUMBER(SnapshotTable[[#This Row],[SC Current Ask]]), SnapshotTable[[#This Row],[SC Current Ask]], SnapshotTable[[#This Row],[SC Book Price]]) - SnapshotTable[[#This Row],[SC Intrinsic Value]], 0)</f>
        <v>0</v>
      </c>
      <c r="FI169" s="143"/>
      <c r="FJ169" s="32" t="str">
        <f>IF(SnapshotTable[[#This Row],[SC Is Filled]],100 * SnapshotTable[[#This Row],[SC Qty]] * IF(ISNUMBER(SnapshotTable[[#This Row],[SC Buyback Override]]), SnapshotTable[[#This Row],[SC Buyback Override]], SnapshotTable[[#This Row],[SC Current Ask]]), "")</f>
        <v/>
      </c>
      <c r="FK169" s="250" t="str">
        <f>IF(SnapshotTable[[#This Row],[SC Time Val]]&gt;0, SnapshotTable[[#This Row],[SC Time Val]] / SnapshotTable[[#This Row],[Last Price]],"")</f>
        <v/>
      </c>
      <c r="FL169" s="302" t="str">
        <f>IF(SnapshotTable[[#This Row],[SC Is Booked]], ((SnapshotTable[[#This Row],[Last Price]] -SnapshotTable[[#This Row],[SC Strike Price]]) / SnapshotTable[[#This Row],[Last Price]]) * -1, "")</f>
        <v/>
      </c>
      <c r="FM169" s="157"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f>IF(SnapshotTable[[#This Row],[SC Strike Price]] &gt; SnapshotTable[[#This Row],[Last Price]], SnapshotTable[[#This Row],[SC Strike Price]] - SnapshotTable[[#This Row],[Last Price]],0)</f>
        <v>0</v>
      </c>
      <c r="FT169" s="27" t="str">
        <f>IF(AND(ISNUMBER(SnapshotTable[[#This Row],[SC Upside Potential]]), SnapshotTable[[#This Row],[SC Upside Potential]] &gt; 0),(SnapshotTable[[#This Row],[SC Upside Potential]]/ SnapshotTable[[#This Row],[ACB]]),"")</f>
        <v/>
      </c>
      <c r="FU169" s="333" t="str">
        <f>IF(SnapshotTable[[#This Row],[SC Intrinsic Value]] &gt; 0,SnapshotTable[[#This Row],[SC Intrinsic Value]],"")</f>
        <v/>
      </c>
      <c r="FV169" s="27" t="str">
        <f>IF(AND( ISNUMBER( SnapshotTable[[#This Row],[ACB]]),ISNUMBER(SnapshotTable[[#This Row],[SC Downside Protect]])),SnapshotTable[[#This Row],[SC Downside Protect]] / SnapshotTable[[#This Row],[ACB]],"")</f>
        <v/>
      </c>
      <c r="FW169" s="236" t="str">
        <f>IF(AND(ISNUMBER(SnapshotTable[[#This Row],[SC Simple ROO]]),SnapshotTable[[#This Row],[SC Simple ROO]] &gt; 0), SnapshotTable[[#This Row],[SC Premium]] + (SnapshotTable[[#This Row],[SC Qty]] * SnapshotTable[[#This Row],[SC Upside Potential]]), "")</f>
        <v/>
      </c>
      <c r="FX169" s="302" t="str" cm="1">
        <f t="array" ref="FX169">IF(ISNUMBER(SnapshotTable[[#This Row],[SC Max Dollars]]), annualize(SnapshotTable[[#This Row],[SC Term]],(SnapshotTable[[#This Row],[SC Max Dollars]]/SnapshotTable[[#This Row],[SC Basis]])),"")</f>
        <v/>
      </c>
      <c r="FY169" s="236" t="str">
        <f>IF(AND(SnapshotTable[[#This Row],[SC Qty]]&gt;0,SnapshotTable[[#This Row],[SC Current Ask]]&gt;0), SnapshotTable[[#This Row],[SC Qty]] * SnapshotTable[[#This Row],[SC Current Ask]] * -100, "")</f>
        <v/>
      </c>
      <c r="FZ169" s="31" t="str">
        <f>IF(ISNUMBER((SnapshotTable[[#This Row],[SC Current Value]])), SnapshotTable[[#This Row],[SC Premium]] + SnapshotTable[[#This Row],[SC Current Value]], "")</f>
        <v/>
      </c>
      <c r="GA169" s="294" t="str">
        <f>IFERROR( IF(ISNUMBER((SnapshotTable[[#This Row],[SC Current Value]])), SnapshotTable[[#This Row],[SC Gain Loss]] / SnapshotTable[[#This Row],[SC Premium]], ""), "")</f>
        <v/>
      </c>
      <c r="GB169" s="42">
        <f>SnapshotTable[[#This Row],[Equity Shares]] * SaleSharesToConsiderPercentage</f>
        <v>0</v>
      </c>
      <c r="GC169" s="40">
        <f>SnapshotTable[[#This Row],[Long Term Target]] * SellingPriceToConsiderBasedOnTargetPercentage</f>
        <v>319.38049999999998</v>
      </c>
      <c r="GD169" s="40">
        <f>SnapshotTable[[#This Row],[Last Price]] * (1+ SellingPriceToConsiderBasedOnTargetPercentage)</f>
        <v>625.98899999999992</v>
      </c>
      <c r="GE169" s="41"/>
      <c r="GF169" s="40"/>
      <c r="GG169" s="31">
        <f>SnapshotTable[[#This Row],[Booked Sale Shares]] * SnapshotTable[[#This Row],[Booked Sale Price]]</f>
        <v>0</v>
      </c>
      <c r="GH169" s="31" t="str">
        <f>IF(SnapshotTable[[#This Row],[Equity Basis Total]] &gt; 0, SnapshotTable[[#This Row],[Equity Basis Per Share]] * SnapshotTable[[#This Row],[Booked Sale Shares]], "")</f>
        <v/>
      </c>
      <c r="GI169" s="31">
        <f>IF(SnapshotTable[[#This Row],[Sale Proceeds]]&gt;0, SnapshotTable[[#This Row],[Sale Proceeds]] - SnapshotTable[[#This Row],[Sale Basis]], 0)</f>
        <v>0</v>
      </c>
      <c r="GJ169" s="27" t="str">
        <f>IF(SnapshotTable[[#This Row],[Sale G/L]]&gt;0, SnapshotTable[[#This Row],[Sale G/L]] / SnapshotTable[[#This Row],[Sale Basis]], IF(ISNUMBER(SnapshotTable[[#This Row],[SC Exercise P&amp;L (TAX)]]), SnapshotTable[[#This Row],[SC Exercise P&amp;L (TAX)]] / SnapshotTable[[#This Row],[SC Basis]], ""))</f>
        <v/>
      </c>
      <c r="GK169" s="27" t="s">
        <v>703</v>
      </c>
      <c r="GL169" s="43" t="str">
        <f>IF(AND(SnapshotTable[[#This Row],[LP Exp Date]]&gt;0,SnapshotTable[[#This Row],[LP Strike Price]]&gt;0), [1]!ToOptionSymbol(SnapshotTable[[#This Row],[Symbol]], SnapshotTable[[#This Row],[LP Strike Price]],SnapshotTable[[#This Row],[LP Exp Date]],1), "")</f>
        <v/>
      </c>
      <c r="GM169" s="30" t="str">
        <f>IF(LEN(SnapshotTable[[#This Row],[LP Symbol]])&gt;0, 1, "")</f>
        <v/>
      </c>
      <c r="GN169" s="43" t="str">
        <f>IF(AND(SnapshotTable[[#This Row],[SP Exp Date]]&gt;0,SnapshotTable[[#This Row],[SP Strike Price]]&gt;0), [1]!ToOptionSymbol(SnapshotTable[[#This Row],[Symbol]], SnapshotTable[[#This Row],[SP Strike Price]],SnapshotTable[[#This Row],[SP Exp Date]],1), "")</f>
        <v/>
      </c>
      <c r="GO169" s="30" t="str">
        <f>IF(LEN(SnapshotTable[[#This Row],[SP Symbol]])&gt;0, 1, "")</f>
        <v/>
      </c>
      <c r="GP169" s="43" t="str">
        <f>IF(AND(SnapshotTable[[#This Row],[LC Exp Date]]&gt;0,SnapshotTable[[#This Row],[LC Strike Price]]&gt;0), [1]!ToOptionSymbol(SnapshotTable[[#This Row],[Symbol]], SnapshotTable[[#This Row],[LC Strike Price]],SnapshotTable[[#This Row],[LC Exp Date]],0), "")</f>
        <v/>
      </c>
      <c r="GQ169" s="30" t="str">
        <f>IF(LEN(SnapshotTable[[#This Row],[LC Symbol]])&gt;0, 1, "")</f>
        <v/>
      </c>
      <c r="GR169" s="43" t="str">
        <f>IF(AND(SnapshotTable[[#This Row],[SC Exp Date]]&gt;0,SnapshotTable[[#This Row],[SC Strike Price]]&gt;0), [1]!ToOptionSymbol(SnapshotTable[[#This Row],[Symbol]], SnapshotTable[[#This Row],[SC Strike Price]],SnapshotTable[[#This Row],[SC Exp Date]],0), "")</f>
        <v/>
      </c>
      <c r="GS169" s="30" t="str">
        <f>IF(LEN(SnapshotTable[[#This Row],[SC Symbol]])&gt;0, 1, "")</f>
        <v/>
      </c>
      <c r="GT169" s="29" t="str">
        <f>IF(COUNT(SnapshotTable[[#This Row],[LP Symbol Count]],SnapshotTable[[#This Row],[SP Symbol Count]],SnapshotTable[[#This Row],[LC Symbol Count]],SnapshotTable[[#This Row],[SC Symbol Count]])&gt;0, "Y", "")</f>
        <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9" s="231">
        <f>MAX(SnapshotTable[[#This Row],[Equity Basis Total]],SnapshotTable[[#This Row],[Equity Value]]) + (SnapshotTable[[#This Row],[SP Potential Spend]]- SnapshotTable[[#This Row],[SP Premium]] + SnapshotTable[[#This Row],[LP Premium]])+ (SnapshotTable[[#This Row],[LC Premium]] - SnapshotTable[[#This Row],[SC Premium]])</f>
        <v>0</v>
      </c>
      <c r="GW169" s="139" t="str">
        <f>IF(AND(SnapshotTable[[#This Row],[Exposure]] &lt;&gt; 0),SnapshotTable[[#This Row],[Exposure]] / SnapshotTable[[#Totals],[Exposure]], "")</f>
        <v/>
      </c>
      <c r="HE169" s="268"/>
      <c r="HF169" s="268"/>
      <c r="HK169" s="1"/>
      <c r="HL169" s="1"/>
      <c r="HM169" s="1"/>
      <c r="HN169" s="1"/>
      <c r="HO169" s="1"/>
      <c r="HP169" s="1"/>
    </row>
    <row r="170" spans="2:224" ht="12.75" hidden="1" customHeight="1" x14ac:dyDescent="0.25">
      <c r="B170" s="12" t="s">
        <v>220</v>
      </c>
      <c r="C170" s="422">
        <v>400.61</v>
      </c>
      <c r="D170" s="208"/>
      <c r="E170" s="39">
        <f>SnapshotTable[[#This Row],[Last Price]]*(1 -CrashDiscount)</f>
        <v>340.51850000000002</v>
      </c>
      <c r="F170" s="26" t="s">
        <v>55</v>
      </c>
      <c r="G170" s="26" t="s">
        <v>9</v>
      </c>
      <c r="H170" s="149"/>
      <c r="I170" s="194">
        <v>44768.670138888891</v>
      </c>
      <c r="J170" s="195">
        <v>44768.670138888891</v>
      </c>
      <c r="K170" s="196"/>
      <c r="L170" s="326" t="s">
        <v>152</v>
      </c>
      <c r="M170" s="140"/>
      <c r="N170" s="140"/>
      <c r="O170" s="140"/>
      <c r="P170" s="22"/>
      <c r="Q170" s="25"/>
      <c r="R170" s="4" t="str">
        <f>IF(SnapshotTable[[#This Row],[Equity Basis Total]] &gt; 0, SnapshotTable[[#This Row],[Equity Basis Total]] / SnapshotTable[[#This Row],[Equity Shares]], "")</f>
        <v/>
      </c>
      <c r="S170" s="269">
        <f>SnapshotTable[[#This Row],[Last Price]] * SnapshotTable[[#This Row],[Equity Shares]]</f>
        <v>0</v>
      </c>
      <c r="T170" s="269">
        <f>SnapshotTable[[#This Row],[Equity Value]] - SnapshotTable[[#This Row],[Equity Basis Total]]</f>
        <v>0</v>
      </c>
      <c r="U170" s="270" t="str">
        <f>IF(SnapshotTable[[#This Row],[Equity Basis Total]] &gt; 0, SnapshotTable[[#This Row],[Equity G/L]] / SnapshotTable[[#This Row],[Equity Basis Total]], "")</f>
        <v/>
      </c>
      <c r="V170" s="268"/>
      <c r="W170" s="26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7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0">
        <v>0</v>
      </c>
      <c r="AD170" s="151" t="s">
        <v>2</v>
      </c>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1" t="s">
        <v>2</v>
      </c>
      <c r="AI170" s="5">
        <v>125</v>
      </c>
      <c r="AJ170" s="138">
        <v>134.13999999999999</v>
      </c>
      <c r="AK170" s="152">
        <f>IF(ISNUMBER( SnapshotTable[[#This Row],[EBF Target]]),(SnapshotTable[[#This Row],[EBF Target]] - SnapshotTable[[#This Row],[Last Price]]) / SnapshotTable[[#This Row],[Last Price]], "")</f>
        <v>-0.68797583684880559</v>
      </c>
      <c r="AL170" s="152"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2">
        <f>IF(AND(ISNUMBER( SnapshotTable[[#This Row],[Long Term Target]]), ISNUMBER(SnapshotTable[[#This Row],[Last Price]])),(SnapshotTable[[#This Row],[Long Term Target]] - SnapshotTable[[#This Row],[Last Price]]) / SnapshotTable[[#This Row],[Last Price]], "")</f>
        <v>-0.66516063003919024</v>
      </c>
      <c r="AP170" s="5"/>
      <c r="AQ170" s="38"/>
      <c r="AR170" s="5"/>
      <c r="AS170" s="38"/>
      <c r="AT170" s="146"/>
      <c r="AU170" s="187" t="str">
        <f>IF(OR(SnapshotTable[[#This Row],[LP No Fill]]="Y",SnapshotTable[[#This Row],[SP Is Filled]],SnapshotTable[[#This Row],[LC Not Filled]]="Y",SnapshotTable[[#This Row],[SC Is Filled]]),"Y","")</f>
        <v/>
      </c>
      <c r="AV170" s="219"/>
      <c r="AW170" s="225"/>
      <c r="AX170" s="220"/>
      <c r="AY170" s="219" t="str">
        <f>IF(SnapshotTable[[#This Row],[Implied Move]]&gt;0, SnapshotTable[[#This Row],[Last Price]]-SnapshotTable[[#This Row],[Implied Move]],"")</f>
        <v/>
      </c>
      <c r="AZ170" s="219" t="str">
        <f>IF(SnapshotTable[[#This Row],[Implied Move]]&gt;0, SnapshotTable[[#This Row],[Last Price]] + SnapshotTable[[#This Row],[Implied Move]],"")</f>
        <v/>
      </c>
      <c r="BA170" s="331"/>
      <c r="BB170" s="347"/>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51"/>
      <c r="BE170" s="5"/>
      <c r="BF170" s="14"/>
      <c r="BG170" s="13"/>
      <c r="BH170" s="13"/>
      <c r="BI170" s="5"/>
      <c r="BJ170" s="136">
        <f>IF(SnapshotTable[[#This Row],[LP Qty]] &gt; 0, SnapshotTable[[#This Row],[LP Qty]] * SnapshotTable[[#This Row],[LP Book Price]] * 100,0)</f>
        <v>0</v>
      </c>
      <c r="BK170" s="136">
        <f>IF(SnapshotTable[[#This Row],[LP Premium]] &gt; 0, SnapshotTable[[#This Row],[LP Qty]] * SnapshotTable[[#This Row],[LP Strike Price]] * 100,0)</f>
        <v>0</v>
      </c>
      <c r="BL170" s="154"/>
      <c r="BM170" s="385" t="str">
        <f>IF(SnapshotTable[[#This Row],[LP Premium]] &gt; 0,SnapshotTable[[#This Row],[LP Exp Date]]-MAX(SnapshotTable[[#This Row],[LP Book Date]], SnapshotTable[[#This Row],[LP Fill Date]]),"")</f>
        <v/>
      </c>
      <c r="BN170" s="385" t="str">
        <f>IF(ISNUMBER( SnapshotTable[[#This Row],[LP Term]]), SnapshotTable[[#This Row],[LP Exp Date]] - MockToday,"")</f>
        <v/>
      </c>
      <c r="BO170" s="163"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7"/>
      <c r="BU170" s="13"/>
      <c r="BV170" s="5"/>
      <c r="BW170" s="419" t="b">
        <f>AND(ISNUMBER(SnapshotTable[[#This Row],[SP Exp Date]]), ISNUMBER(SnapshotTable[[#This Row],[SP Strike Price]]), ISNUMBER(SnapshotTable[[#This Row],[SP Qty]]), ISNUMBER(SnapshotTable[[#This Row],[SP Book Date]]), ISNUMBER(SnapshotTable[[#This Row],[SP Book Price]]))</f>
        <v>0</v>
      </c>
      <c r="BX170" s="419" t="b">
        <f>AND(SnapshotTable[[#This Row],[SP Is Booked]], NOT(ISBLANK(SnapshotTable[[#This Row],[SP Fill Date]])))</f>
        <v>0</v>
      </c>
      <c r="BY170" s="33">
        <f>IF(SnapshotTable[[#This Row],[SP Is Booked]], SnapshotTable[[#This Row],[SP Qty]] * SnapshotTable[[#This Row],[SP Book Price]] * 100, 0)</f>
        <v>0</v>
      </c>
      <c r="BZ170" s="369"/>
      <c r="CA170" s="368">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3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44"/>
      <c r="CK170" s="31">
        <f>IF(ISNUMBER(SnapshotTable[[#This Row],[SP Potential Spend]]),IF(ISNUMBER(SnapshotTable[[#This Row],[SP POW]]), SnapshotTable[[#This Row],[SP POW]] * SnapshotTable[[#This Row],[SP Potential Spend]], SnapshotTable[[#This Row],[SP Potential Spend]]), "")</f>
        <v>0</v>
      </c>
      <c r="CL170" s="164">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8"/>
      <c r="CO170" s="369"/>
      <c r="CP170" s="4" t="str">
        <f>IF(SnapshotTable[[#This Row],[SP Is Filled]], btc_max_buyback_amount(SnapshotTable[[#This Row],[SP Fill Date]],SnapshotTable[[#This Row],[SP Exp Date]], SnapshotTable[[#This Row],[SP Book Price]]),"")</f>
        <v/>
      </c>
      <c r="CQ170" s="78"/>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5" t="str">
        <f>IF(SnapshotTable[[#This Row],[SP Is Filled]], btc_next_cutoff_date(SnapshotTable[[#This Row],[SP Fill Date]],SnapshotTable[[#This Row],[SP Exp Date]]),"")</f>
        <v/>
      </c>
      <c r="CT170" s="23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3"/>
      <c r="CV170" s="235"/>
      <c r="CW170" s="378"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294" t="str">
        <f>IF(ISNUMBER((SnapshotTable[[#This Row],[SP Total Value]])), SnapshotTable[[#This Row],[SP Gain Loss]] / SnapshotTable[[#This Row],[SP Premium]], "")</f>
        <v/>
      </c>
      <c r="DI170" s="406"/>
      <c r="DJ170" s="138"/>
      <c r="DK170" s="148"/>
      <c r="DL170" s="13"/>
      <c r="DM170" s="13"/>
      <c r="DO170" s="31">
        <f>IF(SnapshotTable[[#This Row],[LC Symbol Count]]=1, SnapshotTable[[#This Row],[LC Qty]] * SnapshotTable[[#This Row],[LC Book Price]] * 100, 0)</f>
        <v>0</v>
      </c>
      <c r="DP170" s="163" t="str">
        <f>IF(AND(SnapshotTable[[#This Row],[LC Exp Date]]&gt;0, SnapshotTable[[#This Row],[LC Strike Price]]&gt;0,SnapshotTable[[#This Row],[LC Qty]]&gt;0,SnapshotTable[[#This Row],[LC Book Date]]&gt;0,SnapshotTable[[#This Row],[LC Book Price]]&gt;0,SnapshotTable[[#This Row],[LC Fill Date]]=0),"Y","")</f>
        <v/>
      </c>
      <c r="DQ170" s="386" t="str">
        <f>IF(SnapshotTable[[#This Row],[LC Premium]] &gt; 0,SnapshotTable[[#This Row],[LC Exp Date]]-MAX(SnapshotTable[[#This Row],[LC Book Date]], SnapshotTable[[#This Row],[LC Fill Date]]),"")</f>
        <v/>
      </c>
      <c r="DR170" s="386" t="str">
        <f>IF(ISNUMBER(SnapshotTable[[#This Row],[LC Term]]), SnapshotTable[[#This Row],[LC Exp Date]] - MockToday, "")</f>
        <v/>
      </c>
      <c r="DS170" s="23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40" t="str">
        <f>IF(ISNUMBER(SnapshotTable[[#This Row],[LC Actual Gain Loss]]), SnapshotTable[[#This Row],[LC Actual Gain Loss]] / SnapshotTable[[#This Row],[LC Premium]],"")</f>
        <v/>
      </c>
      <c r="DX170" s="284" t="str">
        <f>IF(ISNUMBER(SnapshotTable[[#This Row],[LC Book Price]]),SnapshotTable[[#This Row],[LC Book Price]] * 1.5,"")</f>
        <v/>
      </c>
      <c r="DY170" s="265" t="str">
        <f>IF(SnapshotTable[[#This Row],[LC Premium]]&gt;0, SnapshotTable[[#This Row],[LC Next Target]] * SnapshotTable[[#This Row],[LC Qty]] * 100,"")</f>
        <v/>
      </c>
      <c r="DZ170" s="265" t="str">
        <f>IF(ISNUMBER(SnapshotTable[[#This Row],[LC Target Gross]]), SnapshotTable[[#This Row],[LC Target Gross]] - SnapshotTable[[#This Row],[LC Premium]], "")</f>
        <v/>
      </c>
      <c r="EA170" s="305" t="str">
        <f>IF(ISNUMBER(SnapshotTable[[#This Row],[LC Target Gain Loss]]), SnapshotTable[[#This Row],[LC Target Gain Loss]]/SnapshotTable[[#This Row],[LC Premium]], "")</f>
        <v/>
      </c>
      <c r="EB170" s="262"/>
      <c r="EC170" s="283" t="str">
        <f>IF(SnapshotTable[[#This Row],[LC Premium]]&gt;0, SnapshotTable[[#This Row],[LC Book Price]] * (1 - LC_StopLoss_Pct),"")</f>
        <v/>
      </c>
      <c r="ED170" s="284"/>
      <c r="EE170" s="28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4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7"/>
      <c r="EL170" s="138"/>
      <c r="EM170" s="148"/>
      <c r="EN170" s="147"/>
      <c r="EO170" s="147"/>
      <c r="EP170" s="138"/>
      <c r="EQ170" s="419" t="b">
        <f>AND(ISNUMBER(SnapshotTable[[#This Row],[SC Exp Date]]), ISNUMBER(SnapshotTable[[#This Row],[SC Strike Price]]), ISNUMBER(SnapshotTable[[#This Row],[SC Qty]]), ISNUMBER(SnapshotTable[[#This Row],[SC Book Date]]), ISNUMBER(SnapshotTable[[#This Row],[SC Book Price]]))</f>
        <v>0</v>
      </c>
      <c r="ER170" s="419" t="b">
        <f>AND(SnapshotTable[[#This Row],[SC Is Booked]], NOT(ISBLANK(SnapshotTable[[#This Row],[SC Fill Date]])))</f>
        <v>0</v>
      </c>
      <c r="ES170" s="370"/>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3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283"/>
      <c r="FA170" s="218"/>
      <c r="FB170" s="370"/>
      <c r="FC170" s="4">
        <f>IF(SnapshotTable[[#This Row],[SC Is Filled]], btc_max_buyback_amount(SnapshotTable[[#This Row],[SC Fill Date]],SnapshotTable[[#This Row],[SC Exp Date]], SnapshotTable[[#This Row],[SC Book Price]]),0)</f>
        <v>0</v>
      </c>
      <c r="FD170" s="5"/>
      <c r="FE170" s="144"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382">
        <f>IF(SnapshotTable[[#This Row],[SC Is Filled]], IF(ISNUMBER(SnapshotTable[[#This Row],[SC Current Ask]]), SnapshotTable[[#This Row],[SC Current Ask]], SnapshotTable[[#This Row],[SC Book Price]]) - SnapshotTable[[#This Row],[SC Intrinsic Value]], 0)</f>
        <v>0</v>
      </c>
      <c r="FI170" s="143"/>
      <c r="FJ170" s="32" t="str">
        <f>IF(SnapshotTable[[#This Row],[SC Is Filled]],100 * SnapshotTable[[#This Row],[SC Qty]] * IF(ISNUMBER(SnapshotTable[[#This Row],[SC Buyback Override]]), SnapshotTable[[#This Row],[SC Buyback Override]], SnapshotTable[[#This Row],[SC Current Ask]]), "")</f>
        <v/>
      </c>
      <c r="FK170" s="250" t="str">
        <f>IF(SnapshotTable[[#This Row],[SC Time Val]]&gt;0, SnapshotTable[[#This Row],[SC Time Val]] / SnapshotTable[[#This Row],[Last Price]],"")</f>
        <v/>
      </c>
      <c r="FL170" s="302" t="str">
        <f>IF(SnapshotTable[[#This Row],[SC Is Booked]], ((SnapshotTable[[#This Row],[Last Price]] -SnapshotTable[[#This Row],[SC Strike Price]]) / SnapshotTable[[#This Row],[Last Price]]) * -1, "")</f>
        <v/>
      </c>
      <c r="FM170" s="157"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33"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36" t="str">
        <f>IF(AND(ISNUMBER(SnapshotTable[[#This Row],[SC Simple ROO]]),SnapshotTable[[#This Row],[SC Simple ROO]] &gt; 0), SnapshotTable[[#This Row],[SC Premium]] + (SnapshotTable[[#This Row],[SC Qty]] * SnapshotTable[[#This Row],[SC Upside Potential]]), "")</f>
        <v/>
      </c>
      <c r="FX170" s="302" t="str" cm="1">
        <f t="array" ref="FX170">IF(ISNUMBER(SnapshotTable[[#This Row],[SC Max Dollars]]), annualize(SnapshotTable[[#This Row],[SC Term]],(SnapshotTable[[#This Row],[SC Max Dollars]]/SnapshotTable[[#This Row],[SC Basis]])),"")</f>
        <v/>
      </c>
      <c r="FY170" s="23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29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127.43299999999998</v>
      </c>
      <c r="GD170" s="40">
        <f>SnapshotTable[[#This Row],[Last Price]] * (1+ SellingPriceToConsiderBasedOnTargetPercentage)</f>
        <v>781.18949999999995</v>
      </c>
      <c r="GE170" s="41"/>
      <c r="GF170" s="40">
        <v>121.18</v>
      </c>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704</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31">
        <f>MAX(SnapshotTable[[#This Row],[Equity Basis Total]],SnapshotTable[[#This Row],[Equity Value]]) + (SnapshotTable[[#This Row],[SP Potential Spend]]- SnapshotTable[[#This Row],[SP Premium]] + SnapshotTable[[#This Row],[LP Premium]])+ (SnapshotTable[[#This Row],[LC Premium]] - SnapshotTable[[#This Row],[SC Premium]])</f>
        <v>0</v>
      </c>
      <c r="GW170" s="139" t="str">
        <f>IF(AND(SnapshotTable[[#This Row],[Exposure]] &lt;&gt; 0),SnapshotTable[[#This Row],[Exposure]] / SnapshotTable[[#Totals],[Exposure]], "")</f>
        <v/>
      </c>
      <c r="HE170" s="268"/>
      <c r="HF170" s="268"/>
      <c r="HK170" s="1"/>
      <c r="HL170" s="1"/>
      <c r="HM170" s="1"/>
      <c r="HN170" s="1"/>
      <c r="HO170" s="1"/>
      <c r="HP170" s="1"/>
    </row>
    <row r="171" spans="2:224" ht="12.75" hidden="1" customHeight="1" x14ac:dyDescent="0.25">
      <c r="B171" s="12" t="s">
        <v>229</v>
      </c>
      <c r="C171" s="422">
        <v>204.87</v>
      </c>
      <c r="D171" s="208"/>
      <c r="E171" s="39">
        <f>SnapshotTable[[#This Row],[Last Price]]*(1 -CrashDiscount)</f>
        <v>174.1395</v>
      </c>
      <c r="F171" s="26" t="s">
        <v>47</v>
      </c>
      <c r="G171" s="26" t="s">
        <v>14</v>
      </c>
      <c r="H171" s="149"/>
      <c r="I171" s="194">
        <v>44720.666666666664</v>
      </c>
      <c r="J171" s="195">
        <v>44720.666666666664</v>
      </c>
      <c r="K171" s="196" t="s">
        <v>3</v>
      </c>
      <c r="L171" s="326"/>
      <c r="M171" s="140"/>
      <c r="N171" s="140"/>
      <c r="O171" s="140"/>
      <c r="P171" s="22"/>
      <c r="Q171" s="25"/>
      <c r="R171" s="4" t="str">
        <f>IF(SnapshotTable[[#This Row],[Equity Basis Total]] &gt; 0, SnapshotTable[[#This Row],[Equity Basis Total]] / SnapshotTable[[#This Row],[Equity Shares]], "")</f>
        <v/>
      </c>
      <c r="S171" s="269">
        <f>SnapshotTable[[#This Row],[Last Price]] * SnapshotTable[[#This Row],[Equity Shares]]</f>
        <v>0</v>
      </c>
      <c r="T171" s="269">
        <f>SnapshotTable[[#This Row],[Equity Value]] - SnapshotTable[[#This Row],[Equity Basis Total]]</f>
        <v>0</v>
      </c>
      <c r="U171" s="270" t="str">
        <f>IF(SnapshotTable[[#This Row],[Equity Basis Total]] &gt; 0, SnapshotTable[[#This Row],[Equity G/L]] / SnapshotTable[[#This Row],[Equity Basis Total]], "")</f>
        <v/>
      </c>
      <c r="V171" s="268"/>
      <c r="W171" s="26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7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0"/>
      <c r="AD171" s="151"/>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1"/>
      <c r="AI171" s="5"/>
      <c r="AJ171" s="138">
        <v>85.19</v>
      </c>
      <c r="AK171" s="152" t="str">
        <f>IF(ISNUMBER( SnapshotTable[[#This Row],[EBF Target]]),(SnapshotTable[[#This Row],[EBF Target]] - SnapshotTable[[#This Row],[Last Price]]) / SnapshotTable[[#This Row],[Last Price]], "")</f>
        <v/>
      </c>
      <c r="AL171" s="152"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2">
        <f>IF(AND(ISNUMBER( SnapshotTable[[#This Row],[Long Term Target]]), ISNUMBER(SnapshotTable[[#This Row],[Last Price]])),(SnapshotTable[[#This Row],[Long Term Target]] - SnapshotTable[[#This Row],[Last Price]]) / SnapshotTable[[#This Row],[Last Price]], "")</f>
        <v>-0.58417533069751548</v>
      </c>
      <c r="AP171" s="5">
        <v>120</v>
      </c>
      <c r="AQ171" s="38" t="s">
        <v>46</v>
      </c>
      <c r="AR171" s="5">
        <v>115</v>
      </c>
      <c r="AS171" s="38" t="s">
        <v>26</v>
      </c>
      <c r="AT171" s="146"/>
      <c r="AU171" s="187" t="str">
        <f>IF(OR(SnapshotTable[[#This Row],[LP No Fill]]="Y",SnapshotTable[[#This Row],[SP Is Filled]],SnapshotTable[[#This Row],[LC Not Filled]]="Y",SnapshotTable[[#This Row],[SC Is Filled]]),"Y","")</f>
        <v/>
      </c>
      <c r="AV171" s="219"/>
      <c r="AW171" s="225"/>
      <c r="AX171" s="220"/>
      <c r="AY171" s="219" t="str">
        <f>IF(SnapshotTable[[#This Row],[Implied Move]]&gt;0, SnapshotTable[[#This Row],[Last Price]]-SnapshotTable[[#This Row],[Implied Move]],"")</f>
        <v/>
      </c>
      <c r="AZ171" s="219" t="str">
        <f>IF(SnapshotTable[[#This Row],[Implied Move]]&gt;0, SnapshotTable[[#This Row],[Last Price]] + SnapshotTable[[#This Row],[Implied Move]],"")</f>
        <v/>
      </c>
      <c r="BA171" s="331"/>
      <c r="BB171" s="347"/>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51"/>
      <c r="BE171" s="5"/>
      <c r="BF171" s="14"/>
      <c r="BG171" s="13"/>
      <c r="BH171" s="13"/>
      <c r="BI171" s="5"/>
      <c r="BJ171" s="136">
        <f>IF(SnapshotTable[[#This Row],[LP Qty]] &gt; 0, SnapshotTable[[#This Row],[LP Qty]] * SnapshotTable[[#This Row],[LP Book Price]] * 100,0)</f>
        <v>0</v>
      </c>
      <c r="BK171" s="136">
        <f>IF(SnapshotTable[[#This Row],[LP Premium]] &gt; 0, SnapshotTable[[#This Row],[LP Qty]] * SnapshotTable[[#This Row],[LP Strike Price]] * 100,0)</f>
        <v>0</v>
      </c>
      <c r="BL171" s="154"/>
      <c r="BM171" s="385" t="str">
        <f>IF(SnapshotTable[[#This Row],[LP Premium]] &gt; 0,SnapshotTable[[#This Row],[LP Exp Date]]-MAX(SnapshotTable[[#This Row],[LP Book Date]], SnapshotTable[[#This Row],[LP Fill Date]]),"")</f>
        <v/>
      </c>
      <c r="BN171" s="385" t="str">
        <f>IF(ISNUMBER( SnapshotTable[[#This Row],[LP Term]]), SnapshotTable[[#This Row],[LP Exp Date]] - MockToday,"")</f>
        <v/>
      </c>
      <c r="BO171" s="163"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7"/>
      <c r="BU171" s="13"/>
      <c r="BV171" s="5"/>
      <c r="BW171" s="419" t="b">
        <f>AND(ISNUMBER(SnapshotTable[[#This Row],[SP Exp Date]]), ISNUMBER(SnapshotTable[[#This Row],[SP Strike Price]]), ISNUMBER(SnapshotTable[[#This Row],[SP Qty]]), ISNUMBER(SnapshotTable[[#This Row],[SP Book Date]]), ISNUMBER(SnapshotTable[[#This Row],[SP Book Price]]))</f>
        <v>0</v>
      </c>
      <c r="BX171" s="419" t="b">
        <f>AND(SnapshotTable[[#This Row],[SP Is Booked]], NOT(ISBLANK(SnapshotTable[[#This Row],[SP Fill Date]])))</f>
        <v>0</v>
      </c>
      <c r="BY171" s="33">
        <f>IF(SnapshotTable[[#This Row],[SP Is Booked]], SnapshotTable[[#This Row],[SP Qty]] * SnapshotTable[[#This Row],[SP Book Price]] * 100, 0)</f>
        <v>0</v>
      </c>
      <c r="BZ171" s="369"/>
      <c r="CA171" s="368">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3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44"/>
      <c r="CK171" s="31">
        <f>IF(ISNUMBER(SnapshotTable[[#This Row],[SP Potential Spend]]),IF(ISNUMBER(SnapshotTable[[#This Row],[SP POW]]), SnapshotTable[[#This Row],[SP POW]] * SnapshotTable[[#This Row],[SP Potential Spend]], SnapshotTable[[#This Row],[SP Potential Spend]]), "")</f>
        <v>0</v>
      </c>
      <c r="CL171" s="164">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8"/>
      <c r="CO171" s="369"/>
      <c r="CP171" s="4" t="str">
        <f>IF(SnapshotTable[[#This Row],[SP Is Filled]], btc_max_buyback_amount(SnapshotTable[[#This Row],[SP Fill Date]],SnapshotTable[[#This Row],[SP Exp Date]], SnapshotTable[[#This Row],[SP Book Price]]),"")</f>
        <v/>
      </c>
      <c r="CQ171" s="78"/>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5" t="str">
        <f>IF(SnapshotTable[[#This Row],[SP Is Filled]], btc_next_cutoff_date(SnapshotTable[[#This Row],[SP Fill Date]],SnapshotTable[[#This Row],[SP Exp Date]]),"")</f>
        <v/>
      </c>
      <c r="CT171" s="23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3"/>
      <c r="CV171" s="235"/>
      <c r="CW171" s="378"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294" t="str">
        <f>IF(ISNUMBER((SnapshotTable[[#This Row],[SP Total Value]])), SnapshotTable[[#This Row],[SP Gain Loss]] / SnapshotTable[[#This Row],[SP Premium]], "")</f>
        <v/>
      </c>
      <c r="DI171" s="406"/>
      <c r="DJ171" s="138"/>
      <c r="DK171" s="148"/>
      <c r="DL171" s="13"/>
      <c r="DM171" s="13"/>
      <c r="DO171" s="31">
        <f>IF(SnapshotTable[[#This Row],[LC Symbol Count]]=1, SnapshotTable[[#This Row],[LC Qty]] * SnapshotTable[[#This Row],[LC Book Price]] * 100, 0)</f>
        <v>0</v>
      </c>
      <c r="DP171" s="163" t="str">
        <f>IF(AND(SnapshotTable[[#This Row],[LC Exp Date]]&gt;0, SnapshotTable[[#This Row],[LC Strike Price]]&gt;0,SnapshotTable[[#This Row],[LC Qty]]&gt;0,SnapshotTable[[#This Row],[LC Book Date]]&gt;0,SnapshotTable[[#This Row],[LC Book Price]]&gt;0,SnapshotTable[[#This Row],[LC Fill Date]]=0),"Y","")</f>
        <v/>
      </c>
      <c r="DQ171" s="386" t="str">
        <f>IF(SnapshotTable[[#This Row],[LC Premium]] &gt; 0,SnapshotTable[[#This Row],[LC Exp Date]]-MAX(SnapshotTable[[#This Row],[LC Book Date]], SnapshotTable[[#This Row],[LC Fill Date]]),"")</f>
        <v/>
      </c>
      <c r="DR171" s="386" t="str">
        <f>IF(ISNUMBER(SnapshotTable[[#This Row],[LC Term]]), SnapshotTable[[#This Row],[LC Exp Date]] - MockToday, "")</f>
        <v/>
      </c>
      <c r="DS171" s="23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40" t="str">
        <f>IF(ISNUMBER(SnapshotTable[[#This Row],[LC Actual Gain Loss]]), SnapshotTable[[#This Row],[LC Actual Gain Loss]] / SnapshotTable[[#This Row],[LC Premium]],"")</f>
        <v/>
      </c>
      <c r="DX171" s="284" t="str">
        <f>IF(ISNUMBER(SnapshotTable[[#This Row],[LC Book Price]]),SnapshotTable[[#This Row],[LC Book Price]] * 1.5,"")</f>
        <v/>
      </c>
      <c r="DY171" s="265" t="str">
        <f>IF(SnapshotTable[[#This Row],[LC Premium]]&gt;0, SnapshotTable[[#This Row],[LC Next Target]] * SnapshotTable[[#This Row],[LC Qty]] * 100,"")</f>
        <v/>
      </c>
      <c r="DZ171" s="265" t="str">
        <f>IF(ISNUMBER(SnapshotTable[[#This Row],[LC Target Gross]]), SnapshotTable[[#This Row],[LC Target Gross]] - SnapshotTable[[#This Row],[LC Premium]], "")</f>
        <v/>
      </c>
      <c r="EA171" s="305" t="str">
        <f>IF(ISNUMBER(SnapshotTable[[#This Row],[LC Target Gain Loss]]), SnapshotTable[[#This Row],[LC Target Gain Loss]]/SnapshotTable[[#This Row],[LC Premium]], "")</f>
        <v/>
      </c>
      <c r="EB171" s="262"/>
      <c r="EC171" s="283" t="str">
        <f>IF(SnapshotTable[[#This Row],[LC Premium]]&gt;0, SnapshotTable[[#This Row],[LC Book Price]] * (1 - LC_StopLoss_Pct),"")</f>
        <v/>
      </c>
      <c r="ED171" s="284"/>
      <c r="EE171" s="28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4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7"/>
      <c r="EL171" s="138"/>
      <c r="EM171" s="148"/>
      <c r="EN171" s="147"/>
      <c r="EO171" s="147"/>
      <c r="EP171" s="138"/>
      <c r="EQ171" s="419" t="b">
        <f>AND(ISNUMBER(SnapshotTable[[#This Row],[SC Exp Date]]), ISNUMBER(SnapshotTable[[#This Row],[SC Strike Price]]), ISNUMBER(SnapshotTable[[#This Row],[SC Qty]]), ISNUMBER(SnapshotTable[[#This Row],[SC Book Date]]), ISNUMBER(SnapshotTable[[#This Row],[SC Book Price]]))</f>
        <v>0</v>
      </c>
      <c r="ER171" s="419" t="b">
        <f>AND(SnapshotTable[[#This Row],[SC Is Booked]], NOT(ISBLANK(SnapshotTable[[#This Row],[SC Fill Date]])))</f>
        <v>0</v>
      </c>
      <c r="ES171" s="370"/>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3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283"/>
      <c r="FA171" s="218"/>
      <c r="FB171" s="370"/>
      <c r="FC171" s="4">
        <f>IF(SnapshotTable[[#This Row],[SC Is Filled]], btc_max_buyback_amount(SnapshotTable[[#This Row],[SC Fill Date]],SnapshotTable[[#This Row],[SC Exp Date]], SnapshotTable[[#This Row],[SC Book Price]]),0)</f>
        <v>0</v>
      </c>
      <c r="FD171" s="5"/>
      <c r="FE171" s="144"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382">
        <f>IF(SnapshotTable[[#This Row],[SC Is Filled]], IF(ISNUMBER(SnapshotTable[[#This Row],[SC Current Ask]]), SnapshotTable[[#This Row],[SC Current Ask]], SnapshotTable[[#This Row],[SC Book Price]]) - SnapshotTable[[#This Row],[SC Intrinsic Value]], 0)</f>
        <v>0</v>
      </c>
      <c r="FI171" s="143"/>
      <c r="FJ171" s="32" t="str">
        <f>IF(SnapshotTable[[#This Row],[SC Is Filled]],100 * SnapshotTable[[#This Row],[SC Qty]] * IF(ISNUMBER(SnapshotTable[[#This Row],[SC Buyback Override]]), SnapshotTable[[#This Row],[SC Buyback Override]], SnapshotTable[[#This Row],[SC Current Ask]]), "")</f>
        <v/>
      </c>
      <c r="FK171" s="250" t="str">
        <f>IF(SnapshotTable[[#This Row],[SC Time Val]]&gt;0, SnapshotTable[[#This Row],[SC Time Val]] / SnapshotTable[[#This Row],[Last Price]],"")</f>
        <v/>
      </c>
      <c r="FL171" s="302" t="str">
        <f>IF(SnapshotTable[[#This Row],[SC Is Booked]], ((SnapshotTable[[#This Row],[Last Price]] -SnapshotTable[[#This Row],[SC Strike Price]]) / SnapshotTable[[#This Row],[Last Price]]) * -1, "")</f>
        <v/>
      </c>
      <c r="FM171" s="157"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33"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36" t="str">
        <f>IF(AND(ISNUMBER(SnapshotTable[[#This Row],[SC Simple ROO]]),SnapshotTable[[#This Row],[SC Simple ROO]] &gt; 0), SnapshotTable[[#This Row],[SC Premium]] + (SnapshotTable[[#This Row],[SC Qty]] * SnapshotTable[[#This Row],[SC Upside Potential]]), "")</f>
        <v/>
      </c>
      <c r="FX171" s="302" t="str" cm="1">
        <f t="array" ref="FX171">IF(ISNUMBER(SnapshotTable[[#This Row],[SC Max Dollars]]), annualize(SnapshotTable[[#This Row],[SC Term]],(SnapshotTable[[#This Row],[SC Max Dollars]]/SnapshotTable[[#This Row],[SC Basis]])),"")</f>
        <v/>
      </c>
      <c r="FY171" s="23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29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80.930499999999995</v>
      </c>
      <c r="GD171" s="40">
        <f>SnapshotTable[[#This Row],[Last Price]] * (1+ SellingPriceToConsiderBasedOnTargetPercentage)</f>
        <v>399.49650000000003</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705</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31">
        <f>MAX(SnapshotTable[[#This Row],[Equity Basis Total]],SnapshotTable[[#This Row],[Equity Value]]) + (SnapshotTable[[#This Row],[SP Potential Spend]]- SnapshotTable[[#This Row],[SP Premium]] + SnapshotTable[[#This Row],[LP Premium]])+ (SnapshotTable[[#This Row],[LC Premium]] - SnapshotTable[[#This Row],[SC Premium]])</f>
        <v>0</v>
      </c>
      <c r="GW171" s="139" t="str">
        <f>IF(AND(SnapshotTable[[#This Row],[Exposure]] &lt;&gt; 0),SnapshotTable[[#This Row],[Exposure]] / SnapshotTable[[#Totals],[Exposure]], "")</f>
        <v/>
      </c>
      <c r="HE171" s="268"/>
      <c r="HF171" s="268"/>
      <c r="HK171" s="1"/>
      <c r="HL171" s="1"/>
      <c r="HM171" s="1"/>
      <c r="HN171" s="1"/>
      <c r="HO171" s="1"/>
      <c r="HP171" s="1"/>
    </row>
    <row r="172" spans="2:224" ht="12.75" hidden="1" customHeight="1" x14ac:dyDescent="0.25">
      <c r="B172" s="12" t="s">
        <v>33</v>
      </c>
      <c r="C172" s="422">
        <v>40.92</v>
      </c>
      <c r="D172" s="208"/>
      <c r="E172" s="39">
        <f>SnapshotTable[[#This Row],[Last Price]]*(1 -CrashDiscount)</f>
        <v>34.782000000000004</v>
      </c>
      <c r="F172" s="26" t="s">
        <v>31</v>
      </c>
      <c r="G172" s="26" t="s">
        <v>17</v>
      </c>
      <c r="H172" s="149"/>
      <c r="I172" s="194">
        <v>44792.28125</v>
      </c>
      <c r="J172" s="195">
        <v>44792.28125</v>
      </c>
      <c r="K172" s="196"/>
      <c r="L172" s="326"/>
      <c r="M172" s="140"/>
      <c r="N172" s="140"/>
      <c r="O172" s="140">
        <v>2</v>
      </c>
      <c r="P172" s="22"/>
      <c r="Q172" s="25"/>
      <c r="R172" s="4" t="str">
        <f>IF(SnapshotTable[[#This Row],[Equity Basis Total]] &gt; 0, SnapshotTable[[#This Row],[Equity Basis Total]] / SnapshotTable[[#This Row],[Equity Shares]], "")</f>
        <v/>
      </c>
      <c r="S172" s="269">
        <f>SnapshotTable[[#This Row],[Last Price]] * SnapshotTable[[#This Row],[Equity Shares]]</f>
        <v>0</v>
      </c>
      <c r="T172" s="269">
        <f>SnapshotTable[[#This Row],[Equity Value]] - SnapshotTable[[#This Row],[Equity Basis Total]]</f>
        <v>0</v>
      </c>
      <c r="U172" s="270" t="str">
        <f>IF(SnapshotTable[[#This Row],[Equity Basis Total]] &gt; 0, SnapshotTable[[#This Row],[Equity G/L]] / SnapshotTable[[#This Row],[Equity Basis Total]], "")</f>
        <v/>
      </c>
      <c r="V172" s="268"/>
      <c r="W172" s="26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7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0">
        <v>1.24</v>
      </c>
      <c r="AD172" s="151">
        <v>42853</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3.03030303030303E-2</v>
      </c>
      <c r="AH172" s="151">
        <v>43663</v>
      </c>
      <c r="AI172" s="5"/>
      <c r="AJ172" s="138">
        <v>33.520000000000003</v>
      </c>
      <c r="AK172" s="152" t="str">
        <f>IF(ISNUMBER( SnapshotTable[[#This Row],[EBF Target]]),(SnapshotTable[[#This Row],[EBF Target]] - SnapshotTable[[#This Row],[Last Price]]) / SnapshotTable[[#This Row],[Last Price]], "")</f>
        <v/>
      </c>
      <c r="AL172" s="152"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2">
        <f>IF(AND(ISNUMBER( SnapshotTable[[#This Row],[Long Term Target]]), ISNUMBER(SnapshotTable[[#This Row],[Last Price]])),(SnapshotTable[[#This Row],[Long Term Target]] - SnapshotTable[[#This Row],[Last Price]]) / SnapshotTable[[#This Row],[Last Price]], "")</f>
        <v>-0.1808406647116324</v>
      </c>
      <c r="AP172" s="5">
        <v>25</v>
      </c>
      <c r="AQ172" s="38" t="s">
        <v>109</v>
      </c>
      <c r="AR172" s="5">
        <v>20</v>
      </c>
      <c r="AS172" s="38" t="s">
        <v>110</v>
      </c>
      <c r="AT172" s="146" t="s">
        <v>1155</v>
      </c>
      <c r="AU172" s="187" t="str">
        <f>IF(OR(SnapshotTable[[#This Row],[LP No Fill]]="Y",SnapshotTable[[#This Row],[SP Is Filled]],SnapshotTable[[#This Row],[LC Not Filled]]="Y",SnapshotTable[[#This Row],[SC Is Filled]]),"Y","")</f>
        <v/>
      </c>
      <c r="AV172" s="219"/>
      <c r="AW172" s="225"/>
      <c r="AX172" s="220"/>
      <c r="AY172" s="219" t="str">
        <f>IF(SnapshotTable[[#This Row],[Implied Move]]&gt;0, SnapshotTable[[#This Row],[Last Price]]-SnapshotTable[[#This Row],[Implied Move]],"")</f>
        <v/>
      </c>
      <c r="AZ172" s="219" t="str">
        <f>IF(SnapshotTable[[#This Row],[Implied Move]]&gt;0, SnapshotTable[[#This Row],[Last Price]] + SnapshotTable[[#This Row],[Implied Move]],"")</f>
        <v/>
      </c>
      <c r="BA172" s="331">
        <v>1.6</v>
      </c>
      <c r="BB172" s="347"/>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51"/>
      <c r="BE172" s="5"/>
      <c r="BF172" s="14"/>
      <c r="BG172" s="13"/>
      <c r="BH172" s="13"/>
      <c r="BI172" s="5"/>
      <c r="BJ172" s="136">
        <f>IF(SnapshotTable[[#This Row],[LP Qty]] &gt; 0, SnapshotTable[[#This Row],[LP Qty]] * SnapshotTable[[#This Row],[LP Book Price]] * 100,0)</f>
        <v>0</v>
      </c>
      <c r="BK172" s="136">
        <f>IF(SnapshotTable[[#This Row],[LP Premium]] &gt; 0, SnapshotTable[[#This Row],[LP Qty]] * SnapshotTable[[#This Row],[LP Strike Price]] * 100,0)</f>
        <v>0</v>
      </c>
      <c r="BL172" s="154"/>
      <c r="BM172" s="385" t="str">
        <f>IF(SnapshotTable[[#This Row],[LP Premium]] &gt; 0,SnapshotTable[[#This Row],[LP Exp Date]]-MAX(SnapshotTable[[#This Row],[LP Book Date]], SnapshotTable[[#This Row],[LP Fill Date]]),"")</f>
        <v/>
      </c>
      <c r="BN172" s="385" t="str">
        <f>IF(ISNUMBER( SnapshotTable[[#This Row],[LP Term]]), SnapshotTable[[#This Row],[LP Exp Date]] - MockToday,"")</f>
        <v/>
      </c>
      <c r="BO172" s="163"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7"/>
      <c r="BU172" s="13"/>
      <c r="BV172" s="5"/>
      <c r="BW172" s="419" t="b">
        <f>AND(ISNUMBER(SnapshotTable[[#This Row],[SP Exp Date]]), ISNUMBER(SnapshotTable[[#This Row],[SP Strike Price]]), ISNUMBER(SnapshotTable[[#This Row],[SP Qty]]), ISNUMBER(SnapshotTable[[#This Row],[SP Book Date]]), ISNUMBER(SnapshotTable[[#This Row],[SP Book Price]]))</f>
        <v>0</v>
      </c>
      <c r="BX172" s="419" t="b">
        <f>AND(SnapshotTable[[#This Row],[SP Is Booked]], NOT(ISBLANK(SnapshotTable[[#This Row],[SP Fill Date]])))</f>
        <v>0</v>
      </c>
      <c r="BY172" s="33">
        <f>IF(SnapshotTable[[#This Row],[SP Is Booked]], SnapshotTable[[#This Row],[SP Qty]] * SnapshotTable[[#This Row],[SP Book Price]] * 100, 0)</f>
        <v>0</v>
      </c>
      <c r="BZ172" s="369"/>
      <c r="CA172" s="368">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3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44"/>
      <c r="CK172" s="31">
        <f>IF(ISNUMBER(SnapshotTable[[#This Row],[SP Potential Spend]]),IF(ISNUMBER(SnapshotTable[[#This Row],[SP POW]]), SnapshotTable[[#This Row],[SP POW]] * SnapshotTable[[#This Row],[SP Potential Spend]], SnapshotTable[[#This Row],[SP Potential Spend]]), "")</f>
        <v>0</v>
      </c>
      <c r="CL172" s="164">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8"/>
      <c r="CO172" s="369"/>
      <c r="CP172" s="4" t="str">
        <f>IF(SnapshotTable[[#This Row],[SP Is Filled]], btc_max_buyback_amount(SnapshotTable[[#This Row],[SP Fill Date]],SnapshotTable[[#This Row],[SP Exp Date]], SnapshotTable[[#This Row],[SP Book Price]]),"")</f>
        <v/>
      </c>
      <c r="CQ172" s="78"/>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5" t="str">
        <f>IF(SnapshotTable[[#This Row],[SP Is Filled]], btc_next_cutoff_date(SnapshotTable[[#This Row],[SP Fill Date]],SnapshotTable[[#This Row],[SP Exp Date]]),"")</f>
        <v/>
      </c>
      <c r="CT172" s="23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3"/>
      <c r="CV172" s="235"/>
      <c r="CW172" s="378"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294" t="str">
        <f>IF(ISNUMBER((SnapshotTable[[#This Row],[SP Total Value]])), SnapshotTable[[#This Row],[SP Gain Loss]] / SnapshotTable[[#This Row],[SP Premium]], "")</f>
        <v/>
      </c>
      <c r="DI172" s="406"/>
      <c r="DJ172" s="138"/>
      <c r="DK172" s="148"/>
      <c r="DL172" s="13"/>
      <c r="DM172" s="13"/>
      <c r="DO172" s="31">
        <f>IF(SnapshotTable[[#This Row],[LC Symbol Count]]=1, SnapshotTable[[#This Row],[LC Qty]] * SnapshotTable[[#This Row],[LC Book Price]] * 100, 0)</f>
        <v>0</v>
      </c>
      <c r="DP172" s="163" t="str">
        <f>IF(AND(SnapshotTable[[#This Row],[LC Exp Date]]&gt;0, SnapshotTable[[#This Row],[LC Strike Price]]&gt;0,SnapshotTable[[#This Row],[LC Qty]]&gt;0,SnapshotTable[[#This Row],[LC Book Date]]&gt;0,SnapshotTable[[#This Row],[LC Book Price]]&gt;0,SnapshotTable[[#This Row],[LC Fill Date]]=0),"Y","")</f>
        <v/>
      </c>
      <c r="DQ172" s="386" t="str">
        <f>IF(SnapshotTable[[#This Row],[LC Premium]] &gt; 0,SnapshotTable[[#This Row],[LC Exp Date]]-MAX(SnapshotTable[[#This Row],[LC Book Date]], SnapshotTable[[#This Row],[LC Fill Date]]),"")</f>
        <v/>
      </c>
      <c r="DR172" s="386" t="str">
        <f>IF(ISNUMBER(SnapshotTable[[#This Row],[LC Term]]), SnapshotTable[[#This Row],[LC Exp Date]] - MockToday, "")</f>
        <v/>
      </c>
      <c r="DS172" s="23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40" t="str">
        <f>IF(ISNUMBER(SnapshotTable[[#This Row],[LC Actual Gain Loss]]), SnapshotTable[[#This Row],[LC Actual Gain Loss]] / SnapshotTable[[#This Row],[LC Premium]],"")</f>
        <v/>
      </c>
      <c r="DX172" s="284" t="str">
        <f>IF(ISNUMBER(SnapshotTable[[#This Row],[LC Book Price]]),SnapshotTable[[#This Row],[LC Book Price]] * 1.5,"")</f>
        <v/>
      </c>
      <c r="DY172" s="265" t="str">
        <f>IF(SnapshotTable[[#This Row],[LC Premium]]&gt;0, SnapshotTable[[#This Row],[LC Next Target]] * SnapshotTable[[#This Row],[LC Qty]] * 100,"")</f>
        <v/>
      </c>
      <c r="DZ172" s="265" t="str">
        <f>IF(ISNUMBER(SnapshotTable[[#This Row],[LC Target Gross]]), SnapshotTable[[#This Row],[LC Target Gross]] - SnapshotTable[[#This Row],[LC Premium]], "")</f>
        <v/>
      </c>
      <c r="EA172" s="305" t="str">
        <f>IF(ISNUMBER(SnapshotTable[[#This Row],[LC Target Gain Loss]]), SnapshotTable[[#This Row],[LC Target Gain Loss]]/SnapshotTable[[#This Row],[LC Premium]], "")</f>
        <v/>
      </c>
      <c r="EB172" s="262"/>
      <c r="EC172" s="283" t="str">
        <f>IF(SnapshotTable[[#This Row],[LC Premium]]&gt;0, SnapshotTable[[#This Row],[LC Book Price]] * (1 - LC_StopLoss_Pct),"")</f>
        <v/>
      </c>
      <c r="ED172" s="284"/>
      <c r="EE172" s="28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4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7"/>
      <c r="EL172" s="138"/>
      <c r="EM172" s="148"/>
      <c r="EN172" s="147"/>
      <c r="EO172" s="147"/>
      <c r="EP172" s="138"/>
      <c r="EQ172" s="419" t="b">
        <f>AND(ISNUMBER(SnapshotTable[[#This Row],[SC Exp Date]]), ISNUMBER(SnapshotTable[[#This Row],[SC Strike Price]]), ISNUMBER(SnapshotTable[[#This Row],[SC Qty]]), ISNUMBER(SnapshotTable[[#This Row],[SC Book Date]]), ISNUMBER(SnapshotTable[[#This Row],[SC Book Price]]))</f>
        <v>0</v>
      </c>
      <c r="ER172" s="419" t="b">
        <f>AND(SnapshotTable[[#This Row],[SC Is Booked]], NOT(ISBLANK(SnapshotTable[[#This Row],[SC Fill Date]])))</f>
        <v>0</v>
      </c>
      <c r="ES172" s="370"/>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3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283"/>
      <c r="FA172" s="218"/>
      <c r="FB172" s="370"/>
      <c r="FC172" s="4">
        <f>IF(SnapshotTable[[#This Row],[SC Is Filled]], btc_max_buyback_amount(SnapshotTable[[#This Row],[SC Fill Date]],SnapshotTable[[#This Row],[SC Exp Date]], SnapshotTable[[#This Row],[SC Book Price]]),0)</f>
        <v>0</v>
      </c>
      <c r="FD172" s="5"/>
      <c r="FE172" s="144"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382">
        <f>IF(SnapshotTable[[#This Row],[SC Is Filled]], IF(ISNUMBER(SnapshotTable[[#This Row],[SC Current Ask]]), SnapshotTable[[#This Row],[SC Current Ask]], SnapshotTable[[#This Row],[SC Book Price]]) - SnapshotTable[[#This Row],[SC Intrinsic Value]], 0)</f>
        <v>0</v>
      </c>
      <c r="FI172" s="143"/>
      <c r="FJ172" s="32" t="str">
        <f>IF(SnapshotTable[[#This Row],[SC Is Filled]],100 * SnapshotTable[[#This Row],[SC Qty]] * IF(ISNUMBER(SnapshotTable[[#This Row],[SC Buyback Override]]), SnapshotTable[[#This Row],[SC Buyback Override]], SnapshotTable[[#This Row],[SC Current Ask]]), "")</f>
        <v/>
      </c>
      <c r="FK172" s="250" t="str">
        <f>IF(SnapshotTable[[#This Row],[SC Time Val]]&gt;0, SnapshotTable[[#This Row],[SC Time Val]] / SnapshotTable[[#This Row],[Last Price]],"")</f>
        <v/>
      </c>
      <c r="FL172" s="302" t="str">
        <f>IF(SnapshotTable[[#This Row],[SC Is Booked]], ((SnapshotTable[[#This Row],[Last Price]] -SnapshotTable[[#This Row],[SC Strike Price]]) / SnapshotTable[[#This Row],[Last Price]]) * -1, "")</f>
        <v/>
      </c>
      <c r="FM172" s="157"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33"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36" t="str">
        <f>IF(AND(ISNUMBER(SnapshotTable[[#This Row],[SC Simple ROO]]),SnapshotTable[[#This Row],[SC Simple ROO]] &gt; 0), SnapshotTable[[#This Row],[SC Premium]] + (SnapshotTable[[#This Row],[SC Qty]] * SnapshotTable[[#This Row],[SC Upside Potential]]), "")</f>
        <v/>
      </c>
      <c r="FX172" s="302" t="str" cm="1">
        <f t="array" ref="FX172">IF(ISNUMBER(SnapshotTable[[#This Row],[SC Max Dollars]]), annualize(SnapshotTable[[#This Row],[SC Term]],(SnapshotTable[[#This Row],[SC Max Dollars]]/SnapshotTable[[#This Row],[SC Basis]])),"")</f>
        <v/>
      </c>
      <c r="FY172" s="23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29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31.844000000000001</v>
      </c>
      <c r="GD172" s="40">
        <f>SnapshotTable[[#This Row],[Last Price]] * (1+ SellingPriceToConsiderBasedOnTargetPercentage)</f>
        <v>79.793999999999997</v>
      </c>
      <c r="GE172" s="41"/>
      <c r="GF172" s="40"/>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706</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31">
        <f>MAX(SnapshotTable[[#This Row],[Equity Basis Total]],SnapshotTable[[#This Row],[Equity Value]]) + (SnapshotTable[[#This Row],[SP Potential Spend]]- SnapshotTable[[#This Row],[SP Premium]] + SnapshotTable[[#This Row],[LP Premium]])+ (SnapshotTable[[#This Row],[LC Premium]] - SnapshotTable[[#This Row],[SC Premium]])</f>
        <v>0</v>
      </c>
      <c r="GW172" s="139" t="str">
        <f>IF(AND(SnapshotTable[[#This Row],[Exposure]] &lt;&gt; 0),SnapshotTable[[#This Row],[Exposure]] / SnapshotTable[[#Totals],[Exposure]], "")</f>
        <v/>
      </c>
      <c r="HE172" s="268"/>
      <c r="HF172" s="268"/>
      <c r="HK172" s="1"/>
      <c r="HL172" s="1"/>
      <c r="HM172" s="1"/>
      <c r="HN172" s="1"/>
      <c r="HO172" s="1"/>
      <c r="HP172" s="1"/>
    </row>
    <row r="173" spans="2:224" ht="12.75" hidden="1" customHeight="1" x14ac:dyDescent="0.25">
      <c r="B173" s="12" t="s">
        <v>81</v>
      </c>
      <c r="C173" s="422">
        <v>127</v>
      </c>
      <c r="D173" s="208"/>
      <c r="E173" s="39">
        <f>SnapshotTable[[#This Row],[Last Price]]*(1 -CrashDiscount)</f>
        <v>107.95</v>
      </c>
      <c r="F173" s="26" t="s">
        <v>80</v>
      </c>
      <c r="G173" s="26" t="s">
        <v>9</v>
      </c>
      <c r="H173" s="149"/>
      <c r="I173" s="194">
        <v>44776.666666666664</v>
      </c>
      <c r="J173" s="195">
        <v>44776.666666666664</v>
      </c>
      <c r="K173" s="196"/>
      <c r="L173" s="326"/>
      <c r="M173" s="140"/>
      <c r="N173" s="140"/>
      <c r="O173" s="140"/>
      <c r="P173" s="22"/>
      <c r="Q173" s="25"/>
      <c r="R173" s="4" t="str">
        <f>IF(SnapshotTable[[#This Row],[Equity Basis Total]] &gt; 0, SnapshotTable[[#This Row],[Equity Basis Total]] / SnapshotTable[[#This Row],[Equity Shares]], "")</f>
        <v/>
      </c>
      <c r="S173" s="269">
        <f>SnapshotTable[[#This Row],[Last Price]] * SnapshotTable[[#This Row],[Equity Shares]]</f>
        <v>0</v>
      </c>
      <c r="T173" s="269">
        <f>SnapshotTable[[#This Row],[Equity Value]] - SnapshotTable[[#This Row],[Equity Basis Total]]</f>
        <v>0</v>
      </c>
      <c r="U173" s="270" t="str">
        <f>IF(SnapshotTable[[#This Row],[Equity Basis Total]] &gt; 0, SnapshotTable[[#This Row],[Equity G/L]] / SnapshotTable[[#This Row],[Equity Basis Total]], "")</f>
        <v/>
      </c>
      <c r="V173" s="268"/>
      <c r="W173" s="26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7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0"/>
      <c r="AD173" s="151"/>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1"/>
      <c r="AI173" s="5"/>
      <c r="AJ173" s="138">
        <v>13.6</v>
      </c>
      <c r="AK173" s="152" t="str">
        <f>IF(ISNUMBER( SnapshotTable[[#This Row],[EBF Target]]),(SnapshotTable[[#This Row],[EBF Target]] - SnapshotTable[[#This Row],[Last Price]]) / SnapshotTable[[#This Row],[Last Price]], "")</f>
        <v/>
      </c>
      <c r="AL173" s="152"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2">
        <f>IF(AND(ISNUMBER( SnapshotTable[[#This Row],[Long Term Target]]), ISNUMBER(SnapshotTable[[#This Row],[Last Price]])),(SnapshotTable[[#This Row],[Long Term Target]] - SnapshotTable[[#This Row],[Last Price]]) / SnapshotTable[[#This Row],[Last Price]], "")</f>
        <v>-0.89291338582677171</v>
      </c>
      <c r="AP173" s="5"/>
      <c r="AQ173" s="38"/>
      <c r="AR173" s="5"/>
      <c r="AS173" s="38"/>
      <c r="AT173" s="146"/>
      <c r="AU173" s="187" t="str">
        <f>IF(OR(SnapshotTable[[#This Row],[LP No Fill]]="Y",SnapshotTable[[#This Row],[SP Is Filled]],SnapshotTable[[#This Row],[LC Not Filled]]="Y",SnapshotTable[[#This Row],[SC Is Filled]]),"Y","")</f>
        <v/>
      </c>
      <c r="AV173" s="219"/>
      <c r="AW173" s="225"/>
      <c r="AX173" s="220"/>
      <c r="AY173" s="219" t="str">
        <f>IF(SnapshotTable[[#This Row],[Implied Move]]&gt;0, SnapshotTable[[#This Row],[Last Price]]-SnapshotTable[[#This Row],[Implied Move]],"")</f>
        <v/>
      </c>
      <c r="AZ173" s="219" t="str">
        <f>IF(SnapshotTable[[#This Row],[Implied Move]]&gt;0, SnapshotTable[[#This Row],[Last Price]] + SnapshotTable[[#This Row],[Implied Move]],"")</f>
        <v/>
      </c>
      <c r="BA173" s="331">
        <v>12.7</v>
      </c>
      <c r="BB173" s="347"/>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51"/>
      <c r="BE173" s="5"/>
      <c r="BF173" s="14"/>
      <c r="BG173" s="13"/>
      <c r="BH173" s="13"/>
      <c r="BI173" s="5"/>
      <c r="BJ173" s="136">
        <f>IF(SnapshotTable[[#This Row],[LP Qty]] &gt; 0, SnapshotTable[[#This Row],[LP Qty]] * SnapshotTable[[#This Row],[LP Book Price]] * 100,0)</f>
        <v>0</v>
      </c>
      <c r="BK173" s="136">
        <f>IF(SnapshotTable[[#This Row],[LP Premium]] &gt; 0, SnapshotTable[[#This Row],[LP Qty]] * SnapshotTable[[#This Row],[LP Strike Price]] * 100,0)</f>
        <v>0</v>
      </c>
      <c r="BL173" s="154"/>
      <c r="BM173" s="385" t="str">
        <f>IF(SnapshotTable[[#This Row],[LP Premium]] &gt; 0,SnapshotTable[[#This Row],[LP Exp Date]]-MAX(SnapshotTable[[#This Row],[LP Book Date]], SnapshotTable[[#This Row],[LP Fill Date]]),"")</f>
        <v/>
      </c>
      <c r="BN173" s="385" t="str">
        <f>IF(ISNUMBER( SnapshotTable[[#This Row],[LP Term]]), SnapshotTable[[#This Row],[LP Exp Date]] - MockToday,"")</f>
        <v/>
      </c>
      <c r="BO173" s="163"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7"/>
      <c r="BU173" s="13"/>
      <c r="BV173" s="5"/>
      <c r="BW173" s="419" t="b">
        <f>AND(ISNUMBER(SnapshotTable[[#This Row],[SP Exp Date]]), ISNUMBER(SnapshotTable[[#This Row],[SP Strike Price]]), ISNUMBER(SnapshotTable[[#This Row],[SP Qty]]), ISNUMBER(SnapshotTable[[#This Row],[SP Book Date]]), ISNUMBER(SnapshotTable[[#This Row],[SP Book Price]]))</f>
        <v>0</v>
      </c>
      <c r="BX173" s="419" t="b">
        <f>AND(SnapshotTable[[#This Row],[SP Is Booked]], NOT(ISBLANK(SnapshotTable[[#This Row],[SP Fill Date]])))</f>
        <v>0</v>
      </c>
      <c r="BY173" s="33">
        <f>IF(SnapshotTable[[#This Row],[SP Is Booked]], SnapshotTable[[#This Row],[SP Qty]] * SnapshotTable[[#This Row],[SP Book Price]] * 100, 0)</f>
        <v>0</v>
      </c>
      <c r="BZ173" s="369"/>
      <c r="CA173" s="368">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3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44"/>
      <c r="CK173" s="31">
        <f>IF(ISNUMBER(SnapshotTable[[#This Row],[SP Potential Spend]]),IF(ISNUMBER(SnapshotTable[[#This Row],[SP POW]]), SnapshotTable[[#This Row],[SP POW]] * SnapshotTable[[#This Row],[SP Potential Spend]], SnapshotTable[[#This Row],[SP Potential Spend]]), "")</f>
        <v>0</v>
      </c>
      <c r="CL173" s="164">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8"/>
      <c r="CO173" s="369"/>
      <c r="CP173" s="4" t="str">
        <f>IF(SnapshotTable[[#This Row],[SP Is Filled]], btc_max_buyback_amount(SnapshotTable[[#This Row],[SP Fill Date]],SnapshotTable[[#This Row],[SP Exp Date]], SnapshotTable[[#This Row],[SP Book Price]]),"")</f>
        <v/>
      </c>
      <c r="CQ173" s="78"/>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5" t="str">
        <f>IF(SnapshotTable[[#This Row],[SP Is Filled]], btc_next_cutoff_date(SnapshotTable[[#This Row],[SP Fill Date]],SnapshotTable[[#This Row],[SP Exp Date]]),"")</f>
        <v/>
      </c>
      <c r="CT173" s="23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3"/>
      <c r="CV173" s="235"/>
      <c r="CW173" s="378"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294" t="str">
        <f>IF(ISNUMBER((SnapshotTable[[#This Row],[SP Total Value]])), SnapshotTable[[#This Row],[SP Gain Loss]] / SnapshotTable[[#This Row],[SP Premium]], "")</f>
        <v/>
      </c>
      <c r="DI173" s="406"/>
      <c r="DJ173" s="138"/>
      <c r="DK173" s="148"/>
      <c r="DL173" s="13"/>
      <c r="DM173" s="13"/>
      <c r="DO173" s="31">
        <f>IF(SnapshotTable[[#This Row],[LC Symbol Count]]=1, SnapshotTable[[#This Row],[LC Qty]] * SnapshotTable[[#This Row],[LC Book Price]] * 100, 0)</f>
        <v>0</v>
      </c>
      <c r="DP173" s="163" t="str">
        <f>IF(AND(SnapshotTable[[#This Row],[LC Exp Date]]&gt;0, SnapshotTable[[#This Row],[LC Strike Price]]&gt;0,SnapshotTable[[#This Row],[LC Qty]]&gt;0,SnapshotTable[[#This Row],[LC Book Date]]&gt;0,SnapshotTable[[#This Row],[LC Book Price]]&gt;0,SnapshotTable[[#This Row],[LC Fill Date]]=0),"Y","")</f>
        <v/>
      </c>
      <c r="DQ173" s="386" t="str">
        <f>IF(SnapshotTable[[#This Row],[LC Premium]] &gt; 0,SnapshotTable[[#This Row],[LC Exp Date]]-MAX(SnapshotTable[[#This Row],[LC Book Date]], SnapshotTable[[#This Row],[LC Fill Date]]),"")</f>
        <v/>
      </c>
      <c r="DR173" s="386" t="str">
        <f>IF(ISNUMBER(SnapshotTable[[#This Row],[LC Term]]), SnapshotTable[[#This Row],[LC Exp Date]] - MockToday, "")</f>
        <v/>
      </c>
      <c r="DS173" s="23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40" t="str">
        <f>IF(ISNUMBER(SnapshotTable[[#This Row],[LC Actual Gain Loss]]), SnapshotTable[[#This Row],[LC Actual Gain Loss]] / SnapshotTable[[#This Row],[LC Premium]],"")</f>
        <v/>
      </c>
      <c r="DX173" s="284" t="str">
        <f>IF(ISNUMBER(SnapshotTable[[#This Row],[LC Book Price]]),SnapshotTable[[#This Row],[LC Book Price]] * 1.5,"")</f>
        <v/>
      </c>
      <c r="DY173" s="265" t="str">
        <f>IF(SnapshotTable[[#This Row],[LC Premium]]&gt;0, SnapshotTable[[#This Row],[LC Next Target]] * SnapshotTable[[#This Row],[LC Qty]] * 100,"")</f>
        <v/>
      </c>
      <c r="DZ173" s="265" t="str">
        <f>IF(ISNUMBER(SnapshotTable[[#This Row],[LC Target Gross]]), SnapshotTable[[#This Row],[LC Target Gross]] - SnapshotTable[[#This Row],[LC Premium]], "")</f>
        <v/>
      </c>
      <c r="EA173" s="305" t="str">
        <f>IF(ISNUMBER(SnapshotTable[[#This Row],[LC Target Gain Loss]]), SnapshotTable[[#This Row],[LC Target Gain Loss]]/SnapshotTable[[#This Row],[LC Premium]], "")</f>
        <v/>
      </c>
      <c r="EB173" s="262"/>
      <c r="EC173" s="283" t="str">
        <f>IF(SnapshotTable[[#This Row],[LC Premium]]&gt;0, SnapshotTable[[#This Row],[LC Book Price]] * (1 - LC_StopLoss_Pct),"")</f>
        <v/>
      </c>
      <c r="ED173" s="284"/>
      <c r="EE173" s="28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4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7"/>
      <c r="EL173" s="138"/>
      <c r="EM173" s="148"/>
      <c r="EN173" s="147"/>
      <c r="EO173" s="147"/>
      <c r="EP173" s="138"/>
      <c r="EQ173" s="419" t="b">
        <f>AND(ISNUMBER(SnapshotTable[[#This Row],[SC Exp Date]]), ISNUMBER(SnapshotTable[[#This Row],[SC Strike Price]]), ISNUMBER(SnapshotTable[[#This Row],[SC Qty]]), ISNUMBER(SnapshotTable[[#This Row],[SC Book Date]]), ISNUMBER(SnapshotTable[[#This Row],[SC Book Price]]))</f>
        <v>0</v>
      </c>
      <c r="ER173" s="419" t="b">
        <f>AND(SnapshotTable[[#This Row],[SC Is Booked]], NOT(ISBLANK(SnapshotTable[[#This Row],[SC Fill Date]])))</f>
        <v>0</v>
      </c>
      <c r="ES173" s="370"/>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3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283"/>
      <c r="FA173" s="218"/>
      <c r="FB173" s="370"/>
      <c r="FC173" s="4">
        <f>IF(SnapshotTable[[#This Row],[SC Is Filled]], btc_max_buyback_amount(SnapshotTable[[#This Row],[SC Fill Date]],SnapshotTable[[#This Row],[SC Exp Date]], SnapshotTable[[#This Row],[SC Book Price]]),0)</f>
        <v>0</v>
      </c>
      <c r="FD173" s="5"/>
      <c r="FE173" s="144"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382">
        <f>IF(SnapshotTable[[#This Row],[SC Is Filled]], IF(ISNUMBER(SnapshotTable[[#This Row],[SC Current Ask]]), SnapshotTable[[#This Row],[SC Current Ask]], SnapshotTable[[#This Row],[SC Book Price]]) - SnapshotTable[[#This Row],[SC Intrinsic Value]], 0)</f>
        <v>0</v>
      </c>
      <c r="FI173" s="143"/>
      <c r="FJ173" s="32" t="str">
        <f>IF(SnapshotTable[[#This Row],[SC Is Filled]],100 * SnapshotTable[[#This Row],[SC Qty]] * IF(ISNUMBER(SnapshotTable[[#This Row],[SC Buyback Override]]), SnapshotTable[[#This Row],[SC Buyback Override]], SnapshotTable[[#This Row],[SC Current Ask]]), "")</f>
        <v/>
      </c>
      <c r="FK173" s="250" t="str">
        <f>IF(SnapshotTable[[#This Row],[SC Time Val]]&gt;0, SnapshotTable[[#This Row],[SC Time Val]] / SnapshotTable[[#This Row],[Last Price]],"")</f>
        <v/>
      </c>
      <c r="FL173" s="302" t="str">
        <f>IF(SnapshotTable[[#This Row],[SC Is Booked]], ((SnapshotTable[[#This Row],[Last Price]] -SnapshotTable[[#This Row],[SC Strike Price]]) / SnapshotTable[[#This Row],[Last Price]]) * -1, "")</f>
        <v/>
      </c>
      <c r="FM173" s="157"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33"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36" t="str">
        <f>IF(AND(ISNUMBER(SnapshotTable[[#This Row],[SC Simple ROO]]),SnapshotTable[[#This Row],[SC Simple ROO]] &gt; 0), SnapshotTable[[#This Row],[SC Premium]] + (SnapshotTable[[#This Row],[SC Qty]] * SnapshotTable[[#This Row],[SC Upside Potential]]), "")</f>
        <v/>
      </c>
      <c r="FX173" s="302" t="str" cm="1">
        <f t="array" ref="FX173">IF(ISNUMBER(SnapshotTable[[#This Row],[SC Max Dollars]]), annualize(SnapshotTable[[#This Row],[SC Term]],(SnapshotTable[[#This Row],[SC Max Dollars]]/SnapshotTable[[#This Row],[SC Basis]])),"")</f>
        <v/>
      </c>
      <c r="FY173" s="23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29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12.92</v>
      </c>
      <c r="GD173" s="40">
        <f>SnapshotTable[[#This Row],[Last Price]] * (1+ SellingPriceToConsiderBasedOnTargetPercentage)</f>
        <v>247.65</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707</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31">
        <f>MAX(SnapshotTable[[#This Row],[Equity Basis Total]],SnapshotTable[[#This Row],[Equity Value]]) + (SnapshotTable[[#This Row],[SP Potential Spend]]- SnapshotTable[[#This Row],[SP Premium]] + SnapshotTable[[#This Row],[LP Premium]])+ (SnapshotTable[[#This Row],[LC Premium]] - SnapshotTable[[#This Row],[SC Premium]])</f>
        <v>0</v>
      </c>
      <c r="GW173" s="139" t="str">
        <f>IF(AND(SnapshotTable[[#This Row],[Exposure]] &lt;&gt; 0),SnapshotTable[[#This Row],[Exposure]] / SnapshotTable[[#Totals],[Exposure]], "")</f>
        <v/>
      </c>
      <c r="HE173" s="268"/>
      <c r="HF173" s="268"/>
      <c r="HK173" s="1"/>
      <c r="HL173" s="1"/>
      <c r="HM173" s="1"/>
      <c r="HN173" s="1"/>
      <c r="HO173" s="1"/>
      <c r="HP173" s="1"/>
    </row>
    <row r="174" spans="2:224" ht="12.75" hidden="1" customHeight="1" x14ac:dyDescent="0.25">
      <c r="B174" s="12" t="s">
        <v>572</v>
      </c>
      <c r="C174" s="422">
        <v>303.79000000000002</v>
      </c>
      <c r="D174" s="208"/>
      <c r="E174" s="39">
        <f>SnapshotTable[[#This Row],[Last Price]]*(1 -CrashDiscount)</f>
        <v>258.22149999999999</v>
      </c>
      <c r="F174" s="26" t="s">
        <v>221</v>
      </c>
      <c r="G174" s="26" t="s">
        <v>14</v>
      </c>
      <c r="H174" s="149"/>
      <c r="I174" s="194">
        <v>44777.670138888891</v>
      </c>
      <c r="J174" s="195">
        <v>44777.670138888891</v>
      </c>
      <c r="K174" s="196"/>
      <c r="L174" s="326"/>
      <c r="M174" s="140"/>
      <c r="N174" s="140"/>
      <c r="O174" s="140"/>
      <c r="P174" s="22"/>
      <c r="Q174" s="25"/>
      <c r="R174" s="4" t="str">
        <f>IF(SnapshotTable[[#This Row],[Equity Basis Total]] &gt; 0, SnapshotTable[[#This Row],[Equity Basis Total]] / SnapshotTable[[#This Row],[Equity Shares]], "")</f>
        <v/>
      </c>
      <c r="S174" s="269">
        <f>SnapshotTable[[#This Row],[Last Price]] * SnapshotTable[[#This Row],[Equity Shares]]</f>
        <v>0</v>
      </c>
      <c r="T174" s="269">
        <f>SnapshotTable[[#This Row],[Equity Value]] - SnapshotTable[[#This Row],[Equity Basis Total]]</f>
        <v>0</v>
      </c>
      <c r="U174" s="270" t="str">
        <f>IF(SnapshotTable[[#This Row],[Equity Basis Total]] &gt; 0, SnapshotTable[[#This Row],[Equity G/L]] / SnapshotTable[[#This Row],[Equity Basis Total]], "")</f>
        <v/>
      </c>
      <c r="V174" s="268"/>
      <c r="W174" s="26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7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0"/>
      <c r="AD174" s="151"/>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0</v>
      </c>
      <c r="AH174" s="151"/>
      <c r="AI174" s="5"/>
      <c r="AJ174" s="138">
        <v>267.76</v>
      </c>
      <c r="AK174" s="152" t="str">
        <f>IF(ISNUMBER( SnapshotTable[[#This Row],[EBF Target]]),(SnapshotTable[[#This Row],[EBF Target]] - SnapshotTable[[#This Row],[Last Price]]) / SnapshotTable[[#This Row],[Last Price]], "")</f>
        <v/>
      </c>
      <c r="AL174" s="152"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2">
        <f>IF(AND(ISNUMBER( SnapshotTable[[#This Row],[Long Term Target]]), ISNUMBER(SnapshotTable[[#This Row],[Last Price]])),(SnapshotTable[[#This Row],[Long Term Target]] - SnapshotTable[[#This Row],[Last Price]]) / SnapshotTable[[#This Row],[Last Price]], "")</f>
        <v>-0.11860166562428003</v>
      </c>
      <c r="AP174" s="5"/>
      <c r="AQ174" s="38"/>
      <c r="AR174" s="5"/>
      <c r="AS174" s="38"/>
      <c r="AT174" s="146"/>
      <c r="AU174" s="187" t="str">
        <f>IF(OR(SnapshotTable[[#This Row],[LP No Fill]]="Y",SnapshotTable[[#This Row],[SP Is Filled]],SnapshotTable[[#This Row],[LC Not Filled]]="Y",SnapshotTable[[#This Row],[SC Is Filled]]),"Y","")</f>
        <v/>
      </c>
      <c r="AV174" s="219"/>
      <c r="AW174" s="225"/>
      <c r="AX174" s="220"/>
      <c r="AY174" s="219" t="str">
        <f>IF(SnapshotTable[[#This Row],[Implied Move]]&gt;0, SnapshotTable[[#This Row],[Last Price]]-SnapshotTable[[#This Row],[Implied Move]],"")</f>
        <v/>
      </c>
      <c r="AZ174" s="219" t="str">
        <f>IF(SnapshotTable[[#This Row],[Implied Move]]&gt;0, SnapshotTable[[#This Row],[Last Price]] + SnapshotTable[[#This Row],[Implied Move]],"")</f>
        <v/>
      </c>
      <c r="BA174" s="331"/>
      <c r="BB174" s="347"/>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51"/>
      <c r="BE174" s="5"/>
      <c r="BF174" s="14"/>
      <c r="BG174" s="13"/>
      <c r="BH174" s="13"/>
      <c r="BI174" s="5"/>
      <c r="BJ174" s="136">
        <f>IF(SnapshotTable[[#This Row],[LP Qty]] &gt; 0, SnapshotTable[[#This Row],[LP Qty]] * SnapshotTable[[#This Row],[LP Book Price]] * 100,0)</f>
        <v>0</v>
      </c>
      <c r="BK174" s="136">
        <f>IF(SnapshotTable[[#This Row],[LP Premium]] &gt; 0, SnapshotTable[[#This Row],[LP Qty]] * SnapshotTable[[#This Row],[LP Strike Price]] * 100,0)</f>
        <v>0</v>
      </c>
      <c r="BL174" s="154"/>
      <c r="BM174" s="385" t="str">
        <f>IF(SnapshotTable[[#This Row],[LP Premium]] &gt; 0,SnapshotTable[[#This Row],[LP Exp Date]]-MAX(SnapshotTable[[#This Row],[LP Book Date]], SnapshotTable[[#This Row],[LP Fill Date]]),"")</f>
        <v/>
      </c>
      <c r="BN174" s="385" t="str">
        <f>IF(ISNUMBER( SnapshotTable[[#This Row],[LP Term]]), SnapshotTable[[#This Row],[LP Exp Date]] - MockToday,"")</f>
        <v/>
      </c>
      <c r="BO174" s="163"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7"/>
      <c r="BU174" s="13"/>
      <c r="BV174" s="5"/>
      <c r="BW174" s="419" t="b">
        <f>AND(ISNUMBER(SnapshotTable[[#This Row],[SP Exp Date]]), ISNUMBER(SnapshotTable[[#This Row],[SP Strike Price]]), ISNUMBER(SnapshotTable[[#This Row],[SP Qty]]), ISNUMBER(SnapshotTable[[#This Row],[SP Book Date]]), ISNUMBER(SnapshotTable[[#This Row],[SP Book Price]]))</f>
        <v>0</v>
      </c>
      <c r="BX174" s="419" t="b">
        <f>AND(SnapshotTable[[#This Row],[SP Is Booked]], NOT(ISBLANK(SnapshotTable[[#This Row],[SP Fill Date]])))</f>
        <v>0</v>
      </c>
      <c r="BY174" s="33">
        <f>IF(SnapshotTable[[#This Row],[SP Is Booked]], SnapshotTable[[#This Row],[SP Qty]] * SnapshotTable[[#This Row],[SP Book Price]] * 100, 0)</f>
        <v>0</v>
      </c>
      <c r="BZ174" s="369"/>
      <c r="CA174" s="368">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3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44"/>
      <c r="CK174" s="31">
        <f>IF(ISNUMBER(SnapshotTable[[#This Row],[SP Potential Spend]]),IF(ISNUMBER(SnapshotTable[[#This Row],[SP POW]]), SnapshotTable[[#This Row],[SP POW]] * SnapshotTable[[#This Row],[SP Potential Spend]], SnapshotTable[[#This Row],[SP Potential Spend]]), "")</f>
        <v>0</v>
      </c>
      <c r="CL174" s="164">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8"/>
      <c r="CO174" s="369"/>
      <c r="CP174" s="4" t="str">
        <f>IF(SnapshotTable[[#This Row],[SP Is Filled]], btc_max_buyback_amount(SnapshotTable[[#This Row],[SP Fill Date]],SnapshotTable[[#This Row],[SP Exp Date]], SnapshotTable[[#This Row],[SP Book Price]]),"")</f>
        <v/>
      </c>
      <c r="CQ174" s="78"/>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5" t="str">
        <f>IF(SnapshotTable[[#This Row],[SP Is Filled]], btc_next_cutoff_date(SnapshotTable[[#This Row],[SP Fill Date]],SnapshotTable[[#This Row],[SP Exp Date]]),"")</f>
        <v/>
      </c>
      <c r="CT174" s="23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3"/>
      <c r="CV174" s="235"/>
      <c r="CW174" s="378"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294" t="str">
        <f>IF(ISNUMBER((SnapshotTable[[#This Row],[SP Total Value]])), SnapshotTable[[#This Row],[SP Gain Loss]] / SnapshotTable[[#This Row],[SP Premium]], "")</f>
        <v/>
      </c>
      <c r="DI174" s="406"/>
      <c r="DJ174" s="138"/>
      <c r="DK174" s="148"/>
      <c r="DL174" s="13"/>
      <c r="DM174" s="13"/>
      <c r="DO174" s="31">
        <f>IF(SnapshotTable[[#This Row],[LC Symbol Count]]=1, SnapshotTable[[#This Row],[LC Qty]] * SnapshotTable[[#This Row],[LC Book Price]] * 100, 0)</f>
        <v>0</v>
      </c>
      <c r="DP174" s="163" t="str">
        <f>IF(AND(SnapshotTable[[#This Row],[LC Exp Date]]&gt;0, SnapshotTable[[#This Row],[LC Strike Price]]&gt;0,SnapshotTable[[#This Row],[LC Qty]]&gt;0,SnapshotTable[[#This Row],[LC Book Date]]&gt;0,SnapshotTable[[#This Row],[LC Book Price]]&gt;0,SnapshotTable[[#This Row],[LC Fill Date]]=0),"Y","")</f>
        <v/>
      </c>
      <c r="DQ174" s="386" t="str">
        <f>IF(SnapshotTable[[#This Row],[LC Premium]] &gt; 0,SnapshotTable[[#This Row],[LC Exp Date]]-MAX(SnapshotTable[[#This Row],[LC Book Date]], SnapshotTable[[#This Row],[LC Fill Date]]),"")</f>
        <v/>
      </c>
      <c r="DR174" s="386" t="str">
        <f>IF(ISNUMBER(SnapshotTable[[#This Row],[LC Term]]), SnapshotTable[[#This Row],[LC Exp Date]] - MockToday, "")</f>
        <v/>
      </c>
      <c r="DS174" s="23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40" t="str">
        <f>IF(ISNUMBER(SnapshotTable[[#This Row],[LC Actual Gain Loss]]), SnapshotTable[[#This Row],[LC Actual Gain Loss]] / SnapshotTable[[#This Row],[LC Premium]],"")</f>
        <v/>
      </c>
      <c r="DX174" s="284" t="str">
        <f>IF(ISNUMBER(SnapshotTable[[#This Row],[LC Book Price]]),SnapshotTable[[#This Row],[LC Book Price]] * 1.5,"")</f>
        <v/>
      </c>
      <c r="DY174" s="265" t="str">
        <f>IF(SnapshotTable[[#This Row],[LC Premium]]&gt;0, SnapshotTable[[#This Row],[LC Next Target]] * SnapshotTable[[#This Row],[LC Qty]] * 100,"")</f>
        <v/>
      </c>
      <c r="DZ174" s="265" t="str">
        <f>IF(ISNUMBER(SnapshotTable[[#This Row],[LC Target Gross]]), SnapshotTable[[#This Row],[LC Target Gross]] - SnapshotTable[[#This Row],[LC Premium]], "")</f>
        <v/>
      </c>
      <c r="EA174" s="305" t="str">
        <f>IF(ISNUMBER(SnapshotTable[[#This Row],[LC Target Gain Loss]]), SnapshotTable[[#This Row],[LC Target Gain Loss]]/SnapshotTable[[#This Row],[LC Premium]], "")</f>
        <v/>
      </c>
      <c r="EB174" s="262"/>
      <c r="EC174" s="283" t="str">
        <f>IF(SnapshotTable[[#This Row],[LC Premium]]&gt;0, SnapshotTable[[#This Row],[LC Book Price]] * (1 - LC_StopLoss_Pct),"")</f>
        <v/>
      </c>
      <c r="ED174" s="284"/>
      <c r="EE174" s="28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4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7"/>
      <c r="EL174" s="138"/>
      <c r="EM174" s="148"/>
      <c r="EN174" s="147"/>
      <c r="EO174" s="147"/>
      <c r="EP174" s="138"/>
      <c r="EQ174" s="419" t="b">
        <f>AND(ISNUMBER(SnapshotTable[[#This Row],[SC Exp Date]]), ISNUMBER(SnapshotTable[[#This Row],[SC Strike Price]]), ISNUMBER(SnapshotTable[[#This Row],[SC Qty]]), ISNUMBER(SnapshotTable[[#This Row],[SC Book Date]]), ISNUMBER(SnapshotTable[[#This Row],[SC Book Price]]))</f>
        <v>0</v>
      </c>
      <c r="ER174" s="419" t="b">
        <f>AND(SnapshotTable[[#This Row],[SC Is Booked]], NOT(ISBLANK(SnapshotTable[[#This Row],[SC Fill Date]])))</f>
        <v>0</v>
      </c>
      <c r="ES174" s="370"/>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3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283"/>
      <c r="FA174" s="218"/>
      <c r="FB174" s="370"/>
      <c r="FC174" s="4">
        <f>IF(SnapshotTable[[#This Row],[SC Is Filled]], btc_max_buyback_amount(SnapshotTable[[#This Row],[SC Fill Date]],SnapshotTable[[#This Row],[SC Exp Date]], SnapshotTable[[#This Row],[SC Book Price]]),0)</f>
        <v>0</v>
      </c>
      <c r="FD174" s="5"/>
      <c r="FE174" s="144"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382">
        <f>IF(SnapshotTable[[#This Row],[SC Is Filled]], IF(ISNUMBER(SnapshotTable[[#This Row],[SC Current Ask]]), SnapshotTable[[#This Row],[SC Current Ask]], SnapshotTable[[#This Row],[SC Book Price]]) - SnapshotTable[[#This Row],[SC Intrinsic Value]], 0)</f>
        <v>0</v>
      </c>
      <c r="FI174" s="143"/>
      <c r="FJ174" s="32" t="str">
        <f>IF(SnapshotTable[[#This Row],[SC Is Filled]],100 * SnapshotTable[[#This Row],[SC Qty]] * IF(ISNUMBER(SnapshotTable[[#This Row],[SC Buyback Override]]), SnapshotTable[[#This Row],[SC Buyback Override]], SnapshotTable[[#This Row],[SC Current Ask]]), "")</f>
        <v/>
      </c>
      <c r="FK174" s="250" t="str">
        <f>IF(SnapshotTable[[#This Row],[SC Time Val]]&gt;0, SnapshotTable[[#This Row],[SC Time Val]] / SnapshotTable[[#This Row],[Last Price]],"")</f>
        <v/>
      </c>
      <c r="FL174" s="302" t="str">
        <f>IF(SnapshotTable[[#This Row],[SC Is Booked]], ((SnapshotTable[[#This Row],[Last Price]] -SnapshotTable[[#This Row],[SC Strike Price]]) / SnapshotTable[[#This Row],[Last Price]]) * -1, "")</f>
        <v/>
      </c>
      <c r="FM174" s="157"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33"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36" t="str">
        <f>IF(AND(ISNUMBER(SnapshotTable[[#This Row],[SC Simple ROO]]),SnapshotTable[[#This Row],[SC Simple ROO]] &gt; 0), SnapshotTable[[#This Row],[SC Premium]] + (SnapshotTable[[#This Row],[SC Qty]] * SnapshotTable[[#This Row],[SC Upside Potential]]), "")</f>
        <v/>
      </c>
      <c r="FX174" s="302" t="str" cm="1">
        <f t="array" ref="FX174">IF(ISNUMBER(SnapshotTable[[#This Row],[SC Max Dollars]]), annualize(SnapshotTable[[#This Row],[SC Term]],(SnapshotTable[[#This Row],[SC Max Dollars]]/SnapshotTable[[#This Row],[SC Basis]])),"")</f>
        <v/>
      </c>
      <c r="FY174" s="23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29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254.37199999999999</v>
      </c>
      <c r="GD174" s="40">
        <f>SnapshotTable[[#This Row],[Last Price]] * (1+ SellingPriceToConsiderBasedOnTargetPercentage)</f>
        <v>592.39049999999997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708</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31">
        <f>MAX(SnapshotTable[[#This Row],[Equity Basis Total]],SnapshotTable[[#This Row],[Equity Value]]) + (SnapshotTable[[#This Row],[SP Potential Spend]]- SnapshotTable[[#This Row],[SP Premium]] + SnapshotTable[[#This Row],[LP Premium]])+ (SnapshotTable[[#This Row],[LC Premium]] - SnapshotTable[[#This Row],[SC Premium]])</f>
        <v>0</v>
      </c>
      <c r="GW174" s="139" t="str">
        <f>IF(AND(SnapshotTable[[#This Row],[Exposure]] &lt;&gt; 0),SnapshotTable[[#This Row],[Exposure]] / SnapshotTable[[#Totals],[Exposure]], "")</f>
        <v/>
      </c>
      <c r="HE174" s="268"/>
      <c r="HF174" s="268"/>
      <c r="HK174" s="1"/>
      <c r="HL174" s="1"/>
      <c r="HM174" s="1"/>
      <c r="HN174" s="1"/>
      <c r="HO174" s="1"/>
      <c r="HP174" s="1"/>
    </row>
    <row r="175" spans="2:224" ht="12.75" customHeight="1" x14ac:dyDescent="0.25">
      <c r="B175" s="12" t="s">
        <v>1282</v>
      </c>
      <c r="C175" s="387">
        <v>51.5</v>
      </c>
      <c r="D175" s="208"/>
      <c r="E175" s="39">
        <f>SnapshotTable[[#This Row],[Last Price]]*(1 -CrashDiscount)</f>
        <v>43.774999999999999</v>
      </c>
      <c r="F175" s="325" t="s">
        <v>5</v>
      </c>
      <c r="G175" s="325" t="s">
        <v>4</v>
      </c>
      <c r="H175" s="149"/>
      <c r="I175" s="194"/>
      <c r="J175" s="195"/>
      <c r="K175" s="196"/>
      <c r="L175" s="326"/>
      <c r="M175" s="140"/>
      <c r="N175" s="140"/>
      <c r="O175" s="140"/>
      <c r="P175" s="22">
        <v>1000</v>
      </c>
      <c r="Q175" s="25">
        <v>70701</v>
      </c>
      <c r="R175" s="4">
        <f>IF(SnapshotTable[[#This Row],[Equity Basis Total]] &gt; 0, SnapshotTable[[#This Row],[Equity Basis Total]] / SnapshotTable[[#This Row],[Equity Shares]], "")</f>
        <v>70.700999999999993</v>
      </c>
      <c r="S175" s="269">
        <f>SnapshotTable[[#This Row],[Last Price]] * SnapshotTable[[#This Row],[Equity Shares]]</f>
        <v>51500</v>
      </c>
      <c r="T175" s="269">
        <f>SnapshotTable[[#This Row],[Equity Value]] - SnapshotTable[[#This Row],[Equity Basis Total]]</f>
        <v>-19201</v>
      </c>
      <c r="U175" s="270">
        <f>IF(SnapshotTable[[#This Row],[Equity Basis Total]] &gt; 0, SnapshotTable[[#This Row],[Equity G/L]] / SnapshotTable[[#This Row],[Equity Basis Total]], "")</f>
        <v>-0.27158031711008329</v>
      </c>
      <c r="V175" s="268"/>
      <c r="W175" s="26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7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0"/>
      <c r="AD175" s="151"/>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1"/>
      <c r="AI175" s="5"/>
      <c r="AJ175" s="138"/>
      <c r="AK175" s="152" t="str">
        <f>IF(ISNUMBER( SnapshotTable[[#This Row],[EBF Target]]),(SnapshotTable[[#This Row],[EBF Target]] - SnapshotTable[[#This Row],[Last Price]]) / SnapshotTable[[#This Row],[Last Price]], "")</f>
        <v/>
      </c>
      <c r="AL175" s="152"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2" t="str">
        <f>IF(AND(ISNUMBER( SnapshotTable[[#This Row],[Long Term Target]]), ISNUMBER(SnapshotTable[[#This Row],[Last Price]])),(SnapshotTable[[#This Row],[Long Term Target]] - SnapshotTable[[#This Row],[Last Price]]) / SnapshotTable[[#This Row],[Last Price]], "")</f>
        <v/>
      </c>
      <c r="AP175" s="5"/>
      <c r="AQ175" s="38"/>
      <c r="AR175" s="5"/>
      <c r="AS175" s="38"/>
      <c r="AT175" s="146"/>
      <c r="AU175" s="187" t="str">
        <f ca="1">IF(OR(SnapshotTable[[#This Row],[LP No Fill]]="Y",SnapshotTable[[#This Row],[SP Is Filled]],SnapshotTable[[#This Row],[LC Not Filled]]="Y",SnapshotTable[[#This Row],[SC Is Filled]]),"Y","")</f>
        <v>Y</v>
      </c>
      <c r="AV175" s="219"/>
      <c r="AW175" s="225"/>
      <c r="AX175" s="220"/>
      <c r="AY175" s="219" t="str">
        <f>IF(SnapshotTable[[#This Row],[Implied Move]]&gt;0, SnapshotTable[[#This Row],[Last Price]]-SnapshotTable[[#This Row],[Implied Move]],"")</f>
        <v/>
      </c>
      <c r="AZ175" s="219" t="str">
        <f>IF(SnapshotTable[[#This Row],[Implied Move]]&gt;0, SnapshotTable[[#This Row],[Last Price]] + SnapshotTable[[#This Row],[Implied Move]],"")</f>
        <v/>
      </c>
      <c r="BA175" s="331">
        <v>67.13</v>
      </c>
      <c r="BB175" s="347"/>
      <c r="BC175"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5" s="351"/>
      <c r="BE175" s="5"/>
      <c r="BF175" s="14"/>
      <c r="BG175" s="13"/>
      <c r="BH175" s="13"/>
      <c r="BI175" s="5"/>
      <c r="BJ175" s="136">
        <f>IF(SnapshotTable[[#This Row],[LP Qty]] &gt; 0, SnapshotTable[[#This Row],[LP Qty]] * SnapshotTable[[#This Row],[LP Book Price]] * 100,0)</f>
        <v>0</v>
      </c>
      <c r="BK175" s="136">
        <f>IF(SnapshotTable[[#This Row],[LP Premium]] &gt; 0, SnapshotTable[[#This Row],[LP Qty]] * SnapshotTable[[#This Row],[LP Strike Price]] * 100,0)</f>
        <v>0</v>
      </c>
      <c r="BL175" s="154"/>
      <c r="BM175" s="385" t="str">
        <f>IF(SnapshotTable[[#This Row],[LP Premium]] &gt; 0,SnapshotTable[[#This Row],[LP Exp Date]]-MAX(SnapshotTable[[#This Row],[LP Book Date]], SnapshotTable[[#This Row],[LP Fill Date]]),"")</f>
        <v/>
      </c>
      <c r="BN175" s="385" t="str">
        <f>IF(ISNUMBER( SnapshotTable[[#This Row],[LP Term]]), SnapshotTable[[#This Row],[LP Exp Date]] - MockToday,"")</f>
        <v/>
      </c>
      <c r="BO175" s="163"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v>46213</v>
      </c>
      <c r="BR175" s="5">
        <v>55</v>
      </c>
      <c r="BS175" s="36">
        <v>10</v>
      </c>
      <c r="BT175" s="147">
        <v>46210</v>
      </c>
      <c r="BU175" s="13">
        <v>46210</v>
      </c>
      <c r="BV175" s="5">
        <v>1.1000000000000001</v>
      </c>
      <c r="BW175" s="419" t="b">
        <f>AND(ISNUMBER(SnapshotTable[[#This Row],[SP Exp Date]]), ISNUMBER(SnapshotTable[[#This Row],[SP Strike Price]]), ISNUMBER(SnapshotTable[[#This Row],[SP Qty]]), ISNUMBER(SnapshotTable[[#This Row],[SP Book Date]]), ISNUMBER(SnapshotTable[[#This Row],[SP Book Price]]))</f>
        <v>1</v>
      </c>
      <c r="BX175" s="419" t="b">
        <f>AND(SnapshotTable[[#This Row],[SP Is Booked]], NOT(ISBLANK(SnapshotTable[[#This Row],[SP Fill Date]])))</f>
        <v>1</v>
      </c>
      <c r="BY175" s="33">
        <f>IF(SnapshotTable[[#This Row],[SP Is Booked]], SnapshotTable[[#This Row],[SP Qty]] * SnapshotTable[[#This Row],[SP Book Price]] * 100, 0)</f>
        <v>1100</v>
      </c>
      <c r="BZ175" s="369">
        <v>0.25</v>
      </c>
      <c r="CA175" s="368">
        <f>SnapshotTable[[#This Row],[LP Qty]]</f>
        <v>0</v>
      </c>
      <c r="CB175" s="4">
        <f>IF(SnapshotTable[[#This Row],[SP Is Booked]], SnapshotTable[[#This Row],[SP Strike Price]] - SnapshotTable[[#This Row],[SP Book Price]], "")</f>
        <v>53.9</v>
      </c>
      <c r="CC175" s="19">
        <f>IF(SnapshotTable[[#This Row],[SP Is Booked]],SnapshotTable[[#This Row],[SP Exp Date]]-MAX(SnapshotTable[[#This Row],[SP Book Date]], SnapshotTable[[#This Row],[SP Fill Date]]),"")</f>
        <v>3</v>
      </c>
      <c r="CD175" s="7">
        <f>IF(SnapshotTable[[#This Row],[SP Is Booked]], SnapshotTable[[#This Row],[SP Book Price]]/SnapshotTable[[#This Row],[SP Strike Price]], "")</f>
        <v>0.02</v>
      </c>
      <c r="CE175" s="7">
        <f>IF(ISNUMBER(SnapshotTable[[#This Row],[SP ROO Term]]),SnapshotTable[[#This Row],[SP ROO Term]]*(365/SnapshotTable[[#This Row],[SP Term]]),"")</f>
        <v>2.4333333333333336</v>
      </c>
      <c r="CF175" s="236">
        <f>SnapshotTable[[#This Row],[LP Strike Price]] * SnapshotTable[[#This Row],[LP Qty]] * 100</f>
        <v>0</v>
      </c>
      <c r="CG175" s="31">
        <f>IF(ISNUMBER(SnapshotTable[[#This Row],[SP Premium]]), (SnapshotTable[[#This Row],[SP Qty]] * SnapshotTable[[#This Row],[SP Strike Price]]* 100) - SnapshotTable[[#This Row],[LP Protection]], 0)</f>
        <v>55000</v>
      </c>
      <c r="CH175" s="7">
        <f>IF(ISNUMBER(SnapshotTable[[#This Row],[SP Break Even]]),-1 * (SnapshotTable[[#This Row],[SP Break Even]] - SnapshotTable[[#This Row],[Last Price]]) / SnapshotTable[[#This Row],[Last Price]], "")</f>
        <v>-4.6601941747572789E-2</v>
      </c>
      <c r="CI175" s="31">
        <f>IF(AND(ISNUMBER((SnapshotTable[[#This Row],[SP Potential Spend]])), SnapshotTable[[#This Row],[SP Strike Price]] &gt; SnapshotTable[[#This Row],[Last Price]], SnapshotTable[[#This Row],[SP Is Filled]]), SnapshotTable[[#This Row],[SP Potential Spend]] -  SnapshotTable[[#This Row],[LP Max Value]], 0)</f>
        <v>55000</v>
      </c>
      <c r="CJ175" s="244"/>
      <c r="CK175" s="31">
        <f>IF(ISNUMBER(SnapshotTable[[#This Row],[SP Potential Spend]]),IF(ISNUMBER(SnapshotTable[[#This Row],[SP POW]]), SnapshotTable[[#This Row],[SP POW]] * SnapshotTable[[#This Row],[SP Potential Spend]], SnapshotTable[[#This Row],[SP Potential Spend]]), "")</f>
        <v>55000</v>
      </c>
      <c r="CL175" s="164" t="str">
        <f>IF(NOT(SnapshotTable[[#This Row],[SP Is Filled]]),(SnapshotTable[[#This Row],[SP Qty]] * SnapshotTable[[#This Row],[SP Strike Price]] * 100) - SnapshotTable[[#This Row],[LP Max Value]],"")</f>
        <v/>
      </c>
      <c r="CM175" s="31">
        <f>IF(SnapshotTable[[#This Row],[SP Actual Spend]]&lt;&gt;0, ((SnapshotTable[[#This Row],[SP Strike Price]]-SnapshotTable[[#This Row],[Last Price]]) *(SnapshotTable[[#This Row],[SP Qty]]*100) - SnapshotTable[[#This Row],[SP Premium]]) * - 1, "")</f>
        <v>-2400</v>
      </c>
      <c r="CN175" s="78">
        <v>1.47</v>
      </c>
      <c r="CO175" s="369">
        <v>0.28999999999999998</v>
      </c>
      <c r="CP175" s="4" t="e">
        <f ca="1">IF(SnapshotTable[[#This Row],[SP Is Filled]], btc_max_buyback_amount(SnapshotTable[[#This Row],[SP Fill Date]],SnapshotTable[[#This Row],[SP Exp Date]], SnapshotTable[[#This Row],[SP Book Price]]),"")</f>
        <v>#NAME?</v>
      </c>
      <c r="CQ175" s="78"/>
      <c r="CR17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5" s="155" t="e">
        <f ca="1">IF(SnapshotTable[[#This Row],[SP Is Filled]], btc_next_cutoff_date(SnapshotTable[[#This Row],[SP Fill Date]],SnapshotTable[[#This Row],[SP Exp Date]]),"")</f>
        <v>#NAME?</v>
      </c>
      <c r="CT175" s="235" t="e" cm="1">
        <f t="array" aca="1" ref="CT175" ca="1">IF(SnapshotTable[[#This Row],[SP Is Filled]], btc_should_buy_back(SnapshotTable[[#This Row],[SP Fill Date]], SnapshotTable[[#This Row],[SP Exp Date]], SnapshotTable[[#This Row],[SP Book Price]], SnapshotTable[[#This Row],[SP Current Ask]], MockToday, SnapshotTable[[#This Row],[SP Buyback Override]]),"")</f>
        <v>#NAME?</v>
      </c>
      <c r="CU175" s="143">
        <v>46212</v>
      </c>
      <c r="CV175" s="235"/>
      <c r="CW175" s="378">
        <f ca="1">IF(ISNUMBER( SnapshotTable[[#This Row],[SP Term]]), SnapshotTable[[#This Row],[SP Exp Date]] - MockToday,"")</f>
        <v>-20</v>
      </c>
      <c r="CX175" s="31" t="e">
        <f ca="1">IF(SnapshotTable[[#This Row],[SP Is Filled]],SnapshotTable[[#This Row],[SP Buyback Price to Use]] * 100 * SnapshotTable[[#This Row],[SP Qty]], "")</f>
        <v>#NAME?</v>
      </c>
      <c r="CY175" s="4">
        <f>IF(ISNUMBER(SnapshotTable[[#This Row],[SP Strike Price]]), SnapshotTable[[#This Row],[SP Strike Price]] * (1 - SP_MaxLoss_StrikePct), "")</f>
        <v>53.35</v>
      </c>
      <c r="CZ175" s="31">
        <f>IF(ISNUMBER(SnapshotTable[[#This Row],[SP Strike  Stop Per Share]]),SnapshotTable[[#This Row],[SP Premium]] - ((SnapshotTable[[#This Row],[SP Strike Price]]-SnapshotTable[[#This Row],[SP Strike  Stop Per Share]]) *(SnapshotTable[[#This Row],[SP Qty]] * 100)),"")</f>
        <v>-549.99999999999864</v>
      </c>
      <c r="DA175" s="4">
        <f>IF(AND(ISNUMBER(SnapshotTable[[#This Row],[SP Premium]]),SnapshotTable[[#This Row],[SP Premium]]&gt;0), SnapshotTable[[#This Row],[SP Book Price]] * (1 + SP_MaxLoss_OptionPct), "")</f>
        <v>1.6500000000000001</v>
      </c>
      <c r="DB175" s="31">
        <f>IF(ISNUMBER(SnapshotTable[[#This Row],[SP Option  Stop Contract]]),(SnapshotTable[[#This Row],[SP Option  Stop Contract]] *(SnapshotTable[[#This Row],[SP Qty]] * 100) - SnapshotTable[[#This Row],[SP Premium]]),"")</f>
        <v>550.00000000000023</v>
      </c>
      <c r="DC175" s="4"/>
      <c r="DD175" s="4"/>
      <c r="DE175" s="4" t="str">
        <f>IF(AND(SnapshotTable[[#This Row],[SP Qty]]&gt;0, SnapshotTable[[#This Row],[SP Stop To Use]]&gt;0),SnapshotTable[[#This Row],[SP Premium]] - ( SnapshotTable[[#This Row],[SP Qty]] * SnapshotTable[[#This Row],[SP Stop To Use]] * 100), "")</f>
        <v/>
      </c>
      <c r="DF175" s="31">
        <f>IF(AND(SnapshotTable[[#This Row],[SP Qty]]&gt;0,SnapshotTable[[#This Row],[SP Current Ask]]&gt;0), SnapshotTable[[#This Row],[SP Qty]] * SnapshotTable[[#This Row],[SP Current Ask]] * -100, "")</f>
        <v>-1470</v>
      </c>
      <c r="DG175" s="31">
        <f>IF(ISNUMBER((SnapshotTable[[#This Row],[SP Total Value]])), SnapshotTable[[#This Row],[SP Premium]] + SnapshotTable[[#This Row],[SP Total Value]], "")</f>
        <v>-370</v>
      </c>
      <c r="DH175" s="294">
        <f>IF(ISNUMBER((SnapshotTable[[#This Row],[SP Total Value]])), SnapshotTable[[#This Row],[SP Gain Loss]] / SnapshotTable[[#This Row],[SP Premium]], "")</f>
        <v>-0.33636363636363636</v>
      </c>
      <c r="DI175" s="406"/>
      <c r="DJ175" s="138"/>
      <c r="DK175" s="148"/>
      <c r="DL175" s="13"/>
      <c r="DM175" s="13"/>
      <c r="DO175" s="31">
        <f>IF(SnapshotTable[[#This Row],[LC Symbol Count]]=1, SnapshotTable[[#This Row],[LC Qty]] * SnapshotTable[[#This Row],[LC Book Price]] * 100, 0)</f>
        <v>0</v>
      </c>
      <c r="DP175" s="163" t="str">
        <f>IF(AND(SnapshotTable[[#This Row],[LC Exp Date]]&gt;0, SnapshotTable[[#This Row],[LC Strike Price]]&gt;0,SnapshotTable[[#This Row],[LC Qty]]&gt;0,SnapshotTable[[#This Row],[LC Book Date]]&gt;0,SnapshotTable[[#This Row],[LC Book Price]]&gt;0,SnapshotTable[[#This Row],[LC Fill Date]]=0),"Y","")</f>
        <v/>
      </c>
      <c r="DQ175" s="386" t="str">
        <f>IF(SnapshotTable[[#This Row],[LC Premium]] &gt; 0,SnapshotTable[[#This Row],[LC Exp Date]]-MAX(SnapshotTable[[#This Row],[LC Book Date]], SnapshotTable[[#This Row],[LC Fill Date]]),"")</f>
        <v/>
      </c>
      <c r="DR175" s="386" t="str">
        <f>IF(ISNUMBER(SnapshotTable[[#This Row],[LC Term]]), SnapshotTable[[#This Row],[LC Exp Date]] - MockToday, "")</f>
        <v/>
      </c>
      <c r="DS175" s="23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40" t="str">
        <f>IF(ISNUMBER(SnapshotTable[[#This Row],[LC Actual Gain Loss]]), SnapshotTable[[#This Row],[LC Actual Gain Loss]] / SnapshotTable[[#This Row],[LC Premium]],"")</f>
        <v/>
      </c>
      <c r="DX175" s="284" t="str">
        <f>IF(ISNUMBER(SnapshotTable[[#This Row],[LC Book Price]]),SnapshotTable[[#This Row],[LC Book Price]] * 1.5,"")</f>
        <v/>
      </c>
      <c r="DY175" s="265" t="str">
        <f>IF(SnapshotTable[[#This Row],[LC Premium]]&gt;0, SnapshotTable[[#This Row],[LC Next Target]] * SnapshotTable[[#This Row],[LC Qty]] * 100,"")</f>
        <v/>
      </c>
      <c r="DZ175" s="265" t="str">
        <f>IF(ISNUMBER(SnapshotTable[[#This Row],[LC Target Gross]]), SnapshotTable[[#This Row],[LC Target Gross]] - SnapshotTable[[#This Row],[LC Premium]], "")</f>
        <v/>
      </c>
      <c r="EA175" s="305" t="str">
        <f>IF(ISNUMBER(SnapshotTable[[#This Row],[LC Target Gain Loss]]), SnapshotTable[[#This Row],[LC Target Gain Loss]]/SnapshotTable[[#This Row],[LC Premium]], "")</f>
        <v/>
      </c>
      <c r="EB175" s="262"/>
      <c r="EC175" s="283" t="str">
        <f>IF(SnapshotTable[[#This Row],[LC Premium]]&gt;0, SnapshotTable[[#This Row],[LC Book Price]] * (1 - LC_StopLoss_Pct),"")</f>
        <v/>
      </c>
      <c r="ED175" s="284"/>
      <c r="EE175" s="28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4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10</v>
      </c>
      <c r="EK175" s="147">
        <f ca="1">NextFridayOpex</f>
        <v>46234</v>
      </c>
      <c r="EL175" s="138">
        <v>60</v>
      </c>
      <c r="EM175" s="148">
        <v>10</v>
      </c>
      <c r="EN175" s="147">
        <f ca="1">WORKDAY(MockToday, 0)</f>
        <v>46233</v>
      </c>
      <c r="EO175" s="147">
        <f ca="1">SnapshotTable[[#This Row],[SC Book Date]]</f>
        <v>46233</v>
      </c>
      <c r="EP175" s="138">
        <v>1.4</v>
      </c>
      <c r="EQ175" s="419" t="b">
        <f ca="1">AND(ISNUMBER(SnapshotTable[[#This Row],[SC Exp Date]]), ISNUMBER(SnapshotTable[[#This Row],[SC Strike Price]]), ISNUMBER(SnapshotTable[[#This Row],[SC Qty]]), ISNUMBER(SnapshotTable[[#This Row],[SC Book Date]]), ISNUMBER(SnapshotTable[[#This Row],[SC Book Price]]))</f>
        <v>1</v>
      </c>
      <c r="ER175" s="419" t="b">
        <f ca="1">AND(SnapshotTable[[#This Row],[SC Is Booked]], NOT(ISBLANK(SnapshotTable[[#This Row],[SC Fill Date]])))</f>
        <v>1</v>
      </c>
      <c r="ES175" s="370">
        <v>0.3</v>
      </c>
      <c r="ET175" s="34">
        <f ca="1">IF(AND(ISNUMBER(SnapshotTable[[#This Row],[SC Exp Date]]), ISNUMBER(SnapshotTable[[#This Row],[SC Book Date]])), SnapshotTable[[#This Row],[SC Exp Date]] - MAX(SnapshotTable[[#This Row],[SC Book Date]], SnapshotTable[[#This Row],[SC Fill Date]]) + 1, "")</f>
        <v>2</v>
      </c>
      <c r="EU175" s="34">
        <f ca="1">IF(ISNUMBER(SnapshotTable[[#This Row],[SC Term]]), SnapshotTable[[#This Row],[SC Exp Date]]- MockToday, "")</f>
        <v>1</v>
      </c>
      <c r="EV175" s="31">
        <f ca="1">IF(SnapshotTable[[#This Row],[SC Is Booked]], SnapshotTable[[#This Row],[SC Qty]] * SnapshotTable[[#This Row],[SC Book Price]] * 100, 0)</f>
        <v>1400</v>
      </c>
      <c r="EW175" s="4">
        <f>IF(AND(ISNUMBER(SnapshotTable[[#This Row],[Last Price]]), ISNUMBER( SnapshotTable[[#This Row],[SC Book Price]])), SnapshotTable[[#This Row],[Last Price]] - SnapshotTable[[#This Row],[SC Book Price]],"")</f>
        <v>50.1</v>
      </c>
      <c r="EX175" s="234">
        <f ca="1">IF(SnapshotTable[[#This Row],[SC Is Booked]],IF(SnapshotTable[[#This Row],[SC Intrinsic Value]] &gt; 0, SnapshotTable[[#This Row],[SC Strike Price]], SnapshotTable[[#This Row],[Last Price]]), "")</f>
        <v>51.5</v>
      </c>
      <c r="EY175" s="4">
        <f ca="1">IF(SnapshotTable[[#This Row],[SC Is Booked]], (MinimumPremiumRequired * SnapshotTable[[#This Row],[SC Basis]] * SnapshotTable[[#This Row],[SC Term]]), 0)</f>
        <v>0.10300000000000001</v>
      </c>
      <c r="EZ175" s="283"/>
      <c r="FA175" s="218">
        <v>0.95</v>
      </c>
      <c r="FB175" s="370">
        <v>6.6000000000000003E-2</v>
      </c>
      <c r="FC175" s="4" t="e">
        <f ca="1">IF(SnapshotTable[[#This Row],[SC Is Filled]], btc_max_buyback_amount(SnapshotTable[[#This Row],[SC Fill Date]],SnapshotTable[[#This Row],[SC Exp Date]], SnapshotTable[[#This Row],[SC Book Price]]),0)</f>
        <v>#NAME?</v>
      </c>
      <c r="FD175" s="5"/>
      <c r="FE175" s="144" t="e">
        <f ca="1">IF(SnapshotTable[[#This Row],[SC Is Filled]], btc_next_cutoff_date(SnapshotTable[[#This Row],[SC Fill Date]],SnapshotTable[[#This Row],[SC Exp Date]]),"")</f>
        <v>#NAME?</v>
      </c>
      <c r="FF175" s="4" t="e" cm="1">
        <f t="array" aca="1" ref="FF175" ca="1">IF(SnapshotTable[[#This Row],[SC Is Filled]], btc_should_buy_back(SnapshotTable[[#This Row],[SC Fill Date]], SnapshotTable[[#This Row],[SC Exp Date]], SnapshotTable[[#This Row],[SC Book Price]], SnapshotTable[[#This Row],[SC Current Ask]], MockToday, SnapshotTable[[#This Row],[SC Buyback Override]]),"")</f>
        <v>#NAME?</v>
      </c>
      <c r="FG175" s="4">
        <f ca="1">IF(SnapshotTable[[#This Row],[SC Is Filled]], MAX(0,SnapshotTable[[#This Row],[Last Price]]  - SnapshotTable[[#This Row],[SC Strike Price]]), 0)</f>
        <v>0</v>
      </c>
      <c r="FH175" s="382">
        <f ca="1">IF(SnapshotTable[[#This Row],[SC Is Filled]], IF(ISNUMBER(SnapshotTable[[#This Row],[SC Current Ask]]), SnapshotTable[[#This Row],[SC Current Ask]], SnapshotTable[[#This Row],[SC Book Price]]) - SnapshotTable[[#This Row],[SC Intrinsic Value]], 0)</f>
        <v>0.95</v>
      </c>
      <c r="FI175" s="143">
        <v>46211</v>
      </c>
      <c r="FJ175" s="32">
        <f ca="1">IF(SnapshotTable[[#This Row],[SC Is Filled]],100 * SnapshotTable[[#This Row],[SC Qty]] * IF(ISNUMBER(SnapshotTable[[#This Row],[SC Buyback Override]]), SnapshotTable[[#This Row],[SC Buyback Override]], SnapshotTable[[#This Row],[SC Current Ask]]), "")</f>
        <v>950</v>
      </c>
      <c r="FK175" s="250">
        <f ca="1">IF(SnapshotTable[[#This Row],[SC Time Val]]&gt;0, SnapshotTable[[#This Row],[SC Time Val]] / SnapshotTable[[#This Row],[Last Price]],"")</f>
        <v>1.8446601941747572E-2</v>
      </c>
      <c r="FL175" s="302">
        <f ca="1">IF(SnapshotTable[[#This Row],[SC Is Booked]], ((SnapshotTable[[#This Row],[Last Price]] -SnapshotTable[[#This Row],[SC Strike Price]]) / SnapshotTable[[#This Row],[Last Price]]) * -1, "")</f>
        <v>0.1650485436893204</v>
      </c>
      <c r="FM175" s="157">
        <f ca="1">IF(SnapshotTable[[#This Row],[SC Is Booked]],  (SnapshotTable[[#This Row],[SC Qty]] * 100 * SnapshotTable[[#This Row],[SC Strike Price]]) - SnapshotTable[[#This Row],[SC Current Ask]], "")</f>
        <v>59999.05</v>
      </c>
      <c r="FN175"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f ca="1">IF(AND(ISNUMBER(SnapshotTable[[#This Row],[SC Exercise Gross]]), ISNUMBER(SnapshotTable[[#This Row],[Equity Basis Per Share]] )), SnapshotTable[[#This Row],[SC Exercise Gross]] - SnapshotTable[[#This Row],[Equity Basis Total]] +  SnapshotTable[[#This Row],[SC Premium]], "")</f>
        <v>-9301.9499999999971</v>
      </c>
      <c r="FP175" s="5">
        <f ca="1">IF(ISNUMBER(SnapshotTable[[#This Row],[SC Exercise Gross]]), (SnapshotTable[[#This Row],[SC Exercise Gross]]) / (SnapshotTable[[#This Row],[SC Qty]] * 100), "")</f>
        <v>59.999050000000004</v>
      </c>
      <c r="FQ175" s="27">
        <f ca="1">IF(SnapshotTable[[#This Row],[SC Is Booked]],SnapshotTable[[#This Row],[SC Time Val]] /SnapshotTable[[#This Row],[SC Basis]], "")</f>
        <v>1.8446601941747572E-2</v>
      </c>
      <c r="FR175" s="27" t="e" cm="1">
        <f t="array" aca="1" ref="FR175" ca="1">IF(AND(ISNUMBER(SnapshotTable[[#This Row],[SC Term]]),ISNUMBER(SnapshotTable[[#This Row],[SC Simple ROO]])), EllmanAnnualize(SnapshotTable[[#This Row],[SC DTE]], SnapshotTable[[#This Row],[SC Simple ROO]] ),"")</f>
        <v>#NAME?</v>
      </c>
      <c r="FS175" s="4">
        <f>IF(SnapshotTable[[#This Row],[SC Strike Price]] &gt; SnapshotTable[[#This Row],[Last Price]], SnapshotTable[[#This Row],[SC Strike Price]] - SnapshotTable[[#This Row],[Last Price]],0)</f>
        <v>8.5</v>
      </c>
      <c r="FT175" s="27">
        <f>IF(AND(ISNUMBER(SnapshotTable[[#This Row],[SC Upside Potential]]), SnapshotTable[[#This Row],[SC Upside Potential]] &gt; 0),(SnapshotTable[[#This Row],[SC Upside Potential]]/ SnapshotTable[[#This Row],[ACB]]),"")</f>
        <v>0.1266199910621183</v>
      </c>
      <c r="FU175" s="333" t="str">
        <f ca="1">IF(SnapshotTable[[#This Row],[SC Intrinsic Value]] &gt; 0,SnapshotTable[[#This Row],[SC Intrinsic Value]],"")</f>
        <v/>
      </c>
      <c r="FV175" s="27" t="str">
        <f ca="1">IF(AND( ISNUMBER( SnapshotTable[[#This Row],[ACB]]),ISNUMBER(SnapshotTable[[#This Row],[SC Downside Protect]])),SnapshotTable[[#This Row],[SC Downside Protect]] / SnapshotTable[[#This Row],[ACB]],"")</f>
        <v/>
      </c>
      <c r="FW175" s="236">
        <f ca="1">IF(AND(ISNUMBER(SnapshotTable[[#This Row],[SC Simple ROO]]),SnapshotTable[[#This Row],[SC Simple ROO]] &gt; 0), SnapshotTable[[#This Row],[SC Premium]] + (SnapshotTable[[#This Row],[SC Qty]] * SnapshotTable[[#This Row],[SC Upside Potential]]), "")</f>
        <v>1485</v>
      </c>
      <c r="FX175" s="302" t="e" cm="1">
        <f t="array" aca="1" ref="FX175" ca="1">IF(ISNUMBER(SnapshotTable[[#This Row],[SC Max Dollars]]), annualize(SnapshotTable[[#This Row],[SC Term]],(SnapshotTable[[#This Row],[SC Max Dollars]]/SnapshotTable[[#This Row],[SC Basis]])),"")</f>
        <v>#NAME?</v>
      </c>
      <c r="FY175" s="236">
        <f>IF(AND(SnapshotTable[[#This Row],[SC Qty]]&gt;0,SnapshotTable[[#This Row],[SC Current Ask]]&gt;0), SnapshotTable[[#This Row],[SC Qty]] * SnapshotTable[[#This Row],[SC Current Ask]] * -100, "")</f>
        <v>-950</v>
      </c>
      <c r="FZ175" s="31">
        <f ca="1">IF(ISNUMBER((SnapshotTable[[#This Row],[SC Current Value]])), SnapshotTable[[#This Row],[SC Premium]] + SnapshotTable[[#This Row],[SC Current Value]], "")</f>
        <v>450</v>
      </c>
      <c r="GA175" s="294">
        <f ca="1">IFERROR( IF(ISNUMBER((SnapshotTable[[#This Row],[SC Current Value]])), SnapshotTable[[#This Row],[SC Gain Loss]] / SnapshotTable[[#This Row],[SC Premium]], ""), "")</f>
        <v>0.32142857142857145</v>
      </c>
      <c r="GB175" s="42">
        <f>SnapshotTable[[#This Row],[Equity Shares]] * SaleSharesToConsiderPercentage</f>
        <v>200</v>
      </c>
      <c r="GC175" s="40">
        <f>SnapshotTable[[#This Row],[Long Term Target]] * SellingPriceToConsiderBasedOnTargetPercentage</f>
        <v>0</v>
      </c>
      <c r="GD175" s="40">
        <f>SnapshotTable[[#This Row],[Last Price]] * (1+ SellingPriceToConsiderBasedOnTargetPercentage)</f>
        <v>100.425</v>
      </c>
      <c r="GE175" s="41"/>
      <c r="GF175" s="40"/>
      <c r="GG175" s="31">
        <f>SnapshotTable[[#This Row],[Booked Sale Shares]] * SnapshotTable[[#This Row],[Booked Sale Price]]</f>
        <v>0</v>
      </c>
      <c r="GH175" s="31">
        <f>IF(SnapshotTable[[#This Row],[Equity Basis Total]] &gt; 0, SnapshotTable[[#This Row],[Equity Basis Per Share]] * SnapshotTable[[#This Row],[Booked Sale Shares]], "")</f>
        <v>0</v>
      </c>
      <c r="GI175" s="31">
        <f>IF(SnapshotTable[[#This Row],[Sale Proceeds]]&gt;0, SnapshotTable[[#This Row],[Sale Proceeds]] - SnapshotTable[[#This Row],[Sale Basis]], 0)</f>
        <v>0</v>
      </c>
      <c r="GJ175" s="27">
        <f ca="1">IF(SnapshotTable[[#This Row],[Sale G/L]]&gt;0, SnapshotTable[[#This Row],[Sale G/L]] / SnapshotTable[[#This Row],[Sale Basis]], IF(ISNUMBER(SnapshotTable[[#This Row],[SC Exercise P&amp;L (TAX)]]), SnapshotTable[[#This Row],[SC Exercise P&amp;L (TAX)]] / SnapshotTable[[#This Row],[SC Basis]], ""))</f>
        <v>-180.62038834951451</v>
      </c>
      <c r="GK175" s="27"/>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DRAM260710P00055000</v>
      </c>
      <c r="GO175" s="30">
        <f>IF(LEN(SnapshotTable[[#This Row],[SP Symbol]])&gt;0, 1, "")</f>
        <v>1</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 ca="1">IF(AND(SnapshotTable[[#This Row],[SC Exp Date]]&gt;0,SnapshotTable[[#This Row],[SC Strike Price]]&gt;0), [1]!ToOptionSymbol(SnapshotTable[[#This Row],[Symbol]], SnapshotTable[[#This Row],[SC Strike Price]],SnapshotTable[[#This Row],[SC Exp Date]],0), "")</f>
        <v>DRAM260731C00060000</v>
      </c>
      <c r="GS175" s="30">
        <f ca="1">IF(LEN(SnapshotTable[[#This Row],[SC Symbol]])&gt;0, 1, "")</f>
        <v>1</v>
      </c>
      <c r="GT175" s="29" t="str">
        <f ca="1">IF(COUNT(SnapshotTable[[#This Row],[LP Symbol Count]],SnapshotTable[[#This Row],[SP Symbol Count]],SnapshotTable[[#This Row],[LC Symbol Count]],SnapshotTable[[#This Row],[SC Symbol Count]])&gt;0, "Y", "")</f>
        <v>Y</v>
      </c>
      <c r="GU175"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5" s="231">
        <f ca="1">MAX(SnapshotTable[[#This Row],[Equity Basis Total]],SnapshotTable[[#This Row],[Equity Value]]) + (SnapshotTable[[#This Row],[SP Potential Spend]]- SnapshotTable[[#This Row],[SP Premium]] + SnapshotTable[[#This Row],[LP Premium]])+ (SnapshotTable[[#This Row],[LC Premium]] - SnapshotTable[[#This Row],[SC Premium]])</f>
        <v>123201</v>
      </c>
      <c r="GW175" s="139">
        <f ca="1">IF(AND(SnapshotTable[[#This Row],[Exposure]] &lt;&gt; 0),SnapshotTable[[#This Row],[Exposure]] / SnapshotTable[[#Totals],[Exposure]], "")</f>
        <v>0.57991306646502927</v>
      </c>
      <c r="HE175" s="268"/>
      <c r="HF175" s="268"/>
      <c r="HK175" s="1"/>
      <c r="HL175" s="1"/>
      <c r="HM175" s="1"/>
      <c r="HN175" s="1"/>
      <c r="HO175" s="1"/>
      <c r="HP175" s="1"/>
    </row>
    <row r="176" spans="2:224" ht="12.75" hidden="1" customHeight="1" x14ac:dyDescent="0.25">
      <c r="B176" s="12" t="s">
        <v>936</v>
      </c>
      <c r="C176" s="422">
        <v>46.17</v>
      </c>
      <c r="D176" s="208"/>
      <c r="E176" s="39">
        <f>SnapshotTable[[#This Row],[Last Price]]*(1 -CrashDiscount)</f>
        <v>39.244500000000002</v>
      </c>
      <c r="F176" s="26" t="s">
        <v>937</v>
      </c>
      <c r="G176" s="26" t="s">
        <v>4</v>
      </c>
      <c r="H176" s="149"/>
      <c r="I176" s="194">
        <v>44777.329861111109</v>
      </c>
      <c r="J176" s="195">
        <v>44777.329861111109</v>
      </c>
      <c r="K176" s="196"/>
      <c r="L176" s="326"/>
      <c r="M176" s="140"/>
      <c r="N176" s="140"/>
      <c r="O176" s="140"/>
      <c r="P176" s="22"/>
      <c r="Q176" s="25"/>
      <c r="R176" s="4" t="str">
        <f>IF(SnapshotTable[[#This Row],[Equity Basis Total]] &gt; 0, SnapshotTable[[#This Row],[Equity Basis Total]] / SnapshotTable[[#This Row],[Equity Shares]], "")</f>
        <v/>
      </c>
      <c r="S176" s="269">
        <f>SnapshotTable[[#This Row],[Last Price]] * SnapshotTable[[#This Row],[Equity Shares]]</f>
        <v>0</v>
      </c>
      <c r="T176" s="269">
        <f>SnapshotTable[[#This Row],[Equity Value]] - SnapshotTable[[#This Row],[Equity Basis Total]]</f>
        <v>0</v>
      </c>
      <c r="U176" s="270" t="str">
        <f>IF(SnapshotTable[[#This Row],[Equity Basis Total]] &gt; 0, SnapshotTable[[#This Row],[Equity G/L]] / SnapshotTable[[#This Row],[Equity Basis Total]], "")</f>
        <v/>
      </c>
      <c r="V176" s="268"/>
      <c r="W176" s="26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7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0"/>
      <c r="AD176" s="151"/>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1"/>
      <c r="AI176" s="5"/>
      <c r="AJ176" s="138">
        <v>46.55</v>
      </c>
      <c r="AK176" s="152" t="str">
        <f>IF(ISNUMBER( SnapshotTable[[#This Row],[EBF Target]]),(SnapshotTable[[#This Row],[EBF Target]] - SnapshotTable[[#This Row],[Last Price]]) / SnapshotTable[[#This Row],[Last Price]], "")</f>
        <v/>
      </c>
      <c r="AL176" s="152"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2">
        <f>IF(AND(ISNUMBER( SnapshotTable[[#This Row],[Long Term Target]]), ISNUMBER(SnapshotTable[[#This Row],[Last Price]])),(SnapshotTable[[#This Row],[Long Term Target]] - SnapshotTable[[#This Row],[Last Price]]) / SnapshotTable[[#This Row],[Last Price]], "")</f>
        <v>8.2304526748970212E-3</v>
      </c>
      <c r="AP176" s="5"/>
      <c r="AQ176" s="38"/>
      <c r="AR176" s="5">
        <v>39.9</v>
      </c>
      <c r="AS176" s="38" t="s">
        <v>32</v>
      </c>
      <c r="AT176" s="146"/>
      <c r="AU176" s="187" t="str">
        <f>IF(OR(SnapshotTable[[#This Row],[LP No Fill]]="Y",SnapshotTable[[#This Row],[SP Is Filled]],SnapshotTable[[#This Row],[LC Not Filled]]="Y",SnapshotTable[[#This Row],[SC Is Filled]]),"Y","")</f>
        <v/>
      </c>
      <c r="AV176" s="219"/>
      <c r="AW176" s="225"/>
      <c r="AX176" s="220"/>
      <c r="AY176" s="219" t="str">
        <f>IF(SnapshotTable[[#This Row],[Implied Move]]&gt;0, SnapshotTable[[#This Row],[Last Price]]-SnapshotTable[[#This Row],[Implied Move]],"")</f>
        <v/>
      </c>
      <c r="AZ176" s="219" t="str">
        <f>IF(SnapshotTable[[#This Row],[Implied Move]]&gt;0, SnapshotTable[[#This Row],[Last Price]] + SnapshotTable[[#This Row],[Implied Move]],"")</f>
        <v/>
      </c>
      <c r="BA176" s="331"/>
      <c r="BB176" s="347"/>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51"/>
      <c r="BE176" s="138"/>
      <c r="BF176" s="166"/>
      <c r="BG176" s="167"/>
      <c r="BH176" s="167"/>
      <c r="BI176" s="221"/>
      <c r="BJ176" s="153">
        <f>IF(SnapshotTable[[#This Row],[LP Qty]] &gt; 0, SnapshotTable[[#This Row],[LP Qty]] * SnapshotTable[[#This Row],[LP Book Price]] * 100,0)</f>
        <v>0</v>
      </c>
      <c r="BK176" s="136">
        <f>IF(SnapshotTable[[#This Row],[LP Premium]] &gt; 0, SnapshotTable[[#This Row],[LP Qty]] * SnapshotTable[[#This Row],[LP Strike Price]] * 100,0)</f>
        <v>0</v>
      </c>
      <c r="BL176" s="154"/>
      <c r="BM176" s="385" t="str">
        <f>IF(SnapshotTable[[#This Row],[LP Premium]] &gt; 0,SnapshotTable[[#This Row],[LP Exp Date]]-MAX(SnapshotTable[[#This Row],[LP Book Date]], SnapshotTable[[#This Row],[LP Fill Date]]),"")</f>
        <v/>
      </c>
      <c r="BN176" s="385" t="str">
        <f>IF(ISNUMBER( SnapshotTable[[#This Row],[LP Term]]), SnapshotTable[[#This Row],[LP Exp Date]] - MockToday,"")</f>
        <v/>
      </c>
      <c r="BO176" s="163"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7"/>
      <c r="BU176" s="13"/>
      <c r="BV176" s="5"/>
      <c r="BW176" s="419" t="b">
        <f>AND(ISNUMBER(SnapshotTable[[#This Row],[SP Exp Date]]), ISNUMBER(SnapshotTable[[#This Row],[SP Strike Price]]), ISNUMBER(SnapshotTable[[#This Row],[SP Qty]]), ISNUMBER(SnapshotTable[[#This Row],[SP Book Date]]), ISNUMBER(SnapshotTable[[#This Row],[SP Book Price]]))</f>
        <v>0</v>
      </c>
      <c r="BX176" s="419" t="b">
        <f>AND(SnapshotTable[[#This Row],[SP Is Booked]], NOT(ISBLANK(SnapshotTable[[#This Row],[SP Fill Date]])))</f>
        <v>0</v>
      </c>
      <c r="BY176" s="33">
        <f>IF(SnapshotTable[[#This Row],[SP Is Booked]], SnapshotTable[[#This Row],[SP Qty]] * SnapshotTable[[#This Row],[SP Book Price]] * 100, 0)</f>
        <v>0</v>
      </c>
      <c r="BZ176" s="369"/>
      <c r="CA176" s="368">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3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44"/>
      <c r="CK176" s="31">
        <f>IF(ISNUMBER(SnapshotTable[[#This Row],[SP Potential Spend]]),IF(ISNUMBER(SnapshotTable[[#This Row],[SP POW]]), SnapshotTable[[#This Row],[SP POW]] * SnapshotTable[[#This Row],[SP Potential Spend]], SnapshotTable[[#This Row],[SP Potential Spend]]), "")</f>
        <v>0</v>
      </c>
      <c r="CL176" s="164">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154"/>
      <c r="CO176" s="369"/>
      <c r="CP176" s="320" t="str">
        <f>IF(SnapshotTable[[#This Row],[SP Is Filled]], btc_max_buyback_amount(SnapshotTable[[#This Row],[SP Fill Date]],SnapshotTable[[#This Row],[SP Exp Date]], SnapshotTable[[#This Row],[SP Book Price]]),"")</f>
        <v/>
      </c>
      <c r="CQ176" s="78"/>
      <c r="CR176"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5" t="str">
        <f>IF(SnapshotTable[[#This Row],[SP Is Filled]], btc_next_cutoff_date(SnapshotTable[[#This Row],[SP Fill Date]],SnapshotTable[[#This Row],[SP Exp Date]]),"")</f>
        <v/>
      </c>
      <c r="CT176" s="23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56"/>
      <c r="CV176" s="235"/>
      <c r="CW176" s="378"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294" t="str">
        <f>IF(ISNUMBER((SnapshotTable[[#This Row],[SP Total Value]])), SnapshotTable[[#This Row],[SP Gain Loss]] / SnapshotTable[[#This Row],[SP Premium]], "")</f>
        <v/>
      </c>
      <c r="DI176" s="406"/>
      <c r="DJ176" s="138"/>
      <c r="DK176" s="148"/>
      <c r="DL176" s="147"/>
      <c r="DM176" s="147"/>
      <c r="DO176" s="31">
        <f>IF(SnapshotTable[[#This Row],[LC Symbol Count]]=1, SnapshotTable[[#This Row],[LC Qty]] * SnapshotTable[[#This Row],[LC Book Price]] * 100, 0)</f>
        <v>0</v>
      </c>
      <c r="DP176" s="289" t="str">
        <f>IF(AND(SnapshotTable[[#This Row],[LC Exp Date]]&gt;0, SnapshotTable[[#This Row],[LC Strike Price]]&gt;0,SnapshotTable[[#This Row],[LC Qty]]&gt;0,SnapshotTable[[#This Row],[LC Book Date]]&gt;0,SnapshotTable[[#This Row],[LC Book Price]]&gt;0,SnapshotTable[[#This Row],[LC Fill Date]]=0),"Y","")</f>
        <v/>
      </c>
      <c r="DQ176" s="386" t="str">
        <f>IF(SnapshotTable[[#This Row],[LC Premium]] &gt; 0,SnapshotTable[[#This Row],[LC Exp Date]]-MAX(SnapshotTable[[#This Row],[LC Book Date]], SnapshotTable[[#This Row],[LC Fill Date]]),"")</f>
        <v/>
      </c>
      <c r="DR176" s="386" t="str">
        <f>IF(ISNUMBER(SnapshotTable[[#This Row],[LC Term]]), SnapshotTable[[#This Row],[LC Exp Date]] - MockToday, "")</f>
        <v/>
      </c>
      <c r="DS176" s="23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40" t="str">
        <f>IF(ISNUMBER(SnapshotTable[[#This Row],[LC Actual Gain Loss]]), SnapshotTable[[#This Row],[LC Actual Gain Loss]] / SnapshotTable[[#This Row],[LC Premium]],"")</f>
        <v/>
      </c>
      <c r="DX176" s="284" t="str">
        <f>IF(ISNUMBER(SnapshotTable[[#This Row],[LC Book Price]]),SnapshotTable[[#This Row],[LC Book Price]] * 1.5,"")</f>
        <v/>
      </c>
      <c r="DY176" s="265" t="str">
        <f>IF(SnapshotTable[[#This Row],[LC Premium]]&gt;0, SnapshotTable[[#This Row],[LC Next Target]] * SnapshotTable[[#This Row],[LC Qty]] * 100,"")</f>
        <v/>
      </c>
      <c r="DZ176" s="265" t="str">
        <f>IF(ISNUMBER(SnapshotTable[[#This Row],[LC Target Gross]]), SnapshotTable[[#This Row],[LC Target Gross]] - SnapshotTable[[#This Row],[LC Premium]], "")</f>
        <v/>
      </c>
      <c r="EA176" s="305" t="str">
        <f>IF(ISNUMBER(SnapshotTable[[#This Row],[LC Target Gain Loss]]), SnapshotTable[[#This Row],[LC Target Gain Loss]]/SnapshotTable[[#This Row],[LC Premium]], "")</f>
        <v/>
      </c>
      <c r="EB176" s="262"/>
      <c r="EC176" s="290" t="str">
        <f>IF(SnapshotTable[[#This Row],[LC Premium]]&gt;0, SnapshotTable[[#This Row],[LC Book Price]] * (1 - LC_StopLoss_Pct),"")</f>
        <v/>
      </c>
      <c r="ED176" s="284"/>
      <c r="EE176" s="290" t="str">
        <f>IF(ISNUMBER(SnapshotTable[[#This Row],[LC Contract Value]]),IF(ISNUMBER(SnapshotTable[[#This Row],[LC Stop Loss Override]]), SnapshotTable[[#This Row],[LC Stop Loss Override]],SnapshotTable[[#This Row],[LC Stop Loss Calc Target]]),"")</f>
        <v/>
      </c>
      <c r="EF176" s="32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4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7"/>
      <c r="EL176" s="138"/>
      <c r="EM176" s="148"/>
      <c r="EN176" s="147"/>
      <c r="EO176" s="147"/>
      <c r="EP176" s="138"/>
      <c r="EQ176" s="419" t="b">
        <f>AND(ISNUMBER(SnapshotTable[[#This Row],[SC Exp Date]]), ISNUMBER(SnapshotTable[[#This Row],[SC Strike Price]]), ISNUMBER(SnapshotTable[[#This Row],[SC Qty]]), ISNUMBER(SnapshotTable[[#This Row],[SC Book Date]]), ISNUMBER(SnapshotTable[[#This Row],[SC Book Price]]))</f>
        <v>0</v>
      </c>
      <c r="ER176" s="419" t="b">
        <f>AND(SnapshotTable[[#This Row],[SC Is Booked]], NOT(ISBLANK(SnapshotTable[[#This Row],[SC Fill Date]])))</f>
        <v>0</v>
      </c>
      <c r="ES176" s="370"/>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3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283"/>
      <c r="FA176" s="218"/>
      <c r="FB176" s="370"/>
      <c r="FC176" s="4">
        <f>IF(SnapshotTable[[#This Row],[SC Is Filled]], btc_max_buyback_amount(SnapshotTable[[#This Row],[SC Fill Date]],SnapshotTable[[#This Row],[SC Exp Date]], SnapshotTable[[#This Row],[SC Book Price]]),0)</f>
        <v>0</v>
      </c>
      <c r="FD176" s="5"/>
      <c r="FE176" s="144"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382">
        <f>IF(SnapshotTable[[#This Row],[SC Is Filled]], IF(ISNUMBER(SnapshotTable[[#This Row],[SC Current Ask]]), SnapshotTable[[#This Row],[SC Current Ask]], SnapshotTable[[#This Row],[SC Book Price]]) - SnapshotTable[[#This Row],[SC Intrinsic Value]], 0)</f>
        <v>0</v>
      </c>
      <c r="FI176" s="143"/>
      <c r="FJ176" s="32" t="str">
        <f>IF(SnapshotTable[[#This Row],[SC Is Filled]],100 * SnapshotTable[[#This Row],[SC Qty]] * IF(ISNUMBER(SnapshotTable[[#This Row],[SC Buyback Override]]), SnapshotTable[[#This Row],[SC Buyback Override]], SnapshotTable[[#This Row],[SC Current Ask]]), "")</f>
        <v/>
      </c>
      <c r="FK176" s="250" t="str">
        <f>IF(SnapshotTable[[#This Row],[SC Time Val]]&gt;0, SnapshotTable[[#This Row],[SC Time Val]] / SnapshotTable[[#This Row],[Last Price]],"")</f>
        <v/>
      </c>
      <c r="FL176" s="302" t="str">
        <f>IF(SnapshotTable[[#This Row],[SC Is Booked]], ((SnapshotTable[[#This Row],[Last Price]] -SnapshotTable[[#This Row],[SC Strike Price]]) / SnapshotTable[[#This Row],[Last Price]]) * -1, "")</f>
        <v/>
      </c>
      <c r="FM176" s="157" t="str">
        <f>IF(SnapshotTable[[#This Row],[SC Is Booked]],  (SnapshotTable[[#This Row],[SC Qty]] * 100 * SnapshotTable[[#This Row],[SC Strike Price]]) - SnapshotTable[[#This Row],[SC Current Ask]], "")</f>
        <v/>
      </c>
      <c r="FN17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157"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33"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36" t="str">
        <f>IF(AND(ISNUMBER(SnapshotTable[[#This Row],[SC Simple ROO]]),SnapshotTable[[#This Row],[SC Simple ROO]] &gt; 0), SnapshotTable[[#This Row],[SC Premium]] + (SnapshotTable[[#This Row],[SC Qty]] * SnapshotTable[[#This Row],[SC Upside Potential]]), "")</f>
        <v/>
      </c>
      <c r="FX176" s="302" t="str" cm="1">
        <f t="array" ref="FX176">IF(ISNUMBER(SnapshotTable[[#This Row],[SC Max Dollars]]), annualize(SnapshotTable[[#This Row],[SC Term]],(SnapshotTable[[#This Row],[SC Max Dollars]]/SnapshotTable[[#This Row],[SC Basis]])),"")</f>
        <v/>
      </c>
      <c r="FY176" s="236" t="str">
        <f>IF(AND(SnapshotTable[[#This Row],[SC Qty]]&gt;0,SnapshotTable[[#This Row],[SC Current Ask]]&gt;0), SnapshotTable[[#This Row],[SC Qty]] * SnapshotTable[[#This Row],[SC Current Ask]] * -100, "")</f>
        <v/>
      </c>
      <c r="FZ176" s="235" t="str">
        <f>IF(ISNUMBER((SnapshotTable[[#This Row],[SC Current Value]])), SnapshotTable[[#This Row],[SC Premium]] + SnapshotTable[[#This Row],[SC Current Value]], "")</f>
        <v/>
      </c>
      <c r="GA176" s="29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44.222499999999997</v>
      </c>
      <c r="GD176" s="40">
        <f>SnapshotTable[[#This Row],[Last Price]] * (1+ SellingPriceToConsiderBasedOnTargetPercentage)</f>
        <v>90.031500000000008</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158" t="str">
        <f>IF(SnapshotTable[[#This Row],[Sale G/L]]&gt;0, SnapshotTable[[#This Row],[Sale G/L]] / SnapshotTable[[#This Row],[Sale Basis]], IF(ISNUMBER(SnapshotTable[[#This Row],[SC Exercise P&amp;L (TAX)]]), SnapshotTable[[#This Row],[SC Exercise P&amp;L (TAX)]] / SnapshotTable[[#This Row],[SC Basis]], ""))</f>
        <v/>
      </c>
      <c r="GK176" s="27"/>
      <c r="GL176" s="159"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159" t="str">
        <f>IF(AND(SnapshotTable[[#This Row],[LC Exp Date]]&gt;0,SnapshotTable[[#This Row],[LC Strike Price]]&gt;0), [1]!ToOptionSymbol(SnapshotTable[[#This Row],[Symbol]], SnapshotTable[[#This Row],[LC Strike Price]],SnapshotTable[[#This Row],[LC Exp Date]],0), "")</f>
        <v/>
      </c>
      <c r="GQ176" s="160" t="str">
        <f>IF(LEN(SnapshotTable[[#This Row],[LC Symbol]])&gt;0, 1, "")</f>
        <v/>
      </c>
      <c r="GR176" s="159" t="str">
        <f>IF(AND(SnapshotTable[[#This Row],[SC Exp Date]]&gt;0,SnapshotTable[[#This Row],[SC Strike Price]]&gt;0), [1]!ToOptionSymbol(SnapshotTable[[#This Row],[Symbol]], SnapshotTable[[#This Row],[SC Strike Price]],SnapshotTable[[#This Row],[SC Exp Date]],0), "")</f>
        <v/>
      </c>
      <c r="GS176" s="160" t="str">
        <f>IF(LEN(SnapshotTable[[#This Row],[SC Symbol]])&gt;0, 1, "")</f>
        <v/>
      </c>
      <c r="GT176" s="161"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31">
        <f>MAX(SnapshotTable[[#This Row],[Equity Basis Total]],SnapshotTable[[#This Row],[Equity Value]]) + (SnapshotTable[[#This Row],[SP Potential Spend]]- SnapshotTable[[#This Row],[SP Premium]] + SnapshotTable[[#This Row],[LP Premium]])+ (SnapshotTable[[#This Row],[LC Premium]] - SnapshotTable[[#This Row],[SC Premium]])</f>
        <v>0</v>
      </c>
      <c r="GW176" s="139" t="str">
        <f>IF(AND(SnapshotTable[[#This Row],[Exposure]] &lt;&gt; 0),SnapshotTable[[#This Row],[Exposure]] / SnapshotTable[[#Totals],[Exposure]], "")</f>
        <v/>
      </c>
      <c r="HE176" s="268"/>
      <c r="HF176" s="268"/>
      <c r="HK176" s="1"/>
      <c r="HL176" s="1"/>
      <c r="HM176" s="1"/>
      <c r="HN176" s="1"/>
      <c r="HO176" s="1"/>
      <c r="HP176" s="1"/>
    </row>
    <row r="177" spans="2:224" ht="12.75" hidden="1" customHeight="1" x14ac:dyDescent="0.25">
      <c r="B177" s="12" t="s">
        <v>171</v>
      </c>
      <c r="C177" s="422">
        <v>56.45</v>
      </c>
      <c r="D177" s="208"/>
      <c r="E177" s="39">
        <f>SnapshotTable[[#This Row],[Last Price]]*(1 -CrashDiscount)</f>
        <v>47.982500000000002</v>
      </c>
      <c r="F177" s="26" t="s">
        <v>105</v>
      </c>
      <c r="G177" s="26" t="s">
        <v>14</v>
      </c>
      <c r="H177" s="149"/>
      <c r="I177" s="194">
        <v>44782</v>
      </c>
      <c r="J177" s="195">
        <v>44782</v>
      </c>
      <c r="K177" s="196"/>
      <c r="L177" s="326"/>
      <c r="M177" s="140"/>
      <c r="N177" s="140"/>
      <c r="O177" s="140"/>
      <c r="P177" s="22"/>
      <c r="Q177" s="25"/>
      <c r="R177" s="4" t="str">
        <f>IF(SnapshotTable[[#This Row],[Equity Basis Total]] &gt; 0, SnapshotTable[[#This Row],[Equity Basis Total]] / SnapshotTable[[#This Row],[Equity Shares]], "")</f>
        <v/>
      </c>
      <c r="S177" s="269">
        <f>SnapshotTable[[#This Row],[Last Price]] * SnapshotTable[[#This Row],[Equity Shares]]</f>
        <v>0</v>
      </c>
      <c r="T177" s="269">
        <f>SnapshotTable[[#This Row],[Equity Value]] - SnapshotTable[[#This Row],[Equity Basis Total]]</f>
        <v>0</v>
      </c>
      <c r="U177" s="270" t="str">
        <f>IF(SnapshotTable[[#This Row],[Equity Basis Total]] &gt; 0, SnapshotTable[[#This Row],[Equity G/L]] / SnapshotTable[[#This Row],[Equity Basis Total]], "")</f>
        <v/>
      </c>
      <c r="V177" s="268"/>
      <c r="W177" s="26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7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0">
        <v>0.3</v>
      </c>
      <c r="AD177" s="151">
        <v>42291</v>
      </c>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5.3144375553587243E-3</v>
      </c>
      <c r="AH177" s="151">
        <v>42249</v>
      </c>
      <c r="AI177" s="5"/>
      <c r="AJ177" s="138">
        <v>34.270000000000003</v>
      </c>
      <c r="AK177" s="152" t="str">
        <f>IF(ISNUMBER( SnapshotTable[[#This Row],[EBF Target]]),(SnapshotTable[[#This Row],[EBF Target]] - SnapshotTable[[#This Row],[Last Price]]) / SnapshotTable[[#This Row],[Last Price]], "")</f>
        <v/>
      </c>
      <c r="AL177" s="152"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2">
        <f>IF(AND(ISNUMBER( SnapshotTable[[#This Row],[Long Term Target]]), ISNUMBER(SnapshotTable[[#This Row],[Last Price]])),(SnapshotTable[[#This Row],[Long Term Target]] - SnapshotTable[[#This Row],[Last Price]]) / SnapshotTable[[#This Row],[Last Price]], "")</f>
        <v>-0.39291408325952165</v>
      </c>
      <c r="AP177" s="5"/>
      <c r="AQ177" s="38"/>
      <c r="AR177" s="5"/>
      <c r="AS177" s="38"/>
      <c r="AT177" s="146"/>
      <c r="AU177" s="187" t="str">
        <f>IF(OR(SnapshotTable[[#This Row],[LP No Fill]]="Y",SnapshotTable[[#This Row],[SP Is Filled]],SnapshotTable[[#This Row],[LC Not Filled]]="Y",SnapshotTable[[#This Row],[SC Is Filled]]),"Y","")</f>
        <v/>
      </c>
      <c r="AV177" s="219"/>
      <c r="AW177" s="225"/>
      <c r="AX177" s="220"/>
      <c r="AY177" s="219" t="str">
        <f>IF(SnapshotTable[[#This Row],[Implied Move]]&gt;0, SnapshotTable[[#This Row],[Last Price]]-SnapshotTable[[#This Row],[Implied Move]],"")</f>
        <v/>
      </c>
      <c r="AZ177" s="219" t="str">
        <f>IF(SnapshotTable[[#This Row],[Implied Move]]&gt;0, SnapshotTable[[#This Row],[Last Price]] + SnapshotTable[[#This Row],[Implied Move]],"")</f>
        <v/>
      </c>
      <c r="BA177" s="331"/>
      <c r="BB177" s="347"/>
      <c r="BC1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7" s="351"/>
      <c r="BE177" s="5"/>
      <c r="BF177" s="14"/>
      <c r="BG177" s="13"/>
      <c r="BH177" s="13"/>
      <c r="BI177" s="5"/>
      <c r="BJ177" s="136">
        <f>IF(SnapshotTable[[#This Row],[LP Qty]] &gt; 0, SnapshotTable[[#This Row],[LP Qty]] * SnapshotTable[[#This Row],[LP Book Price]] * 100,0)</f>
        <v>0</v>
      </c>
      <c r="BK177" s="136">
        <f>IF(SnapshotTable[[#This Row],[LP Premium]] &gt; 0, SnapshotTable[[#This Row],[LP Qty]] * SnapshotTable[[#This Row],[LP Strike Price]] * 100,0)</f>
        <v>0</v>
      </c>
      <c r="BL177" s="154"/>
      <c r="BM177" s="385" t="str">
        <f>IF(SnapshotTable[[#This Row],[LP Premium]] &gt; 0,SnapshotTable[[#This Row],[LP Exp Date]]-MAX(SnapshotTable[[#This Row],[LP Book Date]], SnapshotTable[[#This Row],[LP Fill Date]]),"")</f>
        <v/>
      </c>
      <c r="BN177" s="385" t="str">
        <f>IF(ISNUMBER( SnapshotTable[[#This Row],[LP Term]]), SnapshotTable[[#This Row],[LP Exp Date]] - MockToday,"")</f>
        <v/>
      </c>
      <c r="BO177" s="163"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c r="BR177" s="5"/>
      <c r="BS177" s="36"/>
      <c r="BT177" s="147"/>
      <c r="BU177" s="13"/>
      <c r="BV177" s="5"/>
      <c r="BW177" s="419" t="b">
        <f>AND(ISNUMBER(SnapshotTable[[#This Row],[SP Exp Date]]), ISNUMBER(SnapshotTable[[#This Row],[SP Strike Price]]), ISNUMBER(SnapshotTable[[#This Row],[SP Qty]]), ISNUMBER(SnapshotTable[[#This Row],[SP Book Date]]), ISNUMBER(SnapshotTable[[#This Row],[SP Book Price]]))</f>
        <v>0</v>
      </c>
      <c r="BX177" s="419" t="b">
        <f>AND(SnapshotTable[[#This Row],[SP Is Booked]], NOT(ISBLANK(SnapshotTable[[#This Row],[SP Fill Date]])))</f>
        <v>0</v>
      </c>
      <c r="BY177" s="33">
        <f>IF(SnapshotTable[[#This Row],[SP Is Booked]], SnapshotTable[[#This Row],[SP Qty]] * SnapshotTable[[#This Row],[SP Book Price]] * 100, 0)</f>
        <v>0</v>
      </c>
      <c r="BZ177" s="369"/>
      <c r="CA177" s="368">
        <f>SnapshotTable[[#This Row],[LP Qty]]</f>
        <v>0</v>
      </c>
      <c r="CB177" s="4" t="str">
        <f>IF(SnapshotTable[[#This Row],[SP Is Booked]], SnapshotTable[[#This Row],[SP Strike Price]] - SnapshotTable[[#This Row],[SP Book Price]], "")</f>
        <v/>
      </c>
      <c r="CC177" s="19" t="str">
        <f>IF(SnapshotTable[[#This Row],[SP Is Booked]],SnapshotTable[[#This Row],[SP Exp Date]]-MAX(SnapshotTable[[#This Row],[SP Book Date]], SnapshotTable[[#This Row],[SP Fill Date]]),"")</f>
        <v/>
      </c>
      <c r="CD177" s="7" t="str">
        <f>IF(SnapshotTable[[#This Row],[SP Is Booked]], SnapshotTable[[#This Row],[SP Book Price]]/SnapshotTable[[#This Row],[SP Strike Price]], "")</f>
        <v/>
      </c>
      <c r="CE177" s="7" t="str">
        <f>IF(ISNUMBER(SnapshotTable[[#This Row],[SP ROO Term]]),SnapshotTable[[#This Row],[SP ROO Term]]*(365/SnapshotTable[[#This Row],[SP Term]]),"")</f>
        <v/>
      </c>
      <c r="CF177" s="236">
        <f>SnapshotTable[[#This Row],[LP Strike Price]] * SnapshotTable[[#This Row],[LP Qty]] * 100</f>
        <v>0</v>
      </c>
      <c r="CG177" s="31">
        <f>IF(ISNUMBER(SnapshotTable[[#This Row],[SP Premium]]), (SnapshotTable[[#This Row],[SP Qty]] * SnapshotTable[[#This Row],[SP Strike Price]]* 100) - SnapshotTable[[#This Row],[LP Protection]], 0)</f>
        <v>0</v>
      </c>
      <c r="CH177" s="7" t="str">
        <f>IF(ISNUMBER(SnapshotTable[[#This Row],[SP Break Even]]),-1 * (SnapshotTable[[#This Row],[SP Break Even]] - SnapshotTable[[#This Row],[Last Price]]) / SnapshotTable[[#This Row],[Last Price]], "")</f>
        <v/>
      </c>
      <c r="CI177" s="31">
        <f>IF(AND(ISNUMBER((SnapshotTable[[#This Row],[SP Potential Spend]])), SnapshotTable[[#This Row],[SP Strike Price]] &gt; SnapshotTable[[#This Row],[Last Price]], SnapshotTable[[#This Row],[SP Is Filled]]), SnapshotTable[[#This Row],[SP Potential Spend]] -  SnapshotTable[[#This Row],[LP Max Value]], 0)</f>
        <v>0</v>
      </c>
      <c r="CJ177" s="244"/>
      <c r="CK177" s="31">
        <f>IF(ISNUMBER(SnapshotTable[[#This Row],[SP Potential Spend]]),IF(ISNUMBER(SnapshotTable[[#This Row],[SP POW]]), SnapshotTable[[#This Row],[SP POW]] * SnapshotTable[[#This Row],[SP Potential Spend]], SnapshotTable[[#This Row],[SP Potential Spend]]), "")</f>
        <v>0</v>
      </c>
      <c r="CL177" s="164">
        <f>IF(NOT(SnapshotTable[[#This Row],[SP Is Filled]]),(SnapshotTable[[#This Row],[SP Qty]] * SnapshotTable[[#This Row],[SP Strike Price]] * 100) - SnapshotTable[[#This Row],[LP Max Value]],"")</f>
        <v>0</v>
      </c>
      <c r="CM177" s="31" t="str">
        <f>IF(SnapshotTable[[#This Row],[SP Actual Spend]]&lt;&gt;0, ((SnapshotTable[[#This Row],[SP Strike Price]]-SnapshotTable[[#This Row],[Last Price]]) *(SnapshotTable[[#This Row],[SP Qty]]*100) - SnapshotTable[[#This Row],[SP Premium]]) * - 1, "")</f>
        <v/>
      </c>
      <c r="CN177" s="78"/>
      <c r="CO177" s="369"/>
      <c r="CP177" s="4" t="str">
        <f>IF(SnapshotTable[[#This Row],[SP Is Filled]], btc_max_buyback_amount(SnapshotTable[[#This Row],[SP Fill Date]],SnapshotTable[[#This Row],[SP Exp Date]], SnapshotTable[[#This Row],[SP Book Price]]),"")</f>
        <v/>
      </c>
      <c r="CQ177" s="78"/>
      <c r="CR1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7" s="155" t="str">
        <f>IF(SnapshotTable[[#This Row],[SP Is Filled]], btc_next_cutoff_date(SnapshotTable[[#This Row],[SP Fill Date]],SnapshotTable[[#This Row],[SP Exp Date]]),"")</f>
        <v/>
      </c>
      <c r="CT177" s="235" t="str" cm="1">
        <f t="array" ref="CT177">IF(SnapshotTable[[#This Row],[SP Is Filled]], btc_should_buy_back(SnapshotTable[[#This Row],[SP Fill Date]], SnapshotTable[[#This Row],[SP Exp Date]], SnapshotTable[[#This Row],[SP Book Price]], SnapshotTable[[#This Row],[SP Current Ask]], MockToday, SnapshotTable[[#This Row],[SP Buyback Override]]),"")</f>
        <v/>
      </c>
      <c r="CU177" s="143"/>
      <c r="CV177" s="235"/>
      <c r="CW177" s="378" t="str">
        <f>IF(ISNUMBER( SnapshotTable[[#This Row],[SP Term]]), SnapshotTable[[#This Row],[SP Exp Date]] - MockToday,"")</f>
        <v/>
      </c>
      <c r="CX177" s="31" t="str">
        <f>IF(SnapshotTable[[#This Row],[SP Is Filled]],SnapshotTable[[#This Row],[SP Buyback Price to Use]] * 100 * SnapshotTable[[#This Row],[SP Qty]], "")</f>
        <v/>
      </c>
      <c r="CY177" s="4" t="str">
        <f>IF(ISNUMBER(SnapshotTable[[#This Row],[SP Strike Price]]), SnapshotTable[[#This Row],[SP Strike Price]] * (1 - SP_MaxLoss_StrikePct), "")</f>
        <v/>
      </c>
      <c r="CZ177" s="31" t="str">
        <f>IF(ISNUMBER(SnapshotTable[[#This Row],[SP Strike  Stop Per Share]]),SnapshotTable[[#This Row],[SP Premium]] - ((SnapshotTable[[#This Row],[SP Strike Price]]-SnapshotTable[[#This Row],[SP Strike  Stop Per Share]]) *(SnapshotTable[[#This Row],[SP Qty]] * 100)),"")</f>
        <v/>
      </c>
      <c r="DA177" s="4" t="str">
        <f>IF(AND(ISNUMBER(SnapshotTable[[#This Row],[SP Premium]]),SnapshotTable[[#This Row],[SP Premium]]&gt;0), SnapshotTable[[#This Row],[SP Book Price]] * (1 + SP_MaxLoss_OptionPct), "")</f>
        <v/>
      </c>
      <c r="DB177" s="31" t="str">
        <f>IF(ISNUMBER(SnapshotTable[[#This Row],[SP Option  Stop Contract]]),(SnapshotTable[[#This Row],[SP Option  Stop Contract]] *(SnapshotTable[[#This Row],[SP Qty]] * 100) - SnapshotTable[[#This Row],[SP Premium]]),"")</f>
        <v/>
      </c>
      <c r="DC177" s="4"/>
      <c r="DD177" s="4"/>
      <c r="DE177" s="4" t="str">
        <f>IF(AND(SnapshotTable[[#This Row],[SP Qty]]&gt;0, SnapshotTable[[#This Row],[SP Stop To Use]]&gt;0),SnapshotTable[[#This Row],[SP Premium]] - ( SnapshotTable[[#This Row],[SP Qty]] * SnapshotTable[[#This Row],[SP Stop To Use]] * 100), "")</f>
        <v/>
      </c>
      <c r="DF177" s="31" t="str">
        <f>IF(AND(SnapshotTable[[#This Row],[SP Qty]]&gt;0,SnapshotTable[[#This Row],[SP Current Ask]]&gt;0), SnapshotTable[[#This Row],[SP Qty]] * SnapshotTable[[#This Row],[SP Current Ask]] * -100, "")</f>
        <v/>
      </c>
      <c r="DG177" s="31" t="str">
        <f>IF(ISNUMBER((SnapshotTable[[#This Row],[SP Total Value]])), SnapshotTable[[#This Row],[SP Premium]] + SnapshotTable[[#This Row],[SP Total Value]], "")</f>
        <v/>
      </c>
      <c r="DH177" s="294" t="str">
        <f>IF(ISNUMBER((SnapshotTable[[#This Row],[SP Total Value]])), SnapshotTable[[#This Row],[SP Gain Loss]] / SnapshotTable[[#This Row],[SP Premium]], "")</f>
        <v/>
      </c>
      <c r="DI177" s="406"/>
      <c r="DJ177" s="138"/>
      <c r="DK177" s="148"/>
      <c r="DL177" s="13"/>
      <c r="DM177" s="13"/>
      <c r="DO177" s="31">
        <f>IF(SnapshotTable[[#This Row],[LC Symbol Count]]=1, SnapshotTable[[#This Row],[LC Qty]] * SnapshotTable[[#This Row],[LC Book Price]] * 100, 0)</f>
        <v>0</v>
      </c>
      <c r="DP177" s="163" t="str">
        <f>IF(AND(SnapshotTable[[#This Row],[LC Exp Date]]&gt;0, SnapshotTable[[#This Row],[LC Strike Price]]&gt;0,SnapshotTable[[#This Row],[LC Qty]]&gt;0,SnapshotTable[[#This Row],[LC Book Date]]&gt;0,SnapshotTable[[#This Row],[LC Book Price]]&gt;0,SnapshotTable[[#This Row],[LC Fill Date]]=0),"Y","")</f>
        <v/>
      </c>
      <c r="DQ177" s="386" t="str">
        <f>IF(SnapshotTable[[#This Row],[LC Premium]] &gt; 0,SnapshotTable[[#This Row],[LC Exp Date]]-MAX(SnapshotTable[[#This Row],[LC Book Date]], SnapshotTable[[#This Row],[LC Fill Date]]),"")</f>
        <v/>
      </c>
      <c r="DR177" s="386" t="str">
        <f>IF(ISNUMBER(SnapshotTable[[#This Row],[LC Term]]), SnapshotTable[[#This Row],[LC Exp Date]] - MockToday, "")</f>
        <v/>
      </c>
      <c r="DS177" s="23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40" t="str">
        <f>IF(ISNUMBER(SnapshotTable[[#This Row],[LC Actual Gain Loss]]), SnapshotTable[[#This Row],[LC Actual Gain Loss]] / SnapshotTable[[#This Row],[LC Premium]],"")</f>
        <v/>
      </c>
      <c r="DX177" s="284" t="str">
        <f>IF(ISNUMBER(SnapshotTable[[#This Row],[LC Book Price]]),SnapshotTable[[#This Row],[LC Book Price]] * 1.5,"")</f>
        <v/>
      </c>
      <c r="DY177" s="265" t="str">
        <f>IF(SnapshotTable[[#This Row],[LC Premium]]&gt;0, SnapshotTable[[#This Row],[LC Next Target]] * SnapshotTable[[#This Row],[LC Qty]] * 100,"")</f>
        <v/>
      </c>
      <c r="DZ177" s="265" t="str">
        <f>IF(ISNUMBER(SnapshotTable[[#This Row],[LC Target Gross]]), SnapshotTable[[#This Row],[LC Target Gross]] - SnapshotTable[[#This Row],[LC Premium]], "")</f>
        <v/>
      </c>
      <c r="EA177" s="305" t="str">
        <f>IF(ISNUMBER(SnapshotTable[[#This Row],[LC Target Gain Loss]]), SnapshotTable[[#This Row],[LC Target Gain Loss]]/SnapshotTable[[#This Row],[LC Premium]], "")</f>
        <v/>
      </c>
      <c r="EB177" s="262"/>
      <c r="EC177" s="283" t="str">
        <f>IF(SnapshotTable[[#This Row],[LC Premium]]&gt;0, SnapshotTable[[#This Row],[LC Book Price]] * (1 - LC_StopLoss_Pct),"")</f>
        <v/>
      </c>
      <c r="ED177" s="284"/>
      <c r="EE177" s="28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4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0</v>
      </c>
      <c r="EK177" s="147"/>
      <c r="EL177" s="138"/>
      <c r="EM177" s="148"/>
      <c r="EN177" s="147"/>
      <c r="EO177" s="147"/>
      <c r="EP177" s="138"/>
      <c r="EQ177" s="419" t="b">
        <f>AND(ISNUMBER(SnapshotTable[[#This Row],[SC Exp Date]]), ISNUMBER(SnapshotTable[[#This Row],[SC Strike Price]]), ISNUMBER(SnapshotTable[[#This Row],[SC Qty]]), ISNUMBER(SnapshotTable[[#This Row],[SC Book Date]]), ISNUMBER(SnapshotTable[[#This Row],[SC Book Price]]))</f>
        <v>0</v>
      </c>
      <c r="ER177" s="419" t="b">
        <f>AND(SnapshotTable[[#This Row],[SC Is Booked]], NOT(ISBLANK(SnapshotTable[[#This Row],[SC Fill Date]])))</f>
        <v>0</v>
      </c>
      <c r="ES177" s="370"/>
      <c r="ET177" s="34" t="str">
        <f>IF(AND(ISNUMBER(SnapshotTable[[#This Row],[SC Exp Date]]), ISNUMBER(SnapshotTable[[#This Row],[SC Book Date]])), SnapshotTable[[#This Row],[SC Exp Date]] - MAX(SnapshotTable[[#This Row],[SC Book Date]], SnapshotTable[[#This Row],[SC Fill Date]]) + 1, "")</f>
        <v/>
      </c>
      <c r="EU177" s="34" t="str">
        <f>IF(ISNUMBER(SnapshotTable[[#This Row],[SC Term]]), SnapshotTable[[#This Row],[SC Exp Date]]- MockToday, "")</f>
        <v/>
      </c>
      <c r="EV177" s="31">
        <f>IF(SnapshotTable[[#This Row],[SC Is Booked]], SnapshotTable[[#This Row],[SC Qty]] * SnapshotTable[[#This Row],[SC Book Price]] * 100, 0)</f>
        <v>0</v>
      </c>
      <c r="EW177" s="4" t="str">
        <f>IF(AND(ISNUMBER(SnapshotTable[[#This Row],[Last Price]]), ISNUMBER( SnapshotTable[[#This Row],[SC Book Price]])), SnapshotTable[[#This Row],[Last Price]] - SnapshotTable[[#This Row],[SC Book Price]],"")</f>
        <v/>
      </c>
      <c r="EX177" s="234" t="str">
        <f>IF(SnapshotTable[[#This Row],[SC Is Booked]],IF(SnapshotTable[[#This Row],[SC Intrinsic Value]] &gt; 0, SnapshotTable[[#This Row],[SC Strike Price]], SnapshotTable[[#This Row],[Last Price]]), "")</f>
        <v/>
      </c>
      <c r="EY177" s="4">
        <f>IF(SnapshotTable[[#This Row],[SC Is Booked]], (MinimumPremiumRequired * SnapshotTable[[#This Row],[SC Basis]] * SnapshotTable[[#This Row],[SC Term]]), 0)</f>
        <v>0</v>
      </c>
      <c r="EZ177" s="283"/>
      <c r="FA177" s="218"/>
      <c r="FB177" s="370"/>
      <c r="FC177" s="4">
        <f>IF(SnapshotTable[[#This Row],[SC Is Filled]], btc_max_buyback_amount(SnapshotTable[[#This Row],[SC Fill Date]],SnapshotTable[[#This Row],[SC Exp Date]], SnapshotTable[[#This Row],[SC Book Price]]),0)</f>
        <v>0</v>
      </c>
      <c r="FD177" s="5"/>
      <c r="FE177" s="144" t="str">
        <f>IF(SnapshotTable[[#This Row],[SC Is Filled]], btc_next_cutoff_date(SnapshotTable[[#This Row],[SC Fill Date]],SnapshotTable[[#This Row],[SC Exp Date]]),"")</f>
        <v/>
      </c>
      <c r="FF177" s="4" t="str" cm="1">
        <f t="array" ref="FF177">IF(SnapshotTable[[#This Row],[SC Is Filled]], btc_should_buy_back(SnapshotTable[[#This Row],[SC Fill Date]], SnapshotTable[[#This Row],[SC Exp Date]], SnapshotTable[[#This Row],[SC Book Price]], SnapshotTable[[#This Row],[SC Current Ask]], MockToday, SnapshotTable[[#This Row],[SC Buyback Override]]),"")</f>
        <v/>
      </c>
      <c r="FG177" s="4">
        <f>IF(SnapshotTable[[#This Row],[SC Is Filled]], MAX(0,SnapshotTable[[#This Row],[Last Price]]  - SnapshotTable[[#This Row],[SC Strike Price]]), 0)</f>
        <v>0</v>
      </c>
      <c r="FH177" s="382">
        <f>IF(SnapshotTable[[#This Row],[SC Is Filled]], IF(ISNUMBER(SnapshotTable[[#This Row],[SC Current Ask]]), SnapshotTable[[#This Row],[SC Current Ask]], SnapshotTable[[#This Row],[SC Book Price]]) - SnapshotTable[[#This Row],[SC Intrinsic Value]], 0)</f>
        <v>0</v>
      </c>
      <c r="FI177" s="143"/>
      <c r="FJ177" s="32" t="str">
        <f>IF(SnapshotTable[[#This Row],[SC Is Filled]],100 * SnapshotTable[[#This Row],[SC Qty]] * IF(ISNUMBER(SnapshotTable[[#This Row],[SC Buyback Override]]), SnapshotTable[[#This Row],[SC Buyback Override]], SnapshotTable[[#This Row],[SC Current Ask]]), "")</f>
        <v/>
      </c>
      <c r="FK177" s="250" t="str">
        <f>IF(SnapshotTable[[#This Row],[SC Time Val]]&gt;0, SnapshotTable[[#This Row],[SC Time Val]] / SnapshotTable[[#This Row],[Last Price]],"")</f>
        <v/>
      </c>
      <c r="FL177" s="302" t="str">
        <f>IF(SnapshotTable[[#This Row],[SC Is Booked]], ((SnapshotTable[[#This Row],[Last Price]] -SnapshotTable[[#This Row],[SC Strike Price]]) / SnapshotTable[[#This Row],[Last Price]]) * -1, "")</f>
        <v/>
      </c>
      <c r="FM177" s="157" t="str">
        <f>IF(SnapshotTable[[#This Row],[SC Is Booked]],  (SnapshotTable[[#This Row],[SC Qty]] * 100 * SnapshotTable[[#This Row],[SC Strike Price]]) - SnapshotTable[[#This Row],[SC Current Ask]], "")</f>
        <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t="str">
        <f>IF(AND(ISNUMBER(SnapshotTable[[#This Row],[SC Exercise Gross]]), ISNUMBER(SnapshotTable[[#This Row],[Equity Basis Per Share]] )), SnapshotTable[[#This Row],[SC Exercise Gross]] - SnapshotTable[[#This Row],[Equity Basis Total]] +  SnapshotTable[[#This Row],[SC Premium]], "")</f>
        <v/>
      </c>
      <c r="FP177" s="5" t="str">
        <f>IF(ISNUMBER(SnapshotTable[[#This Row],[SC Exercise Gross]]), (SnapshotTable[[#This Row],[SC Exercise Gross]]) / (SnapshotTable[[#This Row],[SC Qty]] * 100), "")</f>
        <v/>
      </c>
      <c r="FQ177" s="27" t="str">
        <f>IF(SnapshotTable[[#This Row],[SC Is Booked]],SnapshotTable[[#This Row],[SC Time Val]] /SnapshotTable[[#This Row],[SC Basis]], "")</f>
        <v/>
      </c>
      <c r="FR177" s="27" t="str" cm="1">
        <f t="array" ref="FR177">IF(AND(ISNUMBER(SnapshotTable[[#This Row],[SC Term]]),ISNUMBER(SnapshotTable[[#This Row],[SC Simple ROO]])), EllmanAnnualize(SnapshotTable[[#This Row],[SC DTE]], SnapshotTable[[#This Row],[SC Simple ROO]] ),"")</f>
        <v/>
      </c>
      <c r="FS177" s="4">
        <f>IF(SnapshotTable[[#This Row],[SC Strike Price]] &gt; SnapshotTable[[#This Row],[Last Price]], SnapshotTable[[#This Row],[SC Strike Price]] - SnapshotTable[[#This Row],[Last Price]],0)</f>
        <v>0</v>
      </c>
      <c r="FT177" s="27" t="str">
        <f>IF(AND(ISNUMBER(SnapshotTable[[#This Row],[SC Upside Potential]]), SnapshotTable[[#This Row],[SC Upside Potential]] &gt; 0),(SnapshotTable[[#This Row],[SC Upside Potential]]/ SnapshotTable[[#This Row],[ACB]]),"")</f>
        <v/>
      </c>
      <c r="FU177" s="333"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36" t="str">
        <f>IF(AND(ISNUMBER(SnapshotTable[[#This Row],[SC Simple ROO]]),SnapshotTable[[#This Row],[SC Simple ROO]] &gt; 0), SnapshotTable[[#This Row],[SC Premium]] + (SnapshotTable[[#This Row],[SC Qty]] * SnapshotTable[[#This Row],[SC Upside Potential]]), "")</f>
        <v/>
      </c>
      <c r="FX177" s="302" t="str" cm="1">
        <f t="array" ref="FX177">IF(ISNUMBER(SnapshotTable[[#This Row],[SC Max Dollars]]), annualize(SnapshotTable[[#This Row],[SC Term]],(SnapshotTable[[#This Row],[SC Max Dollars]]/SnapshotTable[[#This Row],[SC Basis]])),"")</f>
        <v/>
      </c>
      <c r="FY177" s="236" t="str">
        <f>IF(AND(SnapshotTable[[#This Row],[SC Qty]]&gt;0,SnapshotTable[[#This Row],[SC Current Ask]]&gt;0), SnapshotTable[[#This Row],[SC Qty]] * SnapshotTable[[#This Row],[SC Current Ask]] * -100, "")</f>
        <v/>
      </c>
      <c r="FZ177" s="31" t="str">
        <f>IF(ISNUMBER((SnapshotTable[[#This Row],[SC Current Value]])), SnapshotTable[[#This Row],[SC Premium]] + SnapshotTable[[#This Row],[SC Current Value]], "")</f>
        <v/>
      </c>
      <c r="GA177" s="294" t="str">
        <f>IFERROR( IF(ISNUMBER((SnapshotTable[[#This Row],[SC Current Value]])), SnapshotTable[[#This Row],[SC Gain Loss]] / SnapshotTable[[#This Row],[SC Premium]], ""), "")</f>
        <v/>
      </c>
      <c r="GB177" s="42">
        <f>SnapshotTable[[#This Row],[Equity Shares]] * SaleSharesToConsiderPercentage</f>
        <v>0</v>
      </c>
      <c r="GC177" s="40">
        <f>SnapshotTable[[#This Row],[Long Term Target]] * SellingPriceToConsiderBasedOnTargetPercentage</f>
        <v>32.5565</v>
      </c>
      <c r="GD177" s="40">
        <f>SnapshotTable[[#This Row],[Last Price]] * (1+ SellingPriceToConsiderBasedOnTargetPercentage)</f>
        <v>110.0775</v>
      </c>
      <c r="GE177" s="41"/>
      <c r="GF177" s="40"/>
      <c r="GG177" s="31">
        <f>SnapshotTable[[#This Row],[Booked Sale Shares]] * SnapshotTable[[#This Row],[Booked Sale Price]]</f>
        <v>0</v>
      </c>
      <c r="GH177" s="31" t="str">
        <f>IF(SnapshotTable[[#This Row],[Equity Basis Total]] &gt; 0, SnapshotTable[[#This Row],[Equity Basis Per Share]] * SnapshotTable[[#This Row],[Booked Sale Shares]], "")</f>
        <v/>
      </c>
      <c r="GI177" s="31">
        <f>IF(SnapshotTable[[#This Row],[Sale Proceeds]]&gt;0, SnapshotTable[[#This Row],[Sale Proceeds]] - SnapshotTable[[#This Row],[Sale Basis]], 0)</f>
        <v>0</v>
      </c>
      <c r="GJ177" s="27" t="str">
        <f>IF(SnapshotTable[[#This Row],[Sale G/L]]&gt;0, SnapshotTable[[#This Row],[Sale G/L]] / SnapshotTable[[#This Row],[Sale Basis]], IF(ISNUMBER(SnapshotTable[[#This Row],[SC Exercise P&amp;L (TAX)]]), SnapshotTable[[#This Row],[SC Exercise P&amp;L (TAX)]] / SnapshotTable[[#This Row],[SC Basis]], ""))</f>
        <v/>
      </c>
      <c r="GK177" s="27" t="s">
        <v>709</v>
      </c>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
      </c>
      <c r="GO177" s="30" t="str">
        <f>IF(LEN(SnapshotTable[[#This Row],[SP Symbol]])&gt;0, 1, "")</f>
        <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
      </c>
      <c r="GS177" s="30" t="str">
        <f>IF(LEN(SnapshotTable[[#This Row],[SC Symbol]])&gt;0, 1, "")</f>
        <v/>
      </c>
      <c r="GT177" s="29" t="str">
        <f>IF(COUNT(SnapshotTable[[#This Row],[LP Symbol Count]],SnapshotTable[[#This Row],[SP Symbol Count]],SnapshotTable[[#This Row],[LC Symbol Count]],SnapshotTable[[#This Row],[SC Symbol Count]])&gt;0, "Y", "")</f>
        <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7" s="231">
        <f>MAX(SnapshotTable[[#This Row],[Equity Basis Total]],SnapshotTable[[#This Row],[Equity Value]]) + (SnapshotTable[[#This Row],[SP Potential Spend]]- SnapshotTable[[#This Row],[SP Premium]] + SnapshotTable[[#This Row],[LP Premium]])+ (SnapshotTable[[#This Row],[LC Premium]] - SnapshotTable[[#This Row],[SC Premium]])</f>
        <v>0</v>
      </c>
      <c r="GW177" s="139" t="str">
        <f>IF(AND(SnapshotTable[[#This Row],[Exposure]] &lt;&gt; 0),SnapshotTable[[#This Row],[Exposure]] / SnapshotTable[[#Totals],[Exposure]], "")</f>
        <v/>
      </c>
      <c r="HE177" s="268"/>
      <c r="HF177" s="268"/>
      <c r="HK177" s="1"/>
      <c r="HL177" s="1"/>
      <c r="HM177" s="1"/>
      <c r="HN177" s="1"/>
      <c r="HO177" s="1"/>
      <c r="HP177" s="1"/>
    </row>
    <row r="178" spans="2:224" ht="12.75" hidden="1" customHeight="1" x14ac:dyDescent="0.25">
      <c r="B178" s="12" t="s">
        <v>964</v>
      </c>
      <c r="C178" s="422">
        <v>79.680000000000007</v>
      </c>
      <c r="D178" s="208" t="s">
        <v>578</v>
      </c>
      <c r="E178" s="39">
        <f>SnapshotTable[[#This Row],[Last Price]]*(1 -CrashDiscount)</f>
        <v>67.728000000000009</v>
      </c>
      <c r="F178" s="26" t="s">
        <v>613</v>
      </c>
      <c r="G178" s="26" t="s">
        <v>9</v>
      </c>
      <c r="H178" s="149"/>
      <c r="I178" s="194">
        <v>44781.670138888891</v>
      </c>
      <c r="J178" s="195">
        <v>44781.670138888891</v>
      </c>
      <c r="K178" s="196"/>
      <c r="L178" s="326"/>
      <c r="M178" s="140"/>
      <c r="N178" s="140"/>
      <c r="O178" s="140"/>
      <c r="P178" s="22"/>
      <c r="Q178" s="25"/>
      <c r="R178" s="4" t="str">
        <f>IF(SnapshotTable[[#This Row],[Equity Basis Total]] &gt; 0, SnapshotTable[[#This Row],[Equity Basis Total]] / SnapshotTable[[#This Row],[Equity Shares]], "")</f>
        <v/>
      </c>
      <c r="S178" s="269">
        <f>SnapshotTable[[#This Row],[Last Price]] * SnapshotTable[[#This Row],[Equity Shares]]</f>
        <v>0</v>
      </c>
      <c r="T178" s="269">
        <f>SnapshotTable[[#This Row],[Equity Value]] - SnapshotTable[[#This Row],[Equity Basis Total]]</f>
        <v>0</v>
      </c>
      <c r="U178" s="270" t="str">
        <f>IF(SnapshotTable[[#This Row],[Equity Basis Total]] &gt; 0, SnapshotTable[[#This Row],[Equity G/L]] / SnapshotTable[[#This Row],[Equity Basis Total]], "")</f>
        <v/>
      </c>
      <c r="V178" s="268"/>
      <c r="W178" s="26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7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0"/>
      <c r="AD178" s="151"/>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1"/>
      <c r="AI178" s="5"/>
      <c r="AJ178" s="138">
        <v>76.78</v>
      </c>
      <c r="AK178" s="152" t="str">
        <f>IF(ISNUMBER( SnapshotTable[[#This Row],[EBF Target]]),(SnapshotTable[[#This Row],[EBF Target]] - SnapshotTable[[#This Row],[Last Price]]) / SnapshotTable[[#This Row],[Last Price]], "")</f>
        <v/>
      </c>
      <c r="AL178" s="152"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2">
        <f>IF(AND(ISNUMBER( SnapshotTable[[#This Row],[Long Term Target]]), ISNUMBER(SnapshotTable[[#This Row],[Last Price]])),(SnapshotTable[[#This Row],[Long Term Target]] - SnapshotTable[[#This Row],[Last Price]]) / SnapshotTable[[#This Row],[Last Price]], "")</f>
        <v>-3.639558232931734E-2</v>
      </c>
      <c r="AP178" s="5"/>
      <c r="AQ178" s="38"/>
      <c r="AR178" s="5"/>
      <c r="AS178" s="38"/>
      <c r="AT178" s="146"/>
      <c r="AU178" s="187" t="str">
        <f>IF(OR(SnapshotTable[[#This Row],[LP No Fill]]="Y",SnapshotTable[[#This Row],[SP Is Filled]],SnapshotTable[[#This Row],[LC Not Filled]]="Y",SnapshotTable[[#This Row],[SC Is Filled]]),"Y","")</f>
        <v/>
      </c>
      <c r="AV178" s="219"/>
      <c r="AW178" s="225"/>
      <c r="AX178" s="220"/>
      <c r="AY178" s="219" t="str">
        <f>IF(SnapshotTable[[#This Row],[Implied Move]]&gt;0, SnapshotTable[[#This Row],[Last Price]]-SnapshotTable[[#This Row],[Implied Move]],"")</f>
        <v/>
      </c>
      <c r="AZ178" s="219" t="str">
        <f>IF(SnapshotTable[[#This Row],[Implied Move]]&gt;0, SnapshotTable[[#This Row],[Last Price]] + SnapshotTable[[#This Row],[Implied Move]],"")</f>
        <v/>
      </c>
      <c r="BA178" s="331"/>
      <c r="BB178" s="347" t="s">
        <v>968</v>
      </c>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51"/>
      <c r="BE178" s="138"/>
      <c r="BF178" s="166"/>
      <c r="BG178" s="167"/>
      <c r="BH178" s="167"/>
      <c r="BI178" s="221"/>
      <c r="BJ178" s="153">
        <f>IF(SnapshotTable[[#This Row],[LP Qty]] &gt; 0, SnapshotTable[[#This Row],[LP Qty]] * SnapshotTable[[#This Row],[LP Book Price]] * 100,0)</f>
        <v>0</v>
      </c>
      <c r="BK178" s="136">
        <f>IF(SnapshotTable[[#This Row],[LP Premium]] &gt; 0, SnapshotTable[[#This Row],[LP Qty]] * SnapshotTable[[#This Row],[LP Strike Price]] * 100,0)</f>
        <v>0</v>
      </c>
      <c r="BL178" s="154"/>
      <c r="BM178" s="385" t="str">
        <f>IF(SnapshotTable[[#This Row],[LP Premium]] &gt; 0,SnapshotTable[[#This Row],[LP Exp Date]]-MAX(SnapshotTable[[#This Row],[LP Book Date]], SnapshotTable[[#This Row],[LP Fill Date]]),"")</f>
        <v/>
      </c>
      <c r="BN178" s="385" t="str">
        <f>IF(ISNUMBER( SnapshotTable[[#This Row],[LP Term]]), SnapshotTable[[#This Row],[LP Exp Date]] - MockToday,"")</f>
        <v/>
      </c>
      <c r="BO178" s="163"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7"/>
      <c r="BU178" s="13"/>
      <c r="BV178" s="5"/>
      <c r="BW178" s="419" t="b">
        <f>AND(ISNUMBER(SnapshotTable[[#This Row],[SP Exp Date]]), ISNUMBER(SnapshotTable[[#This Row],[SP Strike Price]]), ISNUMBER(SnapshotTable[[#This Row],[SP Qty]]), ISNUMBER(SnapshotTable[[#This Row],[SP Book Date]]), ISNUMBER(SnapshotTable[[#This Row],[SP Book Price]]))</f>
        <v>0</v>
      </c>
      <c r="BX178" s="419" t="b">
        <f>AND(SnapshotTable[[#This Row],[SP Is Booked]], NOT(ISBLANK(SnapshotTable[[#This Row],[SP Fill Date]])))</f>
        <v>0</v>
      </c>
      <c r="BY178" s="33">
        <f>IF(SnapshotTable[[#This Row],[SP Is Booked]], SnapshotTable[[#This Row],[SP Qty]] * SnapshotTable[[#This Row],[SP Book Price]] * 100, 0)</f>
        <v>0</v>
      </c>
      <c r="BZ178" s="369"/>
      <c r="CA178" s="368">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3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44"/>
      <c r="CK178" s="31">
        <f>IF(ISNUMBER(SnapshotTable[[#This Row],[SP Potential Spend]]),IF(ISNUMBER(SnapshotTable[[#This Row],[SP POW]]), SnapshotTable[[#This Row],[SP POW]] * SnapshotTable[[#This Row],[SP Potential Spend]], SnapshotTable[[#This Row],[SP Potential Spend]]), "")</f>
        <v>0</v>
      </c>
      <c r="CL178" s="164">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4"/>
      <c r="CO178" s="369"/>
      <c r="CP178" s="4" t="str">
        <f>IF(SnapshotTable[[#This Row],[SP Is Filled]], btc_max_buyback_amount(SnapshotTable[[#This Row],[SP Fill Date]],SnapshotTable[[#This Row],[SP Exp Date]], SnapshotTable[[#This Row],[SP Book Price]]),"")</f>
        <v/>
      </c>
      <c r="CQ178" s="78"/>
      <c r="CR1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5" t="str">
        <f>IF(SnapshotTable[[#This Row],[SP Is Filled]], btc_next_cutoff_date(SnapshotTable[[#This Row],[SP Fill Date]],SnapshotTable[[#This Row],[SP Exp Date]]),"")</f>
        <v/>
      </c>
      <c r="CT178" s="23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6"/>
      <c r="CV178" s="235"/>
      <c r="CW178" s="378"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294" t="str">
        <f>IF(ISNUMBER((SnapshotTable[[#This Row],[SP Total Value]])), SnapshotTable[[#This Row],[SP Gain Loss]] / SnapshotTable[[#This Row],[SP Premium]], "")</f>
        <v/>
      </c>
      <c r="DI178" s="406"/>
      <c r="DJ178" s="138"/>
      <c r="DK178" s="148"/>
      <c r="DL178" s="147"/>
      <c r="DM178" s="147"/>
      <c r="DO178" s="31">
        <f>IF(SnapshotTable[[#This Row],[LC Symbol Count]]=1, SnapshotTable[[#This Row],[LC Qty]] * SnapshotTable[[#This Row],[LC Book Price]] * 100, 0)</f>
        <v>0</v>
      </c>
      <c r="DP178" s="289" t="str">
        <f>IF(AND(SnapshotTable[[#This Row],[LC Exp Date]]&gt;0, SnapshotTable[[#This Row],[LC Strike Price]]&gt;0,SnapshotTable[[#This Row],[LC Qty]]&gt;0,SnapshotTable[[#This Row],[LC Book Date]]&gt;0,SnapshotTable[[#This Row],[LC Book Price]]&gt;0,SnapshotTable[[#This Row],[LC Fill Date]]=0),"Y","")</f>
        <v/>
      </c>
      <c r="DQ178" s="386" t="str">
        <f>IF(SnapshotTable[[#This Row],[LC Premium]] &gt; 0,SnapshotTable[[#This Row],[LC Exp Date]]-MAX(SnapshotTable[[#This Row],[LC Book Date]], SnapshotTable[[#This Row],[LC Fill Date]]),"")</f>
        <v/>
      </c>
      <c r="DR178" s="386" t="str">
        <f>IF(ISNUMBER(SnapshotTable[[#This Row],[LC Term]]), SnapshotTable[[#This Row],[LC Exp Date]] - MockToday, "")</f>
        <v/>
      </c>
      <c r="DS178" s="23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40" t="str">
        <f>IF(ISNUMBER(SnapshotTable[[#This Row],[LC Actual Gain Loss]]), SnapshotTable[[#This Row],[LC Actual Gain Loss]] / SnapshotTable[[#This Row],[LC Premium]],"")</f>
        <v/>
      </c>
      <c r="DX178" s="284" t="str">
        <f>IF(ISNUMBER(SnapshotTable[[#This Row],[LC Book Price]]),SnapshotTable[[#This Row],[LC Book Price]] * 1.5,"")</f>
        <v/>
      </c>
      <c r="DY178" s="265" t="str">
        <f>IF(SnapshotTable[[#This Row],[LC Premium]]&gt;0, SnapshotTable[[#This Row],[LC Next Target]] * SnapshotTable[[#This Row],[LC Qty]] * 100,"")</f>
        <v/>
      </c>
      <c r="DZ178" s="265" t="str">
        <f>IF(ISNUMBER(SnapshotTable[[#This Row],[LC Target Gross]]), SnapshotTable[[#This Row],[LC Target Gross]] - SnapshotTable[[#This Row],[LC Premium]], "")</f>
        <v/>
      </c>
      <c r="EA178" s="305" t="str">
        <f>IF(ISNUMBER(SnapshotTable[[#This Row],[LC Target Gain Loss]]), SnapshotTable[[#This Row],[LC Target Gain Loss]]/SnapshotTable[[#This Row],[LC Premium]], "")</f>
        <v/>
      </c>
      <c r="EB178" s="262"/>
      <c r="EC178" s="283" t="str">
        <f>IF(SnapshotTable[[#This Row],[LC Premium]]&gt;0, SnapshotTable[[#This Row],[LC Book Price]] * (1 - LC_StopLoss_Pct),"")</f>
        <v/>
      </c>
      <c r="ED178" s="284"/>
      <c r="EE178" s="283" t="str">
        <f>IF(ISNUMBER(SnapshotTable[[#This Row],[LC Contract Value]]),IF(ISNUMBER(SnapshotTable[[#This Row],[LC Stop Loss Override]]), SnapshotTable[[#This Row],[LC Stop Loss Override]],SnapshotTable[[#This Row],[LC Stop Loss Calc Target]]),"")</f>
        <v/>
      </c>
      <c r="EF178" s="31"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4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7"/>
      <c r="EL178" s="138"/>
      <c r="EM178" s="148"/>
      <c r="EN178" s="147"/>
      <c r="EO178" s="147"/>
      <c r="EP178" s="138"/>
      <c r="EQ178" s="419" t="b">
        <f>AND(ISNUMBER(SnapshotTable[[#This Row],[SC Exp Date]]), ISNUMBER(SnapshotTable[[#This Row],[SC Strike Price]]), ISNUMBER(SnapshotTable[[#This Row],[SC Qty]]), ISNUMBER(SnapshotTable[[#This Row],[SC Book Date]]), ISNUMBER(SnapshotTable[[#This Row],[SC Book Price]]))</f>
        <v>0</v>
      </c>
      <c r="ER178" s="419" t="b">
        <f>AND(SnapshotTable[[#This Row],[SC Is Booked]], NOT(ISBLANK(SnapshotTable[[#This Row],[SC Fill Date]])))</f>
        <v>0</v>
      </c>
      <c r="ES178" s="370"/>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3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283"/>
      <c r="FA178" s="218"/>
      <c r="FB178" s="370"/>
      <c r="FC178" s="4">
        <f>IF(SnapshotTable[[#This Row],[SC Is Filled]], btc_max_buyback_amount(SnapshotTable[[#This Row],[SC Fill Date]],SnapshotTable[[#This Row],[SC Exp Date]], SnapshotTable[[#This Row],[SC Book Price]]),0)</f>
        <v>0</v>
      </c>
      <c r="FD178" s="5"/>
      <c r="FE178" s="144"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382">
        <f>IF(SnapshotTable[[#This Row],[SC Is Filled]], IF(ISNUMBER(SnapshotTable[[#This Row],[SC Current Ask]]), SnapshotTable[[#This Row],[SC Current Ask]], SnapshotTable[[#This Row],[SC Book Price]]) - SnapshotTable[[#This Row],[SC Intrinsic Value]], 0)</f>
        <v>0</v>
      </c>
      <c r="FI178" s="143"/>
      <c r="FJ178" s="32" t="str">
        <f>IF(SnapshotTable[[#This Row],[SC Is Filled]],100 * SnapshotTable[[#This Row],[SC Qty]] * IF(ISNUMBER(SnapshotTable[[#This Row],[SC Buyback Override]]), SnapshotTable[[#This Row],[SC Buyback Override]], SnapshotTable[[#This Row],[SC Current Ask]]), "")</f>
        <v/>
      </c>
      <c r="FK178" s="250" t="str">
        <f>IF(SnapshotTable[[#This Row],[SC Time Val]]&gt;0, SnapshotTable[[#This Row],[SC Time Val]] / SnapshotTable[[#This Row],[Last Price]],"")</f>
        <v/>
      </c>
      <c r="FL178" s="302" t="str">
        <f>IF(SnapshotTable[[#This Row],[SC Is Booked]], ((SnapshotTable[[#This Row],[Last Price]] -SnapshotTable[[#This Row],[SC Strike Price]]) / SnapshotTable[[#This Row],[Last Price]]) * -1, "")</f>
        <v/>
      </c>
      <c r="FM178" s="157" t="str">
        <f>IF(SnapshotTable[[#This Row],[SC Is Booked]],  (SnapshotTable[[#This Row],[SC Qty]] * 100 * SnapshotTable[[#This Row],[SC Strike Price]]) - SnapshotTable[[#This Row],[SC Current Ask]], "")</f>
        <v/>
      </c>
      <c r="FN17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7"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33"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36" t="str">
        <f>IF(AND(ISNUMBER(SnapshotTable[[#This Row],[SC Simple ROO]]),SnapshotTable[[#This Row],[SC Simple ROO]] &gt; 0), SnapshotTable[[#This Row],[SC Premium]] + (SnapshotTable[[#This Row],[SC Qty]] * SnapshotTable[[#This Row],[SC Upside Potential]]), "")</f>
        <v/>
      </c>
      <c r="FX178" s="302" t="str" cm="1">
        <f t="array" ref="FX178">IF(ISNUMBER(SnapshotTable[[#This Row],[SC Max Dollars]]), annualize(SnapshotTable[[#This Row],[SC Term]],(SnapshotTable[[#This Row],[SC Max Dollars]]/SnapshotTable[[#This Row],[SC Basis]])),"")</f>
        <v/>
      </c>
      <c r="FY178" s="236" t="str">
        <f>IF(AND(SnapshotTable[[#This Row],[SC Qty]]&gt;0,SnapshotTable[[#This Row],[SC Current Ask]]&gt;0), SnapshotTable[[#This Row],[SC Qty]] * SnapshotTable[[#This Row],[SC Current Ask]] * -100, "")</f>
        <v/>
      </c>
      <c r="FZ178" s="235" t="str">
        <f>IF(ISNUMBER((SnapshotTable[[#This Row],[SC Current Value]])), SnapshotTable[[#This Row],[SC Premium]] + SnapshotTable[[#This Row],[SC Current Value]], "")</f>
        <v/>
      </c>
      <c r="GA178" s="29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72.941000000000003</v>
      </c>
      <c r="GD178" s="40">
        <f>SnapshotTable[[#This Row],[Last Price]] * (1+ SellingPriceToConsiderBasedOnTargetPercentage)</f>
        <v>155.376</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8" t="str">
        <f>IF(SnapshotTable[[#This Row],[Sale G/L]]&gt;0, SnapshotTable[[#This Row],[Sale G/L]] / SnapshotTable[[#This Row],[Sale Basis]], IF(ISNUMBER(SnapshotTable[[#This Row],[SC Exercise P&amp;L (TAX)]]), SnapshotTable[[#This Row],[SC Exercise P&amp;L (TAX)]] / SnapshotTable[[#This Row],[SC Basis]], ""))</f>
        <v/>
      </c>
      <c r="GK178" s="27"/>
      <c r="GL178" s="159"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59" t="str">
        <f>IF(AND(SnapshotTable[[#This Row],[LC Exp Date]]&gt;0,SnapshotTable[[#This Row],[LC Strike Price]]&gt;0), [1]!ToOptionSymbol(SnapshotTable[[#This Row],[Symbol]], SnapshotTable[[#This Row],[LC Strike Price]],SnapshotTable[[#This Row],[LC Exp Date]],0), "")</f>
        <v/>
      </c>
      <c r="GQ178" s="160" t="str">
        <f>IF(LEN(SnapshotTable[[#This Row],[LC Symbol]])&gt;0, 1, "")</f>
        <v/>
      </c>
      <c r="GR178" s="159" t="str">
        <f>IF(AND(SnapshotTable[[#This Row],[SC Exp Date]]&gt;0,SnapshotTable[[#This Row],[SC Strike Price]]&gt;0), [1]!ToOptionSymbol(SnapshotTable[[#This Row],[Symbol]], SnapshotTable[[#This Row],[SC Strike Price]],SnapshotTable[[#This Row],[SC Exp Date]],0), "")</f>
        <v/>
      </c>
      <c r="GS178" s="160" t="str">
        <f>IF(LEN(SnapshotTable[[#This Row],[SC Symbol]])&gt;0, 1, "")</f>
        <v/>
      </c>
      <c r="GT178" s="161"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31">
        <f>MAX(SnapshotTable[[#This Row],[Equity Basis Total]],SnapshotTable[[#This Row],[Equity Value]]) + (SnapshotTable[[#This Row],[SP Potential Spend]]- SnapshotTable[[#This Row],[SP Premium]] + SnapshotTable[[#This Row],[LP Premium]])+ (SnapshotTable[[#This Row],[LC Premium]] - SnapshotTable[[#This Row],[SC Premium]])</f>
        <v>0</v>
      </c>
      <c r="GW178" s="139" t="str">
        <f>IF(AND(SnapshotTable[[#This Row],[Exposure]] &lt;&gt; 0),SnapshotTable[[#This Row],[Exposure]] / SnapshotTable[[#Totals],[Exposure]], "")</f>
        <v/>
      </c>
      <c r="HE178" s="268"/>
      <c r="HF178" s="268"/>
      <c r="HK178" s="1"/>
      <c r="HL178" s="1"/>
      <c r="HM178" s="1"/>
      <c r="HN178" s="1"/>
      <c r="HO178" s="1"/>
      <c r="HP178" s="1"/>
    </row>
    <row r="179" spans="2:224" ht="12.75" hidden="1" customHeight="1" x14ac:dyDescent="0.25">
      <c r="B179" s="12" t="s">
        <v>1128</v>
      </c>
      <c r="C179" s="422">
        <v>20.46</v>
      </c>
      <c r="D179" s="208"/>
      <c r="E179" s="39">
        <f>SnapshotTable[[#This Row],[Last Price]]*(1 -CrashDiscount)</f>
        <v>17.391000000000002</v>
      </c>
      <c r="F179" s="26" t="s">
        <v>613</v>
      </c>
      <c r="G179" s="26" t="s">
        <v>9</v>
      </c>
      <c r="H179" s="149"/>
      <c r="I179" s="194">
        <v>45231</v>
      </c>
      <c r="J179" s="195"/>
      <c r="K179" s="196"/>
      <c r="L179" s="326"/>
      <c r="M179" s="140"/>
      <c r="N179" s="140"/>
      <c r="O179" s="140"/>
      <c r="P179" s="22"/>
      <c r="Q179" s="25"/>
      <c r="R179" s="4" t="str">
        <f>IF(SnapshotTable[[#This Row],[Equity Basis Total]] &gt; 0, SnapshotTable[[#This Row],[Equity Basis Total]] / SnapshotTable[[#This Row],[Equity Shares]], "")</f>
        <v/>
      </c>
      <c r="S179" s="269">
        <f>SnapshotTable[[#This Row],[Last Price]] * SnapshotTable[[#This Row],[Equity Shares]]</f>
        <v>0</v>
      </c>
      <c r="T179" s="269">
        <f>SnapshotTable[[#This Row],[Equity Value]] - SnapshotTable[[#This Row],[Equity Basis Total]]</f>
        <v>0</v>
      </c>
      <c r="U179" s="270" t="str">
        <f>IF(SnapshotTable[[#This Row],[Equity Basis Total]] &gt; 0, SnapshotTable[[#This Row],[Equity G/L]] / SnapshotTable[[#This Row],[Equity Basis Total]], "")</f>
        <v/>
      </c>
      <c r="V179" s="268"/>
      <c r="W179" s="26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7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0"/>
      <c r="AD179" s="151"/>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0</v>
      </c>
      <c r="AH179" s="151"/>
      <c r="AI179" s="5"/>
      <c r="AJ179" s="138">
        <v>18.75</v>
      </c>
      <c r="AK179" s="152" t="str">
        <f>IF(ISNUMBER( SnapshotTable[[#This Row],[EBF Target]]),(SnapshotTable[[#This Row],[EBF Target]] - SnapshotTable[[#This Row],[Last Price]]) / SnapshotTable[[#This Row],[Last Price]], "")</f>
        <v/>
      </c>
      <c r="AL179" s="152"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2">
        <f>IF(AND(ISNUMBER( SnapshotTable[[#This Row],[Long Term Target]]), ISNUMBER(SnapshotTable[[#This Row],[Last Price]])),(SnapshotTable[[#This Row],[Long Term Target]] - SnapshotTable[[#This Row],[Last Price]]) / SnapshotTable[[#This Row],[Last Price]], "")</f>
        <v>-8.3577712609970711E-2</v>
      </c>
      <c r="AP179" s="5">
        <v>24</v>
      </c>
      <c r="AQ179" s="38" t="s">
        <v>89</v>
      </c>
      <c r="AR179" s="5"/>
      <c r="AS179" s="38"/>
      <c r="AT179" s="146"/>
      <c r="AU179" s="187" t="str">
        <f>IF(OR(SnapshotTable[[#This Row],[LP No Fill]]="Y",SnapshotTable[[#This Row],[SP Is Filled]],SnapshotTable[[#This Row],[LC Not Filled]]="Y",SnapshotTable[[#This Row],[SC Is Filled]]),"Y","")</f>
        <v/>
      </c>
      <c r="AV179" s="219"/>
      <c r="AW179" s="225"/>
      <c r="AX179" s="220"/>
      <c r="AY179" s="219" t="str">
        <f>IF(SnapshotTable[[#This Row],[Implied Move]]&gt;0, SnapshotTable[[#This Row],[Last Price]]-SnapshotTable[[#This Row],[Implied Move]],"")</f>
        <v/>
      </c>
      <c r="AZ179" s="219" t="str">
        <f>IF(SnapshotTable[[#This Row],[Implied Move]]&gt;0, SnapshotTable[[#This Row],[Last Price]] + SnapshotTable[[#This Row],[Implied Move]],"")</f>
        <v/>
      </c>
      <c r="BA179" s="331">
        <v>1.37</v>
      </c>
      <c r="BB179" s="347"/>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51"/>
      <c r="BE179" s="5"/>
      <c r="BF179" s="14"/>
      <c r="BG179" s="13"/>
      <c r="BH179" s="13"/>
      <c r="BI179" s="5"/>
      <c r="BJ179" s="136">
        <f>IF(SnapshotTable[[#This Row],[LP Qty]] &gt; 0, SnapshotTable[[#This Row],[LP Qty]] * SnapshotTable[[#This Row],[LP Book Price]] * 100,0)</f>
        <v>0</v>
      </c>
      <c r="BK179" s="136">
        <f>IF(SnapshotTable[[#This Row],[LP Premium]] &gt; 0, SnapshotTable[[#This Row],[LP Qty]] * SnapshotTable[[#This Row],[LP Strike Price]] * 100,0)</f>
        <v>0</v>
      </c>
      <c r="BL179" s="154"/>
      <c r="BM179" s="385" t="str">
        <f>IF(SnapshotTable[[#This Row],[LP Premium]] &gt; 0,SnapshotTable[[#This Row],[LP Exp Date]]-MAX(SnapshotTable[[#This Row],[LP Book Date]], SnapshotTable[[#This Row],[LP Fill Date]]),"")</f>
        <v/>
      </c>
      <c r="BN179" s="385" t="str">
        <f>IF(ISNUMBER( SnapshotTable[[#This Row],[LP Term]]), SnapshotTable[[#This Row],[LP Exp Date]] - MockToday,"")</f>
        <v/>
      </c>
      <c r="BO179" s="163"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7"/>
      <c r="BU179" s="13"/>
      <c r="BV179" s="5"/>
      <c r="BW179" s="419" t="b">
        <f>AND(ISNUMBER(SnapshotTable[[#This Row],[SP Exp Date]]), ISNUMBER(SnapshotTable[[#This Row],[SP Strike Price]]), ISNUMBER(SnapshotTable[[#This Row],[SP Qty]]), ISNUMBER(SnapshotTable[[#This Row],[SP Book Date]]), ISNUMBER(SnapshotTable[[#This Row],[SP Book Price]]))</f>
        <v>0</v>
      </c>
      <c r="BX179" s="419" t="b">
        <f>AND(SnapshotTable[[#This Row],[SP Is Booked]], NOT(ISBLANK(SnapshotTable[[#This Row],[SP Fill Date]])))</f>
        <v>0</v>
      </c>
      <c r="BY179" s="33">
        <f>IF(SnapshotTable[[#This Row],[SP Is Booked]], SnapshotTable[[#This Row],[SP Qty]] * SnapshotTable[[#This Row],[SP Book Price]] * 100, 0)</f>
        <v>0</v>
      </c>
      <c r="BZ179" s="369"/>
      <c r="CA179" s="368">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3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44"/>
      <c r="CK179" s="31">
        <f>IF(ISNUMBER(SnapshotTable[[#This Row],[SP Potential Spend]]),IF(ISNUMBER(SnapshotTable[[#This Row],[SP POW]]), SnapshotTable[[#This Row],[SP POW]] * SnapshotTable[[#This Row],[SP Potential Spend]], SnapshotTable[[#This Row],[SP Potential Spend]]), "")</f>
        <v>0</v>
      </c>
      <c r="CL179" s="164">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8"/>
      <c r="CO179" s="369"/>
      <c r="CP179" s="4" t="str">
        <f>IF(SnapshotTable[[#This Row],[SP Is Filled]], btc_max_buyback_amount(SnapshotTable[[#This Row],[SP Fill Date]],SnapshotTable[[#This Row],[SP Exp Date]], SnapshotTable[[#This Row],[SP Book Price]]),"")</f>
        <v/>
      </c>
      <c r="CQ179" s="78"/>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5" t="str">
        <f>IF(SnapshotTable[[#This Row],[SP Is Filled]], btc_next_cutoff_date(SnapshotTable[[#This Row],[SP Fill Date]],SnapshotTable[[#This Row],[SP Exp Date]]),"")</f>
        <v/>
      </c>
      <c r="CT179" s="23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3"/>
      <c r="CV179" s="235"/>
      <c r="CW179" s="378"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294" t="str">
        <f>IF(ISNUMBER((SnapshotTable[[#This Row],[SP Total Value]])), SnapshotTable[[#This Row],[SP Gain Loss]] / SnapshotTable[[#This Row],[SP Premium]], "")</f>
        <v/>
      </c>
      <c r="DI179" s="406"/>
      <c r="DJ179" s="138"/>
      <c r="DK179" s="148"/>
      <c r="DL179" s="13"/>
      <c r="DM179" s="13"/>
      <c r="DO179" s="31">
        <f>IF(SnapshotTable[[#This Row],[LC Symbol Count]]=1, SnapshotTable[[#This Row],[LC Qty]] * SnapshotTable[[#This Row],[LC Book Price]] * 100, 0)</f>
        <v>0</v>
      </c>
      <c r="DP179" s="163" t="str">
        <f>IF(AND(SnapshotTable[[#This Row],[LC Exp Date]]&gt;0, SnapshotTable[[#This Row],[LC Strike Price]]&gt;0,SnapshotTable[[#This Row],[LC Qty]]&gt;0,SnapshotTable[[#This Row],[LC Book Date]]&gt;0,SnapshotTable[[#This Row],[LC Book Price]]&gt;0,SnapshotTable[[#This Row],[LC Fill Date]]=0),"Y","")</f>
        <v/>
      </c>
      <c r="DQ179" s="386" t="str">
        <f>IF(SnapshotTable[[#This Row],[LC Premium]] &gt; 0,SnapshotTable[[#This Row],[LC Exp Date]]-MAX(SnapshotTable[[#This Row],[LC Book Date]], SnapshotTable[[#This Row],[LC Fill Date]]),"")</f>
        <v/>
      </c>
      <c r="DR179" s="386" t="str">
        <f>IF(ISNUMBER(SnapshotTable[[#This Row],[LC Term]]), SnapshotTable[[#This Row],[LC Exp Date]] - MockToday, "")</f>
        <v/>
      </c>
      <c r="DS179" s="23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40" t="str">
        <f>IF(ISNUMBER(SnapshotTable[[#This Row],[LC Actual Gain Loss]]), SnapshotTable[[#This Row],[LC Actual Gain Loss]] / SnapshotTable[[#This Row],[LC Premium]],"")</f>
        <v/>
      </c>
      <c r="DX179" s="284" t="str">
        <f>IF(ISNUMBER(SnapshotTable[[#This Row],[LC Book Price]]),SnapshotTable[[#This Row],[LC Book Price]] * 1.5,"")</f>
        <v/>
      </c>
      <c r="DY179" s="265" t="str">
        <f>IF(SnapshotTable[[#This Row],[LC Premium]]&gt;0, SnapshotTable[[#This Row],[LC Next Target]] * SnapshotTable[[#This Row],[LC Qty]] * 100,"")</f>
        <v/>
      </c>
      <c r="DZ179" s="265" t="str">
        <f>IF(ISNUMBER(SnapshotTable[[#This Row],[LC Target Gross]]), SnapshotTable[[#This Row],[LC Target Gross]] - SnapshotTable[[#This Row],[LC Premium]], "")</f>
        <v/>
      </c>
      <c r="EA179" s="305" t="str">
        <f>IF(ISNUMBER(SnapshotTable[[#This Row],[LC Target Gain Loss]]), SnapshotTable[[#This Row],[LC Target Gain Loss]]/SnapshotTable[[#This Row],[LC Premium]], "")</f>
        <v/>
      </c>
      <c r="EB179" s="262"/>
      <c r="EC179" s="283" t="str">
        <f>IF(SnapshotTable[[#This Row],[LC Premium]]&gt;0, SnapshotTable[[#This Row],[LC Book Price]] * (1 - LC_StopLoss_Pct),"")</f>
        <v/>
      </c>
      <c r="ED179" s="284"/>
      <c r="EE179" s="28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4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7"/>
      <c r="EL179" s="138"/>
      <c r="EM179" s="148"/>
      <c r="EN179" s="147"/>
      <c r="EO179" s="147"/>
      <c r="EP179" s="138"/>
      <c r="EQ179" s="419" t="b">
        <f>AND(ISNUMBER(SnapshotTable[[#This Row],[SC Exp Date]]), ISNUMBER(SnapshotTable[[#This Row],[SC Strike Price]]), ISNUMBER(SnapshotTable[[#This Row],[SC Qty]]), ISNUMBER(SnapshotTable[[#This Row],[SC Book Date]]), ISNUMBER(SnapshotTable[[#This Row],[SC Book Price]]))</f>
        <v>0</v>
      </c>
      <c r="ER179" s="419" t="b">
        <f>AND(SnapshotTable[[#This Row],[SC Is Booked]], NOT(ISBLANK(SnapshotTable[[#This Row],[SC Fill Date]])))</f>
        <v>0</v>
      </c>
      <c r="ES179" s="370"/>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3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283"/>
      <c r="FA179" s="218"/>
      <c r="FB179" s="370"/>
      <c r="FC179" s="4">
        <f>IF(SnapshotTable[[#This Row],[SC Is Filled]], btc_max_buyback_amount(SnapshotTable[[#This Row],[SC Fill Date]],SnapshotTable[[#This Row],[SC Exp Date]], SnapshotTable[[#This Row],[SC Book Price]]),0)</f>
        <v>0</v>
      </c>
      <c r="FD179" s="5"/>
      <c r="FE179" s="144"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382">
        <f>IF(SnapshotTable[[#This Row],[SC Is Filled]], IF(ISNUMBER(SnapshotTable[[#This Row],[SC Current Ask]]), SnapshotTable[[#This Row],[SC Current Ask]], SnapshotTable[[#This Row],[SC Book Price]]) - SnapshotTable[[#This Row],[SC Intrinsic Value]], 0)</f>
        <v>0</v>
      </c>
      <c r="FI179" s="143"/>
      <c r="FJ179" s="32" t="str">
        <f>IF(SnapshotTable[[#This Row],[SC Is Filled]],100 * SnapshotTable[[#This Row],[SC Qty]] * IF(ISNUMBER(SnapshotTable[[#This Row],[SC Buyback Override]]), SnapshotTable[[#This Row],[SC Buyback Override]], SnapshotTable[[#This Row],[SC Current Ask]]), "")</f>
        <v/>
      </c>
      <c r="FK179" s="250" t="str">
        <f>IF(SnapshotTable[[#This Row],[SC Time Val]]&gt;0, SnapshotTable[[#This Row],[SC Time Val]] / SnapshotTable[[#This Row],[Last Price]],"")</f>
        <v/>
      </c>
      <c r="FL179" s="302" t="str">
        <f>IF(SnapshotTable[[#This Row],[SC Is Booked]], ((SnapshotTable[[#This Row],[Last Price]] -SnapshotTable[[#This Row],[SC Strike Price]]) / SnapshotTable[[#This Row],[Last Price]]) * -1, "")</f>
        <v/>
      </c>
      <c r="FM179" s="157"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33"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36" t="str">
        <f>IF(AND(ISNUMBER(SnapshotTable[[#This Row],[SC Simple ROO]]),SnapshotTable[[#This Row],[SC Simple ROO]] &gt; 0), SnapshotTable[[#This Row],[SC Premium]] + (SnapshotTable[[#This Row],[SC Qty]] * SnapshotTable[[#This Row],[SC Upside Potential]]), "")</f>
        <v/>
      </c>
      <c r="FX179" s="302" t="str" cm="1">
        <f t="array" ref="FX179">IF(ISNUMBER(SnapshotTable[[#This Row],[SC Max Dollars]]), annualize(SnapshotTable[[#This Row],[SC Term]],(SnapshotTable[[#This Row],[SC Max Dollars]]/SnapshotTable[[#This Row],[SC Basis]])),"")</f>
        <v/>
      </c>
      <c r="FY179" s="23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29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17.8125</v>
      </c>
      <c r="GD179" s="40">
        <f>SnapshotTable[[#This Row],[Last Price]] * (1+ SellingPriceToConsiderBasedOnTargetPercentage)</f>
        <v>39.896999999999998</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31">
        <f>MAX(SnapshotTable[[#This Row],[Equity Basis Total]],SnapshotTable[[#This Row],[Equity Value]]) + (SnapshotTable[[#This Row],[SP Potential Spend]]- SnapshotTable[[#This Row],[SP Premium]] + SnapshotTable[[#This Row],[LP Premium]])+ (SnapshotTable[[#This Row],[LC Premium]] - SnapshotTable[[#This Row],[SC Premium]])</f>
        <v>0</v>
      </c>
      <c r="GW179" s="139" t="str">
        <f>IF(AND(SnapshotTable[[#This Row],[Exposure]] &lt;&gt; 0),SnapshotTable[[#This Row],[Exposure]] / SnapshotTable[[#Totals],[Exposure]], "")</f>
        <v/>
      </c>
      <c r="HE179" s="268"/>
      <c r="HF179" s="268"/>
      <c r="HK179" s="1"/>
      <c r="HL179" s="1"/>
      <c r="HM179" s="1"/>
      <c r="HN179" s="1"/>
      <c r="HO179" s="1"/>
      <c r="HP179" s="1"/>
    </row>
    <row r="180" spans="2:224" ht="12.75" hidden="1" customHeight="1" x14ac:dyDescent="0.25">
      <c r="B180" s="12" t="s">
        <v>931</v>
      </c>
      <c r="C180" s="422">
        <v>35.049999999999997</v>
      </c>
      <c r="D180" s="208"/>
      <c r="E180" s="39">
        <f>SnapshotTable[[#This Row],[Last Price]]*(1 -CrashDiscount)</f>
        <v>29.792499999999997</v>
      </c>
      <c r="F180" s="26" t="s">
        <v>904</v>
      </c>
      <c r="G180" s="26" t="s">
        <v>610</v>
      </c>
      <c r="H180" s="149"/>
      <c r="I180" s="194">
        <v>44798.670138888891</v>
      </c>
      <c r="J180" s="195">
        <v>44798.670138888891</v>
      </c>
      <c r="K180" s="196"/>
      <c r="L180" s="326"/>
      <c r="M180" s="140"/>
      <c r="N180" s="140"/>
      <c r="O180" s="140"/>
      <c r="P180" s="22"/>
      <c r="Q180" s="25"/>
      <c r="R180" s="4" t="str">
        <f>IF(SnapshotTable[[#This Row],[Equity Basis Total]] &gt; 0, SnapshotTable[[#This Row],[Equity Basis Total]] / SnapshotTable[[#This Row],[Equity Shares]], "")</f>
        <v/>
      </c>
      <c r="S180" s="269">
        <f>SnapshotTable[[#This Row],[Last Price]] * SnapshotTable[[#This Row],[Equity Shares]]</f>
        <v>0</v>
      </c>
      <c r="T180" s="269">
        <f>SnapshotTable[[#This Row],[Equity Value]] - SnapshotTable[[#This Row],[Equity Basis Total]]</f>
        <v>0</v>
      </c>
      <c r="U180" s="270" t="str">
        <f>IF(SnapshotTable[[#This Row],[Equity Basis Total]] &gt; 0, SnapshotTable[[#This Row],[Equity G/L]] / SnapshotTable[[#This Row],[Equity Basis Total]], "")</f>
        <v/>
      </c>
      <c r="V180" s="268"/>
      <c r="W180" s="26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7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0"/>
      <c r="AD180" s="151"/>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1"/>
      <c r="AI180" s="5"/>
      <c r="AJ180" s="138">
        <v>30.67</v>
      </c>
      <c r="AK180" s="152" t="str">
        <f>IF(ISNUMBER( SnapshotTable[[#This Row],[EBF Target]]),(SnapshotTable[[#This Row],[EBF Target]] - SnapshotTable[[#This Row],[Last Price]]) / SnapshotTable[[#This Row],[Last Price]], "")</f>
        <v/>
      </c>
      <c r="AL180" s="152"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2">
        <f>IF(AND(ISNUMBER( SnapshotTable[[#This Row],[Long Term Target]]), ISNUMBER(SnapshotTable[[#This Row],[Last Price]])),(SnapshotTable[[#This Row],[Long Term Target]] - SnapshotTable[[#This Row],[Last Price]]) / SnapshotTable[[#This Row],[Last Price]], "")</f>
        <v>-0.12496433666191144</v>
      </c>
      <c r="AP180" s="5"/>
      <c r="AQ180" s="38"/>
      <c r="AR180" s="5"/>
      <c r="AS180" s="38"/>
      <c r="AT180" s="146"/>
      <c r="AU180" s="187" t="str">
        <f>IF(OR(SnapshotTable[[#This Row],[LP No Fill]]="Y",SnapshotTable[[#This Row],[SP Is Filled]],SnapshotTable[[#This Row],[LC Not Filled]]="Y",SnapshotTable[[#This Row],[SC Is Filled]]),"Y","")</f>
        <v/>
      </c>
      <c r="AV180" s="219"/>
      <c r="AW180" s="225"/>
      <c r="AX180" s="220"/>
      <c r="AY180" s="219" t="str">
        <f>IF(SnapshotTable[[#This Row],[Implied Move]]&gt;0, SnapshotTable[[#This Row],[Last Price]]-SnapshotTable[[#This Row],[Implied Move]],"")</f>
        <v/>
      </c>
      <c r="AZ180" s="219" t="str">
        <f>IF(SnapshotTable[[#This Row],[Implied Move]]&gt;0, SnapshotTable[[#This Row],[Last Price]] + SnapshotTable[[#This Row],[Implied Move]],"")</f>
        <v/>
      </c>
      <c r="BA180" s="331"/>
      <c r="BB180" s="347"/>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51"/>
      <c r="BE180" s="138"/>
      <c r="BF180" s="166"/>
      <c r="BG180" s="167"/>
      <c r="BH180" s="167"/>
      <c r="BI180" s="221"/>
      <c r="BJ180" s="153">
        <f>IF(SnapshotTable[[#This Row],[LP Qty]] &gt; 0, SnapshotTable[[#This Row],[LP Qty]] * SnapshotTable[[#This Row],[LP Book Price]] * 100,0)</f>
        <v>0</v>
      </c>
      <c r="BK180" s="136">
        <f>IF(SnapshotTable[[#This Row],[LP Premium]] &gt; 0, SnapshotTable[[#This Row],[LP Qty]] * SnapshotTable[[#This Row],[LP Strike Price]] * 100,0)</f>
        <v>0</v>
      </c>
      <c r="BL180" s="154"/>
      <c r="BM180" s="385" t="str">
        <f>IF(SnapshotTable[[#This Row],[LP Premium]] &gt; 0,SnapshotTable[[#This Row],[LP Exp Date]]-MAX(SnapshotTable[[#This Row],[LP Book Date]], SnapshotTable[[#This Row],[LP Fill Date]]),"")</f>
        <v/>
      </c>
      <c r="BN180" s="385" t="str">
        <f>IF(ISNUMBER( SnapshotTable[[#This Row],[LP Term]]), SnapshotTable[[#This Row],[LP Exp Date]] - MockToday,"")</f>
        <v/>
      </c>
      <c r="BO180" s="163"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7"/>
      <c r="BU180" s="13"/>
      <c r="BV180" s="5"/>
      <c r="BW180" s="419" t="b">
        <f>AND(ISNUMBER(SnapshotTable[[#This Row],[SP Exp Date]]), ISNUMBER(SnapshotTable[[#This Row],[SP Strike Price]]), ISNUMBER(SnapshotTable[[#This Row],[SP Qty]]), ISNUMBER(SnapshotTable[[#This Row],[SP Book Date]]), ISNUMBER(SnapshotTable[[#This Row],[SP Book Price]]))</f>
        <v>0</v>
      </c>
      <c r="BX180" s="419" t="b">
        <f>AND(SnapshotTable[[#This Row],[SP Is Booked]], NOT(ISBLANK(SnapshotTable[[#This Row],[SP Fill Date]])))</f>
        <v>0</v>
      </c>
      <c r="BY180" s="33">
        <f>IF(SnapshotTable[[#This Row],[SP Is Booked]], SnapshotTable[[#This Row],[SP Qty]] * SnapshotTable[[#This Row],[SP Book Price]] * 100, 0)</f>
        <v>0</v>
      </c>
      <c r="BZ180" s="369"/>
      <c r="CA180" s="368">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3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44"/>
      <c r="CK180" s="31">
        <f>IF(ISNUMBER(SnapshotTable[[#This Row],[SP Potential Spend]]),IF(ISNUMBER(SnapshotTable[[#This Row],[SP POW]]), SnapshotTable[[#This Row],[SP POW]] * SnapshotTable[[#This Row],[SP Potential Spend]], SnapshotTable[[#This Row],[SP Potential Spend]]), "")</f>
        <v>0</v>
      </c>
      <c r="CL180" s="164">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4"/>
      <c r="CO180" s="369"/>
      <c r="CP180" s="320" t="str">
        <f>IF(SnapshotTable[[#This Row],[SP Is Filled]], btc_max_buyback_amount(SnapshotTable[[#This Row],[SP Fill Date]],SnapshotTable[[#This Row],[SP Exp Date]], SnapshotTable[[#This Row],[SP Book Price]]),"")</f>
        <v/>
      </c>
      <c r="CQ180" s="78"/>
      <c r="CR18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5" t="str">
        <f>IF(SnapshotTable[[#This Row],[SP Is Filled]], btc_next_cutoff_date(SnapshotTable[[#This Row],[SP Fill Date]],SnapshotTable[[#This Row],[SP Exp Date]]),"")</f>
        <v/>
      </c>
      <c r="CT180" s="23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6"/>
      <c r="CV180" s="235"/>
      <c r="CW180" s="378"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294" t="str">
        <f>IF(ISNUMBER((SnapshotTable[[#This Row],[SP Total Value]])), SnapshotTable[[#This Row],[SP Gain Loss]] / SnapshotTable[[#This Row],[SP Premium]], "")</f>
        <v/>
      </c>
      <c r="DI180" s="406"/>
      <c r="DJ180" s="138"/>
      <c r="DK180" s="148"/>
      <c r="DL180" s="147"/>
      <c r="DM180" s="147"/>
      <c r="DO180" s="31">
        <f>IF(SnapshotTable[[#This Row],[LC Symbol Count]]=1, SnapshotTable[[#This Row],[LC Qty]] * SnapshotTable[[#This Row],[LC Book Price]] * 100, 0)</f>
        <v>0</v>
      </c>
      <c r="DP180" s="289" t="str">
        <f>IF(AND(SnapshotTable[[#This Row],[LC Exp Date]]&gt;0, SnapshotTable[[#This Row],[LC Strike Price]]&gt;0,SnapshotTable[[#This Row],[LC Qty]]&gt;0,SnapshotTable[[#This Row],[LC Book Date]]&gt;0,SnapshotTable[[#This Row],[LC Book Price]]&gt;0,SnapshotTable[[#This Row],[LC Fill Date]]=0),"Y","")</f>
        <v/>
      </c>
      <c r="DQ180" s="386" t="str">
        <f>IF(SnapshotTable[[#This Row],[LC Premium]] &gt; 0,SnapshotTable[[#This Row],[LC Exp Date]]-MAX(SnapshotTable[[#This Row],[LC Book Date]], SnapshotTable[[#This Row],[LC Fill Date]]),"")</f>
        <v/>
      </c>
      <c r="DR180" s="386" t="str">
        <f>IF(ISNUMBER(SnapshotTable[[#This Row],[LC Term]]), SnapshotTable[[#This Row],[LC Exp Date]] - MockToday, "")</f>
        <v/>
      </c>
      <c r="DS180" s="23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40" t="str">
        <f>IF(ISNUMBER(SnapshotTable[[#This Row],[LC Actual Gain Loss]]), SnapshotTable[[#This Row],[LC Actual Gain Loss]] / SnapshotTable[[#This Row],[LC Premium]],"")</f>
        <v/>
      </c>
      <c r="DX180" s="284" t="str">
        <f>IF(ISNUMBER(SnapshotTable[[#This Row],[LC Book Price]]),SnapshotTable[[#This Row],[LC Book Price]] * 1.5,"")</f>
        <v/>
      </c>
      <c r="DY180" s="265" t="str">
        <f>IF(SnapshotTable[[#This Row],[LC Premium]]&gt;0, SnapshotTable[[#This Row],[LC Next Target]] * SnapshotTable[[#This Row],[LC Qty]] * 100,"")</f>
        <v/>
      </c>
      <c r="DZ180" s="265" t="str">
        <f>IF(ISNUMBER(SnapshotTable[[#This Row],[LC Target Gross]]), SnapshotTable[[#This Row],[LC Target Gross]] - SnapshotTable[[#This Row],[LC Premium]], "")</f>
        <v/>
      </c>
      <c r="EA180" s="305" t="str">
        <f>IF(ISNUMBER(SnapshotTable[[#This Row],[LC Target Gain Loss]]), SnapshotTable[[#This Row],[LC Target Gain Loss]]/SnapshotTable[[#This Row],[LC Premium]], "")</f>
        <v/>
      </c>
      <c r="EB180" s="262"/>
      <c r="EC180" s="290" t="str">
        <f>IF(SnapshotTable[[#This Row],[LC Premium]]&gt;0, SnapshotTable[[#This Row],[LC Book Price]] * (1 - LC_StopLoss_Pct),"")</f>
        <v/>
      </c>
      <c r="ED180" s="284"/>
      <c r="EE180" s="28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4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7"/>
      <c r="EL180" s="138"/>
      <c r="EM180" s="148"/>
      <c r="EN180" s="147"/>
      <c r="EO180" s="147"/>
      <c r="EP180" s="138"/>
      <c r="EQ180" s="419" t="b">
        <f>AND(ISNUMBER(SnapshotTable[[#This Row],[SC Exp Date]]), ISNUMBER(SnapshotTable[[#This Row],[SC Strike Price]]), ISNUMBER(SnapshotTable[[#This Row],[SC Qty]]), ISNUMBER(SnapshotTable[[#This Row],[SC Book Date]]), ISNUMBER(SnapshotTable[[#This Row],[SC Book Price]]))</f>
        <v>0</v>
      </c>
      <c r="ER180" s="419" t="b">
        <f>AND(SnapshotTable[[#This Row],[SC Is Booked]], NOT(ISBLANK(SnapshotTable[[#This Row],[SC Fill Date]])))</f>
        <v>0</v>
      </c>
      <c r="ES180" s="370"/>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3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283"/>
      <c r="FA180" s="218"/>
      <c r="FB180" s="370"/>
      <c r="FC180" s="4">
        <f>IF(SnapshotTable[[#This Row],[SC Is Filled]], btc_max_buyback_amount(SnapshotTable[[#This Row],[SC Fill Date]],SnapshotTable[[#This Row],[SC Exp Date]], SnapshotTable[[#This Row],[SC Book Price]]),0)</f>
        <v>0</v>
      </c>
      <c r="FD180" s="5"/>
      <c r="FE180" s="144"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382">
        <f>IF(SnapshotTable[[#This Row],[SC Is Filled]], IF(ISNUMBER(SnapshotTable[[#This Row],[SC Current Ask]]), SnapshotTable[[#This Row],[SC Current Ask]], SnapshotTable[[#This Row],[SC Book Price]]) - SnapshotTable[[#This Row],[SC Intrinsic Value]], 0)</f>
        <v>0</v>
      </c>
      <c r="FI180" s="143"/>
      <c r="FJ180" s="32" t="str">
        <f>IF(SnapshotTable[[#This Row],[SC Is Filled]],100 * SnapshotTable[[#This Row],[SC Qty]] * IF(ISNUMBER(SnapshotTable[[#This Row],[SC Buyback Override]]), SnapshotTable[[#This Row],[SC Buyback Override]], SnapshotTable[[#This Row],[SC Current Ask]]), "")</f>
        <v/>
      </c>
      <c r="FK180" s="250" t="str">
        <f>IF(SnapshotTable[[#This Row],[SC Time Val]]&gt;0, SnapshotTable[[#This Row],[SC Time Val]] / SnapshotTable[[#This Row],[Last Price]],"")</f>
        <v/>
      </c>
      <c r="FL180" s="302" t="str">
        <f>IF(SnapshotTable[[#This Row],[SC Is Booked]], ((SnapshotTable[[#This Row],[Last Price]] -SnapshotTable[[#This Row],[SC Strike Price]]) / SnapshotTable[[#This Row],[Last Price]]) * -1, "")</f>
        <v/>
      </c>
      <c r="FM180" s="157" t="str">
        <f>IF(SnapshotTable[[#This Row],[SC Is Booked]],  (SnapshotTable[[#This Row],[SC Qty]] * 100 * SnapshotTable[[#This Row],[SC Strike Price]]) - SnapshotTable[[#This Row],[SC Current Ask]], "")</f>
        <v/>
      </c>
      <c r="FN1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7"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33"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36" t="str">
        <f>IF(AND(ISNUMBER(SnapshotTable[[#This Row],[SC Simple ROO]]),SnapshotTable[[#This Row],[SC Simple ROO]] &gt; 0), SnapshotTable[[#This Row],[SC Premium]] + (SnapshotTable[[#This Row],[SC Qty]] * SnapshotTable[[#This Row],[SC Upside Potential]]), "")</f>
        <v/>
      </c>
      <c r="FX180" s="302" t="str" cm="1">
        <f t="array" ref="FX180">IF(ISNUMBER(SnapshotTable[[#This Row],[SC Max Dollars]]), annualize(SnapshotTable[[#This Row],[SC Term]],(SnapshotTable[[#This Row],[SC Max Dollars]]/SnapshotTable[[#This Row],[SC Basis]])),"")</f>
        <v/>
      </c>
      <c r="FY180" s="236" t="str">
        <f>IF(AND(SnapshotTable[[#This Row],[SC Qty]]&gt;0,SnapshotTable[[#This Row],[SC Current Ask]]&gt;0), SnapshotTable[[#This Row],[SC Qty]] * SnapshotTable[[#This Row],[SC Current Ask]] * -100, "")</f>
        <v/>
      </c>
      <c r="FZ180" s="235" t="str">
        <f>IF(ISNUMBER((SnapshotTable[[#This Row],[SC Current Value]])), SnapshotTable[[#This Row],[SC Premium]] + SnapshotTable[[#This Row],[SC Current Value]], "")</f>
        <v/>
      </c>
      <c r="GA180" s="29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29.136500000000002</v>
      </c>
      <c r="GD180" s="40">
        <f>SnapshotTable[[#This Row],[Last Price]] * (1+ SellingPriceToConsiderBasedOnTargetPercentage)</f>
        <v>68.347499999999997</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8" t="str">
        <f>IF(SnapshotTable[[#This Row],[Sale G/L]]&gt;0, SnapshotTable[[#This Row],[Sale G/L]] / SnapshotTable[[#This Row],[Sale Basis]], IF(ISNUMBER(SnapshotTable[[#This Row],[SC Exercise P&amp;L (TAX)]]), SnapshotTable[[#This Row],[SC Exercise P&amp;L (TAX)]] / SnapshotTable[[#This Row],[SC Basis]], ""))</f>
        <v/>
      </c>
      <c r="GK180" s="27"/>
      <c r="GL180" s="159"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59" t="str">
        <f>IF(AND(SnapshotTable[[#This Row],[LC Exp Date]]&gt;0,SnapshotTable[[#This Row],[LC Strike Price]]&gt;0), [1]!ToOptionSymbol(SnapshotTable[[#This Row],[Symbol]], SnapshotTable[[#This Row],[LC Strike Price]],SnapshotTable[[#This Row],[LC Exp Date]],0), "")</f>
        <v/>
      </c>
      <c r="GQ180" s="160" t="str">
        <f>IF(LEN(SnapshotTable[[#This Row],[LC Symbol]])&gt;0, 1, "")</f>
        <v/>
      </c>
      <c r="GR180" s="159" t="str">
        <f>IF(AND(SnapshotTable[[#This Row],[SC Exp Date]]&gt;0,SnapshotTable[[#This Row],[SC Strike Price]]&gt;0), [1]!ToOptionSymbol(SnapshotTable[[#This Row],[Symbol]], SnapshotTable[[#This Row],[SC Strike Price]],SnapshotTable[[#This Row],[SC Exp Date]],0), "")</f>
        <v/>
      </c>
      <c r="GS180" s="160" t="str">
        <f>IF(LEN(SnapshotTable[[#This Row],[SC Symbol]])&gt;0, 1, "")</f>
        <v/>
      </c>
      <c r="GT180" s="161"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31">
        <f>MAX(SnapshotTable[[#This Row],[Equity Basis Total]],SnapshotTable[[#This Row],[Equity Value]]) + (SnapshotTable[[#This Row],[SP Potential Spend]]- SnapshotTable[[#This Row],[SP Premium]] + SnapshotTable[[#This Row],[LP Premium]])+ (SnapshotTable[[#This Row],[LC Premium]] - SnapshotTable[[#This Row],[SC Premium]])</f>
        <v>0</v>
      </c>
      <c r="GW180" s="139" t="str">
        <f>IF(AND(SnapshotTable[[#This Row],[Exposure]] &lt;&gt; 0),SnapshotTable[[#This Row],[Exposure]] / SnapshotTable[[#Totals],[Exposure]], "")</f>
        <v/>
      </c>
      <c r="HE180" s="268"/>
      <c r="HF180" s="268"/>
      <c r="HK180" s="1"/>
      <c r="HL180" s="1"/>
      <c r="HM180" s="1"/>
      <c r="HN180" s="1"/>
      <c r="HO180" s="1"/>
      <c r="HP180" s="1"/>
    </row>
    <row r="181" spans="2:224" ht="12.75" hidden="1" customHeight="1" x14ac:dyDescent="0.25">
      <c r="B181" s="12" t="s">
        <v>1010</v>
      </c>
      <c r="C181" s="422">
        <v>8.99</v>
      </c>
      <c r="D181" s="208" t="s">
        <v>578</v>
      </c>
      <c r="E181" s="39">
        <f>SnapshotTable[[#This Row],[Last Price]]*(1 -CrashDiscount)</f>
        <v>7.6414999999999997</v>
      </c>
      <c r="F181" s="26" t="s">
        <v>1011</v>
      </c>
      <c r="G181" s="26" t="s">
        <v>606</v>
      </c>
      <c r="H181" s="149"/>
      <c r="I181" s="194">
        <v>44770.708333333336</v>
      </c>
      <c r="J181" s="195">
        <v>44770.708333333336</v>
      </c>
      <c r="K181" s="196"/>
      <c r="L181" s="326"/>
      <c r="M181" s="140"/>
      <c r="N181" s="140"/>
      <c r="O181" s="140"/>
      <c r="P181" s="22"/>
      <c r="Q181" s="25"/>
      <c r="R181" s="4" t="str">
        <f>IF(SnapshotTable[[#This Row],[Equity Basis Total]] &gt; 0, SnapshotTable[[#This Row],[Equity Basis Total]] / SnapshotTable[[#This Row],[Equity Shares]], "")</f>
        <v/>
      </c>
      <c r="S181" s="269">
        <f>SnapshotTable[[#This Row],[Last Price]] * SnapshotTable[[#This Row],[Equity Shares]]</f>
        <v>0</v>
      </c>
      <c r="T181" s="269">
        <f>SnapshotTable[[#This Row],[Equity Value]] - SnapshotTable[[#This Row],[Equity Basis Total]]</f>
        <v>0</v>
      </c>
      <c r="U181" s="270" t="str">
        <f>IF(SnapshotTable[[#This Row],[Equity Basis Total]] &gt; 0, SnapshotTable[[#This Row],[Equity G/L]] / SnapshotTable[[#This Row],[Equity Basis Total]], "")</f>
        <v/>
      </c>
      <c r="V181" s="268"/>
      <c r="W181" s="26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7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0"/>
      <c r="AD181" s="151"/>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1"/>
      <c r="AI181" s="5">
        <f>SnapshotTable[[#This Row],[Equity Target]]</f>
        <v>0</v>
      </c>
      <c r="AJ181" s="138">
        <v>16.11</v>
      </c>
      <c r="AK181" s="152">
        <f>IF(ISNUMBER( SnapshotTable[[#This Row],[EBF Target]]),(SnapshotTable[[#This Row],[EBF Target]] - SnapshotTable[[#This Row],[Last Price]]) / SnapshotTable[[#This Row],[Last Price]], "")</f>
        <v>-1</v>
      </c>
      <c r="AL181" s="152"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2">
        <f>IF(AND(ISNUMBER( SnapshotTable[[#This Row],[Long Term Target]]), ISNUMBER(SnapshotTable[[#This Row],[Last Price]])),(SnapshotTable[[#This Row],[Long Term Target]] - SnapshotTable[[#This Row],[Last Price]]) / SnapshotTable[[#This Row],[Last Price]], "")</f>
        <v>0.79199110122358163</v>
      </c>
      <c r="AP181" s="5">
        <v>8</v>
      </c>
      <c r="AQ181" s="38" t="s">
        <v>27</v>
      </c>
      <c r="AR181" s="5">
        <v>8</v>
      </c>
      <c r="AS181" s="38" t="s">
        <v>38</v>
      </c>
      <c r="AT181" s="146" t="s">
        <v>542</v>
      </c>
      <c r="AU181" s="187" t="str">
        <f>IF(OR(SnapshotTable[[#This Row],[LP No Fill]]="Y",SnapshotTable[[#This Row],[SP Is Filled]],SnapshotTable[[#This Row],[LC Not Filled]]="Y",SnapshotTable[[#This Row],[SC Is Filled]]),"Y","")</f>
        <v/>
      </c>
      <c r="AV181" s="219"/>
      <c r="AW181" s="225"/>
      <c r="AX181" s="220"/>
      <c r="AY181" s="219" t="str">
        <f>IF(SnapshotTable[[#This Row],[Implied Move]]&gt;0, SnapshotTable[[#This Row],[Last Price]]-SnapshotTable[[#This Row],[Implied Move]],"")</f>
        <v/>
      </c>
      <c r="AZ181" s="219" t="str">
        <f>IF(SnapshotTable[[#This Row],[Implied Move]]&gt;0, SnapshotTable[[#This Row],[Last Price]] + SnapshotTable[[#This Row],[Implied Move]],"")</f>
        <v/>
      </c>
      <c r="BA181" s="331">
        <v>22.45</v>
      </c>
      <c r="BB181" s="347"/>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51"/>
      <c r="BE181" s="5"/>
      <c r="BF181" s="14"/>
      <c r="BG181" s="13"/>
      <c r="BH181" s="13"/>
      <c r="BI181" s="5"/>
      <c r="BJ181" s="136">
        <f>IF(SnapshotTable[[#This Row],[LP Qty]] &gt; 0, SnapshotTable[[#This Row],[LP Qty]] * SnapshotTable[[#This Row],[LP Book Price]] * 100,0)</f>
        <v>0</v>
      </c>
      <c r="BK181" s="136">
        <f>IF(SnapshotTable[[#This Row],[LP Premium]] &gt; 0, SnapshotTable[[#This Row],[LP Qty]] * SnapshotTable[[#This Row],[LP Strike Price]] * 100,0)</f>
        <v>0</v>
      </c>
      <c r="BL181" s="154"/>
      <c r="BM181" s="385" t="str">
        <f>IF(SnapshotTable[[#This Row],[LP Premium]] &gt; 0,SnapshotTable[[#This Row],[LP Exp Date]]-MAX(SnapshotTable[[#This Row],[LP Book Date]], SnapshotTable[[#This Row],[LP Fill Date]]),"")</f>
        <v/>
      </c>
      <c r="BN181" s="385" t="str">
        <f>IF(ISNUMBER( SnapshotTable[[#This Row],[LP Term]]), SnapshotTable[[#This Row],[LP Exp Date]] - MockToday,"")</f>
        <v/>
      </c>
      <c r="BO181" s="163"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7"/>
      <c r="BU181" s="13"/>
      <c r="BV181" s="5"/>
      <c r="BW181" s="419" t="b">
        <f>AND(ISNUMBER(SnapshotTable[[#This Row],[SP Exp Date]]), ISNUMBER(SnapshotTable[[#This Row],[SP Strike Price]]), ISNUMBER(SnapshotTable[[#This Row],[SP Qty]]), ISNUMBER(SnapshotTable[[#This Row],[SP Book Date]]), ISNUMBER(SnapshotTable[[#This Row],[SP Book Price]]))</f>
        <v>0</v>
      </c>
      <c r="BX181" s="419" t="b">
        <f>AND(SnapshotTable[[#This Row],[SP Is Booked]], NOT(ISBLANK(SnapshotTable[[#This Row],[SP Fill Date]])))</f>
        <v>0</v>
      </c>
      <c r="BY181" s="33">
        <f>IF(SnapshotTable[[#This Row],[SP Is Booked]], SnapshotTable[[#This Row],[SP Qty]] * SnapshotTable[[#This Row],[SP Book Price]] * 100, 0)</f>
        <v>0</v>
      </c>
      <c r="BZ181" s="369"/>
      <c r="CA181" s="368">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3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44"/>
      <c r="CK181" s="31">
        <f>IF(ISNUMBER(SnapshotTable[[#This Row],[SP Potential Spend]]),IF(ISNUMBER(SnapshotTable[[#This Row],[SP POW]]), SnapshotTable[[#This Row],[SP POW]] * SnapshotTable[[#This Row],[SP Potential Spend]], SnapshotTable[[#This Row],[SP Potential Spend]]), "")</f>
        <v>0</v>
      </c>
      <c r="CL181" s="164">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8"/>
      <c r="CO181" s="369"/>
      <c r="CP181" s="4" t="str">
        <f>IF(SnapshotTable[[#This Row],[SP Is Filled]], btc_max_buyback_amount(SnapshotTable[[#This Row],[SP Fill Date]],SnapshotTable[[#This Row],[SP Exp Date]], SnapshotTable[[#This Row],[SP Book Price]]),"")</f>
        <v/>
      </c>
      <c r="CQ181" s="78"/>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5" t="str">
        <f>IF(SnapshotTable[[#This Row],[SP Is Filled]], btc_next_cutoff_date(SnapshotTable[[#This Row],[SP Fill Date]],SnapshotTable[[#This Row],[SP Exp Date]]),"")</f>
        <v/>
      </c>
      <c r="CT181" s="23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3"/>
      <c r="CV181" s="235"/>
      <c r="CW181" s="378"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294" t="str">
        <f>IF(ISNUMBER((SnapshotTable[[#This Row],[SP Total Value]])), SnapshotTable[[#This Row],[SP Gain Loss]] / SnapshotTable[[#This Row],[SP Premium]], "")</f>
        <v/>
      </c>
      <c r="DI181" s="406"/>
      <c r="DJ181" s="138"/>
      <c r="DK181" s="148"/>
      <c r="DL181" s="13"/>
      <c r="DM181" s="13"/>
      <c r="DO181" s="31">
        <f>IF(SnapshotTable[[#This Row],[LC Symbol Count]]=1, SnapshotTable[[#This Row],[LC Qty]] * SnapshotTable[[#This Row],[LC Book Price]] * 100, 0)</f>
        <v>0</v>
      </c>
      <c r="DP181" s="163" t="str">
        <f>IF(AND(SnapshotTable[[#This Row],[LC Exp Date]]&gt;0, SnapshotTable[[#This Row],[LC Strike Price]]&gt;0,SnapshotTable[[#This Row],[LC Qty]]&gt;0,SnapshotTable[[#This Row],[LC Book Date]]&gt;0,SnapshotTable[[#This Row],[LC Book Price]]&gt;0,SnapshotTable[[#This Row],[LC Fill Date]]=0),"Y","")</f>
        <v/>
      </c>
      <c r="DQ181" s="386" t="str">
        <f>IF(SnapshotTable[[#This Row],[LC Premium]] &gt; 0,SnapshotTable[[#This Row],[LC Exp Date]]-MAX(SnapshotTable[[#This Row],[LC Book Date]], SnapshotTable[[#This Row],[LC Fill Date]]),"")</f>
        <v/>
      </c>
      <c r="DR181" s="386" t="str">
        <f>IF(ISNUMBER(SnapshotTable[[#This Row],[LC Term]]), SnapshotTable[[#This Row],[LC Exp Date]] - MockToday, "")</f>
        <v/>
      </c>
      <c r="DS181" s="23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40" t="str">
        <f>IF(ISNUMBER(SnapshotTable[[#This Row],[LC Actual Gain Loss]]), SnapshotTable[[#This Row],[LC Actual Gain Loss]] / SnapshotTable[[#This Row],[LC Premium]],"")</f>
        <v/>
      </c>
      <c r="DX181" s="284" t="str">
        <f>IF(ISNUMBER(SnapshotTable[[#This Row],[LC Book Price]]),SnapshotTable[[#This Row],[LC Book Price]] * 1.5,"")</f>
        <v/>
      </c>
      <c r="DY181" s="265" t="str">
        <f>IF(SnapshotTable[[#This Row],[LC Premium]]&gt;0, SnapshotTable[[#This Row],[LC Next Target]] * SnapshotTable[[#This Row],[LC Qty]] * 100,"")</f>
        <v/>
      </c>
      <c r="DZ181" s="265" t="str">
        <f>IF(ISNUMBER(SnapshotTable[[#This Row],[LC Target Gross]]), SnapshotTable[[#This Row],[LC Target Gross]] - SnapshotTable[[#This Row],[LC Premium]], "")</f>
        <v/>
      </c>
      <c r="EA181" s="305" t="str">
        <f>IF(ISNUMBER(SnapshotTable[[#This Row],[LC Target Gain Loss]]), SnapshotTable[[#This Row],[LC Target Gain Loss]]/SnapshotTable[[#This Row],[LC Premium]], "")</f>
        <v/>
      </c>
      <c r="EB181" s="262"/>
      <c r="EC181" s="283" t="str">
        <f>IF(SnapshotTable[[#This Row],[LC Premium]]&gt;0, SnapshotTable[[#This Row],[LC Book Price]] * (1 - LC_StopLoss_Pct),"")</f>
        <v/>
      </c>
      <c r="ED181" s="284"/>
      <c r="EE181" s="28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4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7"/>
      <c r="EL181" s="138"/>
      <c r="EM181" s="148"/>
      <c r="EN181" s="147"/>
      <c r="EO181" s="147"/>
      <c r="EP181" s="138"/>
      <c r="EQ181" s="419" t="b">
        <f>AND(ISNUMBER(SnapshotTable[[#This Row],[SC Exp Date]]), ISNUMBER(SnapshotTable[[#This Row],[SC Strike Price]]), ISNUMBER(SnapshotTable[[#This Row],[SC Qty]]), ISNUMBER(SnapshotTable[[#This Row],[SC Book Date]]), ISNUMBER(SnapshotTable[[#This Row],[SC Book Price]]))</f>
        <v>0</v>
      </c>
      <c r="ER181" s="419" t="b">
        <f>AND(SnapshotTable[[#This Row],[SC Is Booked]], NOT(ISBLANK(SnapshotTable[[#This Row],[SC Fill Date]])))</f>
        <v>0</v>
      </c>
      <c r="ES181" s="370"/>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3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283"/>
      <c r="FA181" s="218"/>
      <c r="FB181" s="370"/>
      <c r="FC181" s="4">
        <f>IF(SnapshotTable[[#This Row],[SC Is Filled]], btc_max_buyback_amount(SnapshotTable[[#This Row],[SC Fill Date]],SnapshotTable[[#This Row],[SC Exp Date]], SnapshotTable[[#This Row],[SC Book Price]]),0)</f>
        <v>0</v>
      </c>
      <c r="FD181" s="5"/>
      <c r="FE181" s="144"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382">
        <f>IF(SnapshotTable[[#This Row],[SC Is Filled]], IF(ISNUMBER(SnapshotTable[[#This Row],[SC Current Ask]]), SnapshotTable[[#This Row],[SC Current Ask]], SnapshotTable[[#This Row],[SC Book Price]]) - SnapshotTable[[#This Row],[SC Intrinsic Value]], 0)</f>
        <v>0</v>
      </c>
      <c r="FI181" s="143"/>
      <c r="FJ181" s="32" t="str">
        <f>IF(SnapshotTable[[#This Row],[SC Is Filled]],100 * SnapshotTable[[#This Row],[SC Qty]] * IF(ISNUMBER(SnapshotTable[[#This Row],[SC Buyback Override]]), SnapshotTable[[#This Row],[SC Buyback Override]], SnapshotTable[[#This Row],[SC Current Ask]]), "")</f>
        <v/>
      </c>
      <c r="FK181" s="250" t="str">
        <f>IF(SnapshotTable[[#This Row],[SC Time Val]]&gt;0, SnapshotTable[[#This Row],[SC Time Val]] / SnapshotTable[[#This Row],[Last Price]],"")</f>
        <v/>
      </c>
      <c r="FL181" s="302" t="str">
        <f>IF(SnapshotTable[[#This Row],[SC Is Booked]], ((SnapshotTable[[#This Row],[Last Price]] -SnapshotTable[[#This Row],[SC Strike Price]]) / SnapshotTable[[#This Row],[Last Price]]) * -1, "")</f>
        <v/>
      </c>
      <c r="FM181" s="157"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33"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36" t="str">
        <f>IF(AND(ISNUMBER(SnapshotTable[[#This Row],[SC Simple ROO]]),SnapshotTable[[#This Row],[SC Simple ROO]] &gt; 0), SnapshotTable[[#This Row],[SC Premium]] + (SnapshotTable[[#This Row],[SC Qty]] * SnapshotTable[[#This Row],[SC Upside Potential]]), "")</f>
        <v/>
      </c>
      <c r="FX181" s="302" t="str" cm="1">
        <f t="array" ref="FX181">IF(ISNUMBER(SnapshotTable[[#This Row],[SC Max Dollars]]), annualize(SnapshotTable[[#This Row],[SC Term]],(SnapshotTable[[#This Row],[SC Max Dollars]]/SnapshotTable[[#This Row],[SC Basis]])),"")</f>
        <v/>
      </c>
      <c r="FY181" s="23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29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15.304499999999999</v>
      </c>
      <c r="GD181" s="40">
        <f>SnapshotTable[[#This Row],[Last Price]] * (1+ SellingPriceToConsiderBasedOnTargetPercentage)</f>
        <v>17.5305</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t="s">
        <v>1017</v>
      </c>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31">
        <f>MAX(SnapshotTable[[#This Row],[Equity Basis Total]],SnapshotTable[[#This Row],[Equity Value]]) + (SnapshotTable[[#This Row],[SP Potential Spend]]- SnapshotTable[[#This Row],[SP Premium]] + SnapshotTable[[#This Row],[LP Premium]])+ (SnapshotTable[[#This Row],[LC Premium]] - SnapshotTable[[#This Row],[SC Premium]])</f>
        <v>0</v>
      </c>
      <c r="GW181" s="139" t="str">
        <f>IF(AND(SnapshotTable[[#This Row],[Exposure]] &lt;&gt; 0),SnapshotTable[[#This Row],[Exposure]] / SnapshotTable[[#Totals],[Exposure]], "")</f>
        <v/>
      </c>
      <c r="HE181" s="268"/>
      <c r="HF181" s="268"/>
      <c r="HK181" s="1"/>
      <c r="HL181" s="1"/>
      <c r="HM181" s="1"/>
      <c r="HN181" s="1"/>
      <c r="HO181" s="1"/>
      <c r="HP181" s="1"/>
    </row>
    <row r="182" spans="2:224" ht="12.75" hidden="1" customHeight="1" x14ac:dyDescent="0.25">
      <c r="B182" s="12" t="s">
        <v>949</v>
      </c>
      <c r="C182" s="422">
        <v>51.08</v>
      </c>
      <c r="D182" s="208" t="s">
        <v>850</v>
      </c>
      <c r="E182" s="39">
        <f>SnapshotTable[[#This Row],[Last Price]]*(1 -CrashDiscount)</f>
        <v>43.417999999999999</v>
      </c>
      <c r="F182" s="26" t="s">
        <v>5</v>
      </c>
      <c r="G182" s="325" t="s">
        <v>950</v>
      </c>
      <c r="H182" s="149"/>
      <c r="I182" s="194">
        <v>44763.28125</v>
      </c>
      <c r="J182" s="195">
        <v>44763.28125</v>
      </c>
      <c r="K182" s="196"/>
      <c r="L182" s="326"/>
      <c r="M182" s="140"/>
      <c r="N182" s="140"/>
      <c r="O182" s="140"/>
      <c r="P182" s="22"/>
      <c r="Q182" s="25"/>
      <c r="R182" s="4" t="str">
        <f>IF(SnapshotTable[[#This Row],[Equity Basis Total]] &gt; 0, SnapshotTable[[#This Row],[Equity Basis Total]] / SnapshotTable[[#This Row],[Equity Shares]], "")</f>
        <v/>
      </c>
      <c r="S182" s="269">
        <f>SnapshotTable[[#This Row],[Last Price]] * SnapshotTable[[#This Row],[Equity Shares]]</f>
        <v>0</v>
      </c>
      <c r="T182" s="269">
        <f>SnapshotTable[[#This Row],[Equity Value]] - SnapshotTable[[#This Row],[Equity Basis Total]]</f>
        <v>0</v>
      </c>
      <c r="U182" s="270" t="str">
        <f>IF(SnapshotTable[[#This Row],[Equity Basis Total]] &gt; 0, SnapshotTable[[#This Row],[Equity G/L]] / SnapshotTable[[#This Row],[Equity Basis Total]], "")</f>
        <v/>
      </c>
      <c r="V182" s="268"/>
      <c r="W182" s="26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7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0"/>
      <c r="AD182" s="151"/>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1"/>
      <c r="AI182" s="5"/>
      <c r="AJ182" s="138">
        <v>40</v>
      </c>
      <c r="AK182" s="152" t="str">
        <f>IF(ISNUMBER( SnapshotTable[[#This Row],[EBF Target]]),(SnapshotTable[[#This Row],[EBF Target]] - SnapshotTable[[#This Row],[Last Price]]) / SnapshotTable[[#This Row],[Last Price]], "")</f>
        <v/>
      </c>
      <c r="AL182" s="152"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2">
        <f>IF(AND(ISNUMBER( SnapshotTable[[#This Row],[Long Term Target]]), ISNUMBER(SnapshotTable[[#This Row],[Last Price]])),(SnapshotTable[[#This Row],[Long Term Target]] - SnapshotTable[[#This Row],[Last Price]]) / SnapshotTable[[#This Row],[Last Price]], "")</f>
        <v>-0.21691464369616287</v>
      </c>
      <c r="AP182" s="5"/>
      <c r="AQ182" s="38"/>
      <c r="AR182" s="5"/>
      <c r="AS182" s="38"/>
      <c r="AT182" s="146"/>
      <c r="AU182" s="187" t="str">
        <f>IF(OR(SnapshotTable[[#This Row],[LP No Fill]]="Y",SnapshotTable[[#This Row],[SP Is Filled]],SnapshotTable[[#This Row],[LC Not Filled]]="Y",SnapshotTable[[#This Row],[SC Is Filled]]),"Y","")</f>
        <v/>
      </c>
      <c r="AV182" s="219"/>
      <c r="AW182" s="225"/>
      <c r="AX182" s="220"/>
      <c r="AY182" s="219" t="str">
        <f>IF(SnapshotTable[[#This Row],[Implied Move]]&gt;0, SnapshotTable[[#This Row],[Last Price]]-SnapshotTable[[#This Row],[Implied Move]],"")</f>
        <v/>
      </c>
      <c r="AZ182" s="219" t="str">
        <f>IF(SnapshotTable[[#This Row],[Implied Move]]&gt;0, SnapshotTable[[#This Row],[Last Price]] + SnapshotTable[[#This Row],[Implied Move]],"")</f>
        <v/>
      </c>
      <c r="BA182" s="331"/>
      <c r="BB182" s="347"/>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51"/>
      <c r="BE182" s="5"/>
      <c r="BF182" s="14"/>
      <c r="BG182" s="13"/>
      <c r="BH182" s="13"/>
      <c r="BI182" s="5"/>
      <c r="BJ182" s="136">
        <f>IF(SnapshotTable[[#This Row],[LP Qty]] &gt; 0, SnapshotTable[[#This Row],[LP Qty]] * SnapshotTable[[#This Row],[LP Book Price]] * 100,0)</f>
        <v>0</v>
      </c>
      <c r="BK182" s="136">
        <f>IF(SnapshotTable[[#This Row],[LP Premium]] &gt; 0, SnapshotTable[[#This Row],[LP Qty]] * SnapshotTable[[#This Row],[LP Strike Price]] * 100,0)</f>
        <v>0</v>
      </c>
      <c r="BL182" s="154"/>
      <c r="BM182" s="385" t="str">
        <f>IF(SnapshotTable[[#This Row],[LP Premium]] &gt; 0,SnapshotTable[[#This Row],[LP Exp Date]]-MAX(SnapshotTable[[#This Row],[LP Book Date]], SnapshotTable[[#This Row],[LP Fill Date]]),"")</f>
        <v/>
      </c>
      <c r="BN182" s="385" t="str">
        <f>IF(ISNUMBER( SnapshotTable[[#This Row],[LP Term]]), SnapshotTable[[#This Row],[LP Exp Date]] - MockToday,"")</f>
        <v/>
      </c>
      <c r="BO182" s="163"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7"/>
      <c r="BU182" s="13"/>
      <c r="BV182" s="5"/>
      <c r="BW182" s="419" t="b">
        <f>AND(ISNUMBER(SnapshotTable[[#This Row],[SP Exp Date]]), ISNUMBER(SnapshotTable[[#This Row],[SP Strike Price]]), ISNUMBER(SnapshotTable[[#This Row],[SP Qty]]), ISNUMBER(SnapshotTable[[#This Row],[SP Book Date]]), ISNUMBER(SnapshotTable[[#This Row],[SP Book Price]]))</f>
        <v>0</v>
      </c>
      <c r="BX182" s="419" t="b">
        <f>AND(SnapshotTable[[#This Row],[SP Is Booked]], NOT(ISBLANK(SnapshotTable[[#This Row],[SP Fill Date]])))</f>
        <v>0</v>
      </c>
      <c r="BY182" s="33">
        <f>IF(SnapshotTable[[#This Row],[SP Is Booked]], SnapshotTable[[#This Row],[SP Qty]] * SnapshotTable[[#This Row],[SP Book Price]] * 100, 0)</f>
        <v>0</v>
      </c>
      <c r="BZ182" s="369"/>
      <c r="CA182" s="368">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3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44"/>
      <c r="CK182" s="31">
        <f>IF(ISNUMBER(SnapshotTable[[#This Row],[SP Potential Spend]]),IF(ISNUMBER(SnapshotTable[[#This Row],[SP POW]]), SnapshotTable[[#This Row],[SP POW]] * SnapshotTable[[#This Row],[SP Potential Spend]], SnapshotTable[[#This Row],[SP Potential Spend]]), "")</f>
        <v>0</v>
      </c>
      <c r="CL182" s="164">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218"/>
      <c r="CO182" s="369"/>
      <c r="CP182" s="4" t="str">
        <f>IF(SnapshotTable[[#This Row],[SP Is Filled]], btc_max_buyback_amount(SnapshotTable[[#This Row],[SP Fill Date]],SnapshotTable[[#This Row],[SP Exp Date]], SnapshotTable[[#This Row],[SP Book Price]]),"")</f>
        <v/>
      </c>
      <c r="CQ182" s="78"/>
      <c r="CR1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5" t="str">
        <f>IF(SnapshotTable[[#This Row],[SP Is Filled]], btc_next_cutoff_date(SnapshotTable[[#This Row],[SP Fill Date]],SnapshotTable[[#This Row],[SP Exp Date]]),"")</f>
        <v/>
      </c>
      <c r="CT182" s="23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43"/>
      <c r="CV182" s="235"/>
      <c r="CW182" s="378"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294" t="str">
        <f>IF(ISNUMBER((SnapshotTable[[#This Row],[SP Total Value]])), SnapshotTable[[#This Row],[SP Gain Loss]] / SnapshotTable[[#This Row],[SP Premium]], "")</f>
        <v/>
      </c>
      <c r="DI182" s="406"/>
      <c r="DJ182" s="138"/>
      <c r="DK182" s="148"/>
      <c r="DL182" s="13"/>
      <c r="DM182" s="13"/>
      <c r="DO182" s="31">
        <f>IF(SnapshotTable[[#This Row],[LC Symbol Count]]=1, SnapshotTable[[#This Row],[LC Qty]] * SnapshotTable[[#This Row],[LC Book Price]] * 100, 0)</f>
        <v>0</v>
      </c>
      <c r="DP182" s="163" t="str">
        <f>IF(AND(SnapshotTable[[#This Row],[LC Exp Date]]&gt;0, SnapshotTable[[#This Row],[LC Strike Price]]&gt;0,SnapshotTable[[#This Row],[LC Qty]]&gt;0,SnapshotTable[[#This Row],[LC Book Date]]&gt;0,SnapshotTable[[#This Row],[LC Book Price]]&gt;0,SnapshotTable[[#This Row],[LC Fill Date]]=0),"Y","")</f>
        <v/>
      </c>
      <c r="DQ182" s="386" t="str">
        <f>IF(SnapshotTable[[#This Row],[LC Premium]] &gt; 0,SnapshotTable[[#This Row],[LC Exp Date]]-MAX(SnapshotTable[[#This Row],[LC Book Date]], SnapshotTable[[#This Row],[LC Fill Date]]),"")</f>
        <v/>
      </c>
      <c r="DR182" s="386" t="str">
        <f>IF(ISNUMBER(SnapshotTable[[#This Row],[LC Term]]), SnapshotTable[[#This Row],[LC Exp Date]] - MockToday, "")</f>
        <v/>
      </c>
      <c r="DS182" s="23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40" t="str">
        <f>IF(ISNUMBER(SnapshotTable[[#This Row],[LC Actual Gain Loss]]), SnapshotTable[[#This Row],[LC Actual Gain Loss]] / SnapshotTable[[#This Row],[LC Premium]],"")</f>
        <v/>
      </c>
      <c r="DX182" s="284" t="str">
        <f>IF(ISNUMBER(SnapshotTable[[#This Row],[LC Book Price]]),SnapshotTable[[#This Row],[LC Book Price]] * 1.5,"")</f>
        <v/>
      </c>
      <c r="DY182" s="265" t="str">
        <f>IF(SnapshotTable[[#This Row],[LC Premium]]&gt;0, SnapshotTable[[#This Row],[LC Next Target]] * SnapshotTable[[#This Row],[LC Qty]] * 100,"")</f>
        <v/>
      </c>
      <c r="DZ182" s="265" t="str">
        <f>IF(ISNUMBER(SnapshotTable[[#This Row],[LC Target Gross]]), SnapshotTable[[#This Row],[LC Target Gross]] - SnapshotTable[[#This Row],[LC Premium]], "")</f>
        <v/>
      </c>
      <c r="EA182" s="305" t="str">
        <f>IF(ISNUMBER(SnapshotTable[[#This Row],[LC Target Gain Loss]]), SnapshotTable[[#This Row],[LC Target Gain Loss]]/SnapshotTable[[#This Row],[LC Premium]], "")</f>
        <v/>
      </c>
      <c r="EB182" s="262"/>
      <c r="EC182" s="283" t="str">
        <f>IF(SnapshotTable[[#This Row],[LC Premium]]&gt;0, SnapshotTable[[#This Row],[LC Book Price]] * (1 - LC_StopLoss_Pct),"")</f>
        <v/>
      </c>
      <c r="ED182" s="284"/>
      <c r="EE182" s="28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4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7"/>
      <c r="EL182" s="138"/>
      <c r="EM182" s="148"/>
      <c r="EN182" s="147"/>
      <c r="EO182" s="147"/>
      <c r="EP182" s="138"/>
      <c r="EQ182" s="419" t="b">
        <f>AND(ISNUMBER(SnapshotTable[[#This Row],[SC Exp Date]]), ISNUMBER(SnapshotTable[[#This Row],[SC Strike Price]]), ISNUMBER(SnapshotTable[[#This Row],[SC Qty]]), ISNUMBER(SnapshotTable[[#This Row],[SC Book Date]]), ISNUMBER(SnapshotTable[[#This Row],[SC Book Price]]))</f>
        <v>0</v>
      </c>
      <c r="ER182" s="419" t="b">
        <f>AND(SnapshotTable[[#This Row],[SC Is Booked]], NOT(ISBLANK(SnapshotTable[[#This Row],[SC Fill Date]])))</f>
        <v>0</v>
      </c>
      <c r="ES182" s="370"/>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3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283"/>
      <c r="FA182" s="218"/>
      <c r="FB182" s="370"/>
      <c r="FC182" s="4">
        <f>IF(SnapshotTable[[#This Row],[SC Is Filled]], btc_max_buyback_amount(SnapshotTable[[#This Row],[SC Fill Date]],SnapshotTable[[#This Row],[SC Exp Date]], SnapshotTable[[#This Row],[SC Book Price]]),0)</f>
        <v>0</v>
      </c>
      <c r="FD182" s="5"/>
      <c r="FE182" s="144"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382">
        <f>IF(SnapshotTable[[#This Row],[SC Is Filled]], IF(ISNUMBER(SnapshotTable[[#This Row],[SC Current Ask]]), SnapshotTable[[#This Row],[SC Current Ask]], SnapshotTable[[#This Row],[SC Book Price]]) - SnapshotTable[[#This Row],[SC Intrinsic Value]], 0)</f>
        <v>0</v>
      </c>
      <c r="FI182" s="143"/>
      <c r="FJ182" s="32" t="str">
        <f>IF(SnapshotTable[[#This Row],[SC Is Filled]],100 * SnapshotTable[[#This Row],[SC Qty]] * IF(ISNUMBER(SnapshotTable[[#This Row],[SC Buyback Override]]), SnapshotTable[[#This Row],[SC Buyback Override]], SnapshotTable[[#This Row],[SC Current Ask]]), "")</f>
        <v/>
      </c>
      <c r="FK182" s="250" t="str">
        <f>IF(SnapshotTable[[#This Row],[SC Time Val]]&gt;0, SnapshotTable[[#This Row],[SC Time Val]] / SnapshotTable[[#This Row],[Last Price]],"")</f>
        <v/>
      </c>
      <c r="FL182" s="302" t="str">
        <f>IF(SnapshotTable[[#This Row],[SC Is Booked]], ((SnapshotTable[[#This Row],[Last Price]] -SnapshotTable[[#This Row],[SC Strike Price]]) / SnapshotTable[[#This Row],[Last Price]]) * -1, "")</f>
        <v/>
      </c>
      <c r="FM182" s="157" t="str">
        <f>IF(SnapshotTable[[#This Row],[SC Is Booked]],  (SnapshotTable[[#This Row],[SC Qty]] * 100 * SnapshotTable[[#This Row],[SC Strike Price]]) - SnapshotTable[[#This Row],[SC Current Ask]], "")</f>
        <v/>
      </c>
      <c r="FN1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31"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33"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36" t="str">
        <f>IF(AND(ISNUMBER(SnapshotTable[[#This Row],[SC Simple ROO]]),SnapshotTable[[#This Row],[SC Simple ROO]] &gt; 0), SnapshotTable[[#This Row],[SC Premium]] + (SnapshotTable[[#This Row],[SC Qty]] * SnapshotTable[[#This Row],[SC Upside Potential]]), "")</f>
        <v/>
      </c>
      <c r="FX182" s="302" t="str" cm="1">
        <f t="array" ref="FX182">IF(ISNUMBER(SnapshotTable[[#This Row],[SC Max Dollars]]), annualize(SnapshotTable[[#This Row],[SC Term]],(SnapshotTable[[#This Row],[SC Max Dollars]]/SnapshotTable[[#This Row],[SC Basis]])),"")</f>
        <v/>
      </c>
      <c r="FY182" s="236" t="str">
        <f>IF(AND(SnapshotTable[[#This Row],[SC Qty]]&gt;0,SnapshotTable[[#This Row],[SC Current Ask]]&gt;0), SnapshotTable[[#This Row],[SC Qty]] * SnapshotTable[[#This Row],[SC Current Ask]] * -100, "")</f>
        <v/>
      </c>
      <c r="FZ182" s="31" t="str">
        <f>IF(ISNUMBER((SnapshotTable[[#This Row],[SC Current Value]])), SnapshotTable[[#This Row],[SC Premium]] + SnapshotTable[[#This Row],[SC Current Value]], "")</f>
        <v/>
      </c>
      <c r="GA182" s="29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38</v>
      </c>
      <c r="GD182" s="40">
        <f>SnapshotTable[[#This Row],[Last Price]] * (1+ SellingPriceToConsiderBasedOnTargetPercentage)</f>
        <v>99.605999999999995</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27" t="str">
        <f>IF(SnapshotTable[[#This Row],[Sale G/L]]&gt;0, SnapshotTable[[#This Row],[Sale G/L]] / SnapshotTable[[#This Row],[Sale Basis]], IF(ISNUMBER(SnapshotTable[[#This Row],[SC Exercise P&amp;L (TAX)]]), SnapshotTable[[#This Row],[SC Exercise P&amp;L (TAX)]] / SnapshotTable[[#This Row],[SC Basis]], ""))</f>
        <v/>
      </c>
      <c r="GK182" s="27"/>
      <c r="GL182" s="43"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43" t="str">
        <f>IF(AND(SnapshotTable[[#This Row],[LC Exp Date]]&gt;0,SnapshotTable[[#This Row],[LC Strike Price]]&gt;0), [1]!ToOptionSymbol(SnapshotTable[[#This Row],[Symbol]], SnapshotTable[[#This Row],[LC Strike Price]],SnapshotTable[[#This Row],[LC Exp Date]],0), "")</f>
        <v/>
      </c>
      <c r="GQ182" s="30" t="str">
        <f>IF(LEN(SnapshotTable[[#This Row],[LC Symbol]])&gt;0, 1, "")</f>
        <v/>
      </c>
      <c r="GR182" s="43" t="str">
        <f>IF(AND(SnapshotTable[[#This Row],[SC Exp Date]]&gt;0,SnapshotTable[[#This Row],[SC Strike Price]]&gt;0), [1]!ToOptionSymbol(SnapshotTable[[#This Row],[Symbol]], SnapshotTable[[#This Row],[SC Strike Price]],SnapshotTable[[#This Row],[SC Exp Date]],0), "")</f>
        <v/>
      </c>
      <c r="GS182" s="30" t="str">
        <f>IF(LEN(SnapshotTable[[#This Row],[SC Symbol]])&gt;0, 1, "")</f>
        <v/>
      </c>
      <c r="GT182" s="29"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31">
        <f>MAX(SnapshotTable[[#This Row],[Equity Basis Total]],SnapshotTable[[#This Row],[Equity Value]]) + (SnapshotTable[[#This Row],[SP Potential Spend]]- SnapshotTable[[#This Row],[SP Premium]] + SnapshotTable[[#This Row],[LP Premium]])+ (SnapshotTable[[#This Row],[LC Premium]] - SnapshotTable[[#This Row],[SC Premium]])</f>
        <v>0</v>
      </c>
      <c r="GW182" s="139" t="str">
        <f>IF(AND(SnapshotTable[[#This Row],[Exposure]] &lt;&gt; 0),SnapshotTable[[#This Row],[Exposure]] / SnapshotTable[[#Totals],[Exposure]], "")</f>
        <v/>
      </c>
      <c r="HE182" s="268"/>
      <c r="HF182" s="268"/>
      <c r="HK182" s="1"/>
      <c r="HL182" s="1"/>
      <c r="HM182" s="1"/>
      <c r="HN182" s="1"/>
      <c r="HO182" s="1"/>
      <c r="HP182" s="1"/>
    </row>
    <row r="183" spans="2:224" ht="12.75" hidden="1" customHeight="1" x14ac:dyDescent="0.25">
      <c r="B183" s="12" t="s">
        <v>123</v>
      </c>
      <c r="C183" s="422">
        <v>89.4</v>
      </c>
      <c r="D183" s="208"/>
      <c r="E183" s="39">
        <f>SnapshotTable[[#This Row],[Last Price]]*(1 -CrashDiscount)</f>
        <v>75.990000000000009</v>
      </c>
      <c r="F183" s="26" t="s">
        <v>39</v>
      </c>
      <c r="G183" s="26" t="s">
        <v>9</v>
      </c>
      <c r="H183" s="149"/>
      <c r="I183" s="194">
        <v>44776.670138888891</v>
      </c>
      <c r="J183" s="195">
        <v>44776.670138888891</v>
      </c>
      <c r="K183" s="196"/>
      <c r="L183" s="326"/>
      <c r="M183" s="140"/>
      <c r="N183" s="140"/>
      <c r="O183" s="140">
        <v>4</v>
      </c>
      <c r="P183" s="22"/>
      <c r="Q183" s="25"/>
      <c r="R183" s="4" t="str">
        <f>IF(SnapshotTable[[#This Row],[Equity Basis Total]] &gt; 0, SnapshotTable[[#This Row],[Equity Basis Total]] / SnapshotTable[[#This Row],[Equity Shares]], "")</f>
        <v/>
      </c>
      <c r="S183" s="269">
        <f>SnapshotTable[[#This Row],[Last Price]] * SnapshotTable[[#This Row],[Equity Shares]]</f>
        <v>0</v>
      </c>
      <c r="T183" s="269">
        <f>SnapshotTable[[#This Row],[Equity Value]] - SnapshotTable[[#This Row],[Equity Basis Total]]</f>
        <v>0</v>
      </c>
      <c r="U183" s="270" t="str">
        <f>IF(SnapshotTable[[#This Row],[Equity Basis Total]] &gt; 0, SnapshotTable[[#This Row],[Equity G/L]] / SnapshotTable[[#This Row],[Equity Basis Total]], "")</f>
        <v/>
      </c>
      <c r="V183" s="268"/>
      <c r="W183" s="26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7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0">
        <v>0</v>
      </c>
      <c r="AD183" s="151" t="s">
        <v>2</v>
      </c>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1" t="s">
        <v>2</v>
      </c>
      <c r="AI183" s="5"/>
      <c r="AJ183" s="138">
        <v>79.540000000000006</v>
      </c>
      <c r="AK183" s="152" t="str">
        <f>IF(ISNUMBER( SnapshotTable[[#This Row],[EBF Target]]),(SnapshotTable[[#This Row],[EBF Target]] - SnapshotTable[[#This Row],[Last Price]]) / SnapshotTable[[#This Row],[Last Price]], "")</f>
        <v/>
      </c>
      <c r="AL183" s="152"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2">
        <f>IF(AND(ISNUMBER( SnapshotTable[[#This Row],[Long Term Target]]), ISNUMBER(SnapshotTable[[#This Row],[Last Price]])),(SnapshotTable[[#This Row],[Long Term Target]] - SnapshotTable[[#This Row],[Last Price]]) / SnapshotTable[[#This Row],[Last Price]], "")</f>
        <v>-0.11029082774049216</v>
      </c>
      <c r="AP183" s="5">
        <v>35</v>
      </c>
      <c r="AQ183" s="38" t="s">
        <v>45</v>
      </c>
      <c r="AR183" s="5">
        <v>30</v>
      </c>
      <c r="AS183" s="38" t="s">
        <v>46</v>
      </c>
      <c r="AT183" s="146"/>
      <c r="AU183" s="187" t="str">
        <f>IF(OR(SnapshotTable[[#This Row],[LP No Fill]]="Y",SnapshotTable[[#This Row],[SP Is Filled]],SnapshotTable[[#This Row],[LC Not Filled]]="Y",SnapshotTable[[#This Row],[SC Is Filled]]),"Y","")</f>
        <v/>
      </c>
      <c r="AV183" s="219"/>
      <c r="AW183" s="225"/>
      <c r="AX183" s="220"/>
      <c r="AY183" s="219" t="str">
        <f>IF(SnapshotTable[[#This Row],[Implied Move]]&gt;0, SnapshotTable[[#This Row],[Last Price]]-SnapshotTable[[#This Row],[Implied Move]],"")</f>
        <v/>
      </c>
      <c r="AZ183" s="219" t="str">
        <f>IF(SnapshotTable[[#This Row],[Implied Move]]&gt;0, SnapshotTable[[#This Row],[Last Price]] + SnapshotTable[[#This Row],[Implied Move]],"")</f>
        <v/>
      </c>
      <c r="BA183" s="331"/>
      <c r="BB183" s="347"/>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51"/>
      <c r="BE183" s="5"/>
      <c r="BF183" s="14"/>
      <c r="BG183" s="13"/>
      <c r="BH183" s="13"/>
      <c r="BI183" s="5"/>
      <c r="BJ183" s="136">
        <f>IF(SnapshotTable[[#This Row],[LP Qty]] &gt; 0, SnapshotTable[[#This Row],[LP Qty]] * SnapshotTable[[#This Row],[LP Book Price]] * 100,0)</f>
        <v>0</v>
      </c>
      <c r="BK183" s="136">
        <f>IF(SnapshotTable[[#This Row],[LP Premium]] &gt; 0, SnapshotTable[[#This Row],[LP Qty]] * SnapshotTable[[#This Row],[LP Strike Price]] * 100,0)</f>
        <v>0</v>
      </c>
      <c r="BL183" s="154"/>
      <c r="BM183" s="385" t="str">
        <f>IF(SnapshotTable[[#This Row],[LP Premium]] &gt; 0,SnapshotTable[[#This Row],[LP Exp Date]]-MAX(SnapshotTable[[#This Row],[LP Book Date]], SnapshotTable[[#This Row],[LP Fill Date]]),"")</f>
        <v/>
      </c>
      <c r="BN183" s="385" t="str">
        <f>IF(ISNUMBER( SnapshotTable[[#This Row],[LP Term]]), SnapshotTable[[#This Row],[LP Exp Date]] - MockToday,"")</f>
        <v/>
      </c>
      <c r="BO183" s="163"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7"/>
      <c r="BU183" s="13"/>
      <c r="BV183" s="5"/>
      <c r="BW183" s="419" t="b">
        <f>AND(ISNUMBER(SnapshotTable[[#This Row],[SP Exp Date]]), ISNUMBER(SnapshotTable[[#This Row],[SP Strike Price]]), ISNUMBER(SnapshotTable[[#This Row],[SP Qty]]), ISNUMBER(SnapshotTable[[#This Row],[SP Book Date]]), ISNUMBER(SnapshotTable[[#This Row],[SP Book Price]]))</f>
        <v>0</v>
      </c>
      <c r="BX183" s="419" t="b">
        <f>AND(SnapshotTable[[#This Row],[SP Is Booked]], NOT(ISBLANK(SnapshotTable[[#This Row],[SP Fill Date]])))</f>
        <v>0</v>
      </c>
      <c r="BY183" s="33">
        <f>IF(SnapshotTable[[#This Row],[SP Is Booked]], SnapshotTable[[#This Row],[SP Qty]] * SnapshotTable[[#This Row],[SP Book Price]] * 100, 0)</f>
        <v>0</v>
      </c>
      <c r="BZ183" s="369"/>
      <c r="CA183" s="368">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3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44"/>
      <c r="CK183" s="31">
        <f>IF(ISNUMBER(SnapshotTable[[#This Row],[SP Potential Spend]]),IF(ISNUMBER(SnapshotTable[[#This Row],[SP POW]]), SnapshotTable[[#This Row],[SP POW]] * SnapshotTable[[#This Row],[SP Potential Spend]], SnapshotTable[[#This Row],[SP Potential Spend]]), "")</f>
        <v>0</v>
      </c>
      <c r="CL183" s="164">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8"/>
      <c r="CO183" s="369"/>
      <c r="CP183" s="4" t="str">
        <f>IF(SnapshotTable[[#This Row],[SP Is Filled]], btc_max_buyback_amount(SnapshotTable[[#This Row],[SP Fill Date]],SnapshotTable[[#This Row],[SP Exp Date]], SnapshotTable[[#This Row],[SP Book Price]]),"")</f>
        <v/>
      </c>
      <c r="CQ183" s="78"/>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5" t="str">
        <f>IF(SnapshotTable[[#This Row],[SP Is Filled]], btc_next_cutoff_date(SnapshotTable[[#This Row],[SP Fill Date]],SnapshotTable[[#This Row],[SP Exp Date]]),"")</f>
        <v/>
      </c>
      <c r="CT183" s="23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3"/>
      <c r="CV183" s="235"/>
      <c r="CW183" s="378"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294" t="str">
        <f>IF(ISNUMBER((SnapshotTable[[#This Row],[SP Total Value]])), SnapshotTable[[#This Row],[SP Gain Loss]] / SnapshotTable[[#This Row],[SP Premium]], "")</f>
        <v/>
      </c>
      <c r="DI183" s="406"/>
      <c r="DJ183" s="138"/>
      <c r="DK183" s="148"/>
      <c r="DL183" s="13"/>
      <c r="DM183" s="13"/>
      <c r="DO183" s="31">
        <f>IF(SnapshotTable[[#This Row],[LC Symbol Count]]=1, SnapshotTable[[#This Row],[LC Qty]] * SnapshotTable[[#This Row],[LC Book Price]] * 100, 0)</f>
        <v>0</v>
      </c>
      <c r="DP183" s="163" t="str">
        <f>IF(AND(SnapshotTable[[#This Row],[LC Exp Date]]&gt;0, SnapshotTable[[#This Row],[LC Strike Price]]&gt;0,SnapshotTable[[#This Row],[LC Qty]]&gt;0,SnapshotTable[[#This Row],[LC Book Date]]&gt;0,SnapshotTable[[#This Row],[LC Book Price]]&gt;0,SnapshotTable[[#This Row],[LC Fill Date]]=0),"Y","")</f>
        <v/>
      </c>
      <c r="DQ183" s="386" t="str">
        <f>IF(SnapshotTable[[#This Row],[LC Premium]] &gt; 0,SnapshotTable[[#This Row],[LC Exp Date]]-MAX(SnapshotTable[[#This Row],[LC Book Date]], SnapshotTable[[#This Row],[LC Fill Date]]),"")</f>
        <v/>
      </c>
      <c r="DR183" s="386" t="str">
        <f>IF(ISNUMBER(SnapshotTable[[#This Row],[LC Term]]), SnapshotTable[[#This Row],[LC Exp Date]] - MockToday, "")</f>
        <v/>
      </c>
      <c r="DS183" s="23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40" t="str">
        <f>IF(ISNUMBER(SnapshotTable[[#This Row],[LC Actual Gain Loss]]), SnapshotTable[[#This Row],[LC Actual Gain Loss]] / SnapshotTable[[#This Row],[LC Premium]],"")</f>
        <v/>
      </c>
      <c r="DX183" s="284" t="str">
        <f>IF(ISNUMBER(SnapshotTable[[#This Row],[LC Book Price]]),SnapshotTable[[#This Row],[LC Book Price]] * 1.5,"")</f>
        <v/>
      </c>
      <c r="DY183" s="265" t="str">
        <f>IF(SnapshotTable[[#This Row],[LC Premium]]&gt;0, SnapshotTable[[#This Row],[LC Next Target]] * SnapshotTable[[#This Row],[LC Qty]] * 100,"")</f>
        <v/>
      </c>
      <c r="DZ183" s="265" t="str">
        <f>IF(ISNUMBER(SnapshotTable[[#This Row],[LC Target Gross]]), SnapshotTable[[#This Row],[LC Target Gross]] - SnapshotTable[[#This Row],[LC Premium]], "")</f>
        <v/>
      </c>
      <c r="EA183" s="305" t="str">
        <f>IF(ISNUMBER(SnapshotTable[[#This Row],[LC Target Gain Loss]]), SnapshotTable[[#This Row],[LC Target Gain Loss]]/SnapshotTable[[#This Row],[LC Premium]], "")</f>
        <v/>
      </c>
      <c r="EB183" s="262"/>
      <c r="EC183" s="283" t="str">
        <f>IF(SnapshotTable[[#This Row],[LC Premium]]&gt;0, SnapshotTable[[#This Row],[LC Book Price]] * (1 - LC_StopLoss_Pct),"")</f>
        <v/>
      </c>
      <c r="ED183" s="284"/>
      <c r="EE183" s="28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4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7"/>
      <c r="EL183" s="138"/>
      <c r="EM183" s="148"/>
      <c r="EN183" s="147"/>
      <c r="EO183" s="147"/>
      <c r="EP183" s="138"/>
      <c r="EQ183" s="419" t="b">
        <f>AND(ISNUMBER(SnapshotTable[[#This Row],[SC Exp Date]]), ISNUMBER(SnapshotTable[[#This Row],[SC Strike Price]]), ISNUMBER(SnapshotTable[[#This Row],[SC Qty]]), ISNUMBER(SnapshotTable[[#This Row],[SC Book Date]]), ISNUMBER(SnapshotTable[[#This Row],[SC Book Price]]))</f>
        <v>0</v>
      </c>
      <c r="ER183" s="419" t="b">
        <f>AND(SnapshotTable[[#This Row],[SC Is Booked]], NOT(ISBLANK(SnapshotTable[[#This Row],[SC Fill Date]])))</f>
        <v>0</v>
      </c>
      <c r="ES183" s="370"/>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3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283"/>
      <c r="FA183" s="218"/>
      <c r="FB183" s="370"/>
      <c r="FC183" s="4">
        <f>IF(SnapshotTable[[#This Row],[SC Is Filled]], btc_max_buyback_amount(SnapshotTable[[#This Row],[SC Fill Date]],SnapshotTable[[#This Row],[SC Exp Date]], SnapshotTable[[#This Row],[SC Book Price]]),0)</f>
        <v>0</v>
      </c>
      <c r="FD183" s="5"/>
      <c r="FE183" s="144"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382">
        <f>IF(SnapshotTable[[#This Row],[SC Is Filled]], IF(ISNUMBER(SnapshotTable[[#This Row],[SC Current Ask]]), SnapshotTable[[#This Row],[SC Current Ask]], SnapshotTable[[#This Row],[SC Book Price]]) - SnapshotTable[[#This Row],[SC Intrinsic Value]], 0)</f>
        <v>0</v>
      </c>
      <c r="FI183" s="143"/>
      <c r="FJ183" s="32" t="str">
        <f>IF(SnapshotTable[[#This Row],[SC Is Filled]],100 * SnapshotTable[[#This Row],[SC Qty]] * IF(ISNUMBER(SnapshotTable[[#This Row],[SC Buyback Override]]), SnapshotTable[[#This Row],[SC Buyback Override]], SnapshotTable[[#This Row],[SC Current Ask]]), "")</f>
        <v/>
      </c>
      <c r="FK183" s="250" t="str">
        <f>IF(SnapshotTable[[#This Row],[SC Time Val]]&gt;0, SnapshotTable[[#This Row],[SC Time Val]] / SnapshotTable[[#This Row],[Last Price]],"")</f>
        <v/>
      </c>
      <c r="FL183" s="302" t="str">
        <f>IF(SnapshotTable[[#This Row],[SC Is Booked]], ((SnapshotTable[[#This Row],[Last Price]] -SnapshotTable[[#This Row],[SC Strike Price]]) / SnapshotTable[[#This Row],[Last Price]]) * -1, "")</f>
        <v/>
      </c>
      <c r="FM183" s="157"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33"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36" t="str">
        <f>IF(AND(ISNUMBER(SnapshotTable[[#This Row],[SC Simple ROO]]),SnapshotTable[[#This Row],[SC Simple ROO]] &gt; 0), SnapshotTable[[#This Row],[SC Premium]] + (SnapshotTable[[#This Row],[SC Qty]] * SnapshotTable[[#This Row],[SC Upside Potential]]), "")</f>
        <v/>
      </c>
      <c r="FX183" s="302" t="str" cm="1">
        <f t="array" ref="FX183">IF(ISNUMBER(SnapshotTable[[#This Row],[SC Max Dollars]]), annualize(SnapshotTable[[#This Row],[SC Term]],(SnapshotTable[[#This Row],[SC Max Dollars]]/SnapshotTable[[#This Row],[SC Basis]])),"")</f>
        <v/>
      </c>
      <c r="FY183" s="23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29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75.563000000000002</v>
      </c>
      <c r="GD183" s="40">
        <f>SnapshotTable[[#This Row],[Last Price]] * (1+ SellingPriceToConsiderBasedOnTargetPercentage)</f>
        <v>174.33</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710</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31">
        <f>MAX(SnapshotTable[[#This Row],[Equity Basis Total]],SnapshotTable[[#This Row],[Equity Value]]) + (SnapshotTable[[#This Row],[SP Potential Spend]]- SnapshotTable[[#This Row],[SP Premium]] + SnapshotTable[[#This Row],[LP Premium]])+ (SnapshotTable[[#This Row],[LC Premium]] - SnapshotTable[[#This Row],[SC Premium]])</f>
        <v>0</v>
      </c>
      <c r="GW183" s="139" t="str">
        <f>IF(AND(SnapshotTable[[#This Row],[Exposure]] &lt;&gt; 0),SnapshotTable[[#This Row],[Exposure]] / SnapshotTable[[#Totals],[Exposure]], "")</f>
        <v/>
      </c>
      <c r="HE183" s="268"/>
      <c r="HF183" s="268"/>
      <c r="HK183" s="1"/>
      <c r="HL183" s="1"/>
      <c r="HM183" s="1"/>
      <c r="HN183" s="1"/>
      <c r="HO183" s="1"/>
      <c r="HP183" s="1"/>
    </row>
    <row r="184" spans="2:224" ht="12.75" hidden="1" customHeight="1" x14ac:dyDescent="0.25">
      <c r="B184" s="12" t="s">
        <v>1187</v>
      </c>
      <c r="C184" s="422">
        <v>76.680000000000007</v>
      </c>
      <c r="D184" s="208"/>
      <c r="E184" s="39">
        <f>SnapshotTable[[#This Row],[Last Price]]*(1 -CrashDiscount)</f>
        <v>65.177999999999997</v>
      </c>
      <c r="F184" s="26" t="s">
        <v>5</v>
      </c>
      <c r="G184" s="26" t="s">
        <v>4</v>
      </c>
      <c r="H184" s="149"/>
      <c r="I184" s="194"/>
      <c r="J184" s="195"/>
      <c r="K184" s="196"/>
      <c r="L184" s="326"/>
      <c r="M184" s="140"/>
      <c r="N184" s="140"/>
      <c r="O184" s="140"/>
      <c r="P184" s="22"/>
      <c r="Q184" s="25"/>
      <c r="R184" s="4" t="str">
        <f>IF(SnapshotTable[[#This Row],[Equity Basis Total]] &gt; 0, SnapshotTable[[#This Row],[Equity Basis Total]] / SnapshotTable[[#This Row],[Equity Shares]], "")</f>
        <v/>
      </c>
      <c r="S184" s="269">
        <f>SnapshotTable[[#This Row],[Last Price]] * SnapshotTable[[#This Row],[Equity Shares]]</f>
        <v>0</v>
      </c>
      <c r="T184" s="269">
        <f>SnapshotTable[[#This Row],[Equity Value]] - SnapshotTable[[#This Row],[Equity Basis Total]]</f>
        <v>0</v>
      </c>
      <c r="U184" s="270" t="str">
        <f>IF(SnapshotTable[[#This Row],[Equity Basis Total]] &gt; 0, SnapshotTable[[#This Row],[Equity G/L]] / SnapshotTable[[#This Row],[Equity Basis Total]], "")</f>
        <v/>
      </c>
      <c r="V184" s="268"/>
      <c r="W184" s="26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7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0"/>
      <c r="AD184" s="151"/>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1"/>
      <c r="AI184" s="5"/>
      <c r="AJ184" s="138"/>
      <c r="AK184" s="152" t="str">
        <f>IF(ISNUMBER( SnapshotTable[[#This Row],[EBF Target]]),(SnapshotTable[[#This Row],[EBF Target]] - SnapshotTable[[#This Row],[Last Price]]) / SnapshotTable[[#This Row],[Last Price]], "")</f>
        <v/>
      </c>
      <c r="AL184" s="152"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2" t="str">
        <f>IF(AND(ISNUMBER( SnapshotTable[[#This Row],[Long Term Target]]), ISNUMBER(SnapshotTable[[#This Row],[Last Price]])),(SnapshotTable[[#This Row],[Long Term Target]] - SnapshotTable[[#This Row],[Last Price]]) / SnapshotTable[[#This Row],[Last Price]], "")</f>
        <v/>
      </c>
      <c r="AP184" s="5">
        <v>37</v>
      </c>
      <c r="AQ184" s="38" t="s">
        <v>46</v>
      </c>
      <c r="AR184" s="5">
        <v>37</v>
      </c>
      <c r="AS184" s="38" t="s">
        <v>45</v>
      </c>
      <c r="AT184" s="146" t="s">
        <v>575</v>
      </c>
      <c r="AU184" s="187" t="str">
        <f>IF(OR(SnapshotTable[[#This Row],[LP No Fill]]="Y",SnapshotTable[[#This Row],[SP Is Filled]],SnapshotTable[[#This Row],[LC Not Filled]]="Y",SnapshotTable[[#This Row],[SC Is Filled]]),"Y","")</f>
        <v/>
      </c>
      <c r="AV184" s="219"/>
      <c r="AW184" s="225"/>
      <c r="AX184" s="220"/>
      <c r="AY184" s="219" t="str">
        <f>IF(SnapshotTable[[#This Row],[Implied Move]]&gt;0, SnapshotTable[[#This Row],[Last Price]]-SnapshotTable[[#This Row],[Implied Move]],"")</f>
        <v/>
      </c>
      <c r="AZ184" s="219" t="str">
        <f>IF(SnapshotTable[[#This Row],[Implied Move]]&gt;0, SnapshotTable[[#This Row],[Last Price]] + SnapshotTable[[#This Row],[Implied Move]],"")</f>
        <v/>
      </c>
      <c r="BA184" s="331">
        <v>61.48</v>
      </c>
      <c r="BB184" s="347"/>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51"/>
      <c r="BE184" s="5"/>
      <c r="BF184" s="14"/>
      <c r="BG184" s="13"/>
      <c r="BH184" s="13"/>
      <c r="BI184" s="5"/>
      <c r="BJ184" s="136">
        <f>IF(SnapshotTable[[#This Row],[LP Qty]] &gt; 0, SnapshotTable[[#This Row],[LP Qty]] * SnapshotTable[[#This Row],[LP Book Price]] * 100,0)</f>
        <v>0</v>
      </c>
      <c r="BK184" s="136">
        <f>IF(SnapshotTable[[#This Row],[LP Premium]] &gt; 0, SnapshotTable[[#This Row],[LP Qty]] * SnapshotTable[[#This Row],[LP Strike Price]] * 100,0)</f>
        <v>0</v>
      </c>
      <c r="BL184" s="154"/>
      <c r="BM184" s="385" t="str">
        <f>IF(SnapshotTable[[#This Row],[LP Premium]] &gt; 0,SnapshotTable[[#This Row],[LP Exp Date]]-MAX(SnapshotTable[[#This Row],[LP Book Date]], SnapshotTable[[#This Row],[LP Fill Date]]),"")</f>
        <v/>
      </c>
      <c r="BN184" s="385" t="str">
        <f>IF(ISNUMBER( SnapshotTable[[#This Row],[LP Term]]), SnapshotTable[[#This Row],[LP Exp Date]] - MockToday,"")</f>
        <v/>
      </c>
      <c r="BO184" s="163"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7"/>
      <c r="BU184" s="13"/>
      <c r="BV184" s="5"/>
      <c r="BW184" s="419" t="b">
        <f>AND(ISNUMBER(SnapshotTable[[#This Row],[SP Exp Date]]), ISNUMBER(SnapshotTable[[#This Row],[SP Strike Price]]), ISNUMBER(SnapshotTable[[#This Row],[SP Qty]]), ISNUMBER(SnapshotTable[[#This Row],[SP Book Date]]), ISNUMBER(SnapshotTable[[#This Row],[SP Book Price]]))</f>
        <v>0</v>
      </c>
      <c r="BX184" s="419" t="b">
        <f>AND(SnapshotTable[[#This Row],[SP Is Booked]], NOT(ISBLANK(SnapshotTable[[#This Row],[SP Fill Date]])))</f>
        <v>0</v>
      </c>
      <c r="BY184" s="33">
        <f>IF(SnapshotTable[[#This Row],[SP Is Booked]], SnapshotTable[[#This Row],[SP Qty]] * SnapshotTable[[#This Row],[SP Book Price]] * 100, 0)</f>
        <v>0</v>
      </c>
      <c r="BZ184" s="369"/>
      <c r="CA184" s="368">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3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44"/>
      <c r="CK184" s="31">
        <f>IF(ISNUMBER(SnapshotTable[[#This Row],[SP Potential Spend]]),IF(ISNUMBER(SnapshotTable[[#This Row],[SP POW]]), SnapshotTable[[#This Row],[SP POW]] * SnapshotTable[[#This Row],[SP Potential Spend]], SnapshotTable[[#This Row],[SP Potential Spend]]), "")</f>
        <v>0</v>
      </c>
      <c r="CL184" s="164">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18"/>
      <c r="CO184" s="369"/>
      <c r="CP184" s="4" t="str">
        <f>IF(SnapshotTable[[#This Row],[SP Is Filled]], btc_max_buyback_amount(SnapshotTable[[#This Row],[SP Fill Date]],SnapshotTable[[#This Row],[SP Exp Date]], SnapshotTable[[#This Row],[SP Book Price]]),"")</f>
        <v/>
      </c>
      <c r="CQ184" s="78"/>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5" t="str">
        <f>IF(SnapshotTable[[#This Row],[SP Is Filled]], btc_next_cutoff_date(SnapshotTable[[#This Row],[SP Fill Date]],SnapshotTable[[#This Row],[SP Exp Date]]),"")</f>
        <v/>
      </c>
      <c r="CT184" s="23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56"/>
      <c r="CV184" s="235"/>
      <c r="CW184" s="378"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294" t="str">
        <f>IF(ISNUMBER((SnapshotTable[[#This Row],[SP Total Value]])), SnapshotTable[[#This Row],[SP Gain Loss]] / SnapshotTable[[#This Row],[SP Premium]], "")</f>
        <v/>
      </c>
      <c r="DI184" s="406"/>
      <c r="DJ184" s="138"/>
      <c r="DK184" s="148"/>
      <c r="DL184" s="13"/>
      <c r="DM184" s="13"/>
      <c r="DO184" s="31">
        <f>IF(SnapshotTable[[#This Row],[LC Symbol Count]]=1, SnapshotTable[[#This Row],[LC Qty]] * SnapshotTable[[#This Row],[LC Book Price]] * 100, 0)</f>
        <v>0</v>
      </c>
      <c r="DP184" s="163" t="str">
        <f>IF(AND(SnapshotTable[[#This Row],[LC Exp Date]]&gt;0, SnapshotTable[[#This Row],[LC Strike Price]]&gt;0,SnapshotTable[[#This Row],[LC Qty]]&gt;0,SnapshotTable[[#This Row],[LC Book Date]]&gt;0,SnapshotTable[[#This Row],[LC Book Price]]&gt;0,SnapshotTable[[#This Row],[LC Fill Date]]=0),"Y","")</f>
        <v/>
      </c>
      <c r="DQ184" s="386" t="str">
        <f>IF(SnapshotTable[[#This Row],[LC Premium]] &gt; 0,SnapshotTable[[#This Row],[LC Exp Date]]-MAX(SnapshotTable[[#This Row],[LC Book Date]], SnapshotTable[[#This Row],[LC Fill Date]]),"")</f>
        <v/>
      </c>
      <c r="DR184" s="386" t="str">
        <f>IF(ISNUMBER(SnapshotTable[[#This Row],[LC Term]]), SnapshotTable[[#This Row],[LC Exp Date]] - MockToday, "")</f>
        <v/>
      </c>
      <c r="DS184" s="23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40" t="str">
        <f>IF(ISNUMBER(SnapshotTable[[#This Row],[LC Actual Gain Loss]]), SnapshotTable[[#This Row],[LC Actual Gain Loss]] / SnapshotTable[[#This Row],[LC Premium]],"")</f>
        <v/>
      </c>
      <c r="DX184" s="284" t="str">
        <f>IF(ISNUMBER(SnapshotTable[[#This Row],[LC Book Price]]),SnapshotTable[[#This Row],[LC Book Price]] * 1.5,"")</f>
        <v/>
      </c>
      <c r="DY184" s="265" t="str">
        <f>IF(SnapshotTable[[#This Row],[LC Premium]]&gt;0, SnapshotTable[[#This Row],[LC Next Target]] * SnapshotTable[[#This Row],[LC Qty]] * 100,"")</f>
        <v/>
      </c>
      <c r="DZ184" s="265" t="str">
        <f>IF(ISNUMBER(SnapshotTable[[#This Row],[LC Target Gross]]), SnapshotTable[[#This Row],[LC Target Gross]] - SnapshotTable[[#This Row],[LC Premium]], "")</f>
        <v/>
      </c>
      <c r="EA184" s="305" t="str">
        <f>IF(ISNUMBER(SnapshotTable[[#This Row],[LC Target Gain Loss]]), SnapshotTable[[#This Row],[LC Target Gain Loss]]/SnapshotTable[[#This Row],[LC Premium]], "")</f>
        <v/>
      </c>
      <c r="EB184" s="262"/>
      <c r="EC184" s="283" t="str">
        <f>IF(SnapshotTable[[#This Row],[LC Premium]]&gt;0, SnapshotTable[[#This Row],[LC Book Price]] * (1 - LC_StopLoss_Pct),"")</f>
        <v/>
      </c>
      <c r="ED184" s="284"/>
      <c r="EE184" s="28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4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7"/>
      <c r="EL184" s="138"/>
      <c r="EM184" s="148"/>
      <c r="EN184" s="147"/>
      <c r="EO184" s="147"/>
      <c r="EP184" s="138"/>
      <c r="EQ184" s="419" t="b">
        <f>AND(ISNUMBER(SnapshotTable[[#This Row],[SC Exp Date]]), ISNUMBER(SnapshotTable[[#This Row],[SC Strike Price]]), ISNUMBER(SnapshotTable[[#This Row],[SC Qty]]), ISNUMBER(SnapshotTable[[#This Row],[SC Book Date]]), ISNUMBER(SnapshotTable[[#This Row],[SC Book Price]]))</f>
        <v>0</v>
      </c>
      <c r="ER184" s="419" t="b">
        <f>AND(SnapshotTable[[#This Row],[SC Is Booked]], NOT(ISBLANK(SnapshotTable[[#This Row],[SC Fill Date]])))</f>
        <v>0</v>
      </c>
      <c r="ES184" s="370">
        <v>0.75</v>
      </c>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3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283"/>
      <c r="FA184" s="218"/>
      <c r="FB184" s="370"/>
      <c r="FC184" s="4">
        <f>IF(SnapshotTable[[#This Row],[SC Is Filled]], btc_max_buyback_amount(SnapshotTable[[#This Row],[SC Fill Date]],SnapshotTable[[#This Row],[SC Exp Date]], SnapshotTable[[#This Row],[SC Book Price]]),0)</f>
        <v>0</v>
      </c>
      <c r="FD184" s="5"/>
      <c r="FE184" s="144"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382">
        <f>IF(SnapshotTable[[#This Row],[SC Is Filled]], IF(ISNUMBER(SnapshotTable[[#This Row],[SC Current Ask]]), SnapshotTable[[#This Row],[SC Current Ask]], SnapshotTable[[#This Row],[SC Book Price]]) - SnapshotTable[[#This Row],[SC Intrinsic Value]], 0)</f>
        <v>0</v>
      </c>
      <c r="FI184" s="143"/>
      <c r="FJ184" s="32" t="str">
        <f>IF(SnapshotTable[[#This Row],[SC Is Filled]],100 * SnapshotTable[[#This Row],[SC Qty]] * IF(ISNUMBER(SnapshotTable[[#This Row],[SC Buyback Override]]), SnapshotTable[[#This Row],[SC Buyback Override]], SnapshotTable[[#This Row],[SC Current Ask]]), "")</f>
        <v/>
      </c>
      <c r="FK184" s="250" t="str">
        <f>IF(SnapshotTable[[#This Row],[SC Time Val]]&gt;0, SnapshotTable[[#This Row],[SC Time Val]] / SnapshotTable[[#This Row],[Last Price]],"")</f>
        <v/>
      </c>
      <c r="FL184" s="302" t="str">
        <f>IF(SnapshotTable[[#This Row],[SC Is Booked]], ((SnapshotTable[[#This Row],[Last Price]] -SnapshotTable[[#This Row],[SC Strike Price]]) / SnapshotTable[[#This Row],[Last Price]]) * -1, "")</f>
        <v/>
      </c>
      <c r="FM184" s="157"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33"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36" t="str">
        <f>IF(AND(ISNUMBER(SnapshotTable[[#This Row],[SC Simple ROO]]),SnapshotTable[[#This Row],[SC Simple ROO]] &gt; 0), SnapshotTable[[#This Row],[SC Premium]] + (SnapshotTable[[#This Row],[SC Qty]] * SnapshotTable[[#This Row],[SC Upside Potential]]), "")</f>
        <v/>
      </c>
      <c r="FX184" s="302" t="str" cm="1">
        <f t="array" ref="FX184">IF(ISNUMBER(SnapshotTable[[#This Row],[SC Max Dollars]]), annualize(SnapshotTable[[#This Row],[SC Term]],(SnapshotTable[[#This Row],[SC Max Dollars]]/SnapshotTable[[#This Row],[SC Basis]])),"")</f>
        <v/>
      </c>
      <c r="FY184" s="23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29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0</v>
      </c>
      <c r="GD184" s="40">
        <f>SnapshotTable[[#This Row],[Last Price]] * (1+ SellingPriceToConsiderBasedOnTargetPercentage)</f>
        <v>149.52600000000001</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31">
        <f>MAX(SnapshotTable[[#This Row],[Equity Basis Total]],SnapshotTable[[#This Row],[Equity Value]]) + (SnapshotTable[[#This Row],[SP Potential Spend]]- SnapshotTable[[#This Row],[SP Premium]] + SnapshotTable[[#This Row],[LP Premium]])+ (SnapshotTable[[#This Row],[LC Premium]] - SnapshotTable[[#This Row],[SC Premium]])</f>
        <v>0</v>
      </c>
      <c r="GW184" s="139" t="str">
        <f>IF(AND(SnapshotTable[[#This Row],[Exposure]] &lt;&gt; 0),SnapshotTable[[#This Row],[Exposure]] / SnapshotTable[[#Totals],[Exposure]], "")</f>
        <v/>
      </c>
      <c r="HE184" s="268"/>
      <c r="HF184" s="268"/>
      <c r="HK184" s="1"/>
      <c r="HL184" s="1"/>
      <c r="HM184" s="1"/>
      <c r="HN184" s="1"/>
      <c r="HO184" s="1"/>
      <c r="HP184" s="1"/>
    </row>
    <row r="185" spans="2:224" ht="12.75" hidden="1" customHeight="1" x14ac:dyDescent="0.25">
      <c r="B185" s="12" t="s">
        <v>193</v>
      </c>
      <c r="C185" s="422">
        <v>341.19</v>
      </c>
      <c r="D185" s="208" t="s">
        <v>258</v>
      </c>
      <c r="E185" s="39">
        <f>SnapshotTable[[#This Row],[Last Price]]*(1 -CrashDiscount)</f>
        <v>290.01150000000001</v>
      </c>
      <c r="F185" s="26" t="s">
        <v>1005</v>
      </c>
      <c r="G185" s="26" t="s">
        <v>872</v>
      </c>
      <c r="H185" s="149"/>
      <c r="I185" s="194">
        <v>44859.263888888891</v>
      </c>
      <c r="J185" s="195">
        <v>44859.263888888891</v>
      </c>
      <c r="K185" s="196"/>
      <c r="L185" s="326"/>
      <c r="M185" s="140"/>
      <c r="N185" s="140"/>
      <c r="O185" s="140"/>
      <c r="P185" s="22"/>
      <c r="Q185" s="25"/>
      <c r="R185" s="4" t="str">
        <f>IF(SnapshotTable[[#This Row],[Equity Basis Total]] &gt; 0, SnapshotTable[[#This Row],[Equity Basis Total]] / SnapshotTable[[#This Row],[Equity Shares]], "")</f>
        <v/>
      </c>
      <c r="S185" s="269">
        <f>SnapshotTable[[#This Row],[Last Price]] * SnapshotTable[[#This Row],[Equity Shares]]</f>
        <v>0</v>
      </c>
      <c r="T185" s="269">
        <f>SnapshotTable[[#This Row],[Equity Value]] - SnapshotTable[[#This Row],[Equity Basis Total]]</f>
        <v>0</v>
      </c>
      <c r="U185" s="270" t="str">
        <f>IF(SnapshotTable[[#This Row],[Equity Basis Total]] &gt; 0, SnapshotTable[[#This Row],[Equity G/L]] / SnapshotTable[[#This Row],[Equity Basis Total]], "")</f>
        <v/>
      </c>
      <c r="V185" s="268">
        <v>136</v>
      </c>
      <c r="W185" s="268">
        <v>104</v>
      </c>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7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0">
        <v>0.96</v>
      </c>
      <c r="AD185" s="151">
        <v>43033</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2.813681526422228E-3</v>
      </c>
      <c r="AH185" s="151">
        <v>42992</v>
      </c>
      <c r="AI185" s="5">
        <v>21</v>
      </c>
      <c r="AJ185" s="138">
        <v>110.22</v>
      </c>
      <c r="AK185" s="152">
        <f>IF(ISNUMBER( SnapshotTable[[#This Row],[EBF Target]]),(SnapshotTable[[#This Row],[EBF Target]] - SnapshotTable[[#This Row],[Last Price]]) / SnapshotTable[[#This Row],[Last Price]], "")</f>
        <v>-0.93845071660951374</v>
      </c>
      <c r="AL185" s="152"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2">
        <f>IF(AND(ISNUMBER( SnapshotTable[[#This Row],[Long Term Target]]), ISNUMBER(SnapshotTable[[#This Row],[Last Price]])),(SnapshotTable[[#This Row],[Long Term Target]] - SnapshotTable[[#This Row],[Last Price]]) / SnapshotTable[[#This Row],[Last Price]], "")</f>
        <v>-0.67695418974764798</v>
      </c>
      <c r="AP185" s="5"/>
      <c r="AQ185" s="38"/>
      <c r="AR185" s="5"/>
      <c r="AS185" s="38"/>
      <c r="AT185" s="146"/>
      <c r="AU185" s="187" t="str">
        <f>IF(OR(SnapshotTable[[#This Row],[LP No Fill]]="Y",SnapshotTable[[#This Row],[SP Is Filled]],SnapshotTable[[#This Row],[LC Not Filled]]="Y",SnapshotTable[[#This Row],[SC Is Filled]]),"Y","")</f>
        <v/>
      </c>
      <c r="AV185" s="219"/>
      <c r="AW185" s="225"/>
      <c r="AX185" s="220"/>
      <c r="AY185" s="219" t="str">
        <f>IF(SnapshotTable[[#This Row],[Implied Move]]&gt;0, SnapshotTable[[#This Row],[Last Price]]-SnapshotTable[[#This Row],[Implied Move]],"")</f>
        <v/>
      </c>
      <c r="AZ185" s="219" t="str">
        <f>IF(SnapshotTable[[#This Row],[Implied Move]]&gt;0, SnapshotTable[[#This Row],[Last Price]] + SnapshotTable[[#This Row],[Implied Move]],"")</f>
        <v/>
      </c>
      <c r="BA185" s="331">
        <v>93.46</v>
      </c>
      <c r="BB185" s="347"/>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51"/>
      <c r="BE185" s="5"/>
      <c r="BF185" s="14"/>
      <c r="BG185" s="13"/>
      <c r="BH185" s="13"/>
      <c r="BI185" s="5"/>
      <c r="BJ185" s="136">
        <f>IF(SnapshotTable[[#This Row],[LP Qty]] &gt; 0, SnapshotTable[[#This Row],[LP Qty]] * SnapshotTable[[#This Row],[LP Book Price]] * 100,0)</f>
        <v>0</v>
      </c>
      <c r="BK185" s="136">
        <f>IF(SnapshotTable[[#This Row],[LP Premium]] &gt; 0, SnapshotTable[[#This Row],[LP Qty]] * SnapshotTable[[#This Row],[LP Strike Price]] * 100,0)</f>
        <v>0</v>
      </c>
      <c r="BL185" s="154"/>
      <c r="BM185" s="385" t="str">
        <f>IF(SnapshotTable[[#This Row],[LP Premium]] &gt; 0,SnapshotTable[[#This Row],[LP Exp Date]]-MAX(SnapshotTable[[#This Row],[LP Book Date]], SnapshotTable[[#This Row],[LP Fill Date]]),"")</f>
        <v/>
      </c>
      <c r="BN185" s="385" t="str">
        <f>IF(ISNUMBER( SnapshotTable[[#This Row],[LP Term]]), SnapshotTable[[#This Row],[LP Exp Date]] - MockToday,"")</f>
        <v/>
      </c>
      <c r="BO185" s="163"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7"/>
      <c r="BU185" s="13"/>
      <c r="BV185" s="5"/>
      <c r="BW185" s="419" t="b">
        <f>AND(ISNUMBER(SnapshotTable[[#This Row],[SP Exp Date]]), ISNUMBER(SnapshotTable[[#This Row],[SP Strike Price]]), ISNUMBER(SnapshotTable[[#This Row],[SP Qty]]), ISNUMBER(SnapshotTable[[#This Row],[SP Book Date]]), ISNUMBER(SnapshotTable[[#This Row],[SP Book Price]]))</f>
        <v>0</v>
      </c>
      <c r="BX185" s="419" t="b">
        <f>AND(SnapshotTable[[#This Row],[SP Is Booked]], NOT(ISBLANK(SnapshotTable[[#This Row],[SP Fill Date]])))</f>
        <v>0</v>
      </c>
      <c r="BY185" s="33">
        <f>IF(SnapshotTable[[#This Row],[SP Is Booked]], SnapshotTable[[#This Row],[SP Qty]] * SnapshotTable[[#This Row],[SP Book Price]] * 100, 0)</f>
        <v>0</v>
      </c>
      <c r="BZ185" s="369"/>
      <c r="CA185" s="368">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3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44"/>
      <c r="CK185" s="31">
        <f>IF(ISNUMBER(SnapshotTable[[#This Row],[SP Potential Spend]]),IF(ISNUMBER(SnapshotTable[[#This Row],[SP POW]]), SnapshotTable[[#This Row],[SP POW]] * SnapshotTable[[#This Row],[SP Potential Spend]], SnapshotTable[[#This Row],[SP Potential Spend]]), "")</f>
        <v>0</v>
      </c>
      <c r="CL185" s="164">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8"/>
      <c r="CO185" s="369"/>
      <c r="CP185" s="4" t="str">
        <f>IF(SnapshotTable[[#This Row],[SP Is Filled]], btc_max_buyback_amount(SnapshotTable[[#This Row],[SP Fill Date]],SnapshotTable[[#This Row],[SP Exp Date]], SnapshotTable[[#This Row],[SP Book Price]]),"")</f>
        <v/>
      </c>
      <c r="CQ185" s="78"/>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5" t="str">
        <f>IF(SnapshotTable[[#This Row],[SP Is Filled]], btc_next_cutoff_date(SnapshotTable[[#This Row],[SP Fill Date]],SnapshotTable[[#This Row],[SP Exp Date]]),"")</f>
        <v/>
      </c>
      <c r="CT185" s="23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3"/>
      <c r="CV185" s="235"/>
      <c r="CW185" s="378"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294" t="str">
        <f>IF(ISNUMBER((SnapshotTable[[#This Row],[SP Total Value]])), SnapshotTable[[#This Row],[SP Gain Loss]] / SnapshotTable[[#This Row],[SP Premium]], "")</f>
        <v/>
      </c>
      <c r="DI185" s="406"/>
      <c r="DJ185" s="138"/>
      <c r="DK185" s="148"/>
      <c r="DL185" s="13"/>
      <c r="DM185" s="13"/>
      <c r="DO185" s="31">
        <f>IF(SnapshotTable[[#This Row],[LC Symbol Count]]=1, SnapshotTable[[#This Row],[LC Qty]] * SnapshotTable[[#This Row],[LC Book Price]] * 100, 0)</f>
        <v>0</v>
      </c>
      <c r="DP185" s="163" t="str">
        <f>IF(AND(SnapshotTable[[#This Row],[LC Exp Date]]&gt;0, SnapshotTable[[#This Row],[LC Strike Price]]&gt;0,SnapshotTable[[#This Row],[LC Qty]]&gt;0,SnapshotTable[[#This Row],[LC Book Date]]&gt;0,SnapshotTable[[#This Row],[LC Book Price]]&gt;0,SnapshotTable[[#This Row],[LC Fill Date]]=0),"Y","")</f>
        <v/>
      </c>
      <c r="DQ185" s="386" t="str">
        <f>IF(SnapshotTable[[#This Row],[LC Premium]] &gt; 0,SnapshotTable[[#This Row],[LC Exp Date]]-MAX(SnapshotTable[[#This Row],[LC Book Date]], SnapshotTable[[#This Row],[LC Fill Date]]),"")</f>
        <v/>
      </c>
      <c r="DR185" s="386" t="str">
        <f>IF(ISNUMBER(SnapshotTable[[#This Row],[LC Term]]), SnapshotTable[[#This Row],[LC Exp Date]] - MockToday, "")</f>
        <v/>
      </c>
      <c r="DS185" s="23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40" t="str">
        <f>IF(ISNUMBER(SnapshotTable[[#This Row],[LC Actual Gain Loss]]), SnapshotTable[[#This Row],[LC Actual Gain Loss]] / SnapshotTable[[#This Row],[LC Premium]],"")</f>
        <v/>
      </c>
      <c r="DX185" s="284" t="str">
        <f>IF(ISNUMBER(SnapshotTable[[#This Row],[LC Book Price]]),SnapshotTable[[#This Row],[LC Book Price]] * 1.5,"")</f>
        <v/>
      </c>
      <c r="DY185" s="265" t="str">
        <f>IF(SnapshotTable[[#This Row],[LC Premium]]&gt;0, SnapshotTable[[#This Row],[LC Next Target]] * SnapshotTable[[#This Row],[LC Qty]] * 100,"")</f>
        <v/>
      </c>
      <c r="DZ185" s="265" t="str">
        <f>IF(ISNUMBER(SnapshotTable[[#This Row],[LC Target Gross]]), SnapshotTable[[#This Row],[LC Target Gross]] - SnapshotTable[[#This Row],[LC Premium]], "")</f>
        <v/>
      </c>
      <c r="EA185" s="305" t="str">
        <f>IF(ISNUMBER(SnapshotTable[[#This Row],[LC Target Gain Loss]]), SnapshotTable[[#This Row],[LC Target Gain Loss]]/SnapshotTable[[#This Row],[LC Premium]], "")</f>
        <v/>
      </c>
      <c r="EB185" s="262"/>
      <c r="EC185" s="283" t="str">
        <f>IF(SnapshotTable[[#This Row],[LC Premium]]&gt;0, SnapshotTable[[#This Row],[LC Book Price]] * (1 - LC_StopLoss_Pct),"")</f>
        <v/>
      </c>
      <c r="ED185" s="284"/>
      <c r="EE185" s="28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4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7"/>
      <c r="EL185" s="138"/>
      <c r="EM185" s="148"/>
      <c r="EN185" s="147"/>
      <c r="EO185" s="147"/>
      <c r="EP185" s="138"/>
      <c r="EQ185" s="419" t="b">
        <f>AND(ISNUMBER(SnapshotTable[[#This Row],[SC Exp Date]]), ISNUMBER(SnapshotTable[[#This Row],[SC Strike Price]]), ISNUMBER(SnapshotTable[[#This Row],[SC Qty]]), ISNUMBER(SnapshotTable[[#This Row],[SC Book Date]]), ISNUMBER(SnapshotTable[[#This Row],[SC Book Price]]))</f>
        <v>0</v>
      </c>
      <c r="ER185" s="419" t="b">
        <f>AND(SnapshotTable[[#This Row],[SC Is Booked]], NOT(ISBLANK(SnapshotTable[[#This Row],[SC Fill Date]])))</f>
        <v>0</v>
      </c>
      <c r="ES185" s="370"/>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3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283"/>
      <c r="FA185" s="218"/>
      <c r="FB185" s="370"/>
      <c r="FC185" s="4">
        <f>IF(SnapshotTable[[#This Row],[SC Is Filled]], btc_max_buyback_amount(SnapshotTable[[#This Row],[SC Fill Date]],SnapshotTable[[#This Row],[SC Exp Date]], SnapshotTable[[#This Row],[SC Book Price]]),0)</f>
        <v>0</v>
      </c>
      <c r="FD185" s="5"/>
      <c r="FE185" s="144"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382">
        <f>IF(SnapshotTable[[#This Row],[SC Is Filled]], IF(ISNUMBER(SnapshotTable[[#This Row],[SC Current Ask]]), SnapshotTable[[#This Row],[SC Current Ask]], SnapshotTable[[#This Row],[SC Book Price]]) - SnapshotTable[[#This Row],[SC Intrinsic Value]], 0)</f>
        <v>0</v>
      </c>
      <c r="FI185" s="143"/>
      <c r="FJ185" s="32" t="str">
        <f>IF(SnapshotTable[[#This Row],[SC Is Filled]],100 * SnapshotTable[[#This Row],[SC Qty]] * IF(ISNUMBER(SnapshotTable[[#This Row],[SC Buyback Override]]), SnapshotTable[[#This Row],[SC Buyback Override]], SnapshotTable[[#This Row],[SC Current Ask]]), "")</f>
        <v/>
      </c>
      <c r="FK185" s="250" t="str">
        <f>IF(SnapshotTable[[#This Row],[SC Time Val]]&gt;0, SnapshotTable[[#This Row],[SC Time Val]] / SnapshotTable[[#This Row],[Last Price]],"")</f>
        <v/>
      </c>
      <c r="FL185" s="302" t="str">
        <f>IF(SnapshotTable[[#This Row],[SC Is Booked]], ((SnapshotTable[[#This Row],[Last Price]] -SnapshotTable[[#This Row],[SC Strike Price]]) / SnapshotTable[[#This Row],[Last Price]]) * -1, "")</f>
        <v/>
      </c>
      <c r="FM185" s="157"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33"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36" t="str">
        <f>IF(AND(ISNUMBER(SnapshotTable[[#This Row],[SC Simple ROO]]),SnapshotTable[[#This Row],[SC Simple ROO]] &gt; 0), SnapshotTable[[#This Row],[SC Premium]] + (SnapshotTable[[#This Row],[SC Qty]] * SnapshotTable[[#This Row],[SC Upside Potential]]), "")</f>
        <v/>
      </c>
      <c r="FX185" s="302" t="str" cm="1">
        <f t="array" ref="FX185">IF(ISNUMBER(SnapshotTable[[#This Row],[SC Max Dollars]]), annualize(SnapshotTable[[#This Row],[SC Term]],(SnapshotTable[[#This Row],[SC Max Dollars]]/SnapshotTable[[#This Row],[SC Basis]])),"")</f>
        <v/>
      </c>
      <c r="FY185" s="23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29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104.70899999999999</v>
      </c>
      <c r="GD185" s="40">
        <f>SnapshotTable[[#This Row],[Last Price]] * (1+ SellingPriceToConsiderBasedOnTargetPercentage)</f>
        <v>665.32049999999992</v>
      </c>
      <c r="GE185" s="41"/>
      <c r="GF185" s="40">
        <v>26.48</v>
      </c>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711</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31">
        <f>MAX(SnapshotTable[[#This Row],[Equity Basis Total]],SnapshotTable[[#This Row],[Equity Value]]) + (SnapshotTable[[#This Row],[SP Potential Spend]]- SnapshotTable[[#This Row],[SP Premium]] + SnapshotTable[[#This Row],[LP Premium]])+ (SnapshotTable[[#This Row],[LC Premium]] - SnapshotTable[[#This Row],[SC Premium]])</f>
        <v>0</v>
      </c>
      <c r="GW185" s="139" t="str">
        <f>IF(AND(SnapshotTable[[#This Row],[Exposure]] &lt;&gt; 0),SnapshotTable[[#This Row],[Exposure]] / SnapshotTable[[#Totals],[Exposure]], "")</f>
        <v/>
      </c>
      <c r="HE185" s="268"/>
      <c r="HF185" s="268"/>
      <c r="HK185" s="1"/>
      <c r="HL185" s="1"/>
      <c r="HM185" s="1"/>
      <c r="HN185" s="1"/>
      <c r="HO185" s="1"/>
      <c r="HP185" s="1"/>
    </row>
    <row r="186" spans="2:224" ht="12.75" hidden="1" customHeight="1" x14ac:dyDescent="0.25">
      <c r="B186" s="12" t="s">
        <v>1049</v>
      </c>
      <c r="C186" s="422">
        <v>58.49</v>
      </c>
      <c r="D186" s="208" t="s">
        <v>578</v>
      </c>
      <c r="E186" s="39">
        <f>SnapshotTable[[#This Row],[Last Price]]*(1 -CrashDiscount)</f>
        <v>49.716500000000003</v>
      </c>
      <c r="F186" s="26" t="s">
        <v>614</v>
      </c>
      <c r="G186" s="26" t="s">
        <v>9</v>
      </c>
      <c r="H186" s="149"/>
      <c r="I186" s="194">
        <v>44964</v>
      </c>
      <c r="J186" s="195">
        <v>44964</v>
      </c>
      <c r="K186" s="196"/>
      <c r="L186" s="326"/>
      <c r="M186" s="140"/>
      <c r="N186" s="140"/>
      <c r="O186" s="140"/>
      <c r="P186" s="22"/>
      <c r="Q186" s="25"/>
      <c r="R186" s="4" t="str">
        <f>IF(SnapshotTable[[#This Row],[Equity Basis Total]] &gt; 0, SnapshotTable[[#This Row],[Equity Basis Total]] / SnapshotTable[[#This Row],[Equity Shares]], "")</f>
        <v/>
      </c>
      <c r="S186" s="269">
        <f>SnapshotTable[[#This Row],[Last Price]] * SnapshotTable[[#This Row],[Equity Shares]]</f>
        <v>0</v>
      </c>
      <c r="T186" s="269">
        <f>SnapshotTable[[#This Row],[Equity Value]] - SnapshotTable[[#This Row],[Equity Basis Total]]</f>
        <v>0</v>
      </c>
      <c r="U186" s="270" t="str">
        <f>IF(SnapshotTable[[#This Row],[Equity Basis Total]] &gt; 0, SnapshotTable[[#This Row],[Equity G/L]] / SnapshotTable[[#This Row],[Equity Basis Total]], "")</f>
        <v/>
      </c>
      <c r="V186" s="268"/>
      <c r="W186" s="26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7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0"/>
      <c r="AD186" s="151"/>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1"/>
      <c r="AI186" s="5"/>
      <c r="AJ186" s="138">
        <v>68.930000000000007</v>
      </c>
      <c r="AK186" s="152" t="str">
        <f>IF(ISNUMBER( SnapshotTable[[#This Row],[EBF Target]]),(SnapshotTable[[#This Row],[EBF Target]] - SnapshotTable[[#This Row],[Last Price]]) / SnapshotTable[[#This Row],[Last Price]], "")</f>
        <v/>
      </c>
      <c r="AL186" s="152"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2">
        <f>IF(AND(ISNUMBER( SnapshotTable[[#This Row],[Long Term Target]]), ISNUMBER(SnapshotTable[[#This Row],[Last Price]])),(SnapshotTable[[#This Row],[Long Term Target]] - SnapshotTable[[#This Row],[Last Price]]) / SnapshotTable[[#This Row],[Last Price]], "")</f>
        <v>0.17849204992306386</v>
      </c>
      <c r="AP186" s="5">
        <v>70</v>
      </c>
      <c r="AQ186" s="38" t="s">
        <v>27</v>
      </c>
      <c r="AR186" s="5">
        <v>70</v>
      </c>
      <c r="AS186" s="38" t="s">
        <v>38</v>
      </c>
      <c r="AT186" s="146" t="s">
        <v>542</v>
      </c>
      <c r="AU186" s="187" t="str">
        <f>IF(OR(SnapshotTable[[#This Row],[LP No Fill]]="Y",SnapshotTable[[#This Row],[SP Is Filled]],SnapshotTable[[#This Row],[LC Not Filled]]="Y",SnapshotTable[[#This Row],[SC Is Filled]]),"Y","")</f>
        <v/>
      </c>
      <c r="AV186" s="219"/>
      <c r="AW186" s="225"/>
      <c r="AX186" s="220"/>
      <c r="AY186" s="219" t="str">
        <f>IF(SnapshotTable[[#This Row],[Implied Move]]&gt;0, SnapshotTable[[#This Row],[Last Price]]-SnapshotTable[[#This Row],[Implied Move]],"")</f>
        <v/>
      </c>
      <c r="AZ186" s="219" t="str">
        <f>IF(SnapshotTable[[#This Row],[Implied Move]]&gt;0, SnapshotTable[[#This Row],[Last Price]] + SnapshotTable[[#This Row],[Implied Move]],"")</f>
        <v/>
      </c>
      <c r="BA186" s="331">
        <v>51.86</v>
      </c>
      <c r="BB186" s="347"/>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51"/>
      <c r="BE186" s="5"/>
      <c r="BF186" s="14"/>
      <c r="BG186" s="13"/>
      <c r="BH186" s="13"/>
      <c r="BI186" s="5"/>
      <c r="BJ186" s="136">
        <f>IF(SnapshotTable[[#This Row],[LP Qty]] &gt; 0, SnapshotTable[[#This Row],[LP Qty]] * SnapshotTable[[#This Row],[LP Book Price]] * 100,0)</f>
        <v>0</v>
      </c>
      <c r="BK186" s="136">
        <f>IF(SnapshotTable[[#This Row],[LP Premium]] &gt; 0, SnapshotTable[[#This Row],[LP Qty]] * SnapshotTable[[#This Row],[LP Strike Price]] * 100,0)</f>
        <v>0</v>
      </c>
      <c r="BL186" s="154"/>
      <c r="BM186" s="385" t="str">
        <f>IF(SnapshotTable[[#This Row],[LP Premium]] &gt; 0,SnapshotTable[[#This Row],[LP Exp Date]]-MAX(SnapshotTable[[#This Row],[LP Book Date]], SnapshotTable[[#This Row],[LP Fill Date]]),"")</f>
        <v/>
      </c>
      <c r="BN186" s="385" t="str">
        <f>IF(ISNUMBER( SnapshotTable[[#This Row],[LP Term]]), SnapshotTable[[#This Row],[LP Exp Date]] - MockToday,"")</f>
        <v/>
      </c>
      <c r="BO186" s="163"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7"/>
      <c r="BU186" s="13"/>
      <c r="BV186" s="5"/>
      <c r="BW186" s="419" t="b">
        <f>AND(ISNUMBER(SnapshotTable[[#This Row],[SP Exp Date]]), ISNUMBER(SnapshotTable[[#This Row],[SP Strike Price]]), ISNUMBER(SnapshotTable[[#This Row],[SP Qty]]), ISNUMBER(SnapshotTable[[#This Row],[SP Book Date]]), ISNUMBER(SnapshotTable[[#This Row],[SP Book Price]]))</f>
        <v>0</v>
      </c>
      <c r="BX186" s="419" t="b">
        <f>AND(SnapshotTable[[#This Row],[SP Is Booked]], NOT(ISBLANK(SnapshotTable[[#This Row],[SP Fill Date]])))</f>
        <v>0</v>
      </c>
      <c r="BY186" s="33">
        <f>IF(SnapshotTable[[#This Row],[SP Is Booked]], SnapshotTable[[#This Row],[SP Qty]] * SnapshotTable[[#This Row],[SP Book Price]] * 100, 0)</f>
        <v>0</v>
      </c>
      <c r="BZ186" s="369"/>
      <c r="CA186" s="368">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3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44"/>
      <c r="CK186" s="31">
        <f>IF(ISNUMBER(SnapshotTable[[#This Row],[SP Potential Spend]]),IF(ISNUMBER(SnapshotTable[[#This Row],[SP POW]]), SnapshotTable[[#This Row],[SP POW]] * SnapshotTable[[#This Row],[SP Potential Spend]], SnapshotTable[[#This Row],[SP Potential Spend]]), "")</f>
        <v>0</v>
      </c>
      <c r="CL186" s="164">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78"/>
      <c r="CO186" s="369"/>
      <c r="CP186" s="4" t="str">
        <f>IF(SnapshotTable[[#This Row],[SP Is Filled]], btc_max_buyback_amount(SnapshotTable[[#This Row],[SP Fill Date]],SnapshotTable[[#This Row],[SP Exp Date]], SnapshotTable[[#This Row],[SP Book Price]]),"")</f>
        <v/>
      </c>
      <c r="CQ186" s="78"/>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5" t="str">
        <f>IF(SnapshotTable[[#This Row],[SP Is Filled]], btc_next_cutoff_date(SnapshotTable[[#This Row],[SP Fill Date]],SnapshotTable[[#This Row],[SP Exp Date]]),"")</f>
        <v/>
      </c>
      <c r="CT186" s="23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43"/>
      <c r="CV186" s="235"/>
      <c r="CW186" s="378"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294" t="str">
        <f>IF(ISNUMBER((SnapshotTable[[#This Row],[SP Total Value]])), SnapshotTable[[#This Row],[SP Gain Loss]] / SnapshotTable[[#This Row],[SP Premium]], "")</f>
        <v/>
      </c>
      <c r="DI186" s="406"/>
      <c r="DJ186" s="138"/>
      <c r="DK186" s="148"/>
      <c r="DL186" s="147"/>
      <c r="DM186" s="147"/>
      <c r="DO186" s="31">
        <f>IF(SnapshotTable[[#This Row],[LC Symbol Count]]=1, SnapshotTable[[#This Row],[LC Qty]] * SnapshotTable[[#This Row],[LC Book Price]] * 100, 0)</f>
        <v>0</v>
      </c>
      <c r="DP186" s="163" t="str">
        <f>IF(AND(SnapshotTable[[#This Row],[LC Exp Date]]&gt;0, SnapshotTable[[#This Row],[LC Strike Price]]&gt;0,SnapshotTable[[#This Row],[LC Qty]]&gt;0,SnapshotTable[[#This Row],[LC Book Date]]&gt;0,SnapshotTable[[#This Row],[LC Book Price]]&gt;0,SnapshotTable[[#This Row],[LC Fill Date]]=0),"Y","")</f>
        <v/>
      </c>
      <c r="DQ186" s="386" t="str">
        <f>IF(SnapshotTable[[#This Row],[LC Premium]] &gt; 0,SnapshotTable[[#This Row],[LC Exp Date]]-MAX(SnapshotTable[[#This Row],[LC Book Date]], SnapshotTable[[#This Row],[LC Fill Date]]),"")</f>
        <v/>
      </c>
      <c r="DR186" s="386" t="str">
        <f>IF(ISNUMBER(SnapshotTable[[#This Row],[LC Term]]), SnapshotTable[[#This Row],[LC Exp Date]] - MockToday, "")</f>
        <v/>
      </c>
      <c r="DS186" s="23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40" t="str">
        <f>IF(ISNUMBER(SnapshotTable[[#This Row],[LC Actual Gain Loss]]), SnapshotTable[[#This Row],[LC Actual Gain Loss]] / SnapshotTable[[#This Row],[LC Premium]],"")</f>
        <v/>
      </c>
      <c r="DX186" s="284" t="str">
        <f>IF(ISNUMBER(SnapshotTable[[#This Row],[LC Book Price]]),SnapshotTable[[#This Row],[LC Book Price]] * 1.5,"")</f>
        <v/>
      </c>
      <c r="DY186" s="265" t="str">
        <f>IF(SnapshotTable[[#This Row],[LC Premium]]&gt;0, SnapshotTable[[#This Row],[LC Next Target]] * SnapshotTable[[#This Row],[LC Qty]] * 100,"")</f>
        <v/>
      </c>
      <c r="DZ186" s="265" t="str">
        <f>IF(ISNUMBER(SnapshotTable[[#This Row],[LC Target Gross]]), SnapshotTable[[#This Row],[LC Target Gross]] - SnapshotTable[[#This Row],[LC Premium]], "")</f>
        <v/>
      </c>
      <c r="EA186" s="305" t="str">
        <f>IF(ISNUMBER(SnapshotTable[[#This Row],[LC Target Gain Loss]]), SnapshotTable[[#This Row],[LC Target Gain Loss]]/SnapshotTable[[#This Row],[LC Premium]], "")</f>
        <v/>
      </c>
      <c r="EB186" s="262"/>
      <c r="EC186" s="283" t="str">
        <f>IF(SnapshotTable[[#This Row],[LC Premium]]&gt;0, SnapshotTable[[#This Row],[LC Book Price]] * (1 - LC_StopLoss_Pct),"")</f>
        <v/>
      </c>
      <c r="ED186" s="284"/>
      <c r="EE186" s="28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4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7"/>
      <c r="EL186" s="138"/>
      <c r="EM186" s="148"/>
      <c r="EN186" s="147"/>
      <c r="EO186" s="147"/>
      <c r="EP186" s="138"/>
      <c r="EQ186" s="419" t="b">
        <f>AND(ISNUMBER(SnapshotTable[[#This Row],[SC Exp Date]]), ISNUMBER(SnapshotTable[[#This Row],[SC Strike Price]]), ISNUMBER(SnapshotTable[[#This Row],[SC Qty]]), ISNUMBER(SnapshotTable[[#This Row],[SC Book Date]]), ISNUMBER(SnapshotTable[[#This Row],[SC Book Price]]))</f>
        <v>0</v>
      </c>
      <c r="ER186" s="419" t="b">
        <f>AND(SnapshotTable[[#This Row],[SC Is Booked]], NOT(ISBLANK(SnapshotTable[[#This Row],[SC Fill Date]])))</f>
        <v>0</v>
      </c>
      <c r="ES186" s="370"/>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3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283"/>
      <c r="FA186" s="218"/>
      <c r="FB186" s="370"/>
      <c r="FC186" s="4">
        <f>IF(SnapshotTable[[#This Row],[SC Is Filled]], btc_max_buyback_amount(SnapshotTable[[#This Row],[SC Fill Date]],SnapshotTable[[#This Row],[SC Exp Date]], SnapshotTable[[#This Row],[SC Book Price]]),0)</f>
        <v>0</v>
      </c>
      <c r="FD186" s="5"/>
      <c r="FE186" s="144"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382">
        <f>IF(SnapshotTable[[#This Row],[SC Is Filled]], IF(ISNUMBER(SnapshotTable[[#This Row],[SC Current Ask]]), SnapshotTable[[#This Row],[SC Current Ask]], SnapshotTable[[#This Row],[SC Book Price]]) - SnapshotTable[[#This Row],[SC Intrinsic Value]], 0)</f>
        <v>0</v>
      </c>
      <c r="FI186" s="143"/>
      <c r="FJ186" s="32" t="str">
        <f>IF(SnapshotTable[[#This Row],[SC Is Filled]],100 * SnapshotTable[[#This Row],[SC Qty]] * IF(ISNUMBER(SnapshotTable[[#This Row],[SC Buyback Override]]), SnapshotTable[[#This Row],[SC Buyback Override]], SnapshotTable[[#This Row],[SC Current Ask]]), "")</f>
        <v/>
      </c>
      <c r="FK186" s="250" t="str">
        <f>IF(SnapshotTable[[#This Row],[SC Time Val]]&gt;0, SnapshotTable[[#This Row],[SC Time Val]] / SnapshotTable[[#This Row],[Last Price]],"")</f>
        <v/>
      </c>
      <c r="FL186" s="302" t="str">
        <f>IF(SnapshotTable[[#This Row],[SC Is Booked]], ((SnapshotTable[[#This Row],[Last Price]] -SnapshotTable[[#This Row],[SC Strike Price]]) / SnapshotTable[[#This Row],[Last Price]]) * -1, "")</f>
        <v/>
      </c>
      <c r="FM186" s="157"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33"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36" t="str">
        <f>IF(AND(ISNUMBER(SnapshotTable[[#This Row],[SC Simple ROO]]),SnapshotTable[[#This Row],[SC Simple ROO]] &gt; 0), SnapshotTable[[#This Row],[SC Premium]] + (SnapshotTable[[#This Row],[SC Qty]] * SnapshotTable[[#This Row],[SC Upside Potential]]), "")</f>
        <v/>
      </c>
      <c r="FX186" s="302" t="str" cm="1">
        <f t="array" ref="FX186">IF(ISNUMBER(SnapshotTable[[#This Row],[SC Max Dollars]]), annualize(SnapshotTable[[#This Row],[SC Term]],(SnapshotTable[[#This Row],[SC Max Dollars]]/SnapshotTable[[#This Row],[SC Basis]])),"")</f>
        <v/>
      </c>
      <c r="FY186" s="23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29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65.483500000000006</v>
      </c>
      <c r="GD186" s="40">
        <f>SnapshotTable[[#This Row],[Last Price]] * (1+ SellingPriceToConsiderBasedOnTargetPercentage)</f>
        <v>114.05549999999999</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t="s">
        <v>1050</v>
      </c>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31">
        <f>MAX(SnapshotTable[[#This Row],[Equity Basis Total]],SnapshotTable[[#This Row],[Equity Value]]) + (SnapshotTable[[#This Row],[SP Potential Spend]]- SnapshotTable[[#This Row],[SP Premium]] + SnapshotTable[[#This Row],[LP Premium]])+ (SnapshotTable[[#This Row],[LC Premium]] - SnapshotTable[[#This Row],[SC Premium]])</f>
        <v>0</v>
      </c>
      <c r="GW186" s="139" t="str">
        <f>IF(AND(SnapshotTable[[#This Row],[Exposure]] &lt;&gt; 0),SnapshotTable[[#This Row],[Exposure]] / SnapshotTable[[#Totals],[Exposure]], "")</f>
        <v/>
      </c>
      <c r="HE186" s="268"/>
      <c r="HF186" s="268"/>
      <c r="HK186" s="1"/>
      <c r="HL186" s="1"/>
      <c r="HM186" s="1"/>
      <c r="HN186" s="1"/>
      <c r="HO186" s="1"/>
      <c r="HP186" s="1"/>
    </row>
    <row r="187" spans="2:224" ht="12.75" hidden="1" customHeight="1" x14ac:dyDescent="0.25">
      <c r="B187" s="12" t="s">
        <v>534</v>
      </c>
      <c r="C187" s="422">
        <v>150.75</v>
      </c>
      <c r="D187" s="208"/>
      <c r="E187" s="39">
        <f>SnapshotTable[[#This Row],[Last Price]]*(1 -CrashDiscount)</f>
        <v>128.13749999999999</v>
      </c>
      <c r="F187" s="26" t="s">
        <v>107</v>
      </c>
      <c r="G187" s="26" t="s">
        <v>49</v>
      </c>
      <c r="H187" s="149"/>
      <c r="I187" s="194">
        <v>44777.670138888891</v>
      </c>
      <c r="J187" s="195">
        <v>44777.670138888891</v>
      </c>
      <c r="K187" s="196"/>
      <c r="L187" s="326"/>
      <c r="M187" s="140"/>
      <c r="N187" s="140"/>
      <c r="O187" s="140"/>
      <c r="P187" s="22"/>
      <c r="Q187" s="25"/>
      <c r="R187" s="4" t="str">
        <f>IF(SnapshotTable[[#This Row],[Equity Basis Total]] &gt; 0, SnapshotTable[[#This Row],[Equity Basis Total]] / SnapshotTable[[#This Row],[Equity Shares]], "")</f>
        <v/>
      </c>
      <c r="S187" s="269">
        <f>SnapshotTable[[#This Row],[Last Price]] * SnapshotTable[[#This Row],[Equity Shares]]</f>
        <v>0</v>
      </c>
      <c r="T187" s="269">
        <f>SnapshotTable[[#This Row],[Equity Value]] - SnapshotTable[[#This Row],[Equity Basis Total]]</f>
        <v>0</v>
      </c>
      <c r="U187" s="270" t="str">
        <f>IF(SnapshotTable[[#This Row],[Equity Basis Total]] &gt; 0, SnapshotTable[[#This Row],[Equity G/L]] / SnapshotTable[[#This Row],[Equity Basis Total]], "")</f>
        <v/>
      </c>
      <c r="V187" s="268"/>
      <c r="W187" s="268"/>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7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0"/>
      <c r="AD187" s="151"/>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0</v>
      </c>
      <c r="AH187" s="151"/>
      <c r="AI187" s="5"/>
      <c r="AJ187" s="138">
        <v>108.33</v>
      </c>
      <c r="AK187" s="152" t="str">
        <f>IF(ISNUMBER( SnapshotTable[[#This Row],[EBF Target]]),(SnapshotTable[[#This Row],[EBF Target]] - SnapshotTable[[#This Row],[Last Price]]) / SnapshotTable[[#This Row],[Last Price]], "")</f>
        <v/>
      </c>
      <c r="AL187" s="152"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2">
        <f>IF(AND(ISNUMBER( SnapshotTable[[#This Row],[Long Term Target]]), ISNUMBER(SnapshotTable[[#This Row],[Last Price]])),(SnapshotTable[[#This Row],[Long Term Target]] - SnapshotTable[[#This Row],[Last Price]]) / SnapshotTable[[#This Row],[Last Price]], "")</f>
        <v>-0.28139303482587064</v>
      </c>
      <c r="AP187" s="5">
        <v>95</v>
      </c>
      <c r="AQ187" s="38" t="s">
        <v>27</v>
      </c>
      <c r="AR187" s="5">
        <v>85</v>
      </c>
      <c r="AS187" s="38" t="s">
        <v>32</v>
      </c>
      <c r="AT187" s="146" t="s">
        <v>535</v>
      </c>
      <c r="AU187" s="187" t="str">
        <f>IF(OR(SnapshotTable[[#This Row],[LP No Fill]]="Y",SnapshotTable[[#This Row],[SP Is Filled]],SnapshotTable[[#This Row],[LC Not Filled]]="Y",SnapshotTable[[#This Row],[SC Is Filled]]),"Y","")</f>
        <v/>
      </c>
      <c r="AV187" s="219"/>
      <c r="AW187" s="225"/>
      <c r="AX187" s="220"/>
      <c r="AY187" s="219" t="str">
        <f>IF(SnapshotTable[[#This Row],[Implied Move]]&gt;0, SnapshotTable[[#This Row],[Last Price]]-SnapshotTable[[#This Row],[Implied Move]],"")</f>
        <v/>
      </c>
      <c r="AZ187" s="219" t="str">
        <f>IF(SnapshotTable[[#This Row],[Implied Move]]&gt;0, SnapshotTable[[#This Row],[Last Price]] + SnapshotTable[[#This Row],[Implied Move]],"")</f>
        <v/>
      </c>
      <c r="BA187" s="331"/>
      <c r="BB187" s="347"/>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51"/>
      <c r="BE187" s="5"/>
      <c r="BF187" s="14"/>
      <c r="BG187" s="13"/>
      <c r="BH187" s="13"/>
      <c r="BI187" s="5"/>
      <c r="BJ187" s="136">
        <f>IF(SnapshotTable[[#This Row],[LP Qty]] &gt; 0, SnapshotTable[[#This Row],[LP Qty]] * SnapshotTable[[#This Row],[LP Book Price]] * 100,0)</f>
        <v>0</v>
      </c>
      <c r="BK187" s="136">
        <f>IF(SnapshotTable[[#This Row],[LP Premium]] &gt; 0, SnapshotTable[[#This Row],[LP Qty]] * SnapshotTable[[#This Row],[LP Strike Price]] * 100,0)</f>
        <v>0</v>
      </c>
      <c r="BL187" s="154"/>
      <c r="BM187" s="385" t="str">
        <f>IF(SnapshotTable[[#This Row],[LP Premium]] &gt; 0,SnapshotTable[[#This Row],[LP Exp Date]]-MAX(SnapshotTable[[#This Row],[LP Book Date]], SnapshotTable[[#This Row],[LP Fill Date]]),"")</f>
        <v/>
      </c>
      <c r="BN187" s="385" t="str">
        <f>IF(ISNUMBER( SnapshotTable[[#This Row],[LP Term]]), SnapshotTable[[#This Row],[LP Exp Date]] - MockToday,"")</f>
        <v/>
      </c>
      <c r="BO187" s="163"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7"/>
      <c r="BU187" s="13"/>
      <c r="BV187" s="5"/>
      <c r="BW187" s="419" t="b">
        <f>AND(ISNUMBER(SnapshotTable[[#This Row],[SP Exp Date]]), ISNUMBER(SnapshotTable[[#This Row],[SP Strike Price]]), ISNUMBER(SnapshotTable[[#This Row],[SP Qty]]), ISNUMBER(SnapshotTable[[#This Row],[SP Book Date]]), ISNUMBER(SnapshotTable[[#This Row],[SP Book Price]]))</f>
        <v>0</v>
      </c>
      <c r="BX187" s="419" t="b">
        <f>AND(SnapshotTable[[#This Row],[SP Is Booked]], NOT(ISBLANK(SnapshotTable[[#This Row],[SP Fill Date]])))</f>
        <v>0</v>
      </c>
      <c r="BY187" s="33">
        <f>IF(SnapshotTable[[#This Row],[SP Is Booked]], SnapshotTable[[#This Row],[SP Qty]] * SnapshotTable[[#This Row],[SP Book Price]] * 100, 0)</f>
        <v>0</v>
      </c>
      <c r="BZ187" s="369"/>
      <c r="CA187" s="368">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3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44"/>
      <c r="CK187" s="31">
        <f>IF(ISNUMBER(SnapshotTable[[#This Row],[SP Potential Spend]]),IF(ISNUMBER(SnapshotTable[[#This Row],[SP POW]]), SnapshotTable[[#This Row],[SP POW]] * SnapshotTable[[#This Row],[SP Potential Spend]], SnapshotTable[[#This Row],[SP Potential Spend]]), "")</f>
        <v>0</v>
      </c>
      <c r="CL187" s="164">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8"/>
      <c r="CO187" s="369"/>
      <c r="CP187" s="4" t="str">
        <f>IF(SnapshotTable[[#This Row],[SP Is Filled]], btc_max_buyback_amount(SnapshotTable[[#This Row],[SP Fill Date]],SnapshotTable[[#This Row],[SP Exp Date]], SnapshotTable[[#This Row],[SP Book Price]]),"")</f>
        <v/>
      </c>
      <c r="CQ187" s="78"/>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5" t="str">
        <f>IF(SnapshotTable[[#This Row],[SP Is Filled]], btc_next_cutoff_date(SnapshotTable[[#This Row],[SP Fill Date]],SnapshotTable[[#This Row],[SP Exp Date]]),"")</f>
        <v/>
      </c>
      <c r="CT187" s="23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3"/>
      <c r="CV187" s="235"/>
      <c r="CW187" s="378"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294" t="str">
        <f>IF(ISNUMBER((SnapshotTable[[#This Row],[SP Total Value]])), SnapshotTable[[#This Row],[SP Gain Loss]] / SnapshotTable[[#This Row],[SP Premium]], "")</f>
        <v/>
      </c>
      <c r="DI187" s="406"/>
      <c r="DJ187" s="138"/>
      <c r="DK187" s="148"/>
      <c r="DL187" s="13"/>
      <c r="DM187" s="13"/>
      <c r="DO187" s="31">
        <f>IF(SnapshotTable[[#This Row],[LC Symbol Count]]=1, SnapshotTable[[#This Row],[LC Qty]] * SnapshotTable[[#This Row],[LC Book Price]] * 100, 0)</f>
        <v>0</v>
      </c>
      <c r="DP187" s="163" t="str">
        <f>IF(AND(SnapshotTable[[#This Row],[LC Exp Date]]&gt;0, SnapshotTable[[#This Row],[LC Strike Price]]&gt;0,SnapshotTable[[#This Row],[LC Qty]]&gt;0,SnapshotTable[[#This Row],[LC Book Date]]&gt;0,SnapshotTable[[#This Row],[LC Book Price]]&gt;0,SnapshotTable[[#This Row],[LC Fill Date]]=0),"Y","")</f>
        <v/>
      </c>
      <c r="DQ187" s="386" t="str">
        <f>IF(SnapshotTable[[#This Row],[LC Premium]] &gt; 0,SnapshotTable[[#This Row],[LC Exp Date]]-MAX(SnapshotTable[[#This Row],[LC Book Date]], SnapshotTable[[#This Row],[LC Fill Date]]),"")</f>
        <v/>
      </c>
      <c r="DR187" s="386" t="str">
        <f>IF(ISNUMBER(SnapshotTable[[#This Row],[LC Term]]), SnapshotTable[[#This Row],[LC Exp Date]] - MockToday, "")</f>
        <v/>
      </c>
      <c r="DS187" s="23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40" t="str">
        <f>IF(ISNUMBER(SnapshotTable[[#This Row],[LC Actual Gain Loss]]), SnapshotTable[[#This Row],[LC Actual Gain Loss]] / SnapshotTable[[#This Row],[LC Premium]],"")</f>
        <v/>
      </c>
      <c r="DX187" s="284" t="str">
        <f>IF(ISNUMBER(SnapshotTable[[#This Row],[LC Book Price]]),SnapshotTable[[#This Row],[LC Book Price]] * 1.5,"")</f>
        <v/>
      </c>
      <c r="DY187" s="265" t="str">
        <f>IF(SnapshotTable[[#This Row],[LC Premium]]&gt;0, SnapshotTable[[#This Row],[LC Next Target]] * SnapshotTable[[#This Row],[LC Qty]] * 100,"")</f>
        <v/>
      </c>
      <c r="DZ187" s="265" t="str">
        <f>IF(ISNUMBER(SnapshotTable[[#This Row],[LC Target Gross]]), SnapshotTable[[#This Row],[LC Target Gross]] - SnapshotTable[[#This Row],[LC Premium]], "")</f>
        <v/>
      </c>
      <c r="EA187" s="305" t="str">
        <f>IF(ISNUMBER(SnapshotTable[[#This Row],[LC Target Gain Loss]]), SnapshotTable[[#This Row],[LC Target Gain Loss]]/SnapshotTable[[#This Row],[LC Premium]], "")</f>
        <v/>
      </c>
      <c r="EB187" s="262"/>
      <c r="EC187" s="283" t="str">
        <f>IF(SnapshotTable[[#This Row],[LC Premium]]&gt;0, SnapshotTable[[#This Row],[LC Book Price]] * (1 - LC_StopLoss_Pct),"")</f>
        <v/>
      </c>
      <c r="ED187" s="284"/>
      <c r="EE187" s="28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4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7"/>
      <c r="EL187" s="138"/>
      <c r="EM187" s="148"/>
      <c r="EN187" s="147"/>
      <c r="EO187" s="147"/>
      <c r="EP187" s="138"/>
      <c r="EQ187" s="419" t="b">
        <f>AND(ISNUMBER(SnapshotTable[[#This Row],[SC Exp Date]]), ISNUMBER(SnapshotTable[[#This Row],[SC Strike Price]]), ISNUMBER(SnapshotTable[[#This Row],[SC Qty]]), ISNUMBER(SnapshotTable[[#This Row],[SC Book Date]]), ISNUMBER(SnapshotTable[[#This Row],[SC Book Price]]))</f>
        <v>0</v>
      </c>
      <c r="ER187" s="419" t="b">
        <f>AND(SnapshotTable[[#This Row],[SC Is Booked]], NOT(ISBLANK(SnapshotTable[[#This Row],[SC Fill Date]])))</f>
        <v>0</v>
      </c>
      <c r="ES187" s="370"/>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3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283"/>
      <c r="FA187" s="218"/>
      <c r="FB187" s="370"/>
      <c r="FC187" s="4">
        <f>IF(SnapshotTable[[#This Row],[SC Is Filled]], btc_max_buyback_amount(SnapshotTable[[#This Row],[SC Fill Date]],SnapshotTable[[#This Row],[SC Exp Date]], SnapshotTable[[#This Row],[SC Book Price]]),0)</f>
        <v>0</v>
      </c>
      <c r="FD187" s="5"/>
      <c r="FE187" s="144"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382">
        <f>IF(SnapshotTable[[#This Row],[SC Is Filled]], IF(ISNUMBER(SnapshotTable[[#This Row],[SC Current Ask]]), SnapshotTable[[#This Row],[SC Current Ask]], SnapshotTable[[#This Row],[SC Book Price]]) - SnapshotTable[[#This Row],[SC Intrinsic Value]], 0)</f>
        <v>0</v>
      </c>
      <c r="FI187" s="143"/>
      <c r="FJ187" s="32" t="str">
        <f>IF(SnapshotTable[[#This Row],[SC Is Filled]],100 * SnapshotTable[[#This Row],[SC Qty]] * IF(ISNUMBER(SnapshotTable[[#This Row],[SC Buyback Override]]), SnapshotTable[[#This Row],[SC Buyback Override]], SnapshotTable[[#This Row],[SC Current Ask]]), "")</f>
        <v/>
      </c>
      <c r="FK187" s="250" t="str">
        <f>IF(SnapshotTable[[#This Row],[SC Time Val]]&gt;0, SnapshotTable[[#This Row],[SC Time Val]] / SnapshotTable[[#This Row],[Last Price]],"")</f>
        <v/>
      </c>
      <c r="FL187" s="302" t="str">
        <f>IF(SnapshotTable[[#This Row],[SC Is Booked]], ((SnapshotTable[[#This Row],[Last Price]] -SnapshotTable[[#This Row],[SC Strike Price]]) / SnapshotTable[[#This Row],[Last Price]]) * -1, "")</f>
        <v/>
      </c>
      <c r="FM187" s="157"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33"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36" t="str">
        <f>IF(AND(ISNUMBER(SnapshotTable[[#This Row],[SC Simple ROO]]),SnapshotTable[[#This Row],[SC Simple ROO]] &gt; 0), SnapshotTable[[#This Row],[SC Premium]] + (SnapshotTable[[#This Row],[SC Qty]] * SnapshotTable[[#This Row],[SC Upside Potential]]), "")</f>
        <v/>
      </c>
      <c r="FX187" s="302" t="str" cm="1">
        <f t="array" ref="FX187">IF(ISNUMBER(SnapshotTable[[#This Row],[SC Max Dollars]]), annualize(SnapshotTable[[#This Row],[SC Term]],(SnapshotTable[[#This Row],[SC Max Dollars]]/SnapshotTable[[#This Row],[SC Basis]])),"")</f>
        <v/>
      </c>
      <c r="FY187" s="23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29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102.9135</v>
      </c>
      <c r="GD187" s="40">
        <f>SnapshotTable[[#This Row],[Last Price]] * (1+ SellingPriceToConsiderBasedOnTargetPercentage)</f>
        <v>293.96249999999998</v>
      </c>
      <c r="GE187" s="41"/>
      <c r="GF187" s="40"/>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712</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31">
        <f>MAX(SnapshotTable[[#This Row],[Equity Basis Total]],SnapshotTable[[#This Row],[Equity Value]]) + (SnapshotTable[[#This Row],[SP Potential Spend]]- SnapshotTable[[#This Row],[SP Premium]] + SnapshotTable[[#This Row],[LP Premium]])+ (SnapshotTable[[#This Row],[LC Premium]] - SnapshotTable[[#This Row],[SC Premium]])</f>
        <v>0</v>
      </c>
      <c r="GW187" s="139" t="str">
        <f>IF(AND(SnapshotTable[[#This Row],[Exposure]] &lt;&gt; 0),SnapshotTable[[#This Row],[Exposure]] / SnapshotTable[[#Totals],[Exposure]], "")</f>
        <v/>
      </c>
      <c r="HE187" s="268"/>
      <c r="HF187" s="268"/>
      <c r="HK187" s="1"/>
      <c r="HL187" s="1"/>
      <c r="HM187" s="1"/>
      <c r="HN187" s="1"/>
      <c r="HO187" s="1"/>
      <c r="HP187" s="1"/>
    </row>
    <row r="188" spans="2:224" ht="12.75" hidden="1" customHeight="1" x14ac:dyDescent="0.25">
      <c r="B188" s="12" t="s">
        <v>93</v>
      </c>
      <c r="C188" s="422">
        <v>32.49</v>
      </c>
      <c r="D188" s="208"/>
      <c r="E188" s="39">
        <f>SnapshotTable[[#This Row],[Last Price]]*(1 -CrashDiscount)</f>
        <v>27.616500000000002</v>
      </c>
      <c r="F188" s="26" t="s">
        <v>92</v>
      </c>
      <c r="G188" s="26" t="s">
        <v>41</v>
      </c>
      <c r="H188" s="149"/>
      <c r="I188" s="194">
        <v>45126.670138888891</v>
      </c>
      <c r="J188" s="195">
        <v>45126.670138888891</v>
      </c>
      <c r="K188" s="196"/>
      <c r="L188" s="326"/>
      <c r="M188" s="140"/>
      <c r="N188" s="140"/>
      <c r="O188" s="140">
        <v>0</v>
      </c>
      <c r="P188" s="22"/>
      <c r="Q188" s="25"/>
      <c r="R188" s="4" t="str">
        <f>IF(SnapshotTable[[#This Row],[Equity Basis Total]] &gt; 0, SnapshotTable[[#This Row],[Equity Basis Total]] / SnapshotTable[[#This Row],[Equity Shares]], "")</f>
        <v/>
      </c>
      <c r="S188" s="269">
        <f>SnapshotTable[[#This Row],[Last Price]] * SnapshotTable[[#This Row],[Equity Shares]]</f>
        <v>0</v>
      </c>
      <c r="T188" s="269">
        <f>SnapshotTable[[#This Row],[Equity Value]] - SnapshotTable[[#This Row],[Equity Basis Total]]</f>
        <v>0</v>
      </c>
      <c r="U188" s="270" t="str">
        <f>IF(SnapshotTable[[#This Row],[Equity Basis Total]] &gt; 0, SnapshotTable[[#This Row],[Equity G/L]] / SnapshotTable[[#This Row],[Equity Basis Total]], "")</f>
        <v/>
      </c>
      <c r="V188" s="268"/>
      <c r="W188" s="26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7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0">
        <v>0.5</v>
      </c>
      <c r="AD188" s="151">
        <v>42781</v>
      </c>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1.538935056940597E-2</v>
      </c>
      <c r="AH188" s="151">
        <v>45321</v>
      </c>
      <c r="AI188" s="5"/>
      <c r="AJ188" s="138">
        <v>20.36</v>
      </c>
      <c r="AK188" s="152" t="str">
        <f>IF(ISNUMBER( SnapshotTable[[#This Row],[EBF Target]]),(SnapshotTable[[#This Row],[EBF Target]] - SnapshotTable[[#This Row],[Last Price]]) / SnapshotTable[[#This Row],[Last Price]], "")</f>
        <v/>
      </c>
      <c r="AL188" s="152"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2">
        <f>IF(AND(ISNUMBER( SnapshotTable[[#This Row],[Long Term Target]]), ISNUMBER(SnapshotTable[[#This Row],[Last Price]])),(SnapshotTable[[#This Row],[Long Term Target]] - SnapshotTable[[#This Row],[Last Price]]) / SnapshotTable[[#This Row],[Last Price]], "")</f>
        <v>-0.3733456448137889</v>
      </c>
      <c r="AP188" s="5">
        <v>17</v>
      </c>
      <c r="AQ188" s="38" t="s">
        <v>27</v>
      </c>
      <c r="AR188" s="5">
        <v>17</v>
      </c>
      <c r="AS188" s="38" t="s">
        <v>38</v>
      </c>
      <c r="AT188" s="146" t="s">
        <v>542</v>
      </c>
      <c r="AU188" s="187" t="str">
        <f>IF(OR(SnapshotTable[[#This Row],[LP No Fill]]="Y",SnapshotTable[[#This Row],[SP Is Filled]],SnapshotTable[[#This Row],[LC Not Filled]]="Y",SnapshotTable[[#This Row],[SC Is Filled]]),"Y","")</f>
        <v/>
      </c>
      <c r="AV188" s="219" t="s">
        <v>1138</v>
      </c>
      <c r="AW188" s="225"/>
      <c r="AX188" s="220"/>
      <c r="AY188" s="219" t="str">
        <f>IF(SnapshotTable[[#This Row],[Implied Move]]&gt;0, SnapshotTable[[#This Row],[Last Price]]-SnapshotTable[[#This Row],[Implied Move]],"")</f>
        <v/>
      </c>
      <c r="AZ188" s="219" t="str">
        <f>IF(SnapshotTable[[#This Row],[Implied Move]]&gt;0, SnapshotTable[[#This Row],[Last Price]] + SnapshotTable[[#This Row],[Implied Move]],"")</f>
        <v/>
      </c>
      <c r="BA188" s="331">
        <v>16.68</v>
      </c>
      <c r="BB188" s="347"/>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51"/>
      <c r="BE188" s="5"/>
      <c r="BF188" s="14"/>
      <c r="BG188" s="13"/>
      <c r="BH188" s="13"/>
      <c r="BI188" s="5"/>
      <c r="BJ188" s="136">
        <f>IF(SnapshotTable[[#This Row],[LP Qty]] &gt; 0, SnapshotTable[[#This Row],[LP Qty]] * SnapshotTable[[#This Row],[LP Book Price]] * 100,0)</f>
        <v>0</v>
      </c>
      <c r="BK188" s="136">
        <f>IF(SnapshotTable[[#This Row],[LP Premium]] &gt; 0, SnapshotTable[[#This Row],[LP Qty]] * SnapshotTable[[#This Row],[LP Strike Price]] * 100,0)</f>
        <v>0</v>
      </c>
      <c r="BL188" s="154"/>
      <c r="BM188" s="385" t="str">
        <f>IF(SnapshotTable[[#This Row],[LP Premium]] &gt; 0,SnapshotTable[[#This Row],[LP Exp Date]]-MAX(SnapshotTable[[#This Row],[LP Book Date]], SnapshotTable[[#This Row],[LP Fill Date]]),"")</f>
        <v/>
      </c>
      <c r="BN188" s="385" t="str">
        <f>IF(ISNUMBER( SnapshotTable[[#This Row],[LP Term]]), SnapshotTable[[#This Row],[LP Exp Date]] - MockToday,"")</f>
        <v/>
      </c>
      <c r="BO188" s="163"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7"/>
      <c r="BU188" s="13"/>
      <c r="BV188" s="5"/>
      <c r="BW188" s="419" t="b">
        <f>AND(ISNUMBER(SnapshotTable[[#This Row],[SP Exp Date]]), ISNUMBER(SnapshotTable[[#This Row],[SP Strike Price]]), ISNUMBER(SnapshotTable[[#This Row],[SP Qty]]), ISNUMBER(SnapshotTable[[#This Row],[SP Book Date]]), ISNUMBER(SnapshotTable[[#This Row],[SP Book Price]]))</f>
        <v>0</v>
      </c>
      <c r="BX188" s="419" t="b">
        <f>AND(SnapshotTable[[#This Row],[SP Is Booked]], NOT(ISBLANK(SnapshotTable[[#This Row],[SP Fill Date]])))</f>
        <v>0</v>
      </c>
      <c r="BY188" s="33">
        <f>IF(SnapshotTable[[#This Row],[SP Is Booked]], SnapshotTable[[#This Row],[SP Qty]] * SnapshotTable[[#This Row],[SP Book Price]] * 100, 0)</f>
        <v>0</v>
      </c>
      <c r="BZ188" s="369"/>
      <c r="CA188" s="368">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3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44"/>
      <c r="CK188" s="31">
        <f>IF(ISNUMBER(SnapshotTable[[#This Row],[SP Potential Spend]]),IF(ISNUMBER(SnapshotTable[[#This Row],[SP POW]]), SnapshotTable[[#This Row],[SP POW]] * SnapshotTable[[#This Row],[SP Potential Spend]], SnapshotTable[[#This Row],[SP Potential Spend]]), "")</f>
        <v>0</v>
      </c>
      <c r="CL188" s="164">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8"/>
      <c r="CO188" s="369"/>
      <c r="CP188" s="4" t="str">
        <f>IF(SnapshotTable[[#This Row],[SP Is Filled]], btc_max_buyback_amount(SnapshotTable[[#This Row],[SP Fill Date]],SnapshotTable[[#This Row],[SP Exp Date]], SnapshotTable[[#This Row],[SP Book Price]]),"")</f>
        <v/>
      </c>
      <c r="CQ188" s="78"/>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5" t="str">
        <f>IF(SnapshotTable[[#This Row],[SP Is Filled]], btc_next_cutoff_date(SnapshotTable[[#This Row],[SP Fill Date]],SnapshotTable[[#This Row],[SP Exp Date]]),"")</f>
        <v/>
      </c>
      <c r="CT188" s="23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3"/>
      <c r="CV188" s="235"/>
      <c r="CW188" s="378"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294" t="str">
        <f>IF(ISNUMBER((SnapshotTable[[#This Row],[SP Total Value]])), SnapshotTable[[#This Row],[SP Gain Loss]] / SnapshotTable[[#This Row],[SP Premium]], "")</f>
        <v/>
      </c>
      <c r="DI188" s="406"/>
      <c r="DJ188" s="138"/>
      <c r="DK188" s="148"/>
      <c r="DL188" s="13"/>
      <c r="DM188" s="13"/>
      <c r="DN188" s="5">
        <v>5.0199999999999996</v>
      </c>
      <c r="DO188" s="31">
        <f>IF(SnapshotTable[[#This Row],[LC Symbol Count]]=1, SnapshotTable[[#This Row],[LC Qty]] * SnapshotTable[[#This Row],[LC Book Price]] * 100, 0)</f>
        <v>0</v>
      </c>
      <c r="DP188" s="163" t="str">
        <f>IF(AND(SnapshotTable[[#This Row],[LC Exp Date]]&gt;0, SnapshotTable[[#This Row],[LC Strike Price]]&gt;0,SnapshotTable[[#This Row],[LC Qty]]&gt;0,SnapshotTable[[#This Row],[LC Book Date]]&gt;0,SnapshotTable[[#This Row],[LC Book Price]]&gt;0,SnapshotTable[[#This Row],[LC Fill Date]]=0),"Y","")</f>
        <v/>
      </c>
      <c r="DQ188" s="386" t="str">
        <f>IF(SnapshotTable[[#This Row],[LC Premium]] &gt; 0,SnapshotTable[[#This Row],[LC Exp Date]]-MAX(SnapshotTable[[#This Row],[LC Book Date]], SnapshotTable[[#This Row],[LC Fill Date]]),"")</f>
        <v/>
      </c>
      <c r="DR188" s="386" t="str">
        <f>IF(ISNUMBER(SnapshotTable[[#This Row],[LC Term]]), SnapshotTable[[#This Row],[LC Exp Date]] - MockToday, "")</f>
        <v/>
      </c>
      <c r="DS188" s="23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40" t="str">
        <f>IF(ISNUMBER(SnapshotTable[[#This Row],[LC Actual Gain Loss]]), SnapshotTable[[#This Row],[LC Actual Gain Loss]] / SnapshotTable[[#This Row],[LC Premium]],"")</f>
        <v/>
      </c>
      <c r="DX188" s="284">
        <f>IF(ISNUMBER(SnapshotTable[[#This Row],[LC Book Price]]),SnapshotTable[[#This Row],[LC Book Price]] * 1.5,"")</f>
        <v>7.5299999999999994</v>
      </c>
      <c r="DY188" s="265" t="str">
        <f>IF(SnapshotTable[[#This Row],[LC Premium]]&gt;0, SnapshotTable[[#This Row],[LC Next Target]] * SnapshotTable[[#This Row],[LC Qty]] * 100,"")</f>
        <v/>
      </c>
      <c r="DZ188" s="265" t="str">
        <f>IF(ISNUMBER(SnapshotTable[[#This Row],[LC Target Gross]]), SnapshotTable[[#This Row],[LC Target Gross]] - SnapshotTable[[#This Row],[LC Premium]], "")</f>
        <v/>
      </c>
      <c r="EA188" s="305" t="str">
        <f>IF(ISNUMBER(SnapshotTable[[#This Row],[LC Target Gain Loss]]), SnapshotTable[[#This Row],[LC Target Gain Loss]]/SnapshotTable[[#This Row],[LC Premium]], "")</f>
        <v/>
      </c>
      <c r="EB188" s="262"/>
      <c r="EC188" s="283" t="str">
        <f>IF(SnapshotTable[[#This Row],[LC Premium]]&gt;0, SnapshotTable[[#This Row],[LC Book Price]] * (1 - LC_StopLoss_Pct),"")</f>
        <v/>
      </c>
      <c r="ED188" s="284"/>
      <c r="EE188" s="28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4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7"/>
      <c r="EL188" s="138"/>
      <c r="EM188" s="148"/>
      <c r="EN188" s="147"/>
      <c r="EO188" s="147"/>
      <c r="EP188" s="138"/>
      <c r="EQ188" s="419" t="b">
        <f>AND(ISNUMBER(SnapshotTable[[#This Row],[SC Exp Date]]), ISNUMBER(SnapshotTable[[#This Row],[SC Strike Price]]), ISNUMBER(SnapshotTable[[#This Row],[SC Qty]]), ISNUMBER(SnapshotTable[[#This Row],[SC Book Date]]), ISNUMBER(SnapshotTable[[#This Row],[SC Book Price]]))</f>
        <v>0</v>
      </c>
      <c r="ER188" s="419" t="b">
        <f>AND(SnapshotTable[[#This Row],[SC Is Booked]], NOT(ISBLANK(SnapshotTable[[#This Row],[SC Fill Date]])))</f>
        <v>0</v>
      </c>
      <c r="ES188" s="370">
        <v>0.61</v>
      </c>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3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283"/>
      <c r="FA188" s="218"/>
      <c r="FB188" s="370"/>
      <c r="FC188" s="4">
        <f>IF(SnapshotTable[[#This Row],[SC Is Filled]], btc_max_buyback_amount(SnapshotTable[[#This Row],[SC Fill Date]],SnapshotTable[[#This Row],[SC Exp Date]], SnapshotTable[[#This Row],[SC Book Price]]),0)</f>
        <v>0</v>
      </c>
      <c r="FD188" s="5"/>
      <c r="FE188" s="144"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382">
        <f>IF(SnapshotTable[[#This Row],[SC Is Filled]], IF(ISNUMBER(SnapshotTable[[#This Row],[SC Current Ask]]), SnapshotTable[[#This Row],[SC Current Ask]], SnapshotTable[[#This Row],[SC Book Price]]) - SnapshotTable[[#This Row],[SC Intrinsic Value]], 0)</f>
        <v>0</v>
      </c>
      <c r="FI188" s="143"/>
      <c r="FJ188" s="32" t="str">
        <f>IF(SnapshotTable[[#This Row],[SC Is Filled]],100 * SnapshotTable[[#This Row],[SC Qty]] * IF(ISNUMBER(SnapshotTable[[#This Row],[SC Buyback Override]]), SnapshotTable[[#This Row],[SC Buyback Override]], SnapshotTable[[#This Row],[SC Current Ask]]), "")</f>
        <v/>
      </c>
      <c r="FK188" s="250" t="str">
        <f>IF(SnapshotTable[[#This Row],[SC Time Val]]&gt;0, SnapshotTable[[#This Row],[SC Time Val]] / SnapshotTable[[#This Row],[Last Price]],"")</f>
        <v/>
      </c>
      <c r="FL188" s="302" t="str">
        <f>IF(SnapshotTable[[#This Row],[SC Is Booked]], ((SnapshotTable[[#This Row],[Last Price]] -SnapshotTable[[#This Row],[SC Strike Price]]) / SnapshotTable[[#This Row],[Last Price]]) * -1, "")</f>
        <v/>
      </c>
      <c r="FM188" s="157"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33"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36" t="str">
        <f>IF(AND(ISNUMBER(SnapshotTable[[#This Row],[SC Simple ROO]]),SnapshotTable[[#This Row],[SC Simple ROO]] &gt; 0), SnapshotTable[[#This Row],[SC Premium]] + (SnapshotTable[[#This Row],[SC Qty]] * SnapshotTable[[#This Row],[SC Upside Potential]]), "")</f>
        <v/>
      </c>
      <c r="FX188" s="302" t="str" cm="1">
        <f t="array" ref="FX188">IF(ISNUMBER(SnapshotTable[[#This Row],[SC Max Dollars]]), annualize(SnapshotTable[[#This Row],[SC Term]],(SnapshotTable[[#This Row],[SC Max Dollars]]/SnapshotTable[[#This Row],[SC Basis]])),"")</f>
        <v/>
      </c>
      <c r="FY188" s="23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29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19.341999999999999</v>
      </c>
      <c r="GD188" s="40">
        <f>SnapshotTable[[#This Row],[Last Price]] * (1+ SellingPriceToConsiderBasedOnTargetPercentage)</f>
        <v>63.355499999999999</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732</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31">
        <f>MAX(SnapshotTable[[#This Row],[Equity Basis Total]],SnapshotTable[[#This Row],[Equity Value]]) + (SnapshotTable[[#This Row],[SP Potential Spend]]- SnapshotTable[[#This Row],[SP Premium]] + SnapshotTable[[#This Row],[LP Premium]])+ (SnapshotTable[[#This Row],[LC Premium]] - SnapshotTable[[#This Row],[SC Premium]])</f>
        <v>0</v>
      </c>
      <c r="GW188" s="139" t="str">
        <f>IF(AND(SnapshotTable[[#This Row],[Exposure]] &lt;&gt; 0),SnapshotTable[[#This Row],[Exposure]] / SnapshotTable[[#Totals],[Exposure]], "")</f>
        <v/>
      </c>
      <c r="HE188" s="268"/>
      <c r="HF188" s="268"/>
      <c r="HK188" s="1"/>
      <c r="HL188" s="1"/>
      <c r="HM188" s="1"/>
      <c r="HN188" s="1"/>
      <c r="HO188" s="1"/>
      <c r="HP188" s="1"/>
    </row>
    <row r="189" spans="2:224" ht="12.75" hidden="1" customHeight="1" x14ac:dyDescent="0.25">
      <c r="B189" s="12" t="s">
        <v>551</v>
      </c>
      <c r="C189" s="422">
        <v>36.909999999999997</v>
      </c>
      <c r="D189" s="208"/>
      <c r="E189" s="39">
        <f>SnapshotTable[[#This Row],[Last Price]]*(1 -CrashDiscount)</f>
        <v>31.373499999999996</v>
      </c>
      <c r="F189" s="26" t="s">
        <v>552</v>
      </c>
      <c r="G189" s="26" t="s">
        <v>17</v>
      </c>
      <c r="H189" s="149"/>
      <c r="I189" s="194">
        <v>44741.291666666664</v>
      </c>
      <c r="J189" s="195">
        <v>44741.291666666664</v>
      </c>
      <c r="K189" s="196" t="s">
        <v>3</v>
      </c>
      <c r="L189" s="326"/>
      <c r="M189" s="140"/>
      <c r="N189" s="140"/>
      <c r="O189" s="140"/>
      <c r="P189" s="22"/>
      <c r="Q189" s="25"/>
      <c r="R189" s="4" t="str">
        <f>IF(SnapshotTable[[#This Row],[Equity Basis Total]] &gt; 0, SnapshotTable[[#This Row],[Equity Basis Total]] / SnapshotTable[[#This Row],[Equity Shares]], "")</f>
        <v/>
      </c>
      <c r="S189" s="269">
        <f>SnapshotTable[[#This Row],[Last Price]] * SnapshotTable[[#This Row],[Equity Shares]]</f>
        <v>0</v>
      </c>
      <c r="T189" s="269">
        <f>SnapshotTable[[#This Row],[Equity Value]] - SnapshotTable[[#This Row],[Equity Basis Total]]</f>
        <v>0</v>
      </c>
      <c r="U189" s="270" t="str">
        <f>IF(SnapshotTable[[#This Row],[Equity Basis Total]] &gt; 0, SnapshotTable[[#This Row],[Equity G/L]] / SnapshotTable[[#This Row],[Equity Basis Total]], "")</f>
        <v/>
      </c>
      <c r="V189" s="268"/>
      <c r="W189" s="26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7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0"/>
      <c r="AD189" s="151"/>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1"/>
      <c r="AI189" s="5"/>
      <c r="AJ189" s="138">
        <v>58.88</v>
      </c>
      <c r="AK189" s="152" t="str">
        <f>IF(ISNUMBER( SnapshotTable[[#This Row],[EBF Target]]),(SnapshotTable[[#This Row],[EBF Target]] - SnapshotTable[[#This Row],[Last Price]]) / SnapshotTable[[#This Row],[Last Price]], "")</f>
        <v/>
      </c>
      <c r="AL189" s="152"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2">
        <f>IF(AND(ISNUMBER( SnapshotTable[[#This Row],[Long Term Target]]), ISNUMBER(SnapshotTable[[#This Row],[Last Price]])),(SnapshotTable[[#This Row],[Long Term Target]] - SnapshotTable[[#This Row],[Last Price]]) / SnapshotTable[[#This Row],[Last Price]], "")</f>
        <v>0.59523164454077504</v>
      </c>
      <c r="AP189" s="5"/>
      <c r="AQ189" s="38"/>
      <c r="AR189" s="5"/>
      <c r="AS189" s="38"/>
      <c r="AT189" s="146"/>
      <c r="AU189" s="187" t="str">
        <f>IF(OR(SnapshotTable[[#This Row],[LP No Fill]]="Y",SnapshotTable[[#This Row],[SP Is Filled]],SnapshotTable[[#This Row],[LC Not Filled]]="Y",SnapshotTable[[#This Row],[SC Is Filled]]),"Y","")</f>
        <v/>
      </c>
      <c r="AV189" s="219"/>
      <c r="AW189" s="225"/>
      <c r="AX189" s="220"/>
      <c r="AY189" s="219" t="str">
        <f>IF(SnapshotTable[[#This Row],[Implied Move]]&gt;0, SnapshotTable[[#This Row],[Last Price]]-SnapshotTable[[#This Row],[Implied Move]],"")</f>
        <v/>
      </c>
      <c r="AZ189" s="219" t="str">
        <f>IF(SnapshotTable[[#This Row],[Implied Move]]&gt;0, SnapshotTable[[#This Row],[Last Price]] + SnapshotTable[[#This Row],[Implied Move]],"")</f>
        <v/>
      </c>
      <c r="BA189" s="331"/>
      <c r="BB189" s="347"/>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51"/>
      <c r="BE189" s="5"/>
      <c r="BF189" s="14"/>
      <c r="BG189" s="13"/>
      <c r="BH189" s="13"/>
      <c r="BI189" s="5"/>
      <c r="BJ189" s="136">
        <f>IF(SnapshotTable[[#This Row],[LP Qty]] &gt; 0, SnapshotTable[[#This Row],[LP Qty]] * SnapshotTable[[#This Row],[LP Book Price]] * 100,0)</f>
        <v>0</v>
      </c>
      <c r="BK189" s="136">
        <f>IF(SnapshotTable[[#This Row],[LP Premium]] &gt; 0, SnapshotTable[[#This Row],[LP Qty]] * SnapshotTable[[#This Row],[LP Strike Price]] * 100,0)</f>
        <v>0</v>
      </c>
      <c r="BL189" s="154"/>
      <c r="BM189" s="385" t="str">
        <f>IF(SnapshotTable[[#This Row],[LP Premium]] &gt; 0,SnapshotTable[[#This Row],[LP Exp Date]]-MAX(SnapshotTable[[#This Row],[LP Book Date]], SnapshotTable[[#This Row],[LP Fill Date]]),"")</f>
        <v/>
      </c>
      <c r="BN189" s="385" t="str">
        <f>IF(ISNUMBER( SnapshotTable[[#This Row],[LP Term]]), SnapshotTable[[#This Row],[LP Exp Date]] - MockToday,"")</f>
        <v/>
      </c>
      <c r="BO189" s="163"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7"/>
      <c r="BU189" s="13"/>
      <c r="BV189" s="5"/>
      <c r="BW189" s="419" t="b">
        <f>AND(ISNUMBER(SnapshotTable[[#This Row],[SP Exp Date]]), ISNUMBER(SnapshotTable[[#This Row],[SP Strike Price]]), ISNUMBER(SnapshotTable[[#This Row],[SP Qty]]), ISNUMBER(SnapshotTable[[#This Row],[SP Book Date]]), ISNUMBER(SnapshotTable[[#This Row],[SP Book Price]]))</f>
        <v>0</v>
      </c>
      <c r="BX189" s="419" t="b">
        <f>AND(SnapshotTable[[#This Row],[SP Is Booked]], NOT(ISBLANK(SnapshotTable[[#This Row],[SP Fill Date]])))</f>
        <v>0</v>
      </c>
      <c r="BY189" s="33">
        <f>IF(SnapshotTable[[#This Row],[SP Is Booked]], SnapshotTable[[#This Row],[SP Qty]] * SnapshotTable[[#This Row],[SP Book Price]] * 100, 0)</f>
        <v>0</v>
      </c>
      <c r="BZ189" s="369"/>
      <c r="CA189" s="368">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3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44"/>
      <c r="CK189" s="31">
        <f>IF(ISNUMBER(SnapshotTable[[#This Row],[SP Potential Spend]]),IF(ISNUMBER(SnapshotTable[[#This Row],[SP POW]]), SnapshotTable[[#This Row],[SP POW]] * SnapshotTable[[#This Row],[SP Potential Spend]], SnapshotTable[[#This Row],[SP Potential Spend]]), "")</f>
        <v>0</v>
      </c>
      <c r="CL189" s="164">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8"/>
      <c r="CO189" s="369"/>
      <c r="CP189" s="4" t="str">
        <f>IF(SnapshotTable[[#This Row],[SP Is Filled]], btc_max_buyback_amount(SnapshotTable[[#This Row],[SP Fill Date]],SnapshotTable[[#This Row],[SP Exp Date]], SnapshotTable[[#This Row],[SP Book Price]]),"")</f>
        <v/>
      </c>
      <c r="CQ189" s="78"/>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5" t="str">
        <f>IF(SnapshotTable[[#This Row],[SP Is Filled]], btc_next_cutoff_date(SnapshotTable[[#This Row],[SP Fill Date]],SnapshotTable[[#This Row],[SP Exp Date]]),"")</f>
        <v/>
      </c>
      <c r="CT189" s="23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3"/>
      <c r="CV189" s="235"/>
      <c r="CW189" s="378"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294" t="str">
        <f>IF(ISNUMBER((SnapshotTable[[#This Row],[SP Total Value]])), SnapshotTable[[#This Row],[SP Gain Loss]] / SnapshotTable[[#This Row],[SP Premium]], "")</f>
        <v/>
      </c>
      <c r="DI189" s="406"/>
      <c r="DJ189" s="138"/>
      <c r="DK189" s="148"/>
      <c r="DL189" s="13"/>
      <c r="DM189" s="13"/>
      <c r="DO189" s="31">
        <f>IF(SnapshotTable[[#This Row],[LC Symbol Count]]=1, SnapshotTable[[#This Row],[LC Qty]] * SnapshotTable[[#This Row],[LC Book Price]] * 100, 0)</f>
        <v>0</v>
      </c>
      <c r="DP189" s="163" t="str">
        <f>IF(AND(SnapshotTable[[#This Row],[LC Exp Date]]&gt;0, SnapshotTable[[#This Row],[LC Strike Price]]&gt;0,SnapshotTable[[#This Row],[LC Qty]]&gt;0,SnapshotTable[[#This Row],[LC Book Date]]&gt;0,SnapshotTable[[#This Row],[LC Book Price]]&gt;0,SnapshotTable[[#This Row],[LC Fill Date]]=0),"Y","")</f>
        <v/>
      </c>
      <c r="DQ189" s="386" t="str">
        <f>IF(SnapshotTable[[#This Row],[LC Premium]] &gt; 0,SnapshotTable[[#This Row],[LC Exp Date]]-MAX(SnapshotTable[[#This Row],[LC Book Date]], SnapshotTable[[#This Row],[LC Fill Date]]),"")</f>
        <v/>
      </c>
      <c r="DR189" s="386" t="str">
        <f>IF(ISNUMBER(SnapshotTable[[#This Row],[LC Term]]), SnapshotTable[[#This Row],[LC Exp Date]] - MockToday, "")</f>
        <v/>
      </c>
      <c r="DS189" s="23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40" t="str">
        <f>IF(ISNUMBER(SnapshotTable[[#This Row],[LC Actual Gain Loss]]), SnapshotTable[[#This Row],[LC Actual Gain Loss]] / SnapshotTable[[#This Row],[LC Premium]],"")</f>
        <v/>
      </c>
      <c r="DX189" s="284" t="str">
        <f>IF(ISNUMBER(SnapshotTable[[#This Row],[LC Book Price]]),SnapshotTable[[#This Row],[LC Book Price]] * 1.5,"")</f>
        <v/>
      </c>
      <c r="DY189" s="265" t="str">
        <f>IF(SnapshotTable[[#This Row],[LC Premium]]&gt;0, SnapshotTable[[#This Row],[LC Next Target]] * SnapshotTable[[#This Row],[LC Qty]] * 100,"")</f>
        <v/>
      </c>
      <c r="DZ189" s="265" t="str">
        <f>IF(ISNUMBER(SnapshotTable[[#This Row],[LC Target Gross]]), SnapshotTable[[#This Row],[LC Target Gross]] - SnapshotTable[[#This Row],[LC Premium]], "")</f>
        <v/>
      </c>
      <c r="EA189" s="305" t="str">
        <f>IF(ISNUMBER(SnapshotTable[[#This Row],[LC Target Gain Loss]]), SnapshotTable[[#This Row],[LC Target Gain Loss]]/SnapshotTable[[#This Row],[LC Premium]], "")</f>
        <v/>
      </c>
      <c r="EB189" s="262"/>
      <c r="EC189" s="283" t="str">
        <f>IF(SnapshotTable[[#This Row],[LC Premium]]&gt;0, SnapshotTable[[#This Row],[LC Book Price]] * (1 - LC_StopLoss_Pct),"")</f>
        <v/>
      </c>
      <c r="ED189" s="284"/>
      <c r="EE189" s="28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4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7"/>
      <c r="EL189" s="138"/>
      <c r="EM189" s="148"/>
      <c r="EN189" s="147"/>
      <c r="EO189" s="147"/>
      <c r="EP189" s="138"/>
      <c r="EQ189" s="419" t="b">
        <f>AND(ISNUMBER(SnapshotTable[[#This Row],[SC Exp Date]]), ISNUMBER(SnapshotTable[[#This Row],[SC Strike Price]]), ISNUMBER(SnapshotTable[[#This Row],[SC Qty]]), ISNUMBER(SnapshotTable[[#This Row],[SC Book Date]]), ISNUMBER(SnapshotTable[[#This Row],[SC Book Price]]))</f>
        <v>0</v>
      </c>
      <c r="ER189" s="419" t="b">
        <f>AND(SnapshotTable[[#This Row],[SC Is Booked]], NOT(ISBLANK(SnapshotTable[[#This Row],[SC Fill Date]])))</f>
        <v>0</v>
      </c>
      <c r="ES189" s="370"/>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3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283"/>
      <c r="FA189" s="218"/>
      <c r="FB189" s="370"/>
      <c r="FC189" s="4">
        <f>IF(SnapshotTable[[#This Row],[SC Is Filled]], btc_max_buyback_amount(SnapshotTable[[#This Row],[SC Fill Date]],SnapshotTable[[#This Row],[SC Exp Date]], SnapshotTable[[#This Row],[SC Book Price]]),0)</f>
        <v>0</v>
      </c>
      <c r="FD189" s="5"/>
      <c r="FE189" s="144"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382">
        <f>IF(SnapshotTable[[#This Row],[SC Is Filled]], IF(ISNUMBER(SnapshotTable[[#This Row],[SC Current Ask]]), SnapshotTable[[#This Row],[SC Current Ask]], SnapshotTable[[#This Row],[SC Book Price]]) - SnapshotTable[[#This Row],[SC Intrinsic Value]], 0)</f>
        <v>0</v>
      </c>
      <c r="FI189" s="143"/>
      <c r="FJ189" s="32" t="str">
        <f>IF(SnapshotTable[[#This Row],[SC Is Filled]],100 * SnapshotTable[[#This Row],[SC Qty]] * IF(ISNUMBER(SnapshotTable[[#This Row],[SC Buyback Override]]), SnapshotTable[[#This Row],[SC Buyback Override]], SnapshotTable[[#This Row],[SC Current Ask]]), "")</f>
        <v/>
      </c>
      <c r="FK189" s="250" t="str">
        <f>IF(SnapshotTable[[#This Row],[SC Time Val]]&gt;0, SnapshotTable[[#This Row],[SC Time Val]] / SnapshotTable[[#This Row],[Last Price]],"")</f>
        <v/>
      </c>
      <c r="FL189" s="302" t="str">
        <f>IF(SnapshotTable[[#This Row],[SC Is Booked]], ((SnapshotTable[[#This Row],[Last Price]] -SnapshotTable[[#This Row],[SC Strike Price]]) / SnapshotTable[[#This Row],[Last Price]]) * -1, "")</f>
        <v/>
      </c>
      <c r="FM189" s="157"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33"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36" t="str">
        <f>IF(AND(ISNUMBER(SnapshotTable[[#This Row],[SC Simple ROO]]),SnapshotTable[[#This Row],[SC Simple ROO]] &gt; 0), SnapshotTable[[#This Row],[SC Premium]] + (SnapshotTable[[#This Row],[SC Qty]] * SnapshotTable[[#This Row],[SC Upside Potential]]), "")</f>
        <v/>
      </c>
      <c r="FX189" s="302" t="str" cm="1">
        <f t="array" ref="FX189">IF(ISNUMBER(SnapshotTable[[#This Row],[SC Max Dollars]]), annualize(SnapshotTable[[#This Row],[SC Term]],(SnapshotTable[[#This Row],[SC Max Dollars]]/SnapshotTable[[#This Row],[SC Basis]])),"")</f>
        <v/>
      </c>
      <c r="FY189" s="23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29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55.936</v>
      </c>
      <c r="GD189" s="40">
        <f>SnapshotTable[[#This Row],[Last Price]] * (1+ SellingPriceToConsiderBasedOnTargetPercentage)</f>
        <v>71.974499999999992</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714</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31">
        <f>MAX(SnapshotTable[[#This Row],[Equity Basis Total]],SnapshotTable[[#This Row],[Equity Value]]) + (SnapshotTable[[#This Row],[SP Potential Spend]]- SnapshotTable[[#This Row],[SP Premium]] + SnapshotTable[[#This Row],[LP Premium]])+ (SnapshotTable[[#This Row],[LC Premium]] - SnapshotTable[[#This Row],[SC Premium]])</f>
        <v>0</v>
      </c>
      <c r="GW189" s="139" t="str">
        <f>IF(AND(SnapshotTable[[#This Row],[Exposure]] &lt;&gt; 0),SnapshotTable[[#This Row],[Exposure]] / SnapshotTable[[#Totals],[Exposure]], "")</f>
        <v/>
      </c>
      <c r="HE189" s="268"/>
      <c r="HF189" s="268"/>
      <c r="HK189" s="1"/>
      <c r="HL189" s="1"/>
      <c r="HM189" s="1"/>
      <c r="HN189" s="1"/>
      <c r="HO189" s="1"/>
      <c r="HP189" s="1"/>
    </row>
    <row r="190" spans="2:224" ht="12.75" hidden="1" customHeight="1" x14ac:dyDescent="0.25">
      <c r="B190" s="12" t="s">
        <v>169</v>
      </c>
      <c r="C190" s="422">
        <v>379.12</v>
      </c>
      <c r="D190" s="208"/>
      <c r="E190" s="39">
        <f>SnapshotTable[[#This Row],[Last Price]]*(1 -CrashDiscount)</f>
        <v>322.25200000000001</v>
      </c>
      <c r="F190" s="26" t="s">
        <v>5</v>
      </c>
      <c r="G190" s="26" t="s">
        <v>4</v>
      </c>
      <c r="H190" s="149"/>
      <c r="I190" s="194">
        <v>44741.291666666664</v>
      </c>
      <c r="J190" s="195">
        <v>44741.291666666664</v>
      </c>
      <c r="K190" s="196" t="s">
        <v>3</v>
      </c>
      <c r="L190" s="326"/>
      <c r="M190" s="140"/>
      <c r="N190" s="140"/>
      <c r="O190" s="140">
        <v>2</v>
      </c>
      <c r="P190" s="22"/>
      <c r="Q190" s="25"/>
      <c r="R190" s="4" t="str">
        <f>IF(SnapshotTable[[#This Row],[Equity Basis Total]] &gt; 0, SnapshotTable[[#This Row],[Equity Basis Total]] / SnapshotTable[[#This Row],[Equity Shares]], "")</f>
        <v/>
      </c>
      <c r="S190" s="269">
        <f>SnapshotTable[[#This Row],[Last Price]] * SnapshotTable[[#This Row],[Equity Shares]]</f>
        <v>0</v>
      </c>
      <c r="T190" s="269">
        <f>SnapshotTable[[#This Row],[Equity Value]] - SnapshotTable[[#This Row],[Equity Basis Total]]</f>
        <v>0</v>
      </c>
      <c r="U190" s="270" t="str">
        <f>IF(SnapshotTable[[#This Row],[Equity Basis Total]] &gt; 0, SnapshotTable[[#This Row],[Equity G/L]] / SnapshotTable[[#This Row],[Equity Basis Total]], "")</f>
        <v/>
      </c>
      <c r="V190" s="268"/>
      <c r="W190" s="26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7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0">
        <v>0</v>
      </c>
      <c r="AD190" s="151" t="s">
        <v>2</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0</v>
      </c>
      <c r="AH190" s="151" t="s">
        <v>2</v>
      </c>
      <c r="AI190" s="5"/>
      <c r="AJ190" s="138" t="s">
        <v>164</v>
      </c>
      <c r="AK190" s="152" t="str">
        <f>IF(ISNUMBER( SnapshotTable[[#This Row],[EBF Target]]),(SnapshotTable[[#This Row],[EBF Target]] - SnapshotTable[[#This Row],[Last Price]]) / SnapshotTable[[#This Row],[Last Price]], "")</f>
        <v/>
      </c>
      <c r="AL190" s="152"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2" t="str">
        <f>IF(AND(ISNUMBER( SnapshotTable[[#This Row],[Long Term Target]]), ISNUMBER(SnapshotTable[[#This Row],[Last Price]])),(SnapshotTable[[#This Row],[Long Term Target]] - SnapshotTable[[#This Row],[Last Price]]) / SnapshotTable[[#This Row],[Last Price]], "")</f>
        <v/>
      </c>
      <c r="AP190" s="5">
        <v>370</v>
      </c>
      <c r="AQ190" s="38" t="s">
        <v>168</v>
      </c>
      <c r="AR190" s="5"/>
      <c r="AS190" s="38" t="s">
        <v>45</v>
      </c>
      <c r="AT190" s="146"/>
      <c r="AU190" s="187" t="str">
        <f>IF(OR(SnapshotTable[[#This Row],[LP No Fill]]="Y",SnapshotTable[[#This Row],[SP Is Filled]],SnapshotTable[[#This Row],[LC Not Filled]]="Y",SnapshotTable[[#This Row],[SC Is Filled]]),"Y","")</f>
        <v/>
      </c>
      <c r="AV190" s="219"/>
      <c r="AW190" s="225"/>
      <c r="AX190" s="220"/>
      <c r="AY190" s="219" t="str">
        <f>IF(SnapshotTable[[#This Row],[Implied Move]]&gt;0, SnapshotTable[[#This Row],[Last Price]]-SnapshotTable[[#This Row],[Implied Move]],"")</f>
        <v/>
      </c>
      <c r="AZ190" s="219" t="str">
        <f>IF(SnapshotTable[[#This Row],[Implied Move]]&gt;0, SnapshotTable[[#This Row],[Last Price]] + SnapshotTable[[#This Row],[Implied Move]],"")</f>
        <v/>
      </c>
      <c r="BA190" s="331">
        <v>354.87</v>
      </c>
      <c r="BB190" s="347"/>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51"/>
      <c r="BE190" s="5"/>
      <c r="BF190" s="14"/>
      <c r="BG190" s="13"/>
      <c r="BH190" s="13"/>
      <c r="BI190" s="5"/>
      <c r="BJ190" s="136">
        <f>IF(SnapshotTable[[#This Row],[LP Qty]] &gt; 0, SnapshotTable[[#This Row],[LP Qty]] * SnapshotTable[[#This Row],[LP Book Price]] * 100,0)</f>
        <v>0</v>
      </c>
      <c r="BK190" s="136">
        <f>IF(SnapshotTable[[#This Row],[LP Premium]] &gt; 0, SnapshotTable[[#This Row],[LP Qty]] * SnapshotTable[[#This Row],[LP Strike Price]] * 100,0)</f>
        <v>0</v>
      </c>
      <c r="BL190" s="154"/>
      <c r="BM190" s="385" t="str">
        <f>IF(SnapshotTable[[#This Row],[LP Premium]] &gt; 0,SnapshotTable[[#This Row],[LP Exp Date]]-MAX(SnapshotTable[[#This Row],[LP Book Date]], SnapshotTable[[#This Row],[LP Fill Date]]),"")</f>
        <v/>
      </c>
      <c r="BN190" s="385" t="str">
        <f>IF(ISNUMBER( SnapshotTable[[#This Row],[LP Term]]), SnapshotTable[[#This Row],[LP Exp Date]] - MockToday,"")</f>
        <v/>
      </c>
      <c r="BO190" s="163"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7"/>
      <c r="BU190" s="13"/>
      <c r="BV190" s="5"/>
      <c r="BW190" s="419" t="b">
        <f>AND(ISNUMBER(SnapshotTable[[#This Row],[SP Exp Date]]), ISNUMBER(SnapshotTable[[#This Row],[SP Strike Price]]), ISNUMBER(SnapshotTable[[#This Row],[SP Qty]]), ISNUMBER(SnapshotTable[[#This Row],[SP Book Date]]), ISNUMBER(SnapshotTable[[#This Row],[SP Book Price]]))</f>
        <v>0</v>
      </c>
      <c r="BX190" s="419" t="b">
        <f>AND(SnapshotTable[[#This Row],[SP Is Booked]], NOT(ISBLANK(SnapshotTable[[#This Row],[SP Fill Date]])))</f>
        <v>0</v>
      </c>
      <c r="BY190" s="33">
        <f>IF(SnapshotTable[[#This Row],[SP Is Booked]], SnapshotTable[[#This Row],[SP Qty]] * SnapshotTable[[#This Row],[SP Book Price]] * 100, 0)</f>
        <v>0</v>
      </c>
      <c r="BZ190" s="369"/>
      <c r="CA190" s="368">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3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44"/>
      <c r="CK190" s="31">
        <f>IF(ISNUMBER(SnapshotTable[[#This Row],[SP Potential Spend]]),IF(ISNUMBER(SnapshotTable[[#This Row],[SP POW]]), SnapshotTable[[#This Row],[SP POW]] * SnapshotTable[[#This Row],[SP Potential Spend]], SnapshotTable[[#This Row],[SP Potential Spend]]), "")</f>
        <v>0</v>
      </c>
      <c r="CL190" s="164">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8"/>
      <c r="CO190" s="369"/>
      <c r="CP190" s="4" t="str">
        <f>IF(SnapshotTable[[#This Row],[SP Is Filled]], btc_max_buyback_amount(SnapshotTable[[#This Row],[SP Fill Date]],SnapshotTable[[#This Row],[SP Exp Date]], SnapshotTable[[#This Row],[SP Book Price]]),"")</f>
        <v/>
      </c>
      <c r="CQ190" s="78"/>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5" t="str">
        <f>IF(SnapshotTable[[#This Row],[SP Is Filled]], btc_next_cutoff_date(SnapshotTable[[#This Row],[SP Fill Date]],SnapshotTable[[#This Row],[SP Exp Date]]),"")</f>
        <v/>
      </c>
      <c r="CT190" s="23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3"/>
      <c r="CV190" s="235"/>
      <c r="CW190" s="378"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294" t="str">
        <f>IF(ISNUMBER((SnapshotTable[[#This Row],[SP Total Value]])), SnapshotTable[[#This Row],[SP Gain Loss]] / SnapshotTable[[#This Row],[SP Premium]], "")</f>
        <v/>
      </c>
      <c r="DI190" s="406"/>
      <c r="DJ190" s="138"/>
      <c r="DK190" s="148"/>
      <c r="DL190" s="13"/>
      <c r="DM190" s="13"/>
      <c r="DO190" s="31">
        <f>IF(SnapshotTable[[#This Row],[LC Symbol Count]]=1, SnapshotTable[[#This Row],[LC Qty]] * SnapshotTable[[#This Row],[LC Book Price]] * 100, 0)</f>
        <v>0</v>
      </c>
      <c r="DP190" s="163" t="str">
        <f>IF(AND(SnapshotTable[[#This Row],[LC Exp Date]]&gt;0, SnapshotTable[[#This Row],[LC Strike Price]]&gt;0,SnapshotTable[[#This Row],[LC Qty]]&gt;0,SnapshotTable[[#This Row],[LC Book Date]]&gt;0,SnapshotTable[[#This Row],[LC Book Price]]&gt;0,SnapshotTable[[#This Row],[LC Fill Date]]=0),"Y","")</f>
        <v/>
      </c>
      <c r="DQ190" s="386" t="str">
        <f>IF(SnapshotTable[[#This Row],[LC Premium]] &gt; 0,SnapshotTable[[#This Row],[LC Exp Date]]-MAX(SnapshotTable[[#This Row],[LC Book Date]], SnapshotTable[[#This Row],[LC Fill Date]]),"")</f>
        <v/>
      </c>
      <c r="DR190" s="386" t="str">
        <f>IF(ISNUMBER(SnapshotTable[[#This Row],[LC Term]]), SnapshotTable[[#This Row],[LC Exp Date]] - MockToday, "")</f>
        <v/>
      </c>
      <c r="DS190" s="23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40" t="str">
        <f>IF(ISNUMBER(SnapshotTable[[#This Row],[LC Actual Gain Loss]]), SnapshotTable[[#This Row],[LC Actual Gain Loss]] / SnapshotTable[[#This Row],[LC Premium]],"")</f>
        <v/>
      </c>
      <c r="DX190" s="284" t="str">
        <f>IF(ISNUMBER(SnapshotTable[[#This Row],[LC Book Price]]),SnapshotTable[[#This Row],[LC Book Price]] * 1.5,"")</f>
        <v/>
      </c>
      <c r="DY190" s="265" t="str">
        <f>IF(SnapshotTable[[#This Row],[LC Premium]]&gt;0, SnapshotTable[[#This Row],[LC Next Target]] * SnapshotTable[[#This Row],[LC Qty]] * 100,"")</f>
        <v/>
      </c>
      <c r="DZ190" s="265" t="str">
        <f>IF(ISNUMBER(SnapshotTable[[#This Row],[LC Target Gross]]), SnapshotTable[[#This Row],[LC Target Gross]] - SnapshotTable[[#This Row],[LC Premium]], "")</f>
        <v/>
      </c>
      <c r="EA190" s="305" t="str">
        <f>IF(ISNUMBER(SnapshotTable[[#This Row],[LC Target Gain Loss]]), SnapshotTable[[#This Row],[LC Target Gain Loss]]/SnapshotTable[[#This Row],[LC Premium]], "")</f>
        <v/>
      </c>
      <c r="EB190" s="262"/>
      <c r="EC190" s="283" t="str">
        <f>IF(SnapshotTable[[#This Row],[LC Premium]]&gt;0, SnapshotTable[[#This Row],[LC Book Price]] * (1 - LC_StopLoss_Pct),"")</f>
        <v/>
      </c>
      <c r="ED190" s="284"/>
      <c r="EE190" s="28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4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7"/>
      <c r="EL190" s="138"/>
      <c r="EM190" s="148"/>
      <c r="EN190" s="147"/>
      <c r="EO190" s="147"/>
      <c r="EP190" s="138"/>
      <c r="EQ190" s="419" t="b">
        <f>AND(ISNUMBER(SnapshotTable[[#This Row],[SC Exp Date]]), ISNUMBER(SnapshotTable[[#This Row],[SC Strike Price]]), ISNUMBER(SnapshotTable[[#This Row],[SC Qty]]), ISNUMBER(SnapshotTable[[#This Row],[SC Book Date]]), ISNUMBER(SnapshotTable[[#This Row],[SC Book Price]]))</f>
        <v>0</v>
      </c>
      <c r="ER190" s="419" t="b">
        <f>AND(SnapshotTable[[#This Row],[SC Is Booked]], NOT(ISBLANK(SnapshotTable[[#This Row],[SC Fill Date]])))</f>
        <v>0</v>
      </c>
      <c r="ES190" s="370"/>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3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283"/>
      <c r="FA190" s="218"/>
      <c r="FB190" s="370"/>
      <c r="FC190" s="4">
        <f>IF(SnapshotTable[[#This Row],[SC Is Filled]], btc_max_buyback_amount(SnapshotTable[[#This Row],[SC Fill Date]],SnapshotTable[[#This Row],[SC Exp Date]], SnapshotTable[[#This Row],[SC Book Price]]),0)</f>
        <v>0</v>
      </c>
      <c r="FD190" s="5"/>
      <c r="FE190" s="144"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382">
        <f>IF(SnapshotTable[[#This Row],[SC Is Filled]], IF(ISNUMBER(SnapshotTable[[#This Row],[SC Current Ask]]), SnapshotTable[[#This Row],[SC Current Ask]], SnapshotTable[[#This Row],[SC Book Price]]) - SnapshotTable[[#This Row],[SC Intrinsic Value]], 0)</f>
        <v>0</v>
      </c>
      <c r="FI190" s="143"/>
      <c r="FJ190" s="32" t="str">
        <f>IF(SnapshotTable[[#This Row],[SC Is Filled]],100 * SnapshotTable[[#This Row],[SC Qty]] * IF(ISNUMBER(SnapshotTable[[#This Row],[SC Buyback Override]]), SnapshotTable[[#This Row],[SC Buyback Override]], SnapshotTable[[#This Row],[SC Current Ask]]), "")</f>
        <v/>
      </c>
      <c r="FK190" s="250" t="str">
        <f>IF(SnapshotTable[[#This Row],[SC Time Val]]&gt;0, SnapshotTable[[#This Row],[SC Time Val]] / SnapshotTable[[#This Row],[Last Price]],"")</f>
        <v/>
      </c>
      <c r="FL190" s="302" t="str">
        <f>IF(SnapshotTable[[#This Row],[SC Is Booked]], ((SnapshotTable[[#This Row],[Last Price]] -SnapshotTable[[#This Row],[SC Strike Price]]) / SnapshotTable[[#This Row],[Last Price]]) * -1, "")</f>
        <v/>
      </c>
      <c r="FM190" s="157"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33"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36" t="str">
        <f>IF(AND(ISNUMBER(SnapshotTable[[#This Row],[SC Simple ROO]]),SnapshotTable[[#This Row],[SC Simple ROO]] &gt; 0), SnapshotTable[[#This Row],[SC Premium]] + (SnapshotTable[[#This Row],[SC Qty]] * SnapshotTable[[#This Row],[SC Upside Potential]]), "")</f>
        <v/>
      </c>
      <c r="FX190" s="302" t="str" cm="1">
        <f t="array" ref="FX190">IF(ISNUMBER(SnapshotTable[[#This Row],[SC Max Dollars]]), annualize(SnapshotTable[[#This Row],[SC Term]],(SnapshotTable[[#This Row],[SC Max Dollars]]/SnapshotTable[[#This Row],[SC Basis]])),"")</f>
        <v/>
      </c>
      <c r="FY190" s="23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294" t="str">
        <f>IFERROR( IF(ISNUMBER((SnapshotTable[[#This Row],[SC Current Value]])), SnapshotTable[[#This Row],[SC Gain Loss]] / SnapshotTable[[#This Row],[SC Premium]], ""), "")</f>
        <v/>
      </c>
      <c r="GB190" s="42">
        <f>SnapshotTable[[#This Row],[Equity Shares]] * SaleSharesToConsiderPercentage</f>
        <v>0</v>
      </c>
      <c r="GC190" s="40" t="e">
        <f>SnapshotTable[[#This Row],[Long Term Target]] * SellingPriceToConsiderBasedOnTargetPercentage</f>
        <v>#VALUE!</v>
      </c>
      <c r="GD190" s="40">
        <f>SnapshotTable[[#This Row],[Last Price]] * (1+ SellingPriceToConsiderBasedOnTargetPercentage)</f>
        <v>739.28399999999999</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715</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31">
        <f>MAX(SnapshotTable[[#This Row],[Equity Basis Total]],SnapshotTable[[#This Row],[Equity Value]]) + (SnapshotTable[[#This Row],[SP Potential Spend]]- SnapshotTable[[#This Row],[SP Premium]] + SnapshotTable[[#This Row],[LP Premium]])+ (SnapshotTable[[#This Row],[LC Premium]] - SnapshotTable[[#This Row],[SC Premium]])</f>
        <v>0</v>
      </c>
      <c r="GW190" s="139" t="str">
        <f>IF(AND(SnapshotTable[[#This Row],[Exposure]] &lt;&gt; 0),SnapshotTable[[#This Row],[Exposure]] / SnapshotTable[[#Totals],[Exposure]], "")</f>
        <v/>
      </c>
      <c r="HE190" s="268"/>
      <c r="HF190" s="268"/>
      <c r="HK190" s="1"/>
      <c r="HL190" s="1"/>
      <c r="HM190" s="1"/>
      <c r="HN190" s="1"/>
      <c r="HO190" s="1"/>
      <c r="HP190" s="1"/>
    </row>
    <row r="191" spans="2:224" ht="12.75" hidden="1" customHeight="1" x14ac:dyDescent="0.25">
      <c r="B191" s="12" t="s">
        <v>238</v>
      </c>
      <c r="C191" s="422">
        <v>82.13</v>
      </c>
      <c r="D191" s="208" t="s">
        <v>578</v>
      </c>
      <c r="E191" s="39">
        <f>SnapshotTable[[#This Row],[Last Price]]*(1 -CrashDiscount)</f>
        <v>69.81049999999999</v>
      </c>
      <c r="F191" s="26" t="s">
        <v>236</v>
      </c>
      <c r="G191" s="26" t="s">
        <v>17</v>
      </c>
      <c r="H191" s="149"/>
      <c r="I191" s="194">
        <v>44859.25</v>
      </c>
      <c r="J191" s="195">
        <v>44859.25</v>
      </c>
      <c r="K191" s="196" t="s">
        <v>3</v>
      </c>
      <c r="L191" s="326"/>
      <c r="M191" s="140"/>
      <c r="N191" s="140"/>
      <c r="O191" s="140"/>
      <c r="P191" s="22"/>
      <c r="Q191" s="25"/>
      <c r="R191" s="4" t="str">
        <f>IF(SnapshotTable[[#This Row],[Equity Basis Total]] &gt; 0, SnapshotTable[[#This Row],[Equity Basis Total]] / SnapshotTable[[#This Row],[Equity Shares]], "")</f>
        <v/>
      </c>
      <c r="S191" s="269">
        <f>SnapshotTable[[#This Row],[Last Price]] * SnapshotTable[[#This Row],[Equity Shares]]</f>
        <v>0</v>
      </c>
      <c r="T191" s="269">
        <f>SnapshotTable[[#This Row],[Equity Value]] - SnapshotTable[[#This Row],[Equity Basis Total]]</f>
        <v>0</v>
      </c>
      <c r="U191" s="270" t="str">
        <f>IF(SnapshotTable[[#This Row],[Equity Basis Total]] &gt; 0, SnapshotTable[[#This Row],[Equity G/L]] / SnapshotTable[[#This Row],[Equity Basis Total]], "")</f>
        <v/>
      </c>
      <c r="V191" s="268"/>
      <c r="W191" s="26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7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0"/>
      <c r="AD191" s="151"/>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1"/>
      <c r="AI191" s="5"/>
      <c r="AJ191" s="138">
        <v>70.83</v>
      </c>
      <c r="AK191" s="152" t="str">
        <f>IF(ISNUMBER( SnapshotTable[[#This Row],[EBF Target]]),(SnapshotTable[[#This Row],[EBF Target]] - SnapshotTable[[#This Row],[Last Price]]) / SnapshotTable[[#This Row],[Last Price]], "")</f>
        <v/>
      </c>
      <c r="AL191" s="152"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2">
        <f>IF(AND(ISNUMBER( SnapshotTable[[#This Row],[Long Term Target]]), ISNUMBER(SnapshotTable[[#This Row],[Last Price]])),(SnapshotTable[[#This Row],[Long Term Target]] - SnapshotTable[[#This Row],[Last Price]]) / SnapshotTable[[#This Row],[Last Price]], "")</f>
        <v>-0.13758675270911966</v>
      </c>
      <c r="AP191" s="5"/>
      <c r="AQ191" s="38"/>
      <c r="AR191" s="5"/>
      <c r="AS191" s="38"/>
      <c r="AT191" s="146"/>
      <c r="AU191" s="187" t="str">
        <f>IF(OR(SnapshotTable[[#This Row],[LP No Fill]]="Y",SnapshotTable[[#This Row],[SP Is Filled]],SnapshotTable[[#This Row],[LC Not Filled]]="Y",SnapshotTable[[#This Row],[SC Is Filled]]),"Y","")</f>
        <v/>
      </c>
      <c r="AV191" s="219"/>
      <c r="AW191" s="225"/>
      <c r="AX191" s="220"/>
      <c r="AY191" s="219" t="str">
        <f>IF(SnapshotTable[[#This Row],[Implied Move]]&gt;0, SnapshotTable[[#This Row],[Last Price]]-SnapshotTable[[#This Row],[Implied Move]],"")</f>
        <v/>
      </c>
      <c r="AZ191" s="219" t="str">
        <f>IF(SnapshotTable[[#This Row],[Implied Move]]&gt;0, SnapshotTable[[#This Row],[Last Price]] + SnapshotTable[[#This Row],[Implied Move]],"")</f>
        <v/>
      </c>
      <c r="BA191" s="331">
        <v>6.44</v>
      </c>
      <c r="BB191" s="347"/>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51"/>
      <c r="BE191" s="5"/>
      <c r="BF191" s="14"/>
      <c r="BG191" s="13"/>
      <c r="BH191" s="13"/>
      <c r="BI191" s="5"/>
      <c r="BJ191" s="136">
        <f>IF(SnapshotTable[[#This Row],[LP Qty]] &gt; 0, SnapshotTable[[#This Row],[LP Qty]] * SnapshotTable[[#This Row],[LP Book Price]] * 100,0)</f>
        <v>0</v>
      </c>
      <c r="BK191" s="136">
        <f>IF(SnapshotTable[[#This Row],[LP Premium]] &gt; 0, SnapshotTable[[#This Row],[LP Qty]] * SnapshotTable[[#This Row],[LP Strike Price]] * 100,0)</f>
        <v>0</v>
      </c>
      <c r="BL191" s="154"/>
      <c r="BM191" s="385" t="str">
        <f>IF(SnapshotTable[[#This Row],[LP Premium]] &gt; 0,SnapshotTable[[#This Row],[LP Exp Date]]-MAX(SnapshotTable[[#This Row],[LP Book Date]], SnapshotTable[[#This Row],[LP Fill Date]]),"")</f>
        <v/>
      </c>
      <c r="BN191" s="385" t="str">
        <f>IF(ISNUMBER( SnapshotTable[[#This Row],[LP Term]]), SnapshotTable[[#This Row],[LP Exp Date]] - MockToday,"")</f>
        <v/>
      </c>
      <c r="BO191" s="163"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7"/>
      <c r="BU191" s="13"/>
      <c r="BV191" s="5"/>
      <c r="BW191" s="419" t="b">
        <f>AND(ISNUMBER(SnapshotTable[[#This Row],[SP Exp Date]]), ISNUMBER(SnapshotTable[[#This Row],[SP Strike Price]]), ISNUMBER(SnapshotTable[[#This Row],[SP Qty]]), ISNUMBER(SnapshotTable[[#This Row],[SP Book Date]]), ISNUMBER(SnapshotTable[[#This Row],[SP Book Price]]))</f>
        <v>0</v>
      </c>
      <c r="BX191" s="419" t="b">
        <f>AND(SnapshotTable[[#This Row],[SP Is Booked]], NOT(ISBLANK(SnapshotTable[[#This Row],[SP Fill Date]])))</f>
        <v>0</v>
      </c>
      <c r="BY191" s="33">
        <f>IF(SnapshotTable[[#This Row],[SP Is Booked]], SnapshotTable[[#This Row],[SP Qty]] * SnapshotTable[[#This Row],[SP Book Price]] * 100, 0)</f>
        <v>0</v>
      </c>
      <c r="BZ191" s="369"/>
      <c r="CA191" s="368">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3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44"/>
      <c r="CK191" s="31">
        <f>IF(ISNUMBER(SnapshotTable[[#This Row],[SP Potential Spend]]),IF(ISNUMBER(SnapshotTable[[#This Row],[SP POW]]), SnapshotTable[[#This Row],[SP POW]] * SnapshotTable[[#This Row],[SP Potential Spend]], SnapshotTable[[#This Row],[SP Potential Spend]]), "")</f>
        <v>0</v>
      </c>
      <c r="CL191" s="164">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8"/>
      <c r="CO191" s="369"/>
      <c r="CP191" s="4" t="str">
        <f>IF(SnapshotTable[[#This Row],[SP Is Filled]], btc_max_buyback_amount(SnapshotTable[[#This Row],[SP Fill Date]],SnapshotTable[[#This Row],[SP Exp Date]], SnapshotTable[[#This Row],[SP Book Price]]),"")</f>
        <v/>
      </c>
      <c r="CQ191" s="78"/>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5" t="str">
        <f>IF(SnapshotTable[[#This Row],[SP Is Filled]], btc_next_cutoff_date(SnapshotTable[[#This Row],[SP Fill Date]],SnapshotTable[[#This Row],[SP Exp Date]]),"")</f>
        <v/>
      </c>
      <c r="CT191" s="23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3"/>
      <c r="CV191" s="235"/>
      <c r="CW191" s="378"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294" t="str">
        <f>IF(ISNUMBER((SnapshotTable[[#This Row],[SP Total Value]])), SnapshotTable[[#This Row],[SP Gain Loss]] / SnapshotTable[[#This Row],[SP Premium]], "")</f>
        <v/>
      </c>
      <c r="DI191" s="406"/>
      <c r="DJ191" s="138"/>
      <c r="DK191" s="148"/>
      <c r="DL191" s="13"/>
      <c r="DM191" s="13"/>
      <c r="DO191" s="31">
        <f>IF(SnapshotTable[[#This Row],[LC Symbol Count]]=1, SnapshotTable[[#This Row],[LC Qty]] * SnapshotTable[[#This Row],[LC Book Price]] * 100, 0)</f>
        <v>0</v>
      </c>
      <c r="DP191" s="163" t="str">
        <f>IF(AND(SnapshotTable[[#This Row],[LC Exp Date]]&gt;0, SnapshotTable[[#This Row],[LC Strike Price]]&gt;0,SnapshotTable[[#This Row],[LC Qty]]&gt;0,SnapshotTable[[#This Row],[LC Book Date]]&gt;0,SnapshotTable[[#This Row],[LC Book Price]]&gt;0,SnapshotTable[[#This Row],[LC Fill Date]]=0),"Y","")</f>
        <v/>
      </c>
      <c r="DQ191" s="386" t="str">
        <f>IF(SnapshotTable[[#This Row],[LC Premium]] &gt; 0,SnapshotTable[[#This Row],[LC Exp Date]]-MAX(SnapshotTable[[#This Row],[LC Book Date]], SnapshotTable[[#This Row],[LC Fill Date]]),"")</f>
        <v/>
      </c>
      <c r="DR191" s="386" t="str">
        <f>IF(ISNUMBER(SnapshotTable[[#This Row],[LC Term]]), SnapshotTable[[#This Row],[LC Exp Date]] - MockToday, "")</f>
        <v/>
      </c>
      <c r="DS191" s="23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40" t="str">
        <f>IF(ISNUMBER(SnapshotTable[[#This Row],[LC Actual Gain Loss]]), SnapshotTable[[#This Row],[LC Actual Gain Loss]] / SnapshotTable[[#This Row],[LC Premium]],"")</f>
        <v/>
      </c>
      <c r="DX191" s="284" t="str">
        <f>IF(ISNUMBER(SnapshotTable[[#This Row],[LC Book Price]]),SnapshotTable[[#This Row],[LC Book Price]] * 1.5,"")</f>
        <v/>
      </c>
      <c r="DY191" s="265" t="str">
        <f>IF(SnapshotTable[[#This Row],[LC Premium]]&gt;0, SnapshotTable[[#This Row],[LC Next Target]] * SnapshotTable[[#This Row],[LC Qty]] * 100,"")</f>
        <v/>
      </c>
      <c r="DZ191" s="265" t="str">
        <f>IF(ISNUMBER(SnapshotTable[[#This Row],[LC Target Gross]]), SnapshotTable[[#This Row],[LC Target Gross]] - SnapshotTable[[#This Row],[LC Premium]], "")</f>
        <v/>
      </c>
      <c r="EA191" s="305" t="str">
        <f>IF(ISNUMBER(SnapshotTable[[#This Row],[LC Target Gain Loss]]), SnapshotTable[[#This Row],[LC Target Gain Loss]]/SnapshotTable[[#This Row],[LC Premium]], "")</f>
        <v/>
      </c>
      <c r="EB191" s="262"/>
      <c r="EC191" s="283" t="str">
        <f>IF(SnapshotTable[[#This Row],[LC Premium]]&gt;0, SnapshotTable[[#This Row],[LC Book Price]] * (1 - LC_StopLoss_Pct),"")</f>
        <v/>
      </c>
      <c r="ED191" s="284"/>
      <c r="EE191" s="28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4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7"/>
      <c r="EL191" s="138"/>
      <c r="EM191" s="148"/>
      <c r="EN191" s="147"/>
      <c r="EO191" s="147"/>
      <c r="EP191" s="138"/>
      <c r="EQ191" s="419" t="b">
        <f>AND(ISNUMBER(SnapshotTable[[#This Row],[SC Exp Date]]), ISNUMBER(SnapshotTable[[#This Row],[SC Strike Price]]), ISNUMBER(SnapshotTable[[#This Row],[SC Qty]]), ISNUMBER(SnapshotTable[[#This Row],[SC Book Date]]), ISNUMBER(SnapshotTable[[#This Row],[SC Book Price]]))</f>
        <v>0</v>
      </c>
      <c r="ER191" s="419" t="b">
        <f>AND(SnapshotTable[[#This Row],[SC Is Booked]], NOT(ISBLANK(SnapshotTable[[#This Row],[SC Fill Date]])))</f>
        <v>0</v>
      </c>
      <c r="ES191" s="370"/>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3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283"/>
      <c r="FA191" s="218"/>
      <c r="FB191" s="370"/>
      <c r="FC191" s="4">
        <f>IF(SnapshotTable[[#This Row],[SC Is Filled]], btc_max_buyback_amount(SnapshotTable[[#This Row],[SC Fill Date]],SnapshotTable[[#This Row],[SC Exp Date]], SnapshotTable[[#This Row],[SC Book Price]]),0)</f>
        <v>0</v>
      </c>
      <c r="FD191" s="5"/>
      <c r="FE191" s="144"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382">
        <f>IF(SnapshotTable[[#This Row],[SC Is Filled]], IF(ISNUMBER(SnapshotTable[[#This Row],[SC Current Ask]]), SnapshotTable[[#This Row],[SC Current Ask]], SnapshotTable[[#This Row],[SC Book Price]]) - SnapshotTable[[#This Row],[SC Intrinsic Value]], 0)</f>
        <v>0</v>
      </c>
      <c r="FI191" s="143"/>
      <c r="FJ191" s="32" t="str">
        <f>IF(SnapshotTable[[#This Row],[SC Is Filled]],100 * SnapshotTable[[#This Row],[SC Qty]] * IF(ISNUMBER(SnapshotTable[[#This Row],[SC Buyback Override]]), SnapshotTable[[#This Row],[SC Buyback Override]], SnapshotTable[[#This Row],[SC Current Ask]]), "")</f>
        <v/>
      </c>
      <c r="FK191" s="250" t="str">
        <f>IF(SnapshotTable[[#This Row],[SC Time Val]]&gt;0, SnapshotTable[[#This Row],[SC Time Val]] / SnapshotTable[[#This Row],[Last Price]],"")</f>
        <v/>
      </c>
      <c r="FL191" s="302" t="str">
        <f>IF(SnapshotTable[[#This Row],[SC Is Booked]], ((SnapshotTable[[#This Row],[Last Price]] -SnapshotTable[[#This Row],[SC Strike Price]]) / SnapshotTable[[#This Row],[Last Price]]) * -1, "")</f>
        <v/>
      </c>
      <c r="FM191" s="157"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33"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36" t="str">
        <f>IF(AND(ISNUMBER(SnapshotTable[[#This Row],[SC Simple ROO]]),SnapshotTable[[#This Row],[SC Simple ROO]] &gt; 0), SnapshotTable[[#This Row],[SC Premium]] + (SnapshotTable[[#This Row],[SC Qty]] * SnapshotTable[[#This Row],[SC Upside Potential]]), "")</f>
        <v/>
      </c>
      <c r="FX191" s="302" t="str" cm="1">
        <f t="array" ref="FX191">IF(ISNUMBER(SnapshotTable[[#This Row],[SC Max Dollars]]), annualize(SnapshotTable[[#This Row],[SC Term]],(SnapshotTable[[#This Row],[SC Max Dollars]]/SnapshotTable[[#This Row],[SC Basis]])),"")</f>
        <v/>
      </c>
      <c r="FY191" s="23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29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67.288499999999999</v>
      </c>
      <c r="GD191" s="40">
        <f>SnapshotTable[[#This Row],[Last Price]] * (1+ SellingPriceToConsiderBasedOnTargetPercentage)</f>
        <v>160.15349999999998</v>
      </c>
      <c r="GE191" s="41"/>
      <c r="GF191" s="40">
        <v>45</v>
      </c>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1059</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31">
        <f>MAX(SnapshotTable[[#This Row],[Equity Basis Total]],SnapshotTable[[#This Row],[Equity Value]]) + (SnapshotTable[[#This Row],[SP Potential Spend]]- SnapshotTable[[#This Row],[SP Premium]] + SnapshotTable[[#This Row],[LP Premium]])+ (SnapshotTable[[#This Row],[LC Premium]] - SnapshotTable[[#This Row],[SC Premium]])</f>
        <v>0</v>
      </c>
      <c r="GW191" s="139" t="str">
        <f>IF(AND(SnapshotTable[[#This Row],[Exposure]] &lt;&gt; 0),SnapshotTable[[#This Row],[Exposure]] / SnapshotTable[[#Totals],[Exposure]], "")</f>
        <v/>
      </c>
      <c r="HE191" s="268"/>
      <c r="HF191" s="268"/>
      <c r="HK191" s="1"/>
      <c r="HL191" s="1"/>
      <c r="HM191" s="1"/>
      <c r="HN191" s="1"/>
      <c r="HO191" s="1"/>
      <c r="HP191" s="1"/>
    </row>
    <row r="192" spans="2:224" ht="12.75" hidden="1" customHeight="1" x14ac:dyDescent="0.25">
      <c r="B192" s="12" t="s">
        <v>961</v>
      </c>
      <c r="C192" s="422">
        <v>21.6</v>
      </c>
      <c r="D192" s="208"/>
      <c r="E192" s="39">
        <f>SnapshotTable[[#This Row],[Last Price]]*(1 -CrashDiscount)</f>
        <v>18.36</v>
      </c>
      <c r="F192" s="26" t="s">
        <v>907</v>
      </c>
      <c r="G192" s="26" t="s">
        <v>610</v>
      </c>
      <c r="H192" s="149"/>
      <c r="I192" s="194">
        <v>44804.670138888891</v>
      </c>
      <c r="J192" s="195">
        <v>44804.670138888891</v>
      </c>
      <c r="K192" s="196"/>
      <c r="L192" s="326"/>
      <c r="M192" s="140"/>
      <c r="N192" s="140"/>
      <c r="O192" s="140"/>
      <c r="P192" s="22"/>
      <c r="Q192" s="25"/>
      <c r="R192" s="4" t="str">
        <f>IF(SnapshotTable[[#This Row],[Equity Basis Total]] &gt; 0, SnapshotTable[[#This Row],[Equity Basis Total]] / SnapshotTable[[#This Row],[Equity Shares]], "")</f>
        <v/>
      </c>
      <c r="S192" s="269">
        <f>SnapshotTable[[#This Row],[Last Price]] * SnapshotTable[[#This Row],[Equity Shares]]</f>
        <v>0</v>
      </c>
      <c r="T192" s="269">
        <f>SnapshotTable[[#This Row],[Equity Value]] - SnapshotTable[[#This Row],[Equity Basis Total]]</f>
        <v>0</v>
      </c>
      <c r="U192" s="270" t="str">
        <f>IF(SnapshotTable[[#This Row],[Equity Basis Total]] &gt; 0, SnapshotTable[[#This Row],[Equity G/L]] / SnapshotTable[[#This Row],[Equity Basis Total]], "")</f>
        <v/>
      </c>
      <c r="V192" s="268"/>
      <c r="W192" s="26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7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0"/>
      <c r="AD192" s="151"/>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1"/>
      <c r="AI192" s="5"/>
      <c r="AJ192" s="138">
        <v>13.44</v>
      </c>
      <c r="AK192" s="152" t="str">
        <f>IF(ISNUMBER( SnapshotTable[[#This Row],[EBF Target]]),(SnapshotTable[[#This Row],[EBF Target]] - SnapshotTable[[#This Row],[Last Price]]) / SnapshotTable[[#This Row],[Last Price]], "")</f>
        <v/>
      </c>
      <c r="AL192" s="152"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2">
        <f>IF(AND(ISNUMBER( SnapshotTable[[#This Row],[Long Term Target]]), ISNUMBER(SnapshotTable[[#This Row],[Last Price]])),(SnapshotTable[[#This Row],[Long Term Target]] - SnapshotTable[[#This Row],[Last Price]]) / SnapshotTable[[#This Row],[Last Price]], "")</f>
        <v>-0.37777777777777782</v>
      </c>
      <c r="AP192" s="5"/>
      <c r="AQ192" s="38"/>
      <c r="AR192" s="5"/>
      <c r="AS192" s="38"/>
      <c r="AT192" s="146"/>
      <c r="AU192" s="187" t="str">
        <f>IF(OR(SnapshotTable[[#This Row],[LP No Fill]]="Y",SnapshotTable[[#This Row],[SP Is Filled]],SnapshotTable[[#This Row],[LC Not Filled]]="Y",SnapshotTable[[#This Row],[SC Is Filled]]),"Y","")</f>
        <v/>
      </c>
      <c r="AV192" s="219"/>
      <c r="AW192" s="225"/>
      <c r="AX192" s="220"/>
      <c r="AY192" s="219" t="str">
        <f>IF(SnapshotTable[[#This Row],[Implied Move]]&gt;0, SnapshotTable[[#This Row],[Last Price]]-SnapshotTable[[#This Row],[Implied Move]],"")</f>
        <v/>
      </c>
      <c r="AZ192" s="219" t="str">
        <f>IF(SnapshotTable[[#This Row],[Implied Move]]&gt;0, SnapshotTable[[#This Row],[Last Price]] + SnapshotTable[[#This Row],[Implied Move]],"")</f>
        <v/>
      </c>
      <c r="BA192" s="331"/>
      <c r="BB192" s="347"/>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51"/>
      <c r="BE192" s="5"/>
      <c r="BF192" s="14"/>
      <c r="BG192" s="13"/>
      <c r="BH192" s="13"/>
      <c r="BI192" s="5"/>
      <c r="BJ192" s="136">
        <f>IF(SnapshotTable[[#This Row],[LP Qty]] &gt; 0, SnapshotTable[[#This Row],[LP Qty]] * SnapshotTable[[#This Row],[LP Book Price]] * 100,0)</f>
        <v>0</v>
      </c>
      <c r="BK192" s="136">
        <f>IF(SnapshotTable[[#This Row],[LP Premium]] &gt; 0, SnapshotTable[[#This Row],[LP Qty]] * SnapshotTable[[#This Row],[LP Strike Price]] * 100,0)</f>
        <v>0</v>
      </c>
      <c r="BL192" s="154"/>
      <c r="BM192" s="385" t="str">
        <f>IF(SnapshotTable[[#This Row],[LP Premium]] &gt; 0,SnapshotTable[[#This Row],[LP Exp Date]]-MAX(SnapshotTable[[#This Row],[LP Book Date]], SnapshotTable[[#This Row],[LP Fill Date]]),"")</f>
        <v/>
      </c>
      <c r="BN192" s="385" t="str">
        <f>IF(ISNUMBER( SnapshotTable[[#This Row],[LP Term]]), SnapshotTable[[#This Row],[LP Exp Date]] - MockToday,"")</f>
        <v/>
      </c>
      <c r="BO192" s="163"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7"/>
      <c r="BU192" s="13"/>
      <c r="BV192" s="5"/>
      <c r="BW192" s="419" t="b">
        <f>AND(ISNUMBER(SnapshotTable[[#This Row],[SP Exp Date]]), ISNUMBER(SnapshotTable[[#This Row],[SP Strike Price]]), ISNUMBER(SnapshotTable[[#This Row],[SP Qty]]), ISNUMBER(SnapshotTable[[#This Row],[SP Book Date]]), ISNUMBER(SnapshotTable[[#This Row],[SP Book Price]]))</f>
        <v>0</v>
      </c>
      <c r="BX192" s="419" t="b">
        <f>AND(SnapshotTable[[#This Row],[SP Is Booked]], NOT(ISBLANK(SnapshotTable[[#This Row],[SP Fill Date]])))</f>
        <v>0</v>
      </c>
      <c r="BY192" s="33">
        <f>IF(SnapshotTable[[#This Row],[SP Is Booked]], SnapshotTable[[#This Row],[SP Qty]] * SnapshotTable[[#This Row],[SP Book Price]] * 100, 0)</f>
        <v>0</v>
      </c>
      <c r="BZ192" s="369"/>
      <c r="CA192" s="368">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3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44"/>
      <c r="CK192" s="31">
        <f>IF(ISNUMBER(SnapshotTable[[#This Row],[SP Potential Spend]]),IF(ISNUMBER(SnapshotTable[[#This Row],[SP POW]]), SnapshotTable[[#This Row],[SP POW]] * SnapshotTable[[#This Row],[SP Potential Spend]], SnapshotTable[[#This Row],[SP Potential Spend]]), "")</f>
        <v>0</v>
      </c>
      <c r="CL192" s="164">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8">
        <v>37.450000000000003</v>
      </c>
      <c r="CO192" s="369"/>
      <c r="CP192" s="4" t="str">
        <f>IF(SnapshotTable[[#This Row],[SP Is Filled]], btc_max_buyback_amount(SnapshotTable[[#This Row],[SP Fill Date]],SnapshotTable[[#This Row],[SP Exp Date]], SnapshotTable[[#This Row],[SP Book Price]]),"")</f>
        <v/>
      </c>
      <c r="CQ192" s="78"/>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5" t="str">
        <f>IF(SnapshotTable[[#This Row],[SP Is Filled]], btc_next_cutoff_date(SnapshotTable[[#This Row],[SP Fill Date]],SnapshotTable[[#This Row],[SP Exp Date]]),"")</f>
        <v/>
      </c>
      <c r="CT192" s="23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3"/>
      <c r="CV192" s="235"/>
      <c r="CW192" s="378"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294" t="str">
        <f>IF(ISNUMBER((SnapshotTable[[#This Row],[SP Total Value]])), SnapshotTable[[#This Row],[SP Gain Loss]] / SnapshotTable[[#This Row],[SP Premium]], "")</f>
        <v/>
      </c>
      <c r="DI192" s="406"/>
      <c r="DJ192" s="138"/>
      <c r="DK192" s="148"/>
      <c r="DL192" s="13"/>
      <c r="DM192" s="13"/>
      <c r="DO192" s="31">
        <f>IF(SnapshotTable[[#This Row],[LC Symbol Count]]=1, SnapshotTable[[#This Row],[LC Qty]] * SnapshotTable[[#This Row],[LC Book Price]] * 100, 0)</f>
        <v>0</v>
      </c>
      <c r="DP192" s="163" t="str">
        <f>IF(AND(SnapshotTable[[#This Row],[LC Exp Date]]&gt;0, SnapshotTable[[#This Row],[LC Strike Price]]&gt;0,SnapshotTable[[#This Row],[LC Qty]]&gt;0,SnapshotTable[[#This Row],[LC Book Date]]&gt;0,SnapshotTable[[#This Row],[LC Book Price]]&gt;0,SnapshotTable[[#This Row],[LC Fill Date]]=0),"Y","")</f>
        <v/>
      </c>
      <c r="DQ192" s="386" t="str">
        <f>IF(SnapshotTable[[#This Row],[LC Premium]] &gt; 0,SnapshotTable[[#This Row],[LC Exp Date]]-MAX(SnapshotTable[[#This Row],[LC Book Date]], SnapshotTable[[#This Row],[LC Fill Date]]),"")</f>
        <v/>
      </c>
      <c r="DR192" s="386" t="str">
        <f>IF(ISNUMBER(SnapshotTable[[#This Row],[LC Term]]), SnapshotTable[[#This Row],[LC Exp Date]] - MockToday, "")</f>
        <v/>
      </c>
      <c r="DS192" s="23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40" t="str">
        <f>IF(ISNUMBER(SnapshotTable[[#This Row],[LC Actual Gain Loss]]), SnapshotTable[[#This Row],[LC Actual Gain Loss]] / SnapshotTable[[#This Row],[LC Premium]],"")</f>
        <v/>
      </c>
      <c r="DX192" s="284" t="str">
        <f>IF(ISNUMBER(SnapshotTable[[#This Row],[LC Book Price]]),SnapshotTable[[#This Row],[LC Book Price]] * 1.5,"")</f>
        <v/>
      </c>
      <c r="DY192" s="265" t="str">
        <f>IF(SnapshotTable[[#This Row],[LC Premium]]&gt;0, SnapshotTable[[#This Row],[LC Next Target]] * SnapshotTable[[#This Row],[LC Qty]] * 100,"")</f>
        <v/>
      </c>
      <c r="DZ192" s="265" t="str">
        <f>IF(ISNUMBER(SnapshotTable[[#This Row],[LC Target Gross]]), SnapshotTable[[#This Row],[LC Target Gross]] - SnapshotTable[[#This Row],[LC Premium]], "")</f>
        <v/>
      </c>
      <c r="EA192" s="305" t="str">
        <f>IF(ISNUMBER(SnapshotTable[[#This Row],[LC Target Gain Loss]]), SnapshotTable[[#This Row],[LC Target Gain Loss]]/SnapshotTable[[#This Row],[LC Premium]], "")</f>
        <v/>
      </c>
      <c r="EB192" s="262"/>
      <c r="EC192" s="283" t="str">
        <f>IF(SnapshotTable[[#This Row],[LC Premium]]&gt;0, SnapshotTable[[#This Row],[LC Book Price]] * (1 - LC_StopLoss_Pct),"")</f>
        <v/>
      </c>
      <c r="ED192" s="284"/>
      <c r="EE192" s="28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4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7"/>
      <c r="EL192" s="138"/>
      <c r="EM192" s="148"/>
      <c r="EN192" s="147"/>
      <c r="EO192" s="147"/>
      <c r="EP192" s="138"/>
      <c r="EQ192" s="419" t="b">
        <f>AND(ISNUMBER(SnapshotTable[[#This Row],[SC Exp Date]]), ISNUMBER(SnapshotTable[[#This Row],[SC Strike Price]]), ISNUMBER(SnapshotTable[[#This Row],[SC Qty]]), ISNUMBER(SnapshotTable[[#This Row],[SC Book Date]]), ISNUMBER(SnapshotTable[[#This Row],[SC Book Price]]))</f>
        <v>0</v>
      </c>
      <c r="ER192" s="419" t="b">
        <f>AND(SnapshotTable[[#This Row],[SC Is Booked]], NOT(ISBLANK(SnapshotTable[[#This Row],[SC Fill Date]])))</f>
        <v>0</v>
      </c>
      <c r="ES192" s="370"/>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3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283"/>
      <c r="FA192" s="423"/>
      <c r="FB192" s="370"/>
      <c r="FC192" s="4">
        <f>IF(SnapshotTable[[#This Row],[SC Is Filled]], btc_max_buyback_amount(SnapshotTable[[#This Row],[SC Fill Date]],SnapshotTable[[#This Row],[SC Exp Date]], SnapshotTable[[#This Row],[SC Book Price]]),0)</f>
        <v>0</v>
      </c>
      <c r="FD192" s="5"/>
      <c r="FE192" s="144"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382">
        <f>IF(SnapshotTable[[#This Row],[SC Is Filled]], IF(ISNUMBER(SnapshotTable[[#This Row],[SC Current Ask]]), SnapshotTable[[#This Row],[SC Current Ask]], SnapshotTable[[#This Row],[SC Book Price]]) - SnapshotTable[[#This Row],[SC Intrinsic Value]], 0)</f>
        <v>0</v>
      </c>
      <c r="FI192" s="143"/>
      <c r="FJ192" s="32" t="str">
        <f>IF(SnapshotTable[[#This Row],[SC Is Filled]],100 * SnapshotTable[[#This Row],[SC Qty]] * IF(ISNUMBER(SnapshotTable[[#This Row],[SC Buyback Override]]), SnapshotTable[[#This Row],[SC Buyback Override]], SnapshotTable[[#This Row],[SC Current Ask]]), "")</f>
        <v/>
      </c>
      <c r="FK192" s="250" t="str">
        <f>IF(SnapshotTable[[#This Row],[SC Time Val]]&gt;0, SnapshotTable[[#This Row],[SC Time Val]] / SnapshotTable[[#This Row],[Last Price]],"")</f>
        <v/>
      </c>
      <c r="FL192" s="302" t="str">
        <f>IF(SnapshotTable[[#This Row],[SC Is Booked]], ((SnapshotTable[[#This Row],[Last Price]] -SnapshotTable[[#This Row],[SC Strike Price]]) / SnapshotTable[[#This Row],[Last Price]]) * -1, "")</f>
        <v/>
      </c>
      <c r="FM192" s="157"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33"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36" t="str">
        <f>IF(AND(ISNUMBER(SnapshotTable[[#This Row],[SC Simple ROO]]),SnapshotTable[[#This Row],[SC Simple ROO]] &gt; 0), SnapshotTable[[#This Row],[SC Premium]] + (SnapshotTable[[#This Row],[SC Qty]] * SnapshotTable[[#This Row],[SC Upside Potential]]), "")</f>
        <v/>
      </c>
      <c r="FX192" s="302" t="str" cm="1">
        <f t="array" ref="FX192">IF(ISNUMBER(SnapshotTable[[#This Row],[SC Max Dollars]]), annualize(SnapshotTable[[#This Row],[SC Term]],(SnapshotTable[[#This Row],[SC Max Dollars]]/SnapshotTable[[#This Row],[SC Basis]])),"")</f>
        <v/>
      </c>
      <c r="FY192" s="23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294" t="str">
        <f>IFERROR( IF(ISNUMBER((SnapshotTable[[#This Row],[SC Current Value]])), SnapshotTable[[#This Row],[SC Gain Loss]] / SnapshotTable[[#This Row],[SC Premium]], ""), "")</f>
        <v/>
      </c>
      <c r="GB192" s="42">
        <f>SnapshotTable[[#This Row],[Equity Shares]] * SaleSharesToConsiderPercentage</f>
        <v>0</v>
      </c>
      <c r="GC192" s="40">
        <f>SnapshotTable[[#This Row],[Long Term Target]] * SellingPriceToConsiderBasedOnTargetPercentage</f>
        <v>12.767999999999999</v>
      </c>
      <c r="GD192" s="40">
        <f>SnapshotTable[[#This Row],[Last Price]] * (1+ SellingPriceToConsiderBasedOnTargetPercentage)</f>
        <v>42.120000000000005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31">
        <f>MAX(SnapshotTable[[#This Row],[Equity Basis Total]],SnapshotTable[[#This Row],[Equity Value]]) + (SnapshotTable[[#This Row],[SP Potential Spend]]- SnapshotTable[[#This Row],[SP Premium]] + SnapshotTable[[#This Row],[LP Premium]])+ (SnapshotTable[[#This Row],[LC Premium]] - SnapshotTable[[#This Row],[SC Premium]])</f>
        <v>0</v>
      </c>
      <c r="GW192" s="139" t="str">
        <f>IF(AND(SnapshotTable[[#This Row],[Exposure]] &lt;&gt; 0),SnapshotTable[[#This Row],[Exposure]] / SnapshotTable[[#Totals],[Exposure]], "")</f>
        <v/>
      </c>
      <c r="HE192" s="268"/>
      <c r="HF192" s="268"/>
      <c r="HK192" s="1"/>
      <c r="HL192" s="1"/>
      <c r="HM192" s="1"/>
      <c r="HN192" s="1"/>
      <c r="HO192" s="1"/>
      <c r="HP192" s="1"/>
    </row>
    <row r="193" spans="2:224" ht="12.75" hidden="1" customHeight="1" x14ac:dyDescent="0.25">
      <c r="B193" s="12" t="s">
        <v>1004</v>
      </c>
      <c r="C193" s="422">
        <v>213.42</v>
      </c>
      <c r="D193" s="208"/>
      <c r="E193" s="39">
        <f>SnapshotTable[[#This Row],[Last Price]]*(1 -CrashDiscount)</f>
        <v>181.40699999999998</v>
      </c>
      <c r="F193" s="26" t="s">
        <v>1005</v>
      </c>
      <c r="G193" s="26" t="s">
        <v>872</v>
      </c>
      <c r="H193" s="149"/>
      <c r="I193" s="194">
        <v>44776.25</v>
      </c>
      <c r="J193" s="195">
        <v>44776.25</v>
      </c>
      <c r="K193" s="196"/>
      <c r="L193" s="326"/>
      <c r="M193" s="140"/>
      <c r="N193" s="140"/>
      <c r="O193" s="140"/>
      <c r="P193" s="22"/>
      <c r="Q193" s="25"/>
      <c r="R193" s="4" t="str">
        <f>IF(SnapshotTable[[#This Row],[Equity Basis Total]] &gt; 0, SnapshotTable[[#This Row],[Equity Basis Total]] / SnapshotTable[[#This Row],[Equity Shares]], "")</f>
        <v/>
      </c>
      <c r="S193" s="269">
        <f>SnapshotTable[[#This Row],[Last Price]] * SnapshotTable[[#This Row],[Equity Shares]]</f>
        <v>0</v>
      </c>
      <c r="T193" s="269">
        <f>SnapshotTable[[#This Row],[Equity Value]] - SnapshotTable[[#This Row],[Equity Basis Total]]</f>
        <v>0</v>
      </c>
      <c r="U193" s="270" t="str">
        <f>IF(SnapshotTable[[#This Row],[Equity Basis Total]] &gt; 0, SnapshotTable[[#This Row],[Equity G/L]] / SnapshotTable[[#This Row],[Equity Basis Total]], "")</f>
        <v/>
      </c>
      <c r="V193" s="268"/>
      <c r="W193" s="26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7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0"/>
      <c r="AD193" s="151"/>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1"/>
      <c r="AI193" s="5"/>
      <c r="AJ193" s="138">
        <v>420.43</v>
      </c>
      <c r="AK193" s="152" t="str">
        <f>IF(ISNUMBER( SnapshotTable[[#This Row],[EBF Target]]),(SnapshotTable[[#This Row],[EBF Target]] - SnapshotTable[[#This Row],[Last Price]]) / SnapshotTable[[#This Row],[Last Price]], "")</f>
        <v/>
      </c>
      <c r="AL193" s="152"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2">
        <f>IF(AND(ISNUMBER( SnapshotTable[[#This Row],[Long Term Target]]), ISNUMBER(SnapshotTable[[#This Row],[Last Price]])),(SnapshotTable[[#This Row],[Long Term Target]] - SnapshotTable[[#This Row],[Last Price]]) / SnapshotTable[[#This Row],[Last Price]], "")</f>
        <v>0.96996532658607459</v>
      </c>
      <c r="AP193" s="5"/>
      <c r="AQ193" s="38"/>
      <c r="AR193" s="5"/>
      <c r="AS193" s="38"/>
      <c r="AT193" s="146"/>
      <c r="AU193" s="187" t="str">
        <f>IF(OR(SnapshotTable[[#This Row],[LP No Fill]]="Y",SnapshotTable[[#This Row],[SP Is Filled]],SnapshotTable[[#This Row],[LC Not Filled]]="Y",SnapshotTable[[#This Row],[SC Is Filled]]),"Y","")</f>
        <v/>
      </c>
      <c r="AV193" s="219"/>
      <c r="AW193" s="225"/>
      <c r="AX193" s="220"/>
      <c r="AY193" s="219" t="str">
        <f>IF(SnapshotTable[[#This Row],[Implied Move]]&gt;0, SnapshotTable[[#This Row],[Last Price]]-SnapshotTable[[#This Row],[Implied Move]],"")</f>
        <v/>
      </c>
      <c r="AZ193" s="219" t="str">
        <f>IF(SnapshotTable[[#This Row],[Implied Move]]&gt;0, SnapshotTable[[#This Row],[Last Price]] + SnapshotTable[[#This Row],[Implied Move]],"")</f>
        <v/>
      </c>
      <c r="BA193" s="331"/>
      <c r="BB193" s="347"/>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51"/>
      <c r="BE193" s="5"/>
      <c r="BF193" s="14"/>
      <c r="BG193" s="13"/>
      <c r="BH193" s="13"/>
      <c r="BI193" s="5"/>
      <c r="BJ193" s="136">
        <f>IF(SnapshotTable[[#This Row],[LP Qty]] &gt; 0, SnapshotTable[[#This Row],[LP Qty]] * SnapshotTable[[#This Row],[LP Book Price]] * 100,0)</f>
        <v>0</v>
      </c>
      <c r="BK193" s="136">
        <f>IF(SnapshotTable[[#This Row],[LP Premium]] &gt; 0, SnapshotTable[[#This Row],[LP Qty]] * SnapshotTable[[#This Row],[LP Strike Price]] * 100,0)</f>
        <v>0</v>
      </c>
      <c r="BL193" s="154"/>
      <c r="BM193" s="385" t="str">
        <f>IF(SnapshotTable[[#This Row],[LP Premium]] &gt; 0,SnapshotTable[[#This Row],[LP Exp Date]]-MAX(SnapshotTable[[#This Row],[LP Book Date]], SnapshotTable[[#This Row],[LP Fill Date]]),"")</f>
        <v/>
      </c>
      <c r="BN193" s="385" t="str">
        <f>IF(ISNUMBER( SnapshotTable[[#This Row],[LP Term]]), SnapshotTable[[#This Row],[LP Exp Date]] - MockToday,"")</f>
        <v/>
      </c>
      <c r="BO193" s="163"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7"/>
      <c r="BU193" s="13"/>
      <c r="BV193" s="5"/>
      <c r="BW193" s="419" t="b">
        <f>AND(ISNUMBER(SnapshotTable[[#This Row],[SP Exp Date]]), ISNUMBER(SnapshotTable[[#This Row],[SP Strike Price]]), ISNUMBER(SnapshotTable[[#This Row],[SP Qty]]), ISNUMBER(SnapshotTable[[#This Row],[SP Book Date]]), ISNUMBER(SnapshotTable[[#This Row],[SP Book Price]]))</f>
        <v>0</v>
      </c>
      <c r="BX193" s="419" t="b">
        <f>AND(SnapshotTable[[#This Row],[SP Is Booked]], NOT(ISBLANK(SnapshotTable[[#This Row],[SP Fill Date]])))</f>
        <v>0</v>
      </c>
      <c r="BY193" s="33">
        <f>IF(SnapshotTable[[#This Row],[SP Is Booked]], SnapshotTable[[#This Row],[SP Qty]] * SnapshotTable[[#This Row],[SP Book Price]] * 100, 0)</f>
        <v>0</v>
      </c>
      <c r="BZ193" s="369"/>
      <c r="CA193" s="368">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3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44"/>
      <c r="CK193" s="31">
        <f>IF(ISNUMBER(SnapshotTable[[#This Row],[SP Potential Spend]]),IF(ISNUMBER(SnapshotTable[[#This Row],[SP POW]]), SnapshotTable[[#This Row],[SP POW]] * SnapshotTable[[#This Row],[SP Potential Spend]], SnapshotTable[[#This Row],[SP Potential Spend]]), "")</f>
        <v>0</v>
      </c>
      <c r="CL193" s="164">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8"/>
      <c r="CO193" s="369"/>
      <c r="CP193" s="4" t="str">
        <f>IF(SnapshotTable[[#This Row],[SP Is Filled]], btc_max_buyback_amount(SnapshotTable[[#This Row],[SP Fill Date]],SnapshotTable[[#This Row],[SP Exp Date]], SnapshotTable[[#This Row],[SP Book Price]]),"")</f>
        <v/>
      </c>
      <c r="CQ193" s="78"/>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5" t="str">
        <f>IF(SnapshotTable[[#This Row],[SP Is Filled]], btc_next_cutoff_date(SnapshotTable[[#This Row],[SP Fill Date]],SnapshotTable[[#This Row],[SP Exp Date]]),"")</f>
        <v/>
      </c>
      <c r="CT193" s="23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3"/>
      <c r="CV193" s="235"/>
      <c r="CW193" s="378"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294" t="str">
        <f>IF(ISNUMBER((SnapshotTable[[#This Row],[SP Total Value]])), SnapshotTable[[#This Row],[SP Gain Loss]] / SnapshotTable[[#This Row],[SP Premium]], "")</f>
        <v/>
      </c>
      <c r="DI193" s="406"/>
      <c r="DJ193" s="138"/>
      <c r="DK193" s="148"/>
      <c r="DL193" s="13"/>
      <c r="DM193" s="13"/>
      <c r="DO193" s="31">
        <f>IF(SnapshotTable[[#This Row],[LC Symbol Count]]=1, SnapshotTable[[#This Row],[LC Qty]] * SnapshotTable[[#This Row],[LC Book Price]] * 100, 0)</f>
        <v>0</v>
      </c>
      <c r="DP193" s="163" t="str">
        <f>IF(AND(SnapshotTable[[#This Row],[LC Exp Date]]&gt;0, SnapshotTable[[#This Row],[LC Strike Price]]&gt;0,SnapshotTable[[#This Row],[LC Qty]]&gt;0,SnapshotTable[[#This Row],[LC Book Date]]&gt;0,SnapshotTable[[#This Row],[LC Book Price]]&gt;0,SnapshotTable[[#This Row],[LC Fill Date]]=0),"Y","")</f>
        <v/>
      </c>
      <c r="DQ193" s="386" t="str">
        <f>IF(SnapshotTable[[#This Row],[LC Premium]] &gt; 0,SnapshotTable[[#This Row],[LC Exp Date]]-MAX(SnapshotTable[[#This Row],[LC Book Date]], SnapshotTable[[#This Row],[LC Fill Date]]),"")</f>
        <v/>
      </c>
      <c r="DR193" s="386" t="str">
        <f>IF(ISNUMBER(SnapshotTable[[#This Row],[LC Term]]), SnapshotTable[[#This Row],[LC Exp Date]] - MockToday, "")</f>
        <v/>
      </c>
      <c r="DS193" s="23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40" t="str">
        <f>IF(ISNUMBER(SnapshotTable[[#This Row],[LC Actual Gain Loss]]), SnapshotTable[[#This Row],[LC Actual Gain Loss]] / SnapshotTable[[#This Row],[LC Premium]],"")</f>
        <v/>
      </c>
      <c r="DX193" s="284" t="str">
        <f>IF(ISNUMBER(SnapshotTable[[#This Row],[LC Book Price]]),SnapshotTable[[#This Row],[LC Book Price]] * 1.5,"")</f>
        <v/>
      </c>
      <c r="DY193" s="265" t="str">
        <f>IF(SnapshotTable[[#This Row],[LC Premium]]&gt;0, SnapshotTable[[#This Row],[LC Next Target]] * SnapshotTable[[#This Row],[LC Qty]] * 100,"")</f>
        <v/>
      </c>
      <c r="DZ193" s="265" t="str">
        <f>IF(ISNUMBER(SnapshotTable[[#This Row],[LC Target Gross]]), SnapshotTable[[#This Row],[LC Target Gross]] - SnapshotTable[[#This Row],[LC Premium]], "")</f>
        <v/>
      </c>
      <c r="EA193" s="305" t="str">
        <f>IF(ISNUMBER(SnapshotTable[[#This Row],[LC Target Gain Loss]]), SnapshotTable[[#This Row],[LC Target Gain Loss]]/SnapshotTable[[#This Row],[LC Premium]], "")</f>
        <v/>
      </c>
      <c r="EB193" s="262"/>
      <c r="EC193" s="283" t="str">
        <f>IF(SnapshotTable[[#This Row],[LC Premium]]&gt;0, SnapshotTable[[#This Row],[LC Book Price]] * (1 - LC_StopLoss_Pct),"")</f>
        <v/>
      </c>
      <c r="ED193" s="284"/>
      <c r="EE193" s="28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4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7"/>
      <c r="EL193" s="138"/>
      <c r="EM193" s="148"/>
      <c r="EN193" s="147"/>
      <c r="EO193" s="147"/>
      <c r="EP193" s="138"/>
      <c r="EQ193" s="419" t="b">
        <f>AND(ISNUMBER(SnapshotTable[[#This Row],[SC Exp Date]]), ISNUMBER(SnapshotTable[[#This Row],[SC Strike Price]]), ISNUMBER(SnapshotTable[[#This Row],[SC Qty]]), ISNUMBER(SnapshotTable[[#This Row],[SC Book Date]]), ISNUMBER(SnapshotTable[[#This Row],[SC Book Price]]))</f>
        <v>0</v>
      </c>
      <c r="ER193" s="419" t="b">
        <f>AND(SnapshotTable[[#This Row],[SC Is Booked]], NOT(ISBLANK(SnapshotTable[[#This Row],[SC Fill Date]])))</f>
        <v>0</v>
      </c>
      <c r="ES193" s="370"/>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3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283"/>
      <c r="FA193" s="218"/>
      <c r="FB193" s="370"/>
      <c r="FC193" s="4">
        <f>IF(SnapshotTable[[#This Row],[SC Is Filled]], btc_max_buyback_amount(SnapshotTable[[#This Row],[SC Fill Date]],SnapshotTable[[#This Row],[SC Exp Date]], SnapshotTable[[#This Row],[SC Book Price]]),0)</f>
        <v>0</v>
      </c>
      <c r="FD193" s="5"/>
      <c r="FE193" s="144"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382">
        <f>IF(SnapshotTable[[#This Row],[SC Is Filled]], IF(ISNUMBER(SnapshotTable[[#This Row],[SC Current Ask]]), SnapshotTable[[#This Row],[SC Current Ask]], SnapshotTable[[#This Row],[SC Book Price]]) - SnapshotTable[[#This Row],[SC Intrinsic Value]], 0)</f>
        <v>0</v>
      </c>
      <c r="FI193" s="143"/>
      <c r="FJ193" s="32" t="str">
        <f>IF(SnapshotTable[[#This Row],[SC Is Filled]],100 * SnapshotTable[[#This Row],[SC Qty]] * IF(ISNUMBER(SnapshotTable[[#This Row],[SC Buyback Override]]), SnapshotTable[[#This Row],[SC Buyback Override]], SnapshotTable[[#This Row],[SC Current Ask]]), "")</f>
        <v/>
      </c>
      <c r="FK193" s="250" t="str">
        <f>IF(SnapshotTable[[#This Row],[SC Time Val]]&gt;0, SnapshotTable[[#This Row],[SC Time Val]] / SnapshotTable[[#This Row],[Last Price]],"")</f>
        <v/>
      </c>
      <c r="FL193" s="302" t="str">
        <f>IF(SnapshotTable[[#This Row],[SC Is Booked]], ((SnapshotTable[[#This Row],[Last Price]] -SnapshotTable[[#This Row],[SC Strike Price]]) / SnapshotTable[[#This Row],[Last Price]]) * -1, "")</f>
        <v/>
      </c>
      <c r="FM193" s="157"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33"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36" t="str">
        <f>IF(AND(ISNUMBER(SnapshotTable[[#This Row],[SC Simple ROO]]),SnapshotTable[[#This Row],[SC Simple ROO]] &gt; 0), SnapshotTable[[#This Row],[SC Premium]] + (SnapshotTable[[#This Row],[SC Qty]] * SnapshotTable[[#This Row],[SC Upside Potential]]), "")</f>
        <v/>
      </c>
      <c r="FX193" s="302" t="str" cm="1">
        <f t="array" ref="FX193">IF(ISNUMBER(SnapshotTable[[#This Row],[SC Max Dollars]]), annualize(SnapshotTable[[#This Row],[SC Term]],(SnapshotTable[[#This Row],[SC Max Dollars]]/SnapshotTable[[#This Row],[SC Basis]])),"")</f>
        <v/>
      </c>
      <c r="FY193" s="23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29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399.4085</v>
      </c>
      <c r="GD193" s="40">
        <f>SnapshotTable[[#This Row],[Last Price]] * (1+ SellingPriceToConsiderBasedOnTargetPercentage)</f>
        <v>416.16899999999998</v>
      </c>
      <c r="GE193" s="41"/>
      <c r="GF193" s="40"/>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31">
        <f>MAX(SnapshotTable[[#This Row],[Equity Basis Total]],SnapshotTable[[#This Row],[Equity Value]]) + (SnapshotTable[[#This Row],[SP Potential Spend]]- SnapshotTable[[#This Row],[SP Premium]] + SnapshotTable[[#This Row],[LP Premium]])+ (SnapshotTable[[#This Row],[LC Premium]] - SnapshotTable[[#This Row],[SC Premium]])</f>
        <v>0</v>
      </c>
      <c r="GW193" s="139" t="str">
        <f>IF(AND(SnapshotTable[[#This Row],[Exposure]] &lt;&gt; 0),SnapshotTable[[#This Row],[Exposure]] / SnapshotTable[[#Totals],[Exposure]], "")</f>
        <v/>
      </c>
      <c r="HE193" s="268"/>
      <c r="HF193" s="268"/>
      <c r="HK193" s="1"/>
      <c r="HL193" s="1"/>
      <c r="HM193" s="1"/>
      <c r="HN193" s="1"/>
      <c r="HO193" s="1"/>
      <c r="HP193" s="1"/>
    </row>
    <row r="194" spans="2:224" ht="12.75" hidden="1" customHeight="1" x14ac:dyDescent="0.25">
      <c r="B194" s="12" t="s">
        <v>1033</v>
      </c>
      <c r="C194" s="422">
        <v>24.25</v>
      </c>
      <c r="D194" s="208"/>
      <c r="E194" s="39">
        <f>SnapshotTable[[#This Row],[Last Price]]*(1 -CrashDiscount)</f>
        <v>20.612500000000001</v>
      </c>
      <c r="F194" s="26" t="s">
        <v>1034</v>
      </c>
      <c r="G194" s="325" t="s">
        <v>872</v>
      </c>
      <c r="H194" s="149"/>
      <c r="I194" s="194">
        <v>44791.083333333336</v>
      </c>
      <c r="J194" s="195">
        <v>44791.083333333336</v>
      </c>
      <c r="K194" s="196"/>
      <c r="L194" s="327"/>
      <c r="M194" s="140"/>
      <c r="N194" s="140"/>
      <c r="O194" s="140"/>
      <c r="P194" s="328"/>
      <c r="Q194" s="25"/>
      <c r="R194" s="4" t="str">
        <f>IF(SnapshotTable[[#This Row],[Equity Basis Total]] &gt; 0, SnapshotTable[[#This Row],[Equity Basis Total]] / SnapshotTable[[#This Row],[Equity Shares]], "")</f>
        <v/>
      </c>
      <c r="S194" s="329">
        <f>SnapshotTable[[#This Row],[Last Price]] * SnapshotTable[[#This Row],[Equity Shares]]</f>
        <v>0</v>
      </c>
      <c r="T194" s="269">
        <f>SnapshotTable[[#This Row],[Equity Value]] - SnapshotTable[[#This Row],[Equity Basis Total]]</f>
        <v>0</v>
      </c>
      <c r="U194" s="270" t="str">
        <f>IF(SnapshotTable[[#This Row],[Equity Basis Total]] &gt; 0, SnapshotTable[[#This Row],[Equity G/L]] / SnapshotTable[[#This Row],[Equity Basis Total]], "")</f>
        <v/>
      </c>
      <c r="V194" s="268"/>
      <c r="W194" s="26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7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0"/>
      <c r="AD194" s="151"/>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1"/>
      <c r="AI194" s="330"/>
      <c r="AJ194" s="138">
        <v>14.68</v>
      </c>
      <c r="AK194" s="152" t="str">
        <f>IF(ISNUMBER( SnapshotTable[[#This Row],[EBF Target]]),(SnapshotTable[[#This Row],[EBF Target]] - SnapshotTable[[#This Row],[Last Price]]) / SnapshotTable[[#This Row],[Last Price]], "")</f>
        <v/>
      </c>
      <c r="AL194" s="152"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2">
        <f>IF(AND(ISNUMBER( SnapshotTable[[#This Row],[Long Term Target]]), ISNUMBER(SnapshotTable[[#This Row],[Last Price]])),(SnapshotTable[[#This Row],[Long Term Target]] - SnapshotTable[[#This Row],[Last Price]]) / SnapshotTable[[#This Row],[Last Price]], "")</f>
        <v>-0.39463917525773196</v>
      </c>
      <c r="AP194" s="5"/>
      <c r="AQ194" s="38"/>
      <c r="AR194" s="5"/>
      <c r="AS194" s="38"/>
      <c r="AT194" s="146"/>
      <c r="AU194" s="187" t="str">
        <f>IF(OR(SnapshotTable[[#This Row],[LP No Fill]]="Y",SnapshotTable[[#This Row],[SP Is Filled]],SnapshotTable[[#This Row],[LC Not Filled]]="Y",SnapshotTable[[#This Row],[SC Is Filled]]),"Y","")</f>
        <v/>
      </c>
      <c r="AV194" s="338"/>
      <c r="AW194" s="339"/>
      <c r="AX194" s="220"/>
      <c r="AY194" s="219" t="str">
        <f>IF(SnapshotTable[[#This Row],[Implied Move]]&gt;0, SnapshotTable[[#This Row],[Last Price]]-SnapshotTable[[#This Row],[Implied Move]],"")</f>
        <v/>
      </c>
      <c r="AZ194" s="219" t="str">
        <f>IF(SnapshotTable[[#This Row],[Implied Move]]&gt;0, SnapshotTable[[#This Row],[Last Price]] + SnapshotTable[[#This Row],[Implied Move]],"")</f>
        <v/>
      </c>
      <c r="BA194" s="331"/>
      <c r="BB194" s="347"/>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51"/>
      <c r="BE194" s="138"/>
      <c r="BF194" s="166"/>
      <c r="BG194" s="167"/>
      <c r="BH194" s="167"/>
      <c r="BI194" s="221"/>
      <c r="BJ194" s="153">
        <f>IF(SnapshotTable[[#This Row],[LP Qty]] &gt; 0, SnapshotTable[[#This Row],[LP Qty]] * SnapshotTable[[#This Row],[LP Book Price]] * 100,0)</f>
        <v>0</v>
      </c>
      <c r="BK194" s="136">
        <f>IF(SnapshotTable[[#This Row],[LP Premium]] &gt; 0, SnapshotTable[[#This Row],[LP Qty]] * SnapshotTable[[#This Row],[LP Strike Price]] * 100,0)</f>
        <v>0</v>
      </c>
      <c r="BL194" s="154"/>
      <c r="BM194" s="385" t="str">
        <f>IF(SnapshotTable[[#This Row],[LP Premium]] &gt; 0,SnapshotTable[[#This Row],[LP Exp Date]]-MAX(SnapshotTable[[#This Row],[LP Book Date]], SnapshotTable[[#This Row],[LP Fill Date]]),"")</f>
        <v/>
      </c>
      <c r="BN194" s="385" t="str">
        <f>IF(ISNUMBER( SnapshotTable[[#This Row],[LP Term]]), SnapshotTable[[#This Row],[LP Exp Date]] - MockToday,"")</f>
        <v/>
      </c>
      <c r="BO194" s="163"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7"/>
      <c r="BU194" s="13"/>
      <c r="BV194" s="5"/>
      <c r="BW194" s="419" t="b">
        <f>AND(ISNUMBER(SnapshotTable[[#This Row],[SP Exp Date]]), ISNUMBER(SnapshotTable[[#This Row],[SP Strike Price]]), ISNUMBER(SnapshotTable[[#This Row],[SP Qty]]), ISNUMBER(SnapshotTable[[#This Row],[SP Book Date]]), ISNUMBER(SnapshotTable[[#This Row],[SP Book Price]]))</f>
        <v>0</v>
      </c>
      <c r="BX194" s="419" t="b">
        <f>AND(SnapshotTable[[#This Row],[SP Is Booked]], NOT(ISBLANK(SnapshotTable[[#This Row],[SP Fill Date]])))</f>
        <v>0</v>
      </c>
      <c r="BY194" s="33">
        <f>IF(SnapshotTable[[#This Row],[SP Is Booked]], SnapshotTable[[#This Row],[SP Qty]] * SnapshotTable[[#This Row],[SP Book Price]] * 100, 0)</f>
        <v>0</v>
      </c>
      <c r="BZ194" s="369"/>
      <c r="CA194" s="368">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3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44"/>
      <c r="CK194" s="31">
        <f>IF(ISNUMBER(SnapshotTable[[#This Row],[SP Potential Spend]]),IF(ISNUMBER(SnapshotTable[[#This Row],[SP POW]]), SnapshotTable[[#This Row],[SP POW]] * SnapshotTable[[#This Row],[SP Potential Spend]], SnapshotTable[[#This Row],[SP Potential Spend]]), "")</f>
        <v>0</v>
      </c>
      <c r="CL194" s="164">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154"/>
      <c r="CO194" s="369"/>
      <c r="CP194" s="320" t="str">
        <f>IF(SnapshotTable[[#This Row],[SP Is Filled]], btc_max_buyback_amount(SnapshotTable[[#This Row],[SP Fill Date]],SnapshotTable[[#This Row],[SP Exp Date]], SnapshotTable[[#This Row],[SP Book Price]]),"")</f>
        <v/>
      </c>
      <c r="CQ194" s="78"/>
      <c r="CR19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5" t="str">
        <f>IF(SnapshotTable[[#This Row],[SP Is Filled]], btc_next_cutoff_date(SnapshotTable[[#This Row],[SP Fill Date]],SnapshotTable[[#This Row],[SP Exp Date]]),"")</f>
        <v/>
      </c>
      <c r="CT194" s="23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56"/>
      <c r="CV194" s="235"/>
      <c r="CW194" s="378"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294" t="str">
        <f>IF(ISNUMBER((SnapshotTable[[#This Row],[SP Total Value]])), SnapshotTable[[#This Row],[SP Gain Loss]] / SnapshotTable[[#This Row],[SP Premium]], "")</f>
        <v/>
      </c>
      <c r="DI194" s="406"/>
      <c r="DJ194" s="138"/>
      <c r="DK194" s="148"/>
      <c r="DL194" s="147"/>
      <c r="DM194" s="147"/>
      <c r="DO194" s="31">
        <f>IF(SnapshotTable[[#This Row],[LC Symbol Count]]=1, SnapshotTable[[#This Row],[LC Qty]] * SnapshotTable[[#This Row],[LC Book Price]] * 100, 0)</f>
        <v>0</v>
      </c>
      <c r="DP194" s="289" t="str">
        <f>IF(AND(SnapshotTable[[#This Row],[LC Exp Date]]&gt;0, SnapshotTable[[#This Row],[LC Strike Price]]&gt;0,SnapshotTable[[#This Row],[LC Qty]]&gt;0,SnapshotTable[[#This Row],[LC Book Date]]&gt;0,SnapshotTable[[#This Row],[LC Book Price]]&gt;0,SnapshotTable[[#This Row],[LC Fill Date]]=0),"Y","")</f>
        <v/>
      </c>
      <c r="DQ194" s="386" t="str">
        <f>IF(SnapshotTable[[#This Row],[LC Premium]] &gt; 0,SnapshotTable[[#This Row],[LC Exp Date]]-MAX(SnapshotTable[[#This Row],[LC Book Date]], SnapshotTable[[#This Row],[LC Fill Date]]),"")</f>
        <v/>
      </c>
      <c r="DR194" s="386" t="str">
        <f>IF(ISNUMBER(SnapshotTable[[#This Row],[LC Term]]), SnapshotTable[[#This Row],[LC Exp Date]] - MockToday, "")</f>
        <v/>
      </c>
      <c r="DS194" s="23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40" t="str">
        <f>IF(ISNUMBER(SnapshotTable[[#This Row],[LC Actual Gain Loss]]), SnapshotTable[[#This Row],[LC Actual Gain Loss]] / SnapshotTable[[#This Row],[LC Premium]],"")</f>
        <v/>
      </c>
      <c r="DX194" s="284" t="str">
        <f>IF(ISNUMBER(SnapshotTable[[#This Row],[LC Book Price]]),SnapshotTable[[#This Row],[LC Book Price]] * 1.5,"")</f>
        <v/>
      </c>
      <c r="DY194" s="265" t="str">
        <f>IF(SnapshotTable[[#This Row],[LC Premium]]&gt;0, SnapshotTable[[#This Row],[LC Next Target]] * SnapshotTable[[#This Row],[LC Qty]] * 100,"")</f>
        <v/>
      </c>
      <c r="DZ194" s="265" t="str">
        <f>IF(ISNUMBER(SnapshotTable[[#This Row],[LC Target Gross]]), SnapshotTable[[#This Row],[LC Target Gross]] - SnapshotTable[[#This Row],[LC Premium]], "")</f>
        <v/>
      </c>
      <c r="EA194" s="305" t="str">
        <f>IF(ISNUMBER(SnapshotTable[[#This Row],[LC Target Gain Loss]]), SnapshotTable[[#This Row],[LC Target Gain Loss]]/SnapshotTable[[#This Row],[LC Premium]], "")</f>
        <v/>
      </c>
      <c r="EB194" s="262"/>
      <c r="EC194" s="290" t="str">
        <f>IF(SnapshotTable[[#This Row],[LC Premium]]&gt;0, SnapshotTable[[#This Row],[LC Book Price]] * (1 - LC_StopLoss_Pct),"")</f>
        <v/>
      </c>
      <c r="ED194" s="284"/>
      <c r="EE194" s="290" t="str">
        <f>IF(ISNUMBER(SnapshotTable[[#This Row],[LC Contract Value]]),IF(ISNUMBER(SnapshotTable[[#This Row],[LC Stop Loss Override]]), SnapshotTable[[#This Row],[LC Stop Loss Override]],SnapshotTable[[#This Row],[LC Stop Loss Calc Target]]),"")</f>
        <v/>
      </c>
      <c r="EF194" s="32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4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7"/>
      <c r="EL194" s="138"/>
      <c r="EM194" s="148"/>
      <c r="EN194" s="147"/>
      <c r="EO194" s="147"/>
      <c r="EP194" s="138"/>
      <c r="EQ194" s="419" t="b">
        <f>AND(ISNUMBER(SnapshotTable[[#This Row],[SC Exp Date]]), ISNUMBER(SnapshotTable[[#This Row],[SC Strike Price]]), ISNUMBER(SnapshotTable[[#This Row],[SC Qty]]), ISNUMBER(SnapshotTable[[#This Row],[SC Book Date]]), ISNUMBER(SnapshotTable[[#This Row],[SC Book Price]]))</f>
        <v>0</v>
      </c>
      <c r="ER194" s="419" t="b">
        <f>AND(SnapshotTable[[#This Row],[SC Is Booked]], NOT(ISBLANK(SnapshotTable[[#This Row],[SC Fill Date]])))</f>
        <v>0</v>
      </c>
      <c r="ES194" s="370"/>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3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283"/>
      <c r="FA194" s="218"/>
      <c r="FB194" s="370"/>
      <c r="FC194" s="4">
        <f>IF(SnapshotTable[[#This Row],[SC Is Filled]], btc_max_buyback_amount(SnapshotTable[[#This Row],[SC Fill Date]],SnapshotTable[[#This Row],[SC Exp Date]], SnapshotTable[[#This Row],[SC Book Price]]),0)</f>
        <v>0</v>
      </c>
      <c r="FD194" s="5"/>
      <c r="FE194" s="144"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382">
        <f>IF(SnapshotTable[[#This Row],[SC Is Filled]], IF(ISNUMBER(SnapshotTable[[#This Row],[SC Current Ask]]), SnapshotTable[[#This Row],[SC Current Ask]], SnapshotTable[[#This Row],[SC Book Price]]) - SnapshotTable[[#This Row],[SC Intrinsic Value]], 0)</f>
        <v>0</v>
      </c>
      <c r="FI194" s="143"/>
      <c r="FJ194" s="32" t="str">
        <f>IF(SnapshotTable[[#This Row],[SC Is Filled]],100 * SnapshotTable[[#This Row],[SC Qty]] * IF(ISNUMBER(SnapshotTable[[#This Row],[SC Buyback Override]]), SnapshotTable[[#This Row],[SC Buyback Override]], SnapshotTable[[#This Row],[SC Current Ask]]), "")</f>
        <v/>
      </c>
      <c r="FK194" s="250" t="str">
        <f>IF(SnapshotTable[[#This Row],[SC Time Val]]&gt;0, SnapshotTable[[#This Row],[SC Time Val]] / SnapshotTable[[#This Row],[Last Price]],"")</f>
        <v/>
      </c>
      <c r="FL194" s="302" t="str">
        <f>IF(SnapshotTable[[#This Row],[SC Is Booked]], ((SnapshotTable[[#This Row],[Last Price]] -SnapshotTable[[#This Row],[SC Strike Price]]) / SnapshotTable[[#This Row],[Last Price]]) * -1, "")</f>
        <v/>
      </c>
      <c r="FM194" s="157" t="str">
        <f>IF(SnapshotTable[[#This Row],[SC Is Booked]],  (SnapshotTable[[#This Row],[SC Qty]] * 100 * SnapshotTable[[#This Row],[SC Strike Price]]) - SnapshotTable[[#This Row],[SC Current Ask]], "")</f>
        <v/>
      </c>
      <c r="FN1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157"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33"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36" t="str">
        <f>IF(AND(ISNUMBER(SnapshotTable[[#This Row],[SC Simple ROO]]),SnapshotTable[[#This Row],[SC Simple ROO]] &gt; 0), SnapshotTable[[#This Row],[SC Premium]] + (SnapshotTable[[#This Row],[SC Qty]] * SnapshotTable[[#This Row],[SC Upside Potential]]), "")</f>
        <v/>
      </c>
      <c r="FX194" s="302" t="str" cm="1">
        <f t="array" ref="FX194">IF(ISNUMBER(SnapshotTable[[#This Row],[SC Max Dollars]]), annualize(SnapshotTable[[#This Row],[SC Term]],(SnapshotTable[[#This Row],[SC Max Dollars]]/SnapshotTable[[#This Row],[SC Basis]])),"")</f>
        <v/>
      </c>
      <c r="FY194" s="236" t="str">
        <f>IF(AND(SnapshotTable[[#This Row],[SC Qty]]&gt;0,SnapshotTable[[#This Row],[SC Current Ask]]&gt;0), SnapshotTable[[#This Row],[SC Qty]] * SnapshotTable[[#This Row],[SC Current Ask]] * -100, "")</f>
        <v/>
      </c>
      <c r="FZ194" s="235" t="str">
        <f>IF(ISNUMBER((SnapshotTable[[#This Row],[SC Current Value]])), SnapshotTable[[#This Row],[SC Premium]] + SnapshotTable[[#This Row],[SC Current Value]], "")</f>
        <v/>
      </c>
      <c r="GA194" s="29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13.946</v>
      </c>
      <c r="GD194" s="40">
        <f>SnapshotTable[[#This Row],[Last Price]] * (1+ SellingPriceToConsiderBasedOnTargetPercentage)</f>
        <v>47.287500000000001</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158" t="str">
        <f>IF(SnapshotTable[[#This Row],[Sale G/L]]&gt;0, SnapshotTable[[#This Row],[Sale G/L]] / SnapshotTable[[#This Row],[Sale Basis]], IF(ISNUMBER(SnapshotTable[[#This Row],[SC Exercise P&amp;L (TAX)]]), SnapshotTable[[#This Row],[SC Exercise P&amp;L (TAX)]] / SnapshotTable[[#This Row],[SC Basis]], ""))</f>
        <v/>
      </c>
      <c r="GK194" s="27"/>
      <c r="GL194" s="159"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159" t="str">
        <f>IF(AND(SnapshotTable[[#This Row],[LC Exp Date]]&gt;0,SnapshotTable[[#This Row],[LC Strike Price]]&gt;0), [1]!ToOptionSymbol(SnapshotTable[[#This Row],[Symbol]], SnapshotTable[[#This Row],[LC Strike Price]],SnapshotTable[[#This Row],[LC Exp Date]],0), "")</f>
        <v/>
      </c>
      <c r="GQ194" s="160" t="str">
        <f>IF(LEN(SnapshotTable[[#This Row],[LC Symbol]])&gt;0, 1, "")</f>
        <v/>
      </c>
      <c r="GR194" s="159" t="str">
        <f>IF(AND(SnapshotTable[[#This Row],[SC Exp Date]]&gt;0,SnapshotTable[[#This Row],[SC Strike Price]]&gt;0), [1]!ToOptionSymbol(SnapshotTable[[#This Row],[Symbol]], SnapshotTable[[#This Row],[SC Strike Price]],SnapshotTable[[#This Row],[SC Exp Date]],0), "")</f>
        <v/>
      </c>
      <c r="GS194" s="160" t="str">
        <f>IF(LEN(SnapshotTable[[#This Row],[SC Symbol]])&gt;0, 1, "")</f>
        <v/>
      </c>
      <c r="GT194" s="161"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31">
        <f>MAX(SnapshotTable[[#This Row],[Equity Basis Total]],SnapshotTable[[#This Row],[Equity Value]]) + (SnapshotTable[[#This Row],[SP Potential Spend]]- SnapshotTable[[#This Row],[SP Premium]] + SnapshotTable[[#This Row],[LP Premium]])+ (SnapshotTable[[#This Row],[LC Premium]] - SnapshotTable[[#This Row],[SC Premium]])</f>
        <v>0</v>
      </c>
      <c r="GW194" s="139" t="str">
        <f>IF(AND(SnapshotTable[[#This Row],[Exposure]] &lt;&gt; 0),SnapshotTable[[#This Row],[Exposure]] / SnapshotTable[[#Totals],[Exposure]], "")</f>
        <v/>
      </c>
      <c r="HE194" s="268"/>
      <c r="HF194" s="268"/>
      <c r="HK194" s="1"/>
      <c r="HL194" s="1"/>
      <c r="HM194" s="1"/>
      <c r="HN194" s="1"/>
      <c r="HO194" s="1"/>
      <c r="HP194" s="1"/>
    </row>
    <row r="195" spans="2:224" ht="12.75" hidden="1" customHeight="1" x14ac:dyDescent="0.25">
      <c r="B195" s="12" t="s">
        <v>993</v>
      </c>
      <c r="C195" s="422">
        <v>3.71</v>
      </c>
      <c r="D195" s="208" t="s">
        <v>578</v>
      </c>
      <c r="E195" s="39">
        <f>SnapshotTable[[#This Row],[Last Price]]*(1 -CrashDiscount)</f>
        <v>3.1534999999999997</v>
      </c>
      <c r="F195" s="26" t="s">
        <v>995</v>
      </c>
      <c r="G195" s="26" t="s">
        <v>606</v>
      </c>
      <c r="H195" s="149"/>
      <c r="I195" s="194">
        <v>44777.291666666664</v>
      </c>
      <c r="J195" s="195">
        <v>44777.291666666664</v>
      </c>
      <c r="K195" s="196"/>
      <c r="L195" s="326"/>
      <c r="M195" s="140"/>
      <c r="N195" s="140"/>
      <c r="O195" s="140"/>
      <c r="P195" s="22"/>
      <c r="Q195" s="25"/>
      <c r="R195" s="4" t="str">
        <f>IF(SnapshotTable[[#This Row],[Equity Basis Total]] &gt; 0, SnapshotTable[[#This Row],[Equity Basis Total]] / SnapshotTable[[#This Row],[Equity Shares]], "")</f>
        <v/>
      </c>
      <c r="S195" s="269">
        <f>SnapshotTable[[#This Row],[Last Price]] * SnapshotTable[[#This Row],[Equity Shares]]</f>
        <v>0</v>
      </c>
      <c r="T195" s="269">
        <f>SnapshotTable[[#This Row],[Equity Value]] - SnapshotTable[[#This Row],[Equity Basis Total]]</f>
        <v>0</v>
      </c>
      <c r="U195" s="270" t="str">
        <f>IF(SnapshotTable[[#This Row],[Equity Basis Total]] &gt; 0, SnapshotTable[[#This Row],[Equity G/L]] / SnapshotTable[[#This Row],[Equity Basis Total]], "")</f>
        <v/>
      </c>
      <c r="V195" s="268"/>
      <c r="W195" s="26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7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0"/>
      <c r="AD195" s="151"/>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1"/>
      <c r="AI195" s="5"/>
      <c r="AJ195" s="138">
        <v>14</v>
      </c>
      <c r="AK195" s="152" t="str">
        <f>IF(ISNUMBER( SnapshotTable[[#This Row],[EBF Target]]),(SnapshotTable[[#This Row],[EBF Target]] - SnapshotTable[[#This Row],[Last Price]]) / SnapshotTable[[#This Row],[Last Price]], "")</f>
        <v/>
      </c>
      <c r="AL195" s="152"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2">
        <f>IF(AND(ISNUMBER( SnapshotTable[[#This Row],[Long Term Target]]), ISNUMBER(SnapshotTable[[#This Row],[Last Price]])),(SnapshotTable[[#This Row],[Long Term Target]] - SnapshotTable[[#This Row],[Last Price]]) / SnapshotTable[[#This Row],[Last Price]], "")</f>
        <v>2.773584905660377</v>
      </c>
      <c r="AP195" s="5">
        <v>14</v>
      </c>
      <c r="AQ195" s="38" t="s">
        <v>27</v>
      </c>
      <c r="AR195" s="5">
        <v>14</v>
      </c>
      <c r="AS195" s="38" t="s">
        <v>38</v>
      </c>
      <c r="AT195" s="146" t="s">
        <v>542</v>
      </c>
      <c r="AU195" s="187" t="str">
        <f>IF(OR(SnapshotTable[[#This Row],[LP No Fill]]="Y",SnapshotTable[[#This Row],[SP Is Filled]],SnapshotTable[[#This Row],[LC Not Filled]]="Y",SnapshotTable[[#This Row],[SC Is Filled]]),"Y","")</f>
        <v/>
      </c>
      <c r="AV195" s="219"/>
      <c r="AW195" s="225"/>
      <c r="AX195" s="220"/>
      <c r="AY195" s="219" t="str">
        <f>IF(SnapshotTable[[#This Row],[Implied Move]]&gt;0, SnapshotTable[[#This Row],[Last Price]]-SnapshotTable[[#This Row],[Implied Move]],"")</f>
        <v/>
      </c>
      <c r="AZ195" s="219" t="str">
        <f>IF(SnapshotTable[[#This Row],[Implied Move]]&gt;0, SnapshotTable[[#This Row],[Last Price]] + SnapshotTable[[#This Row],[Implied Move]],"")</f>
        <v/>
      </c>
      <c r="BA195" s="331">
        <v>10.83</v>
      </c>
      <c r="BB195" s="347"/>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51"/>
      <c r="BE195" s="5"/>
      <c r="BF195" s="14"/>
      <c r="BG195" s="13"/>
      <c r="BH195" s="13"/>
      <c r="BI195" s="5"/>
      <c r="BJ195" s="136">
        <f>IF(SnapshotTable[[#This Row],[LP Qty]] &gt; 0, SnapshotTable[[#This Row],[LP Qty]] * SnapshotTable[[#This Row],[LP Book Price]] * 100,0)</f>
        <v>0</v>
      </c>
      <c r="BK195" s="136">
        <f>IF(SnapshotTable[[#This Row],[LP Premium]] &gt; 0, SnapshotTable[[#This Row],[LP Qty]] * SnapshotTable[[#This Row],[LP Strike Price]] * 100,0)</f>
        <v>0</v>
      </c>
      <c r="BL195" s="154"/>
      <c r="BM195" s="385" t="str">
        <f>IF(SnapshotTable[[#This Row],[LP Premium]] &gt; 0,SnapshotTable[[#This Row],[LP Exp Date]]-MAX(SnapshotTable[[#This Row],[LP Book Date]], SnapshotTable[[#This Row],[LP Fill Date]]),"")</f>
        <v/>
      </c>
      <c r="BN195" s="385" t="str">
        <f>IF(ISNUMBER( SnapshotTable[[#This Row],[LP Term]]), SnapshotTable[[#This Row],[LP Exp Date]] - MockToday,"")</f>
        <v/>
      </c>
      <c r="BO195" s="163" t="str">
        <f>IF(AND(SnapshotTable[[#This Row],[LP Exp Date]]&gt;0, SnapshotTable[[#This Row],[LP Strike Price]]&gt;0,SnapshotTable[[#This Row],[LP Qty]]&gt;0,SnapshotTable[[#This Row],[LP Book Date]]&gt;0,SnapshotTable[[#This Row],[LP Book Price]]&gt;0,SnapshotTable[[#This Row],[LP Fill Date]]=0),"Y","")</f>
        <v/>
      </c>
      <c r="BP195" s="31"/>
      <c r="BQ195" s="13"/>
      <c r="BR195" s="5"/>
      <c r="BS195" s="36"/>
      <c r="BT195" s="147"/>
      <c r="BU195" s="13"/>
      <c r="BV195" s="5"/>
      <c r="BW195" s="419" t="b">
        <f>AND(ISNUMBER(SnapshotTable[[#This Row],[SP Exp Date]]), ISNUMBER(SnapshotTable[[#This Row],[SP Strike Price]]), ISNUMBER(SnapshotTable[[#This Row],[SP Qty]]), ISNUMBER(SnapshotTable[[#This Row],[SP Book Date]]), ISNUMBER(SnapshotTable[[#This Row],[SP Book Price]]))</f>
        <v>0</v>
      </c>
      <c r="BX195" s="419" t="b">
        <f>AND(SnapshotTable[[#This Row],[SP Is Booked]], NOT(ISBLANK(SnapshotTable[[#This Row],[SP Fill Date]])))</f>
        <v>0</v>
      </c>
      <c r="BY195" s="33">
        <f>IF(SnapshotTable[[#This Row],[SP Is Booked]], SnapshotTable[[#This Row],[SP Qty]] * SnapshotTable[[#This Row],[SP Book Price]] * 100, 0)</f>
        <v>0</v>
      </c>
      <c r="BZ195" s="369"/>
      <c r="CA195" s="368">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3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44"/>
      <c r="CK195" s="31">
        <f>IF(ISNUMBER(SnapshotTable[[#This Row],[SP Potential Spend]]),IF(ISNUMBER(SnapshotTable[[#This Row],[SP POW]]), SnapshotTable[[#This Row],[SP POW]] * SnapshotTable[[#This Row],[SP Potential Spend]], SnapshotTable[[#This Row],[SP Potential Spend]]), "")</f>
        <v>0</v>
      </c>
      <c r="CL195" s="164">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8"/>
      <c r="CO195" s="369"/>
      <c r="CP195" s="4" t="str">
        <f>IF(SnapshotTable[[#This Row],[SP Is Filled]], btc_max_buyback_amount(SnapshotTable[[#This Row],[SP Fill Date]],SnapshotTable[[#This Row],[SP Exp Date]], SnapshotTable[[#This Row],[SP Book Price]]),"")</f>
        <v/>
      </c>
      <c r="CQ195" s="78"/>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5" t="str">
        <f>IF(SnapshotTable[[#This Row],[SP Is Filled]], btc_next_cutoff_date(SnapshotTable[[#This Row],[SP Fill Date]],SnapshotTable[[#This Row],[SP Exp Date]]),"")</f>
        <v/>
      </c>
      <c r="CT195" s="23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3"/>
      <c r="CV195" s="235"/>
      <c r="CW195" s="378"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294"/>
      <c r="DI195" s="406"/>
      <c r="DJ195" s="138"/>
      <c r="DK195" s="148"/>
      <c r="DL195" s="13"/>
      <c r="DM195" s="13"/>
      <c r="DO195" s="31">
        <f>IF(SnapshotTable[[#This Row],[LC Symbol Count]]=1, SnapshotTable[[#This Row],[LC Qty]] * SnapshotTable[[#This Row],[LC Book Price]] * 100, 0)</f>
        <v>0</v>
      </c>
      <c r="DP195" s="163" t="str">
        <f>IF(AND(SnapshotTable[[#This Row],[LC Exp Date]]&gt;0, SnapshotTable[[#This Row],[LC Strike Price]]&gt;0,SnapshotTable[[#This Row],[LC Qty]]&gt;0,SnapshotTable[[#This Row],[LC Book Date]]&gt;0,SnapshotTable[[#This Row],[LC Book Price]]&gt;0,SnapshotTable[[#This Row],[LC Fill Date]]=0),"Y","")</f>
        <v/>
      </c>
      <c r="DQ195" s="386" t="str">
        <f>IF(SnapshotTable[[#This Row],[LC Premium]] &gt; 0,SnapshotTable[[#This Row],[LC Exp Date]]-MAX(SnapshotTable[[#This Row],[LC Book Date]], SnapshotTable[[#This Row],[LC Fill Date]]),"")</f>
        <v/>
      </c>
      <c r="DR195" s="386" t="str">
        <f>IF(ISNUMBER(SnapshotTable[[#This Row],[LC Term]]), SnapshotTable[[#This Row],[LC Exp Date]] - MockToday, "")</f>
        <v/>
      </c>
      <c r="DS195" s="23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40" t="str">
        <f>IF(ISNUMBER(SnapshotTable[[#This Row],[LC Actual Gain Loss]]), SnapshotTable[[#This Row],[LC Actual Gain Loss]] / SnapshotTable[[#This Row],[LC Premium]],"")</f>
        <v/>
      </c>
      <c r="DX195" s="284" t="str">
        <f>IF(ISNUMBER(SnapshotTable[[#This Row],[LC Book Price]]),SnapshotTable[[#This Row],[LC Book Price]] * 1.5,"")</f>
        <v/>
      </c>
      <c r="DY195" s="265" t="str">
        <f>IF(SnapshotTable[[#This Row],[LC Premium]]&gt;0, SnapshotTable[[#This Row],[LC Next Target]] * SnapshotTable[[#This Row],[LC Qty]] * 100,"")</f>
        <v/>
      </c>
      <c r="DZ195" s="265" t="str">
        <f>IF(ISNUMBER(SnapshotTable[[#This Row],[LC Target Gross]]), SnapshotTable[[#This Row],[LC Target Gross]] - SnapshotTable[[#This Row],[LC Premium]], "")</f>
        <v/>
      </c>
      <c r="EA195" s="305" t="str">
        <f>IF(ISNUMBER(SnapshotTable[[#This Row],[LC Target Gain Loss]]), SnapshotTable[[#This Row],[LC Target Gain Loss]]/SnapshotTable[[#This Row],[LC Premium]], "")</f>
        <v/>
      </c>
      <c r="EB195" s="262"/>
      <c r="EC195" s="283" t="str">
        <f>IF(SnapshotTable[[#This Row],[LC Premium]]&gt;0, SnapshotTable[[#This Row],[LC Book Price]] * (1 - LC_StopLoss_Pct),"")</f>
        <v/>
      </c>
      <c r="ED195" s="284"/>
      <c r="EE195" s="28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40"/>
      <c r="EJ195" s="35">
        <f>IF(ISNUMBER(SnapshotTable[[#This Row],[Equity Shares]]),TRUNC(SnapshotTable[[#This Row],[Equity Shares]] / 100),0) + SnapshotTable[[#This Row],[LC Qty]]</f>
        <v>0</v>
      </c>
      <c r="EK195" s="147"/>
      <c r="EL195" s="138"/>
      <c r="EM195" s="148"/>
      <c r="EN195" s="147"/>
      <c r="EO195" s="147"/>
      <c r="EP195" s="138"/>
      <c r="EQ195" s="419" t="b">
        <f>AND(ISNUMBER(SnapshotTable[[#This Row],[SC Exp Date]]), ISNUMBER(SnapshotTable[[#This Row],[SC Strike Price]]), ISNUMBER(SnapshotTable[[#This Row],[SC Qty]]), ISNUMBER(SnapshotTable[[#This Row],[SC Book Date]]), ISNUMBER(SnapshotTable[[#This Row],[SC Book Price]]))</f>
        <v>0</v>
      </c>
      <c r="ER195" s="419" t="b">
        <f>AND(SnapshotTable[[#This Row],[SC Is Booked]], NOT(ISBLANK(SnapshotTable[[#This Row],[SC Fill Date]])))</f>
        <v>0</v>
      </c>
      <c r="ES195" s="370"/>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3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283"/>
      <c r="FA195" s="218"/>
      <c r="FB195" s="370"/>
      <c r="FC195" s="4">
        <f>IF(SnapshotTable[[#This Row],[SC Is Filled]], btc_max_buyback_amount(SnapshotTable[[#This Row],[SC Fill Date]],SnapshotTable[[#This Row],[SC Exp Date]], SnapshotTable[[#This Row],[SC Book Price]]),0)</f>
        <v>0</v>
      </c>
      <c r="FD195" s="5"/>
      <c r="FE195" s="144"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382">
        <f>IF(SnapshotTable[[#This Row],[SC Is Filled]], IF(ISNUMBER(SnapshotTable[[#This Row],[SC Current Ask]]), SnapshotTable[[#This Row],[SC Current Ask]], SnapshotTable[[#This Row],[SC Book Price]]) - SnapshotTable[[#This Row],[SC Intrinsic Value]], 0)</f>
        <v>0</v>
      </c>
      <c r="FI195" s="143"/>
      <c r="FJ195" s="32" t="str">
        <f>IF(SnapshotTable[[#This Row],[SC Is Filled]],100 * SnapshotTable[[#This Row],[SC Qty]] * IF(ISNUMBER(SnapshotTable[[#This Row],[SC Buyback Override]]), SnapshotTable[[#This Row],[SC Buyback Override]], SnapshotTable[[#This Row],[SC Current Ask]]), "")</f>
        <v/>
      </c>
      <c r="FK195" s="250" t="str">
        <f>IF(SnapshotTable[[#This Row],[SC Time Val]]&gt;0, SnapshotTable[[#This Row],[SC Time Val]] / SnapshotTable[[#This Row],[Last Price]],"")</f>
        <v/>
      </c>
      <c r="FL195" s="302" t="str">
        <f>IF(SnapshotTable[[#This Row],[SC Is Booked]], ((SnapshotTable[[#This Row],[Last Price]] -SnapshotTable[[#This Row],[SC Strike Price]]) / SnapshotTable[[#This Row],[Last Price]]) * -1, "")</f>
        <v/>
      </c>
      <c r="FM195" s="157"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33"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36" t="str">
        <f>IF(AND(ISNUMBER(SnapshotTable[[#This Row],[SC Simple ROO]]),SnapshotTable[[#This Row],[SC Simple ROO]] &gt; 0), SnapshotTable[[#This Row],[SC Premium]] + (SnapshotTable[[#This Row],[SC Qty]] * SnapshotTable[[#This Row],[SC Upside Potential]]), "")</f>
        <v/>
      </c>
      <c r="FX195" s="302" t="str" cm="1">
        <f t="array" ref="FX195">IF(ISNUMBER(SnapshotTable[[#This Row],[SC Max Dollars]]), annualize(SnapshotTable[[#This Row],[SC Term]],(SnapshotTable[[#This Row],[SC Max Dollars]]/SnapshotTable[[#This Row],[SC Basis]])),"")</f>
        <v/>
      </c>
      <c r="FY195" s="23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29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13.299999999999999</v>
      </c>
      <c r="GD195" s="40">
        <f>SnapshotTable[[#This Row],[Last Price]] * (1+ SellingPriceToConsiderBasedOnTargetPercentage)</f>
        <v>7.2344999999999997</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31">
        <f>MAX(SnapshotTable[[#This Row],[Equity Basis Total]],SnapshotTable[[#This Row],[Equity Value]]) + (SnapshotTable[[#This Row],[SP Potential Spend]]- SnapshotTable[[#This Row],[SP Premium]] + SnapshotTable[[#This Row],[LP Premium]])+ (SnapshotTable[[#This Row],[LC Premium]] - SnapshotTable[[#This Row],[SC Premium]])</f>
        <v>0</v>
      </c>
      <c r="GW195" s="139" t="str">
        <f>IF(AND(SnapshotTable[[#This Row],[Exposure]] &lt;&gt; 0),SnapshotTable[[#This Row],[Exposure]] / SnapshotTable[[#Totals],[Exposure]], "")</f>
        <v/>
      </c>
      <c r="HE195" s="268"/>
      <c r="HF195" s="268"/>
      <c r="HK195" s="1"/>
      <c r="HL195" s="1"/>
      <c r="HM195" s="1"/>
      <c r="HN195" s="1"/>
      <c r="HO195" s="1"/>
      <c r="HP195" s="1"/>
    </row>
    <row r="196" spans="2:224" ht="12.75" hidden="1" customHeight="1" x14ac:dyDescent="0.25">
      <c r="B196" s="12" t="s">
        <v>1265</v>
      </c>
      <c r="C196" s="422">
        <v>68.53</v>
      </c>
      <c r="D196" s="208"/>
      <c r="E196" s="39">
        <f>SnapshotTable[[#This Row],[Last Price]]*(1 -CrashDiscount)</f>
        <v>58.250500000000002</v>
      </c>
      <c r="F196" s="325" t="s">
        <v>945</v>
      </c>
      <c r="G196" s="325" t="s">
        <v>606</v>
      </c>
      <c r="H196" s="149"/>
      <c r="I196" s="194"/>
      <c r="J196" s="195"/>
      <c r="K196" s="196"/>
      <c r="L196" s="326"/>
      <c r="M196" s="140"/>
      <c r="N196" s="140"/>
      <c r="O196" s="140"/>
      <c r="P196" s="22"/>
      <c r="Q196" s="25"/>
      <c r="R196" s="4" t="str">
        <f>IF(SnapshotTable[[#This Row],[Equity Basis Total]] &gt; 0, SnapshotTable[[#This Row],[Equity Basis Total]] / SnapshotTable[[#This Row],[Equity Shares]], "")</f>
        <v/>
      </c>
      <c r="S196" s="269">
        <f>SnapshotTable[[#This Row],[Last Price]] * SnapshotTable[[#This Row],[Equity Shares]]</f>
        <v>0</v>
      </c>
      <c r="T196" s="269">
        <f>SnapshotTable[[#This Row],[Equity Value]] - SnapshotTable[[#This Row],[Equity Basis Total]]</f>
        <v>0</v>
      </c>
      <c r="U196" s="270" t="str">
        <f>IF(SnapshotTable[[#This Row],[Equity Basis Total]] &gt; 0, SnapshotTable[[#This Row],[Equity G/L]] / SnapshotTable[[#This Row],[Equity Basis Total]], "")</f>
        <v/>
      </c>
      <c r="V196" s="268"/>
      <c r="W196" s="26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7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0"/>
      <c r="AD196" s="151"/>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1"/>
      <c r="AI196" s="5"/>
      <c r="AJ196" s="138"/>
      <c r="AK196" s="152" t="str">
        <f>IF(ISNUMBER( SnapshotTable[[#This Row],[EBF Target]]),(SnapshotTable[[#This Row],[EBF Target]] - SnapshotTable[[#This Row],[Last Price]]) / SnapshotTable[[#This Row],[Last Price]], "")</f>
        <v/>
      </c>
      <c r="AL196" s="152"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2" t="str">
        <f>IF(AND(ISNUMBER( SnapshotTable[[#This Row],[Long Term Target]]), ISNUMBER(SnapshotTable[[#This Row],[Last Price]])),(SnapshotTable[[#This Row],[Long Term Target]] - SnapshotTable[[#This Row],[Last Price]]) / SnapshotTable[[#This Row],[Last Price]], "")</f>
        <v/>
      </c>
      <c r="AP196" s="5"/>
      <c r="AQ196" s="38"/>
      <c r="AR196" s="5"/>
      <c r="AS196" s="38"/>
      <c r="AT196" s="146"/>
      <c r="AU196" s="187" t="str">
        <f>IF(OR(SnapshotTable[[#This Row],[LP No Fill]]="Y",SnapshotTable[[#This Row],[SP Is Filled]],SnapshotTable[[#This Row],[LC Not Filled]]="Y",SnapshotTable[[#This Row],[SC Is Filled]]),"Y","")</f>
        <v/>
      </c>
      <c r="AV196" s="219"/>
      <c r="AW196" s="225"/>
      <c r="AX196" s="220"/>
      <c r="AY196" s="219" t="str">
        <f>IF(SnapshotTable[[#This Row],[Implied Move]]&gt;0, SnapshotTable[[#This Row],[Last Price]]-SnapshotTable[[#This Row],[Implied Move]],"")</f>
        <v/>
      </c>
      <c r="AZ196" s="219" t="str">
        <f>IF(SnapshotTable[[#This Row],[Implied Move]]&gt;0, SnapshotTable[[#This Row],[Last Price]] + SnapshotTable[[#This Row],[Implied Move]],"")</f>
        <v/>
      </c>
      <c r="BA196" s="331">
        <v>99.39</v>
      </c>
      <c r="BB196" s="347" t="s">
        <v>974</v>
      </c>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51"/>
      <c r="BE196" s="5"/>
      <c r="BF196" s="14"/>
      <c r="BG196" s="13"/>
      <c r="BH196" s="13"/>
      <c r="BI196" s="5"/>
      <c r="BJ196" s="136">
        <f>IF(SnapshotTable[[#This Row],[LP Qty]] &gt; 0, SnapshotTable[[#This Row],[LP Qty]] * SnapshotTable[[#This Row],[LP Book Price]] * 100,0)</f>
        <v>0</v>
      </c>
      <c r="BK196" s="136">
        <f>IF(SnapshotTable[[#This Row],[LP Premium]] &gt; 0, SnapshotTable[[#This Row],[LP Qty]] * SnapshotTable[[#This Row],[LP Strike Price]] * 100,0)</f>
        <v>0</v>
      </c>
      <c r="BL196" s="154"/>
      <c r="BM196" s="385" t="str">
        <f>IF(SnapshotTable[[#This Row],[LP Premium]] &gt; 0,SnapshotTable[[#This Row],[LP Exp Date]]-MAX(SnapshotTable[[#This Row],[LP Book Date]], SnapshotTable[[#This Row],[LP Fill Date]]),"")</f>
        <v/>
      </c>
      <c r="BN196" s="385" t="str">
        <f>IF(ISNUMBER( SnapshotTable[[#This Row],[LP Term]]), SnapshotTable[[#This Row],[LP Exp Date]] - MockToday,"")</f>
        <v/>
      </c>
      <c r="BO196" s="163"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7"/>
      <c r="BU196" s="13"/>
      <c r="BV196" s="5"/>
      <c r="BW196" s="419" t="b">
        <f>AND(ISNUMBER(SnapshotTable[[#This Row],[SP Exp Date]]), ISNUMBER(SnapshotTable[[#This Row],[SP Strike Price]]), ISNUMBER(SnapshotTable[[#This Row],[SP Qty]]), ISNUMBER(SnapshotTable[[#This Row],[SP Book Date]]), ISNUMBER(SnapshotTable[[#This Row],[SP Book Price]]))</f>
        <v>0</v>
      </c>
      <c r="BX196" s="419" t="b">
        <f>AND(SnapshotTable[[#This Row],[SP Is Booked]], NOT(ISBLANK(SnapshotTable[[#This Row],[SP Fill Date]])))</f>
        <v>0</v>
      </c>
      <c r="BY196" s="33">
        <f>IF(SnapshotTable[[#This Row],[SP Is Booked]], SnapshotTable[[#This Row],[SP Qty]] * SnapshotTable[[#This Row],[SP Book Price]] * 100, 0)</f>
        <v>0</v>
      </c>
      <c r="BZ196" s="369"/>
      <c r="CA196" s="368">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3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44"/>
      <c r="CK196" s="31">
        <f>IF(ISNUMBER(SnapshotTable[[#This Row],[SP Potential Spend]]),IF(ISNUMBER(SnapshotTable[[#This Row],[SP POW]]), SnapshotTable[[#This Row],[SP POW]] * SnapshotTable[[#This Row],[SP Potential Spend]], SnapshotTable[[#This Row],[SP Potential Spend]]), "")</f>
        <v>0</v>
      </c>
      <c r="CL196" s="164">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78"/>
      <c r="CO196" s="369"/>
      <c r="CP196" s="4" t="str">
        <f>IF(SnapshotTable[[#This Row],[SP Is Filled]], btc_max_buyback_amount(SnapshotTable[[#This Row],[SP Fill Date]],SnapshotTable[[#This Row],[SP Exp Date]], SnapshotTable[[#This Row],[SP Book Price]]),"")</f>
        <v/>
      </c>
      <c r="CQ196" s="78"/>
      <c r="CR1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5" t="str">
        <f>IF(SnapshotTable[[#This Row],[SP Is Filled]], btc_next_cutoff_date(SnapshotTable[[#This Row],[SP Fill Date]],SnapshotTable[[#This Row],[SP Exp Date]]),"")</f>
        <v/>
      </c>
      <c r="CT196" s="23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6"/>
      <c r="CV196" s="235"/>
      <c r="CW196" s="378"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294" t="str">
        <f>IF(ISNUMBER((SnapshotTable[[#This Row],[SP Total Value]])), SnapshotTable[[#This Row],[SP Gain Loss]] / SnapshotTable[[#This Row],[SP Premium]], "")</f>
        <v/>
      </c>
      <c r="DI196" s="406"/>
      <c r="DJ196" s="138"/>
      <c r="DK196" s="148"/>
      <c r="DL196" s="13"/>
      <c r="DM196" s="13"/>
      <c r="DO196" s="31">
        <f>IF(SnapshotTable[[#This Row],[LC Symbol Count]]=1, SnapshotTable[[#This Row],[LC Qty]] * SnapshotTable[[#This Row],[LC Book Price]] * 100, 0)</f>
        <v>0</v>
      </c>
      <c r="DP196" s="163" t="str">
        <f>IF(AND(SnapshotTable[[#This Row],[LC Exp Date]]&gt;0, SnapshotTable[[#This Row],[LC Strike Price]]&gt;0,SnapshotTable[[#This Row],[LC Qty]]&gt;0,SnapshotTable[[#This Row],[LC Book Date]]&gt;0,SnapshotTable[[#This Row],[LC Book Price]]&gt;0,SnapshotTable[[#This Row],[LC Fill Date]]=0),"Y","")</f>
        <v/>
      </c>
      <c r="DQ196" s="386" t="str">
        <f>IF(SnapshotTable[[#This Row],[LC Premium]] &gt; 0,SnapshotTable[[#This Row],[LC Exp Date]]-MAX(SnapshotTable[[#This Row],[LC Book Date]], SnapshotTable[[#This Row],[LC Fill Date]]),"")</f>
        <v/>
      </c>
      <c r="DR196" s="386" t="str">
        <f>IF(ISNUMBER(SnapshotTable[[#This Row],[LC Term]]), SnapshotTable[[#This Row],[LC Exp Date]] - MockToday, "")</f>
        <v/>
      </c>
      <c r="DS196" s="23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40" t="str">
        <f>IF(ISNUMBER(SnapshotTable[[#This Row],[LC Actual Gain Loss]]), SnapshotTable[[#This Row],[LC Actual Gain Loss]] / SnapshotTable[[#This Row],[LC Premium]],"")</f>
        <v/>
      </c>
      <c r="DX196" s="284" t="str">
        <f>IF(ISNUMBER(SnapshotTable[[#This Row],[LC Book Price]]),SnapshotTable[[#This Row],[LC Book Price]] * 1.5,"")</f>
        <v/>
      </c>
      <c r="DY196" s="265" t="str">
        <f>IF(SnapshotTable[[#This Row],[LC Premium]]&gt;0, SnapshotTable[[#This Row],[LC Next Target]] * SnapshotTable[[#This Row],[LC Qty]] * 100,"")</f>
        <v/>
      </c>
      <c r="DZ196" s="265" t="str">
        <f>IF(ISNUMBER(SnapshotTable[[#This Row],[LC Target Gross]]), SnapshotTable[[#This Row],[LC Target Gross]] - SnapshotTable[[#This Row],[LC Premium]], "")</f>
        <v/>
      </c>
      <c r="EA196" s="305" t="str">
        <f>IF(ISNUMBER(SnapshotTable[[#This Row],[LC Target Gain Loss]]), SnapshotTable[[#This Row],[LC Target Gain Loss]]/SnapshotTable[[#This Row],[LC Premium]], "")</f>
        <v/>
      </c>
      <c r="EB196" s="262"/>
      <c r="EC196" s="283" t="str">
        <f>IF(SnapshotTable[[#This Row],[LC Premium]]&gt;0, SnapshotTable[[#This Row],[LC Book Price]] * (1 - LC_StopLoss_Pct),"")</f>
        <v/>
      </c>
      <c r="ED196" s="284"/>
      <c r="EE196" s="283" t="str">
        <f>IF(ISNUMBER(SnapshotTable[[#This Row],[LC Contract Value]]),IF(ISNUMBER(SnapshotTable[[#This Row],[LC Stop Loss Override]]), SnapshotTable[[#This Row],[LC Stop Loss Override]],SnapshotTable[[#This Row],[LC Stop Loss Calc Target]]),"")</f>
        <v/>
      </c>
      <c r="EF196" s="31"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4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7"/>
      <c r="EL196" s="138"/>
      <c r="EM196" s="148"/>
      <c r="EN196" s="147"/>
      <c r="EO196" s="147"/>
      <c r="EP196" s="138"/>
      <c r="EQ196" s="419" t="b">
        <f>AND(ISNUMBER(SnapshotTable[[#This Row],[SC Exp Date]]), ISNUMBER(SnapshotTable[[#This Row],[SC Strike Price]]), ISNUMBER(SnapshotTable[[#This Row],[SC Qty]]), ISNUMBER(SnapshotTable[[#This Row],[SC Book Date]]), ISNUMBER(SnapshotTable[[#This Row],[SC Book Price]]))</f>
        <v>0</v>
      </c>
      <c r="ER196" s="419" t="b">
        <f>AND(SnapshotTable[[#This Row],[SC Is Booked]], NOT(ISBLANK(SnapshotTable[[#This Row],[SC Fill Date]])))</f>
        <v>0</v>
      </c>
      <c r="ES196" s="370"/>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3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283"/>
      <c r="FA196" s="218"/>
      <c r="FB196" s="370"/>
      <c r="FC196" s="4">
        <f>IF(SnapshotTable[[#This Row],[SC Is Filled]], btc_max_buyback_amount(SnapshotTable[[#This Row],[SC Fill Date]],SnapshotTable[[#This Row],[SC Exp Date]], SnapshotTable[[#This Row],[SC Book Price]]),0)</f>
        <v>0</v>
      </c>
      <c r="FD196" s="5"/>
      <c r="FE196" s="144"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382">
        <f>IF(SnapshotTable[[#This Row],[SC Is Filled]], IF(ISNUMBER(SnapshotTable[[#This Row],[SC Current Ask]]), SnapshotTable[[#This Row],[SC Current Ask]], SnapshotTable[[#This Row],[SC Book Price]]) - SnapshotTable[[#This Row],[SC Intrinsic Value]], 0)</f>
        <v>0</v>
      </c>
      <c r="FI196" s="143"/>
      <c r="FJ196" s="32" t="str">
        <f>IF(SnapshotTable[[#This Row],[SC Is Filled]],100 * SnapshotTable[[#This Row],[SC Qty]] * IF(ISNUMBER(SnapshotTable[[#This Row],[SC Buyback Override]]), SnapshotTable[[#This Row],[SC Buyback Override]], SnapshotTable[[#This Row],[SC Current Ask]]), "")</f>
        <v/>
      </c>
      <c r="FK196" s="250" t="str">
        <f>IF(SnapshotTable[[#This Row],[SC Time Val]]&gt;0, SnapshotTable[[#This Row],[SC Time Val]] / SnapshotTable[[#This Row],[Last Price]],"")</f>
        <v/>
      </c>
      <c r="FL196" s="302" t="str">
        <f>IF(SnapshotTable[[#This Row],[SC Is Booked]], ((SnapshotTable[[#This Row],[Last Price]] -SnapshotTable[[#This Row],[SC Strike Price]]) / SnapshotTable[[#This Row],[Last Price]]) * -1, "")</f>
        <v/>
      </c>
      <c r="FM196" s="157" t="str">
        <f>IF(SnapshotTable[[#This Row],[SC Is Booked]],  (SnapshotTable[[#This Row],[SC Qty]] * 100 * SnapshotTable[[#This Row],[SC Strike Price]]) - SnapshotTable[[#This Row],[SC Current Ask]], "")</f>
        <v/>
      </c>
      <c r="FN1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31"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33"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36" t="str">
        <f>IF(AND(ISNUMBER(SnapshotTable[[#This Row],[SC Simple ROO]]),SnapshotTable[[#This Row],[SC Simple ROO]] &gt; 0), SnapshotTable[[#This Row],[SC Premium]] + (SnapshotTable[[#This Row],[SC Qty]] * SnapshotTable[[#This Row],[SC Upside Potential]]), "")</f>
        <v/>
      </c>
      <c r="FX196" s="302" t="str" cm="1">
        <f t="array" ref="FX196">IF(ISNUMBER(SnapshotTable[[#This Row],[SC Max Dollars]]), annualize(SnapshotTable[[#This Row],[SC Term]],(SnapshotTable[[#This Row],[SC Max Dollars]]/SnapshotTable[[#This Row],[SC Basis]])),"")</f>
        <v/>
      </c>
      <c r="FY196" s="236" t="str">
        <f>IF(AND(SnapshotTable[[#This Row],[SC Qty]]&gt;0,SnapshotTable[[#This Row],[SC Current Ask]]&gt;0), SnapshotTable[[#This Row],[SC Qty]] * SnapshotTable[[#This Row],[SC Current Ask]] * -100, "")</f>
        <v/>
      </c>
      <c r="FZ196" s="31" t="str">
        <f>IF(ISNUMBER((SnapshotTable[[#This Row],[SC Current Value]])), SnapshotTable[[#This Row],[SC Premium]] + SnapshotTable[[#This Row],[SC Current Value]], "")</f>
        <v/>
      </c>
      <c r="GA196" s="29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0</v>
      </c>
      <c r="GD196" s="40">
        <f>SnapshotTable[[#This Row],[Last Price]] * (1+ SellingPriceToConsiderBasedOnTargetPercentage)</f>
        <v>133.6335</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27" t="str">
        <f>IF(SnapshotTable[[#This Row],[Sale G/L]]&gt;0, SnapshotTable[[#This Row],[Sale G/L]] / SnapshotTable[[#This Row],[Sale Basis]], IF(ISNUMBER(SnapshotTable[[#This Row],[SC Exercise P&amp;L (TAX)]]), SnapshotTable[[#This Row],[SC Exercise P&amp;L (TAX)]] / SnapshotTable[[#This Row],[SC Basis]], ""))</f>
        <v/>
      </c>
      <c r="GK196" s="27"/>
      <c r="GL196" s="43"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43" t="str">
        <f>IF(AND(SnapshotTable[[#This Row],[LC Exp Date]]&gt;0,SnapshotTable[[#This Row],[LC Strike Price]]&gt;0), [1]!ToOptionSymbol(SnapshotTable[[#This Row],[Symbol]], SnapshotTable[[#This Row],[LC Strike Price]],SnapshotTable[[#This Row],[LC Exp Date]],0), "")</f>
        <v/>
      </c>
      <c r="GQ196" s="30" t="str">
        <f>IF(LEN(SnapshotTable[[#This Row],[LC Symbol]])&gt;0, 1, "")</f>
        <v/>
      </c>
      <c r="GR196" s="43" t="str">
        <f>IF(AND(SnapshotTable[[#This Row],[SC Exp Date]]&gt;0,SnapshotTable[[#This Row],[SC Strike Price]]&gt;0), [1]!ToOptionSymbol(SnapshotTable[[#This Row],[Symbol]], SnapshotTable[[#This Row],[SC Strike Price]],SnapshotTable[[#This Row],[SC Exp Date]],0), "")</f>
        <v/>
      </c>
      <c r="GS196" s="30" t="str">
        <f>IF(LEN(SnapshotTable[[#This Row],[SC Symbol]])&gt;0, 1, "")</f>
        <v/>
      </c>
      <c r="GT196" s="29"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31">
        <f>MAX(SnapshotTable[[#This Row],[Equity Basis Total]],SnapshotTable[[#This Row],[Equity Value]]) + (SnapshotTable[[#This Row],[SP Potential Spend]]- SnapshotTable[[#This Row],[SP Premium]] + SnapshotTable[[#This Row],[LP Premium]])+ (SnapshotTable[[#This Row],[LC Premium]] - SnapshotTable[[#This Row],[SC Premium]])</f>
        <v>0</v>
      </c>
      <c r="GW196" s="139" t="str">
        <f>IF(AND(SnapshotTable[[#This Row],[Exposure]] &lt;&gt; 0),SnapshotTable[[#This Row],[Exposure]] / SnapshotTable[[#Totals],[Exposure]], "")</f>
        <v/>
      </c>
      <c r="HE196" s="268"/>
      <c r="HF196" s="268"/>
      <c r="HK196" s="1"/>
      <c r="HL196" s="1"/>
      <c r="HM196" s="1"/>
      <c r="HN196" s="1"/>
      <c r="HO196" s="1"/>
      <c r="HP196" s="1"/>
    </row>
    <row r="197" spans="2:224" ht="12.75" hidden="1" customHeight="1" x14ac:dyDescent="0.25">
      <c r="B197" s="12" t="s">
        <v>998</v>
      </c>
      <c r="C197" s="422">
        <v>1.38</v>
      </c>
      <c r="D197" s="208"/>
      <c r="E197" s="39">
        <f>SnapshotTable[[#This Row],[Last Price]]*(1 -CrashDiscount)</f>
        <v>1.1729999999999998</v>
      </c>
      <c r="F197" s="26" t="s">
        <v>999</v>
      </c>
      <c r="G197" s="26" t="s">
        <v>610</v>
      </c>
      <c r="H197" s="149"/>
      <c r="I197" s="194">
        <v>44782.666666666664</v>
      </c>
      <c r="J197" s="195">
        <v>44782.666666666664</v>
      </c>
      <c r="K197" s="196"/>
      <c r="L197" s="326"/>
      <c r="M197" s="140"/>
      <c r="N197" s="140"/>
      <c r="O197" s="140"/>
      <c r="P197" s="22"/>
      <c r="Q197" s="25"/>
      <c r="R197" s="4" t="str">
        <f>IF(SnapshotTable[[#This Row],[Equity Basis Total]] &gt; 0, SnapshotTable[[#This Row],[Equity Basis Total]] / SnapshotTable[[#This Row],[Equity Shares]], "")</f>
        <v/>
      </c>
      <c r="S197" s="269">
        <f>SnapshotTable[[#This Row],[Last Price]] * SnapshotTable[[#This Row],[Equity Shares]]</f>
        <v>0</v>
      </c>
      <c r="T197" s="269">
        <f>SnapshotTable[[#This Row],[Equity Value]] - SnapshotTable[[#This Row],[Equity Basis Total]]</f>
        <v>0</v>
      </c>
      <c r="U197" s="270" t="str">
        <f>IF(SnapshotTable[[#This Row],[Equity Basis Total]] &gt; 0, SnapshotTable[[#This Row],[Equity G/L]] / SnapshotTable[[#This Row],[Equity Basis Total]], "")</f>
        <v/>
      </c>
      <c r="V197" s="268">
        <v>60</v>
      </c>
      <c r="W197" s="334" t="s">
        <v>1000</v>
      </c>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7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0"/>
      <c r="AD197" s="151"/>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1"/>
      <c r="AI197" s="5"/>
      <c r="AJ197" s="138">
        <v>59.88</v>
      </c>
      <c r="AK197" s="152" t="str">
        <f>IF(ISNUMBER( SnapshotTable[[#This Row],[EBF Target]]),(SnapshotTable[[#This Row],[EBF Target]] - SnapshotTable[[#This Row],[Last Price]]) / SnapshotTable[[#This Row],[Last Price]], "")</f>
        <v/>
      </c>
      <c r="AL197" s="152"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2">
        <f>IF(AND(ISNUMBER( SnapshotTable[[#This Row],[Long Term Target]]), ISNUMBER(SnapshotTable[[#This Row],[Last Price]])),(SnapshotTable[[#This Row],[Long Term Target]] - SnapshotTable[[#This Row],[Last Price]]) / SnapshotTable[[#This Row],[Last Price]], "")</f>
        <v>42.391304347826093</v>
      </c>
      <c r="AP197" s="5"/>
      <c r="AQ197" s="38"/>
      <c r="AR197" s="5"/>
      <c r="AS197" s="38"/>
      <c r="AT197" s="146"/>
      <c r="AU197" s="187" t="str">
        <f>IF(OR(SnapshotTable[[#This Row],[LP No Fill]]="Y",SnapshotTable[[#This Row],[SP Is Filled]],SnapshotTable[[#This Row],[LC Not Filled]]="Y",SnapshotTable[[#This Row],[SC Is Filled]]),"Y","")</f>
        <v/>
      </c>
      <c r="AV197" s="219"/>
      <c r="AW197" s="225"/>
      <c r="AX197" s="220"/>
      <c r="AY197" s="219" t="str">
        <f>IF(SnapshotTable[[#This Row],[Implied Move]]&gt;0, SnapshotTable[[#This Row],[Last Price]]-SnapshotTable[[#This Row],[Implied Move]],"")</f>
        <v/>
      </c>
      <c r="AZ197" s="219" t="str">
        <f>IF(SnapshotTable[[#This Row],[Implied Move]]&gt;0, SnapshotTable[[#This Row],[Last Price]] + SnapshotTable[[#This Row],[Implied Move]],"")</f>
        <v/>
      </c>
      <c r="BA197" s="331">
        <v>41.45</v>
      </c>
      <c r="BB197" s="347"/>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51"/>
      <c r="BE197" s="138"/>
      <c r="BF197" s="166"/>
      <c r="BG197" s="167"/>
      <c r="BH197" s="167"/>
      <c r="BI197" s="221"/>
      <c r="BJ197" s="153">
        <f>IF(SnapshotTable[[#This Row],[LP Qty]] &gt; 0, SnapshotTable[[#This Row],[LP Qty]] * SnapshotTable[[#This Row],[LP Book Price]] * 100,0)</f>
        <v>0</v>
      </c>
      <c r="BK197" s="136">
        <f>IF(SnapshotTable[[#This Row],[LP Premium]] &gt; 0, SnapshotTable[[#This Row],[LP Qty]] * SnapshotTable[[#This Row],[LP Strike Price]] * 100,0)</f>
        <v>0</v>
      </c>
      <c r="BL197" s="154"/>
      <c r="BM197" s="385" t="str">
        <f>IF(SnapshotTable[[#This Row],[LP Premium]] &gt; 0,SnapshotTable[[#This Row],[LP Exp Date]]-MAX(SnapshotTable[[#This Row],[LP Book Date]], SnapshotTable[[#This Row],[LP Fill Date]]),"")</f>
        <v/>
      </c>
      <c r="BN197" s="385" t="str">
        <f>IF(ISNUMBER( SnapshotTable[[#This Row],[LP Term]]), SnapshotTable[[#This Row],[LP Exp Date]] - MockToday,"")</f>
        <v/>
      </c>
      <c r="BO197" s="163" t="str">
        <f>IF(AND(SnapshotTable[[#This Row],[LP Exp Date]]&gt;0, SnapshotTable[[#This Row],[LP Strike Price]]&gt;0,SnapshotTable[[#This Row],[LP Qty]]&gt;0,SnapshotTable[[#This Row],[LP Book Date]]&gt;0,SnapshotTable[[#This Row],[LP Book Price]]&gt;0,SnapshotTable[[#This Row],[LP Fill Date]]=0),"Y","")</f>
        <v/>
      </c>
      <c r="BP197" s="31" t="str">
        <f>IF(AND(SnapshotTable[[#This Row],[LP No Fill]]&lt;&gt;"Y",SnapshotTable[[#This Row],[LP Contract Value]]&gt;0, SnapshotTable[[#This Row],[LP Qty]]&gt;0), SnapshotTable[[#This Row],[LP Contract Value]]*SnapshotTable[[#This Row],[LP Qty]]*100,"")</f>
        <v/>
      </c>
      <c r="BQ197" s="13"/>
      <c r="BR197" s="5"/>
      <c r="BS197" s="36"/>
      <c r="BT197" s="147"/>
      <c r="BU197" s="13"/>
      <c r="BV197" s="5"/>
      <c r="BW197" s="419" t="b">
        <f>AND(ISNUMBER(SnapshotTable[[#This Row],[SP Exp Date]]), ISNUMBER(SnapshotTable[[#This Row],[SP Strike Price]]), ISNUMBER(SnapshotTable[[#This Row],[SP Qty]]), ISNUMBER(SnapshotTable[[#This Row],[SP Book Date]]), ISNUMBER(SnapshotTable[[#This Row],[SP Book Price]]))</f>
        <v>0</v>
      </c>
      <c r="BX197" s="419" t="b">
        <f>AND(SnapshotTable[[#This Row],[SP Is Booked]], NOT(ISBLANK(SnapshotTable[[#This Row],[SP Fill Date]])))</f>
        <v>0</v>
      </c>
      <c r="BY197" s="33">
        <f>IF(SnapshotTable[[#This Row],[SP Is Booked]], SnapshotTable[[#This Row],[SP Qty]] * SnapshotTable[[#This Row],[SP Book Price]] * 100, 0)</f>
        <v>0</v>
      </c>
      <c r="BZ197" s="369"/>
      <c r="CA197" s="368">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3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44"/>
      <c r="CK197" s="31">
        <f>IF(ISNUMBER(SnapshotTable[[#This Row],[SP Potential Spend]]),IF(ISNUMBER(SnapshotTable[[#This Row],[SP POW]]), SnapshotTable[[#This Row],[SP POW]] * SnapshotTable[[#This Row],[SP Potential Spend]], SnapshotTable[[#This Row],[SP Potential Spend]]), "")</f>
        <v>0</v>
      </c>
      <c r="CL197" s="164">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154"/>
      <c r="CO197" s="369"/>
      <c r="CP197" s="4" t="str">
        <f>IF(SnapshotTable[[#This Row],[SP Is Filled]], btc_max_buyback_amount(SnapshotTable[[#This Row],[SP Fill Date]],SnapshotTable[[#This Row],[SP Exp Date]], SnapshotTable[[#This Row],[SP Book Price]]),"")</f>
        <v/>
      </c>
      <c r="CQ197" s="78"/>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5" t="str">
        <f>IF(SnapshotTable[[#This Row],[SP Is Filled]], btc_next_cutoff_date(SnapshotTable[[#This Row],[SP Fill Date]],SnapshotTable[[#This Row],[SP Exp Date]]),"")</f>
        <v/>
      </c>
      <c r="CT197" s="23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3"/>
      <c r="CV197" s="235"/>
      <c r="CW197" s="378"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294" t="str">
        <f>IF(ISNUMBER((SnapshotTable[[#This Row],[SP Total Value]])), SnapshotTable[[#This Row],[SP Gain Loss]] / SnapshotTable[[#This Row],[SP Premium]], "")</f>
        <v/>
      </c>
      <c r="DI197" s="406"/>
      <c r="DJ197" s="138"/>
      <c r="DK197" s="148"/>
      <c r="DL197" s="147"/>
      <c r="DM197" s="147"/>
      <c r="DO197" s="31">
        <f>IF(SnapshotTable[[#This Row],[LC Symbol Count]]=1, SnapshotTable[[#This Row],[LC Qty]] * SnapshotTable[[#This Row],[LC Book Price]] * 100, 0)</f>
        <v>0</v>
      </c>
      <c r="DP197" s="163" t="str">
        <f>IF(AND(SnapshotTable[[#This Row],[LC Exp Date]]&gt;0, SnapshotTable[[#This Row],[LC Strike Price]]&gt;0,SnapshotTable[[#This Row],[LC Qty]]&gt;0,SnapshotTable[[#This Row],[LC Book Date]]&gt;0,SnapshotTable[[#This Row],[LC Book Price]]&gt;0,SnapshotTable[[#This Row],[LC Fill Date]]=0),"Y","")</f>
        <v/>
      </c>
      <c r="DQ197" s="386" t="str">
        <f>IF(SnapshotTable[[#This Row],[LC Premium]] &gt; 0,SnapshotTable[[#This Row],[LC Exp Date]]-MAX(SnapshotTable[[#This Row],[LC Book Date]], SnapshotTable[[#This Row],[LC Fill Date]]),"")</f>
        <v/>
      </c>
      <c r="DR197" s="386" t="str">
        <f>IF(ISNUMBER(SnapshotTable[[#This Row],[LC Term]]), SnapshotTable[[#This Row],[LC Exp Date]] - MockToday, "")</f>
        <v/>
      </c>
      <c r="DS197" s="23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40" t="str">
        <f>IF(ISNUMBER(SnapshotTable[[#This Row],[LC Actual Gain Loss]]), SnapshotTable[[#This Row],[LC Actual Gain Loss]] / SnapshotTable[[#This Row],[LC Premium]],"")</f>
        <v/>
      </c>
      <c r="DX197" s="284" t="str">
        <f>IF(ISNUMBER(SnapshotTable[[#This Row],[LC Book Price]]),SnapshotTable[[#This Row],[LC Book Price]] * 1.5,"")</f>
        <v/>
      </c>
      <c r="DY197" s="265" t="str">
        <f>IF(SnapshotTable[[#This Row],[LC Premium]]&gt;0, SnapshotTable[[#This Row],[LC Next Target]] * SnapshotTable[[#This Row],[LC Qty]] * 100,"")</f>
        <v/>
      </c>
      <c r="DZ197" s="265" t="str">
        <f>IF(ISNUMBER(SnapshotTable[[#This Row],[LC Target Gross]]), SnapshotTable[[#This Row],[LC Target Gross]] - SnapshotTable[[#This Row],[LC Premium]], "")</f>
        <v/>
      </c>
      <c r="EA197" s="305" t="str">
        <f>IF(ISNUMBER(SnapshotTable[[#This Row],[LC Target Gain Loss]]), SnapshotTable[[#This Row],[LC Target Gain Loss]]/SnapshotTable[[#This Row],[LC Premium]], "")</f>
        <v/>
      </c>
      <c r="EB197" s="262"/>
      <c r="EC197" s="283" t="str">
        <f>IF(SnapshotTable[[#This Row],[LC Premium]]&gt;0, SnapshotTable[[#This Row],[LC Book Price]] * (1 - LC_StopLoss_Pct),"")</f>
        <v/>
      </c>
      <c r="ED197" s="284"/>
      <c r="EE197" s="28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40" t="str">
        <f>IF(AND(ISNUMBER(SnapshotTable[[#This Row],[LC Total Value]]),SnapshotTable[[#This Row],[LC Total Value]]&gt;0),SnapshotTable[[#This Row],[LC Stop Gain Loss]]  / SnapshotTable[[#This Row],[LC Premium]],"")</f>
        <v/>
      </c>
      <c r="EJ197" s="35">
        <f>IF(ISNUMBER(SnapshotTable[[#This Row],[Equity Shares]]),TRUNC(SnapshotTable[[#This Row],[Equity Shares]] / 100),0) + SnapshotTable[[#This Row],[LC Qty]]</f>
        <v>0</v>
      </c>
      <c r="EK197" s="147"/>
      <c r="EL197" s="138"/>
      <c r="EM197" s="148"/>
      <c r="EN197" s="147"/>
      <c r="EO197" s="147"/>
      <c r="EP197" s="138"/>
      <c r="EQ197" s="419" t="b">
        <f>AND(ISNUMBER(SnapshotTable[[#This Row],[SC Exp Date]]), ISNUMBER(SnapshotTable[[#This Row],[SC Strike Price]]), ISNUMBER(SnapshotTable[[#This Row],[SC Qty]]), ISNUMBER(SnapshotTable[[#This Row],[SC Book Date]]), ISNUMBER(SnapshotTable[[#This Row],[SC Book Price]]))</f>
        <v>0</v>
      </c>
      <c r="ER197" s="419" t="b">
        <f>AND(SnapshotTable[[#This Row],[SC Is Booked]], NOT(ISBLANK(SnapshotTable[[#This Row],[SC Fill Date]])))</f>
        <v>0</v>
      </c>
      <c r="ES197" s="370"/>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3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283"/>
      <c r="FA197" s="218"/>
      <c r="FB197" s="370"/>
      <c r="FC197" s="4">
        <f>IF(SnapshotTable[[#This Row],[SC Is Filled]], btc_max_buyback_amount(SnapshotTable[[#This Row],[SC Fill Date]],SnapshotTable[[#This Row],[SC Exp Date]], SnapshotTable[[#This Row],[SC Book Price]]),0)</f>
        <v>0</v>
      </c>
      <c r="FD197" s="5"/>
      <c r="FE197" s="144"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382">
        <f>IF(SnapshotTable[[#This Row],[SC Is Filled]], IF(ISNUMBER(SnapshotTable[[#This Row],[SC Current Ask]]), SnapshotTable[[#This Row],[SC Current Ask]], SnapshotTable[[#This Row],[SC Book Price]]) - SnapshotTable[[#This Row],[SC Intrinsic Value]], 0)</f>
        <v>0</v>
      </c>
      <c r="FI197" s="143"/>
      <c r="FJ197" s="32" t="str">
        <f>IF(SnapshotTable[[#This Row],[SC Is Filled]],100 * SnapshotTable[[#This Row],[SC Qty]] * IF(ISNUMBER(SnapshotTable[[#This Row],[SC Buyback Override]]), SnapshotTable[[#This Row],[SC Buyback Override]], SnapshotTable[[#This Row],[SC Current Ask]]), "")</f>
        <v/>
      </c>
      <c r="FK197" s="250" t="str">
        <f>IF(SnapshotTable[[#This Row],[SC Time Val]]&gt;0, SnapshotTable[[#This Row],[SC Time Val]] / SnapshotTable[[#This Row],[Last Price]],"")</f>
        <v/>
      </c>
      <c r="FL197" s="302" t="str">
        <f>IF(SnapshotTable[[#This Row],[SC Is Booked]], ((SnapshotTable[[#This Row],[Last Price]] -SnapshotTable[[#This Row],[SC Strike Price]]) / SnapshotTable[[#This Row],[Last Price]]) * -1, "")</f>
        <v/>
      </c>
      <c r="FM197" s="157" t="str">
        <f>IF(SnapshotTable[[#This Row],[SC Is Booked]],  (SnapshotTable[[#This Row],[SC Qty]] * 100 * SnapshotTable[[#This Row],[SC Strike Price]]) - SnapshotTable[[#This Row],[SC Current Ask]], "")</f>
        <v/>
      </c>
      <c r="FN19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157"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33"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36" t="str">
        <f>IF(AND(ISNUMBER(SnapshotTable[[#This Row],[SC Simple ROO]]),SnapshotTable[[#This Row],[SC Simple ROO]] &gt; 0), SnapshotTable[[#This Row],[SC Premium]] + (SnapshotTable[[#This Row],[SC Qty]] * SnapshotTable[[#This Row],[SC Upside Potential]]), "")</f>
        <v/>
      </c>
      <c r="FX197" s="302" t="str" cm="1">
        <f t="array" ref="FX197">IF(ISNUMBER(SnapshotTable[[#This Row],[SC Max Dollars]]), annualize(SnapshotTable[[#This Row],[SC Term]],(SnapshotTable[[#This Row],[SC Max Dollars]]/SnapshotTable[[#This Row],[SC Basis]])),"")</f>
        <v/>
      </c>
      <c r="FY197" s="236" t="str">
        <f>IF(AND(SnapshotTable[[#This Row],[SC Qty]]&gt;0,SnapshotTable[[#This Row],[SC Current Ask]]&gt;0), SnapshotTable[[#This Row],[SC Qty]] * SnapshotTable[[#This Row],[SC Current Ask]] * -100, "")</f>
        <v/>
      </c>
      <c r="FZ197" s="235" t="str">
        <f>IF(ISNUMBER((SnapshotTable[[#This Row],[SC Current Value]])), SnapshotTable[[#This Row],[SC Premium]] + SnapshotTable[[#This Row],[SC Current Value]], "")</f>
        <v/>
      </c>
      <c r="GA197" s="29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56.886000000000003</v>
      </c>
      <c r="GD197" s="40">
        <f>SnapshotTable[[#This Row],[Last Price]] * (1+ SellingPriceToConsiderBasedOnTargetPercentage)</f>
        <v>2.6909999999999998</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158" t="str">
        <f>IF(SnapshotTable[[#This Row],[Sale G/L]]&gt;0, SnapshotTable[[#This Row],[Sale G/L]] / SnapshotTable[[#This Row],[Sale Basis]], IF(ISNUMBER(SnapshotTable[[#This Row],[SC Exercise P&amp;L (TAX)]]), SnapshotTable[[#This Row],[SC Exercise P&amp;L (TAX)]] / SnapshotTable[[#This Row],[SC Basis]], ""))</f>
        <v/>
      </c>
      <c r="GK197" s="27"/>
      <c r="GL197" s="159"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159" t="str">
        <f>IF(AND(SnapshotTable[[#This Row],[LC Exp Date]]&gt;0,SnapshotTable[[#This Row],[LC Strike Price]]&gt;0), [1]!ToOptionSymbol(SnapshotTable[[#This Row],[Symbol]], SnapshotTable[[#This Row],[LC Strike Price]],SnapshotTable[[#This Row],[LC Exp Date]],0), "")</f>
        <v/>
      </c>
      <c r="GQ197" s="160" t="str">
        <f>IF(LEN(SnapshotTable[[#This Row],[LC Symbol]])&gt;0, 1, "")</f>
        <v/>
      </c>
      <c r="GR197" s="159" t="str">
        <f>IF(AND(SnapshotTable[[#This Row],[SC Exp Date]]&gt;0,SnapshotTable[[#This Row],[SC Strike Price]]&gt;0), [1]!ToOptionSymbol(SnapshotTable[[#This Row],[Symbol]], SnapshotTable[[#This Row],[SC Strike Price]],SnapshotTable[[#This Row],[SC Exp Date]],0), "")</f>
        <v/>
      </c>
      <c r="GS197" s="160" t="str">
        <f>IF(LEN(SnapshotTable[[#This Row],[SC Symbol]])&gt;0, 1, "")</f>
        <v/>
      </c>
      <c r="GT197" s="161"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31">
        <f>MAX(SnapshotTable[[#This Row],[Equity Basis Total]],SnapshotTable[[#This Row],[Equity Value]]) + (SnapshotTable[[#This Row],[SP Potential Spend]]- SnapshotTable[[#This Row],[SP Premium]] + SnapshotTable[[#This Row],[LP Premium]])+ (SnapshotTable[[#This Row],[LC Premium]] - SnapshotTable[[#This Row],[SC Premium]])</f>
        <v>0</v>
      </c>
      <c r="GW197" s="139" t="str">
        <f>IF(AND(SnapshotTable[[#This Row],[Exposure]] &lt;&gt; 0),SnapshotTable[[#This Row],[Exposure]] / SnapshotTable[[#Totals],[Exposure]], "")</f>
        <v/>
      </c>
      <c r="HE197" s="268"/>
      <c r="HF197" s="268"/>
      <c r="HK197" s="1"/>
      <c r="HL197" s="1"/>
      <c r="HM197" s="1"/>
      <c r="HN197" s="1"/>
      <c r="HO197" s="1"/>
      <c r="HP197" s="1"/>
    </row>
    <row r="198" spans="2:224" ht="12.75" hidden="1" customHeight="1" x14ac:dyDescent="0.25">
      <c r="B198" s="12" t="s">
        <v>527</v>
      </c>
      <c r="C198" s="422">
        <v>139.63999999999999</v>
      </c>
      <c r="D198" s="208"/>
      <c r="E198" s="39">
        <f>SnapshotTable[[#This Row],[Last Price]]*(1 -CrashDiscount)</f>
        <v>118.69399999999999</v>
      </c>
      <c r="F198" s="26" t="s">
        <v>570</v>
      </c>
      <c r="G198" s="26" t="s">
        <v>41</v>
      </c>
      <c r="H198" s="149"/>
      <c r="I198" s="194">
        <v>44775.25</v>
      </c>
      <c r="J198" s="195">
        <v>44775.25</v>
      </c>
      <c r="K198" s="196"/>
      <c r="L198" s="326"/>
      <c r="M198" s="140">
        <v>1</v>
      </c>
      <c r="N198" s="140"/>
      <c r="O198" s="140"/>
      <c r="P198" s="22"/>
      <c r="Q198" s="25"/>
      <c r="R198" s="4" t="str">
        <f>IF(SnapshotTable[[#This Row],[Equity Basis Total]] &gt; 0, SnapshotTable[[#This Row],[Equity Basis Total]] / SnapshotTable[[#This Row],[Equity Shares]], "")</f>
        <v/>
      </c>
      <c r="S198" s="269">
        <f>SnapshotTable[[#This Row],[Last Price]] * SnapshotTable[[#This Row],[Equity Shares]]</f>
        <v>0</v>
      </c>
      <c r="T198" s="269">
        <f>SnapshotTable[[#This Row],[Equity Value]] - SnapshotTable[[#This Row],[Equity Basis Total]]</f>
        <v>0</v>
      </c>
      <c r="U198" s="270" t="str">
        <f>IF(SnapshotTable[[#This Row],[Equity Basis Total]] &gt; 0, SnapshotTable[[#This Row],[Equity G/L]] / SnapshotTable[[#This Row],[Equity Basis Total]], "")</f>
        <v/>
      </c>
      <c r="V198" s="268"/>
      <c r="W198" s="26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7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0">
        <v>1.2</v>
      </c>
      <c r="AD198" s="151">
        <v>43812</v>
      </c>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8.5935262102549426E-3</v>
      </c>
      <c r="AH198" s="151">
        <v>43768</v>
      </c>
      <c r="AI198" s="5">
        <v>64</v>
      </c>
      <c r="AJ198" s="138">
        <v>67.2</v>
      </c>
      <c r="AK198" s="152">
        <f>IF(ISNUMBER( SnapshotTable[[#This Row],[EBF Target]]),(SnapshotTable[[#This Row],[EBF Target]] - SnapshotTable[[#This Row],[Last Price]]) / SnapshotTable[[#This Row],[Last Price]], "")</f>
        <v>-0.5416786021197364</v>
      </c>
      <c r="AL198" s="152"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2">
        <f>IF(AND(ISNUMBER( SnapshotTable[[#This Row],[Long Term Target]]), ISNUMBER(SnapshotTable[[#This Row],[Last Price]])),(SnapshotTable[[#This Row],[Long Term Target]] - SnapshotTable[[#This Row],[Last Price]]) / SnapshotTable[[#This Row],[Last Price]], "")</f>
        <v>-0.51876253222572322</v>
      </c>
      <c r="AP198" s="5"/>
      <c r="AQ198" s="38"/>
      <c r="AR198" s="5"/>
      <c r="AS198" s="38"/>
      <c r="AT198" s="146"/>
      <c r="AU198" s="187" t="str">
        <f>IF(OR(SnapshotTable[[#This Row],[LP No Fill]]="Y",SnapshotTable[[#This Row],[SP Is Filled]],SnapshotTable[[#This Row],[LC Not Filled]]="Y",SnapshotTable[[#This Row],[SC Is Filled]]),"Y","")</f>
        <v/>
      </c>
      <c r="AV198" s="219"/>
      <c r="AW198" s="225"/>
      <c r="AX198" s="220"/>
      <c r="AY198" s="219" t="str">
        <f>IF(SnapshotTable[[#This Row],[Implied Move]]&gt;0, SnapshotTable[[#This Row],[Last Price]]-SnapshotTable[[#This Row],[Implied Move]],"")</f>
        <v/>
      </c>
      <c r="AZ198" s="219" t="str">
        <f>IF(SnapshotTable[[#This Row],[Implied Move]]&gt;0, SnapshotTable[[#This Row],[Last Price]] + SnapshotTable[[#This Row],[Implied Move]],"")</f>
        <v/>
      </c>
      <c r="BA198" s="331"/>
      <c r="BB198" s="347"/>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51"/>
      <c r="BE198" s="5"/>
      <c r="BF198" s="14"/>
      <c r="BG198" s="13"/>
      <c r="BH198" s="13"/>
      <c r="BI198" s="5"/>
      <c r="BJ198" s="136">
        <f>IF(SnapshotTable[[#This Row],[LP Qty]] &gt; 0, SnapshotTable[[#This Row],[LP Qty]] * SnapshotTable[[#This Row],[LP Book Price]] * 100,0)</f>
        <v>0</v>
      </c>
      <c r="BK198" s="136">
        <f>IF(SnapshotTable[[#This Row],[LP Premium]] &gt; 0, SnapshotTable[[#This Row],[LP Qty]] * SnapshotTable[[#This Row],[LP Strike Price]] * 100,0)</f>
        <v>0</v>
      </c>
      <c r="BL198" s="154"/>
      <c r="BM198" s="385" t="str">
        <f>IF(SnapshotTable[[#This Row],[LP Premium]] &gt; 0,SnapshotTable[[#This Row],[LP Exp Date]]-MAX(SnapshotTable[[#This Row],[LP Book Date]], SnapshotTable[[#This Row],[LP Fill Date]]),"")</f>
        <v/>
      </c>
      <c r="BN198" s="385" t="str">
        <f>IF(ISNUMBER( SnapshotTable[[#This Row],[LP Term]]), SnapshotTable[[#This Row],[LP Exp Date]] - MockToday,"")</f>
        <v/>
      </c>
      <c r="BO198" s="163"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7"/>
      <c r="BU198" s="13"/>
      <c r="BV198" s="5"/>
      <c r="BW198" s="419" t="b">
        <f>AND(ISNUMBER(SnapshotTable[[#This Row],[SP Exp Date]]), ISNUMBER(SnapshotTable[[#This Row],[SP Strike Price]]), ISNUMBER(SnapshotTable[[#This Row],[SP Qty]]), ISNUMBER(SnapshotTable[[#This Row],[SP Book Date]]), ISNUMBER(SnapshotTable[[#This Row],[SP Book Price]]))</f>
        <v>0</v>
      </c>
      <c r="BX198" s="419" t="b">
        <f>AND(SnapshotTable[[#This Row],[SP Is Booked]], NOT(ISBLANK(SnapshotTable[[#This Row],[SP Fill Date]])))</f>
        <v>0</v>
      </c>
      <c r="BY198" s="33">
        <f>IF(SnapshotTable[[#This Row],[SP Is Booked]], SnapshotTable[[#This Row],[SP Qty]] * SnapshotTable[[#This Row],[SP Book Price]] * 100, 0)</f>
        <v>0</v>
      </c>
      <c r="BZ198" s="369"/>
      <c r="CA198" s="368">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3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44"/>
      <c r="CK198" s="31">
        <f>IF(ISNUMBER(SnapshotTable[[#This Row],[SP Potential Spend]]),IF(ISNUMBER(SnapshotTable[[#This Row],[SP POW]]), SnapshotTable[[#This Row],[SP POW]] * SnapshotTable[[#This Row],[SP Potential Spend]], SnapshotTable[[#This Row],[SP Potential Spend]]), "")</f>
        <v>0</v>
      </c>
      <c r="CL198" s="164">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8"/>
      <c r="CO198" s="369"/>
      <c r="CP198" s="4" t="str">
        <f>IF(SnapshotTable[[#This Row],[SP Is Filled]], btc_max_buyback_amount(SnapshotTable[[#This Row],[SP Fill Date]],SnapshotTable[[#This Row],[SP Exp Date]], SnapshotTable[[#This Row],[SP Book Price]]),"")</f>
        <v/>
      </c>
      <c r="CQ198" s="78"/>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5" t="str">
        <f>IF(SnapshotTable[[#This Row],[SP Is Filled]], btc_next_cutoff_date(SnapshotTable[[#This Row],[SP Fill Date]],SnapshotTable[[#This Row],[SP Exp Date]]),"")</f>
        <v/>
      </c>
      <c r="CT198" s="23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43"/>
      <c r="CV198" s="235"/>
      <c r="CW198" s="378"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294" t="str">
        <f>IF(ISNUMBER((SnapshotTable[[#This Row],[SP Total Value]])), SnapshotTable[[#This Row],[SP Gain Loss]] / SnapshotTable[[#This Row],[SP Premium]], "")</f>
        <v/>
      </c>
      <c r="DI198" s="406"/>
      <c r="DJ198" s="138"/>
      <c r="DK198" s="148"/>
      <c r="DL198" s="13"/>
      <c r="DM198" s="13"/>
      <c r="DO198" s="31">
        <f>IF(SnapshotTable[[#This Row],[LC Symbol Count]]=1, SnapshotTable[[#This Row],[LC Qty]] * SnapshotTable[[#This Row],[LC Book Price]] * 100, 0)</f>
        <v>0</v>
      </c>
      <c r="DP198" s="163" t="str">
        <f>IF(AND(SnapshotTable[[#This Row],[LC Exp Date]]&gt;0, SnapshotTable[[#This Row],[LC Strike Price]]&gt;0,SnapshotTable[[#This Row],[LC Qty]]&gt;0,SnapshotTable[[#This Row],[LC Book Date]]&gt;0,SnapshotTable[[#This Row],[LC Book Price]]&gt;0,SnapshotTable[[#This Row],[LC Fill Date]]=0),"Y","")</f>
        <v/>
      </c>
      <c r="DQ198" s="386" t="str">
        <f>IF(SnapshotTable[[#This Row],[LC Premium]] &gt; 0,SnapshotTable[[#This Row],[LC Exp Date]]-MAX(SnapshotTable[[#This Row],[LC Book Date]], SnapshotTable[[#This Row],[LC Fill Date]]),"")</f>
        <v/>
      </c>
      <c r="DR198" s="386" t="str">
        <f>IF(ISNUMBER(SnapshotTable[[#This Row],[LC Term]]), SnapshotTable[[#This Row],[LC Exp Date]] - MockToday, "")</f>
        <v/>
      </c>
      <c r="DS198" s="23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40" t="str">
        <f>IF(ISNUMBER(SnapshotTable[[#This Row],[LC Actual Gain Loss]]), SnapshotTable[[#This Row],[LC Actual Gain Loss]] / SnapshotTable[[#This Row],[LC Premium]],"")</f>
        <v/>
      </c>
      <c r="DX198" s="284" t="str">
        <f>IF(ISNUMBER(SnapshotTable[[#This Row],[LC Book Price]]),SnapshotTable[[#This Row],[LC Book Price]] * 1.5,"")</f>
        <v/>
      </c>
      <c r="DY198" s="265" t="str">
        <f>IF(SnapshotTable[[#This Row],[LC Premium]]&gt;0, SnapshotTable[[#This Row],[LC Next Target]] * SnapshotTable[[#This Row],[LC Qty]] * 100,"")</f>
        <v/>
      </c>
      <c r="DZ198" s="265" t="str">
        <f>IF(ISNUMBER(SnapshotTable[[#This Row],[LC Target Gross]]), SnapshotTable[[#This Row],[LC Target Gross]] - SnapshotTable[[#This Row],[LC Premium]], "")</f>
        <v/>
      </c>
      <c r="EA198" s="305" t="str">
        <f>IF(ISNUMBER(SnapshotTable[[#This Row],[LC Target Gain Loss]]), SnapshotTable[[#This Row],[LC Target Gain Loss]]/SnapshotTable[[#This Row],[LC Premium]], "")</f>
        <v/>
      </c>
      <c r="EB198" s="262"/>
      <c r="EC198" s="283" t="str">
        <f>IF(SnapshotTable[[#This Row],[LC Premium]]&gt;0, SnapshotTable[[#This Row],[LC Book Price]] * (1 - LC_StopLoss_Pct),"")</f>
        <v/>
      </c>
      <c r="ED198" s="284"/>
      <c r="EE198" s="28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4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7"/>
      <c r="EL198" s="138"/>
      <c r="EM198" s="148"/>
      <c r="EN198" s="147"/>
      <c r="EO198" s="147"/>
      <c r="EP198" s="138"/>
      <c r="EQ198" s="419" t="b">
        <f>AND(ISNUMBER(SnapshotTable[[#This Row],[SC Exp Date]]), ISNUMBER(SnapshotTable[[#This Row],[SC Strike Price]]), ISNUMBER(SnapshotTable[[#This Row],[SC Qty]]), ISNUMBER(SnapshotTable[[#This Row],[SC Book Date]]), ISNUMBER(SnapshotTable[[#This Row],[SC Book Price]]))</f>
        <v>0</v>
      </c>
      <c r="ER198" s="419" t="b">
        <f>AND(SnapshotTable[[#This Row],[SC Is Booked]], NOT(ISBLANK(SnapshotTable[[#This Row],[SC Fill Date]])))</f>
        <v>0</v>
      </c>
      <c r="ES198" s="370"/>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3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283"/>
      <c r="FA198" s="218"/>
      <c r="FB198" s="370"/>
      <c r="FC198" s="4">
        <f>IF(SnapshotTable[[#This Row],[SC Is Filled]], btc_max_buyback_amount(SnapshotTable[[#This Row],[SC Fill Date]],SnapshotTable[[#This Row],[SC Exp Date]], SnapshotTable[[#This Row],[SC Book Price]]),0)</f>
        <v>0</v>
      </c>
      <c r="FD198" s="5"/>
      <c r="FE198" s="144"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382">
        <f>IF(SnapshotTable[[#This Row],[SC Is Filled]], IF(ISNUMBER(SnapshotTable[[#This Row],[SC Current Ask]]), SnapshotTable[[#This Row],[SC Current Ask]], SnapshotTable[[#This Row],[SC Book Price]]) - SnapshotTable[[#This Row],[SC Intrinsic Value]], 0)</f>
        <v>0</v>
      </c>
      <c r="FI198" s="143"/>
      <c r="FJ198" s="32" t="str">
        <f>IF(SnapshotTable[[#This Row],[SC Is Filled]],100 * SnapshotTable[[#This Row],[SC Qty]] * IF(ISNUMBER(SnapshotTable[[#This Row],[SC Buyback Override]]), SnapshotTable[[#This Row],[SC Buyback Override]], SnapshotTable[[#This Row],[SC Current Ask]]), "")</f>
        <v/>
      </c>
      <c r="FK198" s="250" t="str">
        <f>IF(SnapshotTable[[#This Row],[SC Time Val]]&gt;0, SnapshotTable[[#This Row],[SC Time Val]] / SnapshotTable[[#This Row],[Last Price]],"")</f>
        <v/>
      </c>
      <c r="FL198" s="302" t="str">
        <f>IF(SnapshotTable[[#This Row],[SC Is Booked]], ((SnapshotTable[[#This Row],[Last Price]] -SnapshotTable[[#This Row],[SC Strike Price]]) / SnapshotTable[[#This Row],[Last Price]]) * -1, "")</f>
        <v/>
      </c>
      <c r="FM198" s="157"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33"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36" t="str">
        <f>IF(AND(ISNUMBER(SnapshotTable[[#This Row],[SC Simple ROO]]),SnapshotTable[[#This Row],[SC Simple ROO]] &gt; 0), SnapshotTable[[#This Row],[SC Premium]] + (SnapshotTable[[#This Row],[SC Qty]] * SnapshotTable[[#This Row],[SC Upside Potential]]), "")</f>
        <v/>
      </c>
      <c r="FX198" s="302" t="str" cm="1">
        <f t="array" ref="FX198">IF(ISNUMBER(SnapshotTable[[#This Row],[SC Max Dollars]]), annualize(SnapshotTable[[#This Row],[SC Term]],(SnapshotTable[[#This Row],[SC Max Dollars]]/SnapshotTable[[#This Row],[SC Basis]])),"")</f>
        <v/>
      </c>
      <c r="FY198" s="23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29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63.839999999999996</v>
      </c>
      <c r="GD198" s="40">
        <f>SnapshotTable[[#This Row],[Last Price]] * (1+ SellingPriceToConsiderBasedOnTargetPercentage)</f>
        <v>272.29799999999994</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t="s">
        <v>679</v>
      </c>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31">
        <f>MAX(SnapshotTable[[#This Row],[Equity Basis Total]],SnapshotTable[[#This Row],[Equity Value]]) + (SnapshotTable[[#This Row],[SP Potential Spend]]- SnapshotTable[[#This Row],[SP Premium]] + SnapshotTable[[#This Row],[LP Premium]])+ (SnapshotTable[[#This Row],[LC Premium]] - SnapshotTable[[#This Row],[SC Premium]])</f>
        <v>0</v>
      </c>
      <c r="GW198" s="139" t="str">
        <f>IF(AND(SnapshotTable[[#This Row],[Exposure]] &lt;&gt; 0),SnapshotTable[[#This Row],[Exposure]] / SnapshotTable[[#Totals],[Exposure]], "")</f>
        <v/>
      </c>
      <c r="HE198" s="268"/>
      <c r="HF198" s="268"/>
      <c r="HK198" s="1"/>
      <c r="HL198" s="1"/>
      <c r="HM198" s="1"/>
      <c r="HN198" s="1"/>
      <c r="HO198" s="1"/>
      <c r="HP198" s="1"/>
    </row>
    <row r="199" spans="2:224" ht="12.75" hidden="1" customHeight="1" x14ac:dyDescent="0.25">
      <c r="B199" s="12" t="s">
        <v>189</v>
      </c>
      <c r="C199" s="422">
        <v>50.76</v>
      </c>
      <c r="D199" s="208"/>
      <c r="E199" s="39">
        <f>SnapshotTable[[#This Row],[Last Price]]*(1 -CrashDiscount)</f>
        <v>43.145999999999994</v>
      </c>
      <c r="F199" s="26" t="s">
        <v>85</v>
      </c>
      <c r="G199" s="26" t="s">
        <v>49</v>
      </c>
      <c r="H199" s="149"/>
      <c r="I199" s="194">
        <v>44769</v>
      </c>
      <c r="J199" s="195">
        <v>44769</v>
      </c>
      <c r="K199" s="196"/>
      <c r="L199" s="326"/>
      <c r="M199" s="140"/>
      <c r="N199" s="140"/>
      <c r="O199" s="140"/>
      <c r="P199" s="22"/>
      <c r="Q199" s="25"/>
      <c r="R199" s="4" t="str">
        <f>IF(SnapshotTable[[#This Row],[Equity Basis Total]] &gt; 0, SnapshotTable[[#This Row],[Equity Basis Total]] / SnapshotTable[[#This Row],[Equity Shares]], "")</f>
        <v/>
      </c>
      <c r="S199" s="269">
        <f>SnapshotTable[[#This Row],[Last Price]] * SnapshotTable[[#This Row],[Equity Shares]]</f>
        <v>0</v>
      </c>
      <c r="T199" s="269">
        <f>SnapshotTable[[#This Row],[Equity Value]] - SnapshotTable[[#This Row],[Equity Basis Total]]</f>
        <v>0</v>
      </c>
      <c r="U199" s="270" t="str">
        <f>IF(SnapshotTable[[#This Row],[Equity Basis Total]] &gt; 0, SnapshotTable[[#This Row],[Equity G/L]] / SnapshotTable[[#This Row],[Equity Basis Total]], "")</f>
        <v/>
      </c>
      <c r="V199" s="268"/>
      <c r="W199" s="268"/>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7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0">
        <v>2.31</v>
      </c>
      <c r="AD199" s="151">
        <v>42370</v>
      </c>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4.550827423167849E-2</v>
      </c>
      <c r="AH199" s="151">
        <v>42226</v>
      </c>
      <c r="AI199" s="5"/>
      <c r="AJ199" s="138">
        <v>48.25</v>
      </c>
      <c r="AK199" s="152" t="str">
        <f>IF(ISNUMBER( SnapshotTable[[#This Row],[EBF Target]]),(SnapshotTable[[#This Row],[EBF Target]] - SnapshotTable[[#This Row],[Last Price]]) / SnapshotTable[[#This Row],[Last Price]], "")</f>
        <v/>
      </c>
      <c r="AL199" s="152"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2">
        <f>IF(AND(ISNUMBER( SnapshotTable[[#This Row],[Long Term Target]]), ISNUMBER(SnapshotTable[[#This Row],[Last Price]])),(SnapshotTable[[#This Row],[Long Term Target]] - SnapshotTable[[#This Row],[Last Price]]) / SnapshotTable[[#This Row],[Last Price]], "")</f>
        <v>-4.9448384554767494E-2</v>
      </c>
      <c r="AP199" s="5"/>
      <c r="AQ199" s="38"/>
      <c r="AR199" s="5"/>
      <c r="AS199" s="38"/>
      <c r="AT199" s="146"/>
      <c r="AU199" s="187" t="str">
        <f>IF(OR(SnapshotTable[[#This Row],[LP No Fill]]="Y",SnapshotTable[[#This Row],[SP Is Filled]],SnapshotTable[[#This Row],[LC Not Filled]]="Y",SnapshotTable[[#This Row],[SC Is Filled]]),"Y","")</f>
        <v/>
      </c>
      <c r="AV199" s="219"/>
      <c r="AW199" s="225"/>
      <c r="AX199" s="220"/>
      <c r="AY199" s="219" t="str">
        <f>IF(SnapshotTable[[#This Row],[Implied Move]]&gt;0, SnapshotTable[[#This Row],[Last Price]]-SnapshotTable[[#This Row],[Implied Move]],"")</f>
        <v/>
      </c>
      <c r="AZ199" s="219" t="str">
        <f>IF(SnapshotTable[[#This Row],[Implied Move]]&gt;0, SnapshotTable[[#This Row],[Last Price]] + SnapshotTable[[#This Row],[Implied Move]],"")</f>
        <v/>
      </c>
      <c r="BA199" s="331"/>
      <c r="BB199" s="347"/>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51"/>
      <c r="BE199" s="5"/>
      <c r="BF199" s="14"/>
      <c r="BG199" s="13"/>
      <c r="BH199" s="13"/>
      <c r="BI199" s="5"/>
      <c r="BJ199" s="136">
        <f>IF(SnapshotTable[[#This Row],[LP Qty]] &gt; 0, SnapshotTable[[#This Row],[LP Qty]] * SnapshotTable[[#This Row],[LP Book Price]] * 100,0)</f>
        <v>0</v>
      </c>
      <c r="BK199" s="136">
        <f>IF(SnapshotTable[[#This Row],[LP Premium]] &gt; 0, SnapshotTable[[#This Row],[LP Qty]] * SnapshotTable[[#This Row],[LP Strike Price]] * 100,0)</f>
        <v>0</v>
      </c>
      <c r="BL199" s="154"/>
      <c r="BM199" s="385" t="str">
        <f>IF(SnapshotTable[[#This Row],[LP Premium]] &gt; 0,SnapshotTable[[#This Row],[LP Exp Date]]-MAX(SnapshotTable[[#This Row],[LP Book Date]], SnapshotTable[[#This Row],[LP Fill Date]]),"")</f>
        <v/>
      </c>
      <c r="BN199" s="385" t="str">
        <f>IF(ISNUMBER( SnapshotTable[[#This Row],[LP Term]]), SnapshotTable[[#This Row],[LP Exp Date]] - MockToday,"")</f>
        <v/>
      </c>
      <c r="BO199" s="163"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7"/>
      <c r="BU199" s="13"/>
      <c r="BV199" s="5"/>
      <c r="BW199" s="419" t="b">
        <f>AND(ISNUMBER(SnapshotTable[[#This Row],[SP Exp Date]]), ISNUMBER(SnapshotTable[[#This Row],[SP Strike Price]]), ISNUMBER(SnapshotTable[[#This Row],[SP Qty]]), ISNUMBER(SnapshotTable[[#This Row],[SP Book Date]]), ISNUMBER(SnapshotTable[[#This Row],[SP Book Price]]))</f>
        <v>0</v>
      </c>
      <c r="BX199" s="419" t="b">
        <f>AND(SnapshotTable[[#This Row],[SP Is Booked]], NOT(ISBLANK(SnapshotTable[[#This Row],[SP Fill Date]])))</f>
        <v>0</v>
      </c>
      <c r="BY199" s="33">
        <f>IF(SnapshotTable[[#This Row],[SP Is Booked]], SnapshotTable[[#This Row],[SP Qty]] * SnapshotTable[[#This Row],[SP Book Price]] * 100, 0)</f>
        <v>0</v>
      </c>
      <c r="BZ199" s="369"/>
      <c r="CA199" s="368">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3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44"/>
      <c r="CK199" s="31">
        <f>IF(ISNUMBER(SnapshotTable[[#This Row],[SP Potential Spend]]),IF(ISNUMBER(SnapshotTable[[#This Row],[SP POW]]), SnapshotTable[[#This Row],[SP POW]] * SnapshotTable[[#This Row],[SP Potential Spend]], SnapshotTable[[#This Row],[SP Potential Spend]]), "")</f>
        <v>0</v>
      </c>
      <c r="CL199" s="164">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78"/>
      <c r="CO199" s="369"/>
      <c r="CP199" s="4" t="str">
        <f>IF(SnapshotTable[[#This Row],[SP Is Filled]], btc_max_buyback_amount(SnapshotTable[[#This Row],[SP Fill Date]],SnapshotTable[[#This Row],[SP Exp Date]], SnapshotTable[[#This Row],[SP Book Price]]),"")</f>
        <v/>
      </c>
      <c r="CQ199" s="78"/>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5" t="str">
        <f>IF(SnapshotTable[[#This Row],[SP Is Filled]], btc_next_cutoff_date(SnapshotTable[[#This Row],[SP Fill Date]],SnapshotTable[[#This Row],[SP Exp Date]]),"")</f>
        <v/>
      </c>
      <c r="CT199" s="23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3"/>
      <c r="CV199" s="235"/>
      <c r="CW199" s="378"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294" t="str">
        <f>IF(ISNUMBER((SnapshotTable[[#This Row],[SP Total Value]])), SnapshotTable[[#This Row],[SP Gain Loss]] / SnapshotTable[[#This Row],[SP Premium]], "")</f>
        <v/>
      </c>
      <c r="DI199" s="406"/>
      <c r="DJ199" s="138"/>
      <c r="DK199" s="148"/>
      <c r="DL199" s="13"/>
      <c r="DM199" s="13"/>
      <c r="DO199" s="31">
        <f>IF(SnapshotTable[[#This Row],[LC Symbol Count]]=1, SnapshotTable[[#This Row],[LC Qty]] * SnapshotTable[[#This Row],[LC Book Price]] * 100, 0)</f>
        <v>0</v>
      </c>
      <c r="DP199" s="163" t="str">
        <f>IF(AND(SnapshotTable[[#This Row],[LC Exp Date]]&gt;0, SnapshotTable[[#This Row],[LC Strike Price]]&gt;0,SnapshotTable[[#This Row],[LC Qty]]&gt;0,SnapshotTable[[#This Row],[LC Book Date]]&gt;0,SnapshotTable[[#This Row],[LC Book Price]]&gt;0,SnapshotTable[[#This Row],[LC Fill Date]]=0),"Y","")</f>
        <v/>
      </c>
      <c r="DQ199" s="386" t="str">
        <f>IF(SnapshotTable[[#This Row],[LC Premium]] &gt; 0,SnapshotTable[[#This Row],[LC Exp Date]]-MAX(SnapshotTable[[#This Row],[LC Book Date]], SnapshotTable[[#This Row],[LC Fill Date]]),"")</f>
        <v/>
      </c>
      <c r="DR199" s="386" t="str">
        <f>IF(ISNUMBER(SnapshotTable[[#This Row],[LC Term]]), SnapshotTable[[#This Row],[LC Exp Date]] - MockToday, "")</f>
        <v/>
      </c>
      <c r="DS199" s="23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40" t="str">
        <f>IF(ISNUMBER(SnapshotTable[[#This Row],[LC Actual Gain Loss]]), SnapshotTable[[#This Row],[LC Actual Gain Loss]] / SnapshotTable[[#This Row],[LC Premium]],"")</f>
        <v/>
      </c>
      <c r="DX199" s="284" t="str">
        <f>IF(ISNUMBER(SnapshotTable[[#This Row],[LC Book Price]]),SnapshotTable[[#This Row],[LC Book Price]] * 1.5,"")</f>
        <v/>
      </c>
      <c r="DY199" s="265" t="str">
        <f>IF(SnapshotTable[[#This Row],[LC Premium]]&gt;0, SnapshotTable[[#This Row],[LC Next Target]] * SnapshotTable[[#This Row],[LC Qty]] * 100,"")</f>
        <v/>
      </c>
      <c r="DZ199" s="265" t="str">
        <f>IF(ISNUMBER(SnapshotTable[[#This Row],[LC Target Gross]]), SnapshotTable[[#This Row],[LC Target Gross]] - SnapshotTable[[#This Row],[LC Premium]], "")</f>
        <v/>
      </c>
      <c r="EA199" s="305" t="str">
        <f>IF(ISNUMBER(SnapshotTable[[#This Row],[LC Target Gain Loss]]), SnapshotTable[[#This Row],[LC Target Gain Loss]]/SnapshotTable[[#This Row],[LC Premium]], "")</f>
        <v/>
      </c>
      <c r="EB199" s="262"/>
      <c r="EC199" s="283" t="str">
        <f>IF(SnapshotTable[[#This Row],[LC Premium]]&gt;0, SnapshotTable[[#This Row],[LC Book Price]] * (1 - LC_StopLoss_Pct),"")</f>
        <v/>
      </c>
      <c r="ED199" s="284"/>
      <c r="EE199" s="28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4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7"/>
      <c r="EL199" s="138"/>
      <c r="EM199" s="148"/>
      <c r="EN199" s="147"/>
      <c r="EO199" s="147"/>
      <c r="EP199" s="138"/>
      <c r="EQ199" s="419" t="b">
        <f>AND(ISNUMBER(SnapshotTable[[#This Row],[SC Exp Date]]), ISNUMBER(SnapshotTable[[#This Row],[SC Strike Price]]), ISNUMBER(SnapshotTable[[#This Row],[SC Qty]]), ISNUMBER(SnapshotTable[[#This Row],[SC Book Date]]), ISNUMBER(SnapshotTable[[#This Row],[SC Book Price]]))</f>
        <v>0</v>
      </c>
      <c r="ER199" s="419" t="b">
        <f>AND(SnapshotTable[[#This Row],[SC Is Booked]], NOT(ISBLANK(SnapshotTable[[#This Row],[SC Fill Date]])))</f>
        <v>0</v>
      </c>
      <c r="ES199" s="370"/>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3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283"/>
      <c r="FA199" s="218"/>
      <c r="FB199" s="370"/>
      <c r="FC199" s="4">
        <f>IF(SnapshotTable[[#This Row],[SC Is Filled]], btc_max_buyback_amount(SnapshotTable[[#This Row],[SC Fill Date]],SnapshotTable[[#This Row],[SC Exp Date]], SnapshotTable[[#This Row],[SC Book Price]]),0)</f>
        <v>0</v>
      </c>
      <c r="FD199" s="5"/>
      <c r="FE199" s="144"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382">
        <f>IF(SnapshotTable[[#This Row],[SC Is Filled]], IF(ISNUMBER(SnapshotTable[[#This Row],[SC Current Ask]]), SnapshotTable[[#This Row],[SC Current Ask]], SnapshotTable[[#This Row],[SC Book Price]]) - SnapshotTable[[#This Row],[SC Intrinsic Value]], 0)</f>
        <v>0</v>
      </c>
      <c r="FI199" s="143"/>
      <c r="FJ199" s="32" t="str">
        <f>IF(SnapshotTable[[#This Row],[SC Is Filled]],100 * SnapshotTable[[#This Row],[SC Qty]] * IF(ISNUMBER(SnapshotTable[[#This Row],[SC Buyback Override]]), SnapshotTable[[#This Row],[SC Buyback Override]], SnapshotTable[[#This Row],[SC Current Ask]]), "")</f>
        <v/>
      </c>
      <c r="FK199" s="250" t="str">
        <f>IF(SnapshotTable[[#This Row],[SC Time Val]]&gt;0, SnapshotTable[[#This Row],[SC Time Val]] / SnapshotTable[[#This Row],[Last Price]],"")</f>
        <v/>
      </c>
      <c r="FL199" s="302" t="str">
        <f>IF(SnapshotTable[[#This Row],[SC Is Booked]], ((SnapshotTable[[#This Row],[Last Price]] -SnapshotTable[[#This Row],[SC Strike Price]]) / SnapshotTable[[#This Row],[Last Price]]) * -1, "")</f>
        <v/>
      </c>
      <c r="FM199" s="157" t="str">
        <f>IF(SnapshotTable[[#This Row],[SC Is Booked]],  (SnapshotTable[[#This Row],[SC Qty]] * 100 * SnapshotTable[[#This Row],[SC Strike Price]]) - SnapshotTable[[#This Row],[SC Current Ask]], "")</f>
        <v/>
      </c>
      <c r="FN1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31"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33"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36" t="str">
        <f>IF(AND(ISNUMBER(SnapshotTable[[#This Row],[SC Simple ROO]]),SnapshotTable[[#This Row],[SC Simple ROO]] &gt; 0), SnapshotTable[[#This Row],[SC Premium]] + (SnapshotTable[[#This Row],[SC Qty]] * SnapshotTable[[#This Row],[SC Upside Potential]]), "")</f>
        <v/>
      </c>
      <c r="FX199" s="302" t="str" cm="1">
        <f t="array" ref="FX199">IF(ISNUMBER(SnapshotTable[[#This Row],[SC Max Dollars]]), annualize(SnapshotTable[[#This Row],[SC Term]],(SnapshotTable[[#This Row],[SC Max Dollars]]/SnapshotTable[[#This Row],[SC Basis]])),"")</f>
        <v/>
      </c>
      <c r="FY199" s="236" t="str">
        <f>IF(AND(SnapshotTable[[#This Row],[SC Qty]]&gt;0,SnapshotTable[[#This Row],[SC Current Ask]]&gt;0), SnapshotTable[[#This Row],[SC Qty]] * SnapshotTable[[#This Row],[SC Current Ask]] * -100, "")</f>
        <v/>
      </c>
      <c r="FZ199" s="31" t="str">
        <f>IF(ISNUMBER((SnapshotTable[[#This Row],[SC Current Value]])), SnapshotTable[[#This Row],[SC Premium]] + SnapshotTable[[#This Row],[SC Current Value]], "")</f>
        <v/>
      </c>
      <c r="GA199" s="29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45.837499999999999</v>
      </c>
      <c r="GD199" s="40">
        <f>SnapshotTable[[#This Row],[Last Price]] * (1+ SellingPriceToConsiderBasedOnTargetPercentage)</f>
        <v>98.981999999999999</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27" t="str">
        <f>IF(SnapshotTable[[#This Row],[Sale G/L]]&gt;0, SnapshotTable[[#This Row],[Sale G/L]] / SnapshotTable[[#This Row],[Sale Basis]], IF(ISNUMBER(SnapshotTable[[#This Row],[SC Exercise P&amp;L (TAX)]]), SnapshotTable[[#This Row],[SC Exercise P&amp;L (TAX)]] / SnapshotTable[[#This Row],[SC Basis]], ""))</f>
        <v/>
      </c>
      <c r="GK199" s="27" t="s">
        <v>716</v>
      </c>
      <c r="GL199" s="43"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43" t="str">
        <f>IF(AND(SnapshotTable[[#This Row],[LC Exp Date]]&gt;0,SnapshotTable[[#This Row],[LC Strike Price]]&gt;0), [1]!ToOptionSymbol(SnapshotTable[[#This Row],[Symbol]], SnapshotTable[[#This Row],[LC Strike Price]],SnapshotTable[[#This Row],[LC Exp Date]],0), "")</f>
        <v/>
      </c>
      <c r="GQ199" s="30" t="str">
        <f>IF(LEN(SnapshotTable[[#This Row],[LC Symbol]])&gt;0, 1, "")</f>
        <v/>
      </c>
      <c r="GR199" s="43" t="str">
        <f>IF(AND(SnapshotTable[[#This Row],[SC Exp Date]]&gt;0,SnapshotTable[[#This Row],[SC Strike Price]]&gt;0), [1]!ToOptionSymbol(SnapshotTable[[#This Row],[Symbol]], SnapshotTable[[#This Row],[SC Strike Price]],SnapshotTable[[#This Row],[SC Exp Date]],0), "")</f>
        <v/>
      </c>
      <c r="GS199" s="30" t="str">
        <f>IF(LEN(SnapshotTable[[#This Row],[SC Symbol]])&gt;0, 1, "")</f>
        <v/>
      </c>
      <c r="GT199" s="29"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31">
        <f>MAX(SnapshotTable[[#This Row],[Equity Basis Total]],SnapshotTable[[#This Row],[Equity Value]]) + (SnapshotTable[[#This Row],[SP Potential Spend]]- SnapshotTable[[#This Row],[SP Premium]] + SnapshotTable[[#This Row],[LP Premium]])+ (SnapshotTable[[#This Row],[LC Premium]] - SnapshotTable[[#This Row],[SC Premium]])</f>
        <v>0</v>
      </c>
      <c r="GW199" s="139" t="str">
        <f>IF(AND(SnapshotTable[[#This Row],[Exposure]] &lt;&gt; 0),SnapshotTable[[#This Row],[Exposure]] / SnapshotTable[[#Totals],[Exposure]], "")</f>
        <v/>
      </c>
      <c r="HE199" s="268"/>
      <c r="HF199" s="268"/>
      <c r="HK199" s="1"/>
      <c r="HL199" s="1"/>
      <c r="HM199" s="1"/>
      <c r="HN199" s="1"/>
      <c r="HO199" s="1"/>
      <c r="HP199" s="1"/>
    </row>
    <row r="200" spans="2:224" ht="12.75" hidden="1" customHeight="1" x14ac:dyDescent="0.25">
      <c r="B200" s="12" t="s">
        <v>1064</v>
      </c>
      <c r="C200" s="422">
        <v>39.96</v>
      </c>
      <c r="D200" s="208" t="s">
        <v>578</v>
      </c>
      <c r="E200" s="39">
        <f>SnapshotTable[[#This Row],[Last Price]]*(1 -CrashDiscount)</f>
        <v>33.966000000000001</v>
      </c>
      <c r="F200" s="26" t="s">
        <v>5</v>
      </c>
      <c r="G200" s="26" t="s">
        <v>4</v>
      </c>
      <c r="H200" s="149"/>
      <c r="I200" s="194"/>
      <c r="J200" s="195"/>
      <c r="K200" s="196"/>
      <c r="L200" s="327"/>
      <c r="M200" s="140"/>
      <c r="N200" s="140"/>
      <c r="O200" s="140"/>
      <c r="P200" s="22"/>
      <c r="Q200" s="25"/>
      <c r="R200" s="4" t="str">
        <f>IF(SnapshotTable[[#This Row],[Equity Basis Total]] &gt; 0, SnapshotTable[[#This Row],[Equity Basis Total]] / SnapshotTable[[#This Row],[Equity Shares]], "")</f>
        <v/>
      </c>
      <c r="S200" s="329">
        <f>SnapshotTable[[#This Row],[Last Price]] * SnapshotTable[[#This Row],[Equity Shares]]</f>
        <v>0</v>
      </c>
      <c r="T200" s="269">
        <f>SnapshotTable[[#This Row],[Equity Value]] - SnapshotTable[[#This Row],[Equity Basis Total]]</f>
        <v>0</v>
      </c>
      <c r="U200" s="270" t="str">
        <f>IF(SnapshotTable[[#This Row],[Equity Basis Total]] &gt; 0, SnapshotTable[[#This Row],[Equity G/L]] / SnapshotTable[[#This Row],[Equity Basis Total]], "")</f>
        <v/>
      </c>
      <c r="V200" s="268"/>
      <c r="W200" s="26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7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0"/>
      <c r="AD200" s="151"/>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0</v>
      </c>
      <c r="AH200" s="151"/>
      <c r="AI200" s="330"/>
      <c r="AJ200" s="138"/>
      <c r="AK200" s="152" t="str">
        <f>IF(ISNUMBER( SnapshotTable[[#This Row],[EBF Target]]),(SnapshotTable[[#This Row],[EBF Target]] - SnapshotTable[[#This Row],[Last Price]]) / SnapshotTable[[#This Row],[Last Price]], "")</f>
        <v/>
      </c>
      <c r="AL200" s="152"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2" t="str">
        <f>IF(AND(ISNUMBER( SnapshotTable[[#This Row],[Long Term Target]]), ISNUMBER(SnapshotTable[[#This Row],[Last Price]])),(SnapshotTable[[#This Row],[Long Term Target]] - SnapshotTable[[#This Row],[Last Price]]) / SnapshotTable[[#This Row],[Last Price]], "")</f>
        <v/>
      </c>
      <c r="AP200" s="5">
        <v>32</v>
      </c>
      <c r="AQ200" s="38" t="s">
        <v>27</v>
      </c>
      <c r="AR200" s="5">
        <v>32</v>
      </c>
      <c r="AS200" s="38" t="s">
        <v>38</v>
      </c>
      <c r="AT200" s="146" t="s">
        <v>542</v>
      </c>
      <c r="AU200" s="187" t="str">
        <f>IF(OR(SnapshotTable[[#This Row],[LP No Fill]]="Y",SnapshotTable[[#This Row],[SP Is Filled]],SnapshotTable[[#This Row],[LC Not Filled]]="Y",SnapshotTable[[#This Row],[SC Is Filled]]),"Y","")</f>
        <v/>
      </c>
      <c r="AV200" s="338"/>
      <c r="AW200" s="339"/>
      <c r="AX200" s="220"/>
      <c r="AY200" s="219" t="str">
        <f>IF(SnapshotTable[[#This Row],[Implied Move]]&gt;0, SnapshotTable[[#This Row],[Last Price]]-SnapshotTable[[#This Row],[Implied Move]],"")</f>
        <v/>
      </c>
      <c r="AZ200" s="219" t="str">
        <f>IF(SnapshotTable[[#This Row],[Implied Move]]&gt;0, SnapshotTable[[#This Row],[Last Price]] + SnapshotTable[[#This Row],[Implied Move]],"")</f>
        <v/>
      </c>
      <c r="BA200" s="331">
        <v>32.17</v>
      </c>
      <c r="BB200" s="347" t="s">
        <v>1193</v>
      </c>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51"/>
      <c r="BE200" s="138"/>
      <c r="BF200" s="166"/>
      <c r="BG200" s="167"/>
      <c r="BH200" s="167"/>
      <c r="BI200" s="221"/>
      <c r="BJ200" s="153">
        <f>IF(SnapshotTable[[#This Row],[LP Qty]] &gt; 0, SnapshotTable[[#This Row],[LP Qty]] * SnapshotTable[[#This Row],[LP Book Price]] * 100,0)</f>
        <v>0</v>
      </c>
      <c r="BK200" s="136">
        <f>IF(SnapshotTable[[#This Row],[LP Premium]] &gt; 0, SnapshotTable[[#This Row],[LP Qty]] * SnapshotTable[[#This Row],[LP Strike Price]] * 100,0)</f>
        <v>0</v>
      </c>
      <c r="BL200" s="154"/>
      <c r="BM200" s="385" t="str">
        <f>IF(SnapshotTable[[#This Row],[LP Premium]] &gt; 0,SnapshotTable[[#This Row],[LP Exp Date]]-MAX(SnapshotTable[[#This Row],[LP Book Date]], SnapshotTable[[#This Row],[LP Fill Date]]),"")</f>
        <v/>
      </c>
      <c r="BN200" s="385" t="str">
        <f>IF(ISNUMBER( SnapshotTable[[#This Row],[LP Term]]), SnapshotTable[[#This Row],[LP Exp Date]] - MockToday,"")</f>
        <v/>
      </c>
      <c r="BO200" s="163"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7"/>
      <c r="BU200" s="13"/>
      <c r="BV200" s="5"/>
      <c r="BW200" s="419" t="b">
        <f>AND(ISNUMBER(SnapshotTable[[#This Row],[SP Exp Date]]), ISNUMBER(SnapshotTable[[#This Row],[SP Strike Price]]), ISNUMBER(SnapshotTable[[#This Row],[SP Qty]]), ISNUMBER(SnapshotTable[[#This Row],[SP Book Date]]), ISNUMBER(SnapshotTable[[#This Row],[SP Book Price]]))</f>
        <v>0</v>
      </c>
      <c r="BX200" s="419" t="b">
        <f>AND(SnapshotTable[[#This Row],[SP Is Booked]], NOT(ISBLANK(SnapshotTable[[#This Row],[SP Fill Date]])))</f>
        <v>0</v>
      </c>
      <c r="BY200" s="33">
        <f>IF(SnapshotTable[[#This Row],[SP Is Booked]], SnapshotTable[[#This Row],[SP Qty]] * SnapshotTable[[#This Row],[SP Book Price]] * 100, 0)</f>
        <v>0</v>
      </c>
      <c r="BZ200" s="369"/>
      <c r="CA200" s="368">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3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44">
        <v>0.01</v>
      </c>
      <c r="CK200" s="31">
        <f>IF(ISNUMBER(SnapshotTable[[#This Row],[SP Potential Spend]]),IF(ISNUMBER(SnapshotTable[[#This Row],[SP POW]]), SnapshotTable[[#This Row],[SP POW]] * SnapshotTable[[#This Row],[SP Potential Spend]], SnapshotTable[[#This Row],[SP Potential Spend]]), "")</f>
        <v>0</v>
      </c>
      <c r="CL200" s="164">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154"/>
      <c r="CO200" s="369"/>
      <c r="CP200" s="320" t="str">
        <f>IF(SnapshotTable[[#This Row],[SP Is Filled]], btc_max_buyback_amount(SnapshotTable[[#This Row],[SP Fill Date]],SnapshotTable[[#This Row],[SP Exp Date]], SnapshotTable[[#This Row],[SP Book Price]]),"")</f>
        <v/>
      </c>
      <c r="CQ200" s="78"/>
      <c r="CR20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5" t="str">
        <f>IF(SnapshotTable[[#This Row],[SP Is Filled]], btc_next_cutoff_date(SnapshotTable[[#This Row],[SP Fill Date]],SnapshotTable[[#This Row],[SP Exp Date]]),"")</f>
        <v/>
      </c>
      <c r="CT200" s="23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3"/>
      <c r="CV200" s="235"/>
      <c r="CW200" s="378"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294" t="str">
        <f>IF(ISNUMBER((SnapshotTable[[#This Row],[SP Total Value]])), SnapshotTable[[#This Row],[SP Gain Loss]] / SnapshotTable[[#This Row],[SP Premium]], "")</f>
        <v/>
      </c>
      <c r="DI200" s="406"/>
      <c r="DJ200" s="138"/>
      <c r="DK200" s="148"/>
      <c r="DL200" s="147"/>
      <c r="DM200" s="147"/>
      <c r="DO200" s="31">
        <f>IF(SnapshotTable[[#This Row],[LC Symbol Count]]=1, SnapshotTable[[#This Row],[LC Qty]] * SnapshotTable[[#This Row],[LC Book Price]] * 100, 0)</f>
        <v>0</v>
      </c>
      <c r="DP200" s="289" t="str">
        <f>IF(AND(SnapshotTable[[#This Row],[LC Exp Date]]&gt;0, SnapshotTable[[#This Row],[LC Strike Price]]&gt;0,SnapshotTable[[#This Row],[LC Qty]]&gt;0,SnapshotTable[[#This Row],[LC Book Date]]&gt;0,SnapshotTable[[#This Row],[LC Book Price]]&gt;0,SnapshotTable[[#This Row],[LC Fill Date]]=0),"Y","")</f>
        <v/>
      </c>
      <c r="DQ200" s="386" t="str">
        <f>IF(SnapshotTable[[#This Row],[LC Premium]] &gt; 0,SnapshotTable[[#This Row],[LC Exp Date]]-MAX(SnapshotTable[[#This Row],[LC Book Date]], SnapshotTable[[#This Row],[LC Fill Date]]),"")</f>
        <v/>
      </c>
      <c r="DR200" s="386" t="str">
        <f>IF(ISNUMBER(SnapshotTable[[#This Row],[LC Term]]), SnapshotTable[[#This Row],[LC Exp Date]] - MockToday, "")</f>
        <v/>
      </c>
      <c r="DS200" s="23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40" t="str">
        <f>IF(ISNUMBER(SnapshotTable[[#This Row],[LC Actual Gain Loss]]), SnapshotTable[[#This Row],[LC Actual Gain Loss]] / SnapshotTable[[#This Row],[LC Premium]],"")</f>
        <v/>
      </c>
      <c r="DX200" s="284" t="str">
        <f>IF(ISNUMBER(SnapshotTable[[#This Row],[LC Book Price]]),SnapshotTable[[#This Row],[LC Book Price]] * 1.5,"")</f>
        <v/>
      </c>
      <c r="DY200" s="265" t="str">
        <f>IF(SnapshotTable[[#This Row],[LC Premium]]&gt;0, SnapshotTable[[#This Row],[LC Next Target]] * SnapshotTable[[#This Row],[LC Qty]] * 100,"")</f>
        <v/>
      </c>
      <c r="DZ200" s="265" t="str">
        <f>IF(ISNUMBER(SnapshotTable[[#This Row],[LC Target Gross]]), SnapshotTable[[#This Row],[LC Target Gross]] - SnapshotTable[[#This Row],[LC Premium]], "")</f>
        <v/>
      </c>
      <c r="EA200" s="305" t="str">
        <f>IF(ISNUMBER(SnapshotTable[[#This Row],[LC Target Gain Loss]]), SnapshotTable[[#This Row],[LC Target Gain Loss]]/SnapshotTable[[#This Row],[LC Premium]], "")</f>
        <v/>
      </c>
      <c r="EB200" s="262"/>
      <c r="EC200" s="290" t="str">
        <f>IF(SnapshotTable[[#This Row],[LC Premium]]&gt;0, SnapshotTable[[#This Row],[LC Book Price]] * (1 - LC_StopLoss_Pct),"")</f>
        <v/>
      </c>
      <c r="ED200" s="284"/>
      <c r="EE200" s="290" t="str">
        <f>IF(ISNUMBER(SnapshotTable[[#This Row],[LC Contract Value]]),IF(ISNUMBER(SnapshotTable[[#This Row],[LC Stop Loss Override]]), SnapshotTable[[#This Row],[LC Stop Loss Override]],SnapshotTable[[#This Row],[LC Stop Loss Calc Target]]),"")</f>
        <v/>
      </c>
      <c r="EF200" s="32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4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7"/>
      <c r="EL200" s="138"/>
      <c r="EM200" s="148"/>
      <c r="EN200" s="147"/>
      <c r="EO200" s="147"/>
      <c r="EP200" s="138"/>
      <c r="EQ200" s="419" t="b">
        <f>AND(ISNUMBER(SnapshotTable[[#This Row],[SC Exp Date]]), ISNUMBER(SnapshotTable[[#This Row],[SC Strike Price]]), ISNUMBER(SnapshotTable[[#This Row],[SC Qty]]), ISNUMBER(SnapshotTable[[#This Row],[SC Book Date]]), ISNUMBER(SnapshotTable[[#This Row],[SC Book Price]]))</f>
        <v>0</v>
      </c>
      <c r="ER200" s="419" t="b">
        <f>AND(SnapshotTable[[#This Row],[SC Is Booked]], NOT(ISBLANK(SnapshotTable[[#This Row],[SC Fill Date]])))</f>
        <v>0</v>
      </c>
      <c r="ES200" s="370"/>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3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283"/>
      <c r="FA200" s="218"/>
      <c r="FB200" s="370"/>
      <c r="FC200" s="4">
        <f>IF(SnapshotTable[[#This Row],[SC Is Filled]], btc_max_buyback_amount(SnapshotTable[[#This Row],[SC Fill Date]],SnapshotTable[[#This Row],[SC Exp Date]], SnapshotTable[[#This Row],[SC Book Price]]),0)</f>
        <v>0</v>
      </c>
      <c r="FD200" s="5"/>
      <c r="FE200" s="144"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382">
        <f>IF(SnapshotTable[[#This Row],[SC Is Filled]], IF(ISNUMBER(SnapshotTable[[#This Row],[SC Current Ask]]), SnapshotTable[[#This Row],[SC Current Ask]], SnapshotTable[[#This Row],[SC Book Price]]) - SnapshotTable[[#This Row],[SC Intrinsic Value]], 0)</f>
        <v>0</v>
      </c>
      <c r="FI200" s="143"/>
      <c r="FJ200" s="32" t="str">
        <f>IF(SnapshotTable[[#This Row],[SC Is Filled]],100 * SnapshotTable[[#This Row],[SC Qty]] * IF(ISNUMBER(SnapshotTable[[#This Row],[SC Buyback Override]]), SnapshotTable[[#This Row],[SC Buyback Override]], SnapshotTable[[#This Row],[SC Current Ask]]), "")</f>
        <v/>
      </c>
      <c r="FK200" s="250" t="str">
        <f>IF(SnapshotTable[[#This Row],[SC Time Val]]&gt;0, SnapshotTable[[#This Row],[SC Time Val]] / SnapshotTable[[#This Row],[Last Price]],"")</f>
        <v/>
      </c>
      <c r="FL200" s="302" t="str">
        <f>IF(SnapshotTable[[#This Row],[SC Is Booked]], ((SnapshotTable[[#This Row],[Last Price]] -SnapshotTable[[#This Row],[SC Strike Price]]) / SnapshotTable[[#This Row],[Last Price]]) * -1, "")</f>
        <v/>
      </c>
      <c r="FM200" s="157" t="str">
        <f>IF(SnapshotTable[[#This Row],[SC Is Booked]],  (SnapshotTable[[#This Row],[SC Qty]] * 100 * SnapshotTable[[#This Row],[SC Strike Price]]) - SnapshotTable[[#This Row],[SC Current Ask]], "")</f>
        <v/>
      </c>
      <c r="FN20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157"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33"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36" t="str">
        <f>IF(AND(ISNUMBER(SnapshotTable[[#This Row],[SC Simple ROO]]),SnapshotTable[[#This Row],[SC Simple ROO]] &gt; 0), SnapshotTable[[#This Row],[SC Premium]] + (SnapshotTable[[#This Row],[SC Qty]] * SnapshotTable[[#This Row],[SC Upside Potential]]), "")</f>
        <v/>
      </c>
      <c r="FX200" s="302" t="str" cm="1">
        <f t="array" ref="FX200">IF(ISNUMBER(SnapshotTable[[#This Row],[SC Max Dollars]]), annualize(SnapshotTable[[#This Row],[SC Term]],(SnapshotTable[[#This Row],[SC Max Dollars]]/SnapshotTable[[#This Row],[SC Basis]])),"")</f>
        <v/>
      </c>
      <c r="FY200" s="236" t="str">
        <f>IF(AND(SnapshotTable[[#This Row],[SC Qty]]&gt;0,SnapshotTable[[#This Row],[SC Current Ask]]&gt;0), SnapshotTable[[#This Row],[SC Qty]] * SnapshotTable[[#This Row],[SC Current Ask]] * -100, "")</f>
        <v/>
      </c>
      <c r="FZ200" s="235" t="str">
        <f>IF(ISNUMBER((SnapshotTable[[#This Row],[SC Current Value]])), SnapshotTable[[#This Row],[SC Premium]] + SnapshotTable[[#This Row],[SC Current Value]], "")</f>
        <v/>
      </c>
      <c r="GA200" s="29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0</v>
      </c>
      <c r="GD200" s="40">
        <f>SnapshotTable[[#This Row],[Last Price]] * (1+ SellingPriceToConsiderBasedOnTargetPercentage)</f>
        <v>77.921999999999997</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158" t="str">
        <f>IF(SnapshotTable[[#This Row],[Sale G/L]]&gt;0, SnapshotTable[[#This Row],[Sale G/L]] / SnapshotTable[[#This Row],[Sale Basis]], IF(ISNUMBER(SnapshotTable[[#This Row],[SC Exercise P&amp;L (TAX)]]), SnapshotTable[[#This Row],[SC Exercise P&amp;L (TAX)]] / SnapshotTable[[#This Row],[SC Basis]], ""))</f>
        <v/>
      </c>
      <c r="GK200" s="27" t="s">
        <v>1181</v>
      </c>
      <c r="GL200" s="159"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159" t="str">
        <f>IF(AND(SnapshotTable[[#This Row],[LC Exp Date]]&gt;0,SnapshotTable[[#This Row],[LC Strike Price]]&gt;0), [1]!ToOptionSymbol(SnapshotTable[[#This Row],[Symbol]], SnapshotTable[[#This Row],[LC Strike Price]],SnapshotTable[[#This Row],[LC Exp Date]],0), "")</f>
        <v/>
      </c>
      <c r="GQ200" s="160" t="str">
        <f>IF(LEN(SnapshotTable[[#This Row],[LC Symbol]])&gt;0, 1, "")</f>
        <v/>
      </c>
      <c r="GR200" s="159" t="str">
        <f>IF(AND(SnapshotTable[[#This Row],[SC Exp Date]]&gt;0,SnapshotTable[[#This Row],[SC Strike Price]]&gt;0), [1]!ToOptionSymbol(SnapshotTable[[#This Row],[Symbol]], SnapshotTable[[#This Row],[SC Strike Price]],SnapshotTable[[#This Row],[SC Exp Date]],0), "")</f>
        <v/>
      </c>
      <c r="GS200" s="160" t="str">
        <f>IF(LEN(SnapshotTable[[#This Row],[SC Symbol]])&gt;0, 1, "")</f>
        <v/>
      </c>
      <c r="GT200" s="161"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31">
        <f>MAX(SnapshotTable[[#This Row],[Equity Basis Total]],SnapshotTable[[#This Row],[Equity Value]]) + (SnapshotTable[[#This Row],[SP Potential Spend]]- SnapshotTable[[#This Row],[SP Premium]] + SnapshotTable[[#This Row],[LP Premium]])+ (SnapshotTable[[#This Row],[LC Premium]] - SnapshotTable[[#This Row],[SC Premium]])</f>
        <v>0</v>
      </c>
      <c r="GW200" s="139" t="str">
        <f>IF(AND(SnapshotTable[[#This Row],[Exposure]] &lt;&gt; 0),SnapshotTable[[#This Row],[Exposure]] / SnapshotTable[[#Totals],[Exposure]], "")</f>
        <v/>
      </c>
      <c r="HE200" s="268"/>
      <c r="HF200" s="268"/>
      <c r="HK200" s="1"/>
      <c r="HL200" s="1"/>
      <c r="HM200" s="1"/>
      <c r="HN200" s="1"/>
      <c r="HO200" s="1"/>
      <c r="HP200" s="1"/>
    </row>
    <row r="201" spans="2:224" ht="12.75" hidden="1" customHeight="1" x14ac:dyDescent="0.25">
      <c r="B201" s="12" t="s">
        <v>820</v>
      </c>
      <c r="C201" s="422">
        <v>214.68</v>
      </c>
      <c r="D201" s="208"/>
      <c r="E201" s="39">
        <f>SnapshotTable[[#This Row],[Last Price]]*(1 -CrashDiscount)</f>
        <v>182.47800000000001</v>
      </c>
      <c r="F201" s="26" t="s">
        <v>550</v>
      </c>
      <c r="G201" s="26" t="s">
        <v>41</v>
      </c>
      <c r="H201" s="149"/>
      <c r="I201" s="194">
        <v>44776.708333333336</v>
      </c>
      <c r="J201" s="195">
        <v>44776.708333333336</v>
      </c>
      <c r="K201" s="196"/>
      <c r="L201" s="326"/>
      <c r="M201" s="140"/>
      <c r="N201" s="140"/>
      <c r="O201" s="140"/>
      <c r="P201" s="22"/>
      <c r="Q201" s="25"/>
      <c r="R201" s="4" t="str">
        <f>IF(SnapshotTable[[#This Row],[Equity Basis Total]] &gt; 0, SnapshotTable[[#This Row],[Equity Basis Total]] / SnapshotTable[[#This Row],[Equity Shares]], "")</f>
        <v/>
      </c>
      <c r="S201" s="269">
        <f>SnapshotTable[[#This Row],[Last Price]] * SnapshotTable[[#This Row],[Equity Shares]]</f>
        <v>0</v>
      </c>
      <c r="T201" s="269">
        <f>SnapshotTable[[#This Row],[Equity Value]] - SnapshotTable[[#This Row],[Equity Basis Total]]</f>
        <v>0</v>
      </c>
      <c r="U201" s="270" t="str">
        <f>IF(SnapshotTable[[#This Row],[Equity Basis Total]] &gt; 0, SnapshotTable[[#This Row],[Equity G/L]] / SnapshotTable[[#This Row],[Equity Basis Total]], "")</f>
        <v/>
      </c>
      <c r="V201" s="268">
        <v>175</v>
      </c>
      <c r="W201" s="268">
        <v>139.9</v>
      </c>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7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0"/>
      <c r="AD201" s="151"/>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0</v>
      </c>
      <c r="AH201" s="151"/>
      <c r="AI201" s="5"/>
      <c r="AJ201" s="138">
        <v>81.27</v>
      </c>
      <c r="AK201" s="152" t="str">
        <f>IF(ISNUMBER( SnapshotTable[[#This Row],[EBF Target]]),(SnapshotTable[[#This Row],[EBF Target]] - SnapshotTable[[#This Row],[Last Price]]) / SnapshotTable[[#This Row],[Last Price]], "")</f>
        <v/>
      </c>
      <c r="AL201" s="152"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2">
        <f>IF(AND(ISNUMBER( SnapshotTable[[#This Row],[Long Term Target]]), ISNUMBER(SnapshotTable[[#This Row],[Last Price]])),(SnapshotTable[[#This Row],[Long Term Target]] - SnapshotTable[[#This Row],[Last Price]]) / SnapshotTable[[#This Row],[Last Price]], "")</f>
        <v>-0.6214365567356066</v>
      </c>
      <c r="AP201" s="5">
        <v>160</v>
      </c>
      <c r="AQ201" s="38" t="s">
        <v>89</v>
      </c>
      <c r="AR201" s="5">
        <v>132.80000000000001</v>
      </c>
      <c r="AS201" s="38" t="s">
        <v>32</v>
      </c>
      <c r="AT201" s="146"/>
      <c r="AU201" s="187" t="str">
        <f>IF(OR(SnapshotTable[[#This Row],[LP No Fill]]="Y",SnapshotTable[[#This Row],[SP Is Filled]],SnapshotTable[[#This Row],[LC Not Filled]]="Y",SnapshotTable[[#This Row],[SC Is Filled]]),"Y","")</f>
        <v>Y</v>
      </c>
      <c r="AV201" s="219"/>
      <c r="AW201" s="225"/>
      <c r="AX201" s="220"/>
      <c r="AY201" s="219" t="str">
        <f>IF(SnapshotTable[[#This Row],[Implied Move]]&gt;0, SnapshotTable[[#This Row],[Last Price]]-SnapshotTable[[#This Row],[Implied Move]],"")</f>
        <v/>
      </c>
      <c r="AZ201" s="219" t="str">
        <f>IF(SnapshotTable[[#This Row],[Implied Move]]&gt;0, SnapshotTable[[#This Row],[Last Price]] + SnapshotTable[[#This Row],[Implied Move]],"")</f>
        <v/>
      </c>
      <c r="BA201" s="331">
        <v>195.11</v>
      </c>
      <c r="BB201" s="347"/>
      <c r="BC20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1" s="351"/>
      <c r="BE201" s="138"/>
      <c r="BF201" s="166"/>
      <c r="BG201" s="167"/>
      <c r="BH201" s="167"/>
      <c r="BI201" s="221"/>
      <c r="BJ201" s="153">
        <f>IF(SnapshotTable[[#This Row],[LP Qty]] &gt; 0, SnapshotTable[[#This Row],[LP Qty]] * SnapshotTable[[#This Row],[LP Book Price]] * 100,0)</f>
        <v>0</v>
      </c>
      <c r="BK201" s="136">
        <f>IF(SnapshotTable[[#This Row],[LP Premium]] &gt; 0, SnapshotTable[[#This Row],[LP Qty]] * SnapshotTable[[#This Row],[LP Strike Price]] * 100,0)</f>
        <v>0</v>
      </c>
      <c r="BL201" s="154"/>
      <c r="BM201" s="385" t="str">
        <f>IF(SnapshotTable[[#This Row],[LP Premium]] &gt; 0,SnapshotTable[[#This Row],[LP Exp Date]]-MAX(SnapshotTable[[#This Row],[LP Book Date]], SnapshotTable[[#This Row],[LP Fill Date]]),"")</f>
        <v/>
      </c>
      <c r="BN201" s="385" t="str">
        <f>IF(ISNUMBER( SnapshotTable[[#This Row],[LP Term]]), SnapshotTable[[#This Row],[LP Exp Date]] - MockToday,"")</f>
        <v/>
      </c>
      <c r="BO201" s="163"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v>46251</v>
      </c>
      <c r="BR201" s="5">
        <v>210</v>
      </c>
      <c r="BS201" s="36">
        <v>1</v>
      </c>
      <c r="BT201" s="147">
        <v>46183</v>
      </c>
      <c r="BU201" s="13">
        <v>46183</v>
      </c>
      <c r="BV201" s="5">
        <v>14.9</v>
      </c>
      <c r="BW201" s="419" t="b">
        <f>AND(ISNUMBER(SnapshotTable[[#This Row],[SP Exp Date]]), ISNUMBER(SnapshotTable[[#This Row],[SP Strike Price]]), ISNUMBER(SnapshotTable[[#This Row],[SP Qty]]), ISNUMBER(SnapshotTable[[#This Row],[SP Book Date]]), ISNUMBER(SnapshotTable[[#This Row],[SP Book Price]]))</f>
        <v>1</v>
      </c>
      <c r="BX201" s="419" t="b">
        <f>AND(SnapshotTable[[#This Row],[SP Is Booked]], NOT(ISBLANK(SnapshotTable[[#This Row],[SP Fill Date]])))</f>
        <v>1</v>
      </c>
      <c r="BY201" s="33">
        <f>IF(SnapshotTable[[#This Row],[SP Is Booked]], SnapshotTable[[#This Row],[SP Qty]] * SnapshotTable[[#This Row],[SP Book Price]] * 100, 0)</f>
        <v>1490</v>
      </c>
      <c r="BZ201" s="369">
        <v>0.46</v>
      </c>
      <c r="CA201" s="368">
        <f>SnapshotTable[[#This Row],[LP Qty]]</f>
        <v>0</v>
      </c>
      <c r="CB201" s="4">
        <f>IF(SnapshotTable[[#This Row],[SP Is Booked]], SnapshotTable[[#This Row],[SP Strike Price]] - SnapshotTable[[#This Row],[SP Book Price]], "")</f>
        <v>195.1</v>
      </c>
      <c r="CC201" s="19">
        <f>IF(SnapshotTable[[#This Row],[SP Is Booked]],SnapshotTable[[#This Row],[SP Exp Date]]-MAX(SnapshotTable[[#This Row],[SP Book Date]], SnapshotTable[[#This Row],[SP Fill Date]]),"")</f>
        <v>68</v>
      </c>
      <c r="CD201" s="7">
        <f>IF(SnapshotTable[[#This Row],[SP Is Booked]], SnapshotTable[[#This Row],[SP Book Price]]/SnapshotTable[[#This Row],[SP Strike Price]], "")</f>
        <v>7.0952380952380947E-2</v>
      </c>
      <c r="CE201" s="7">
        <f>IF(ISNUMBER(SnapshotTable[[#This Row],[SP ROO Term]]),SnapshotTable[[#This Row],[SP ROO Term]]*(365/SnapshotTable[[#This Row],[SP Term]]),"")</f>
        <v>0.38084733893557415</v>
      </c>
      <c r="CF201" s="236">
        <f>SnapshotTable[[#This Row],[LP Strike Price]] * SnapshotTable[[#This Row],[LP Qty]] * 100</f>
        <v>0</v>
      </c>
      <c r="CG201" s="31">
        <f>IF(ISNUMBER(SnapshotTable[[#This Row],[SP Premium]]), (SnapshotTable[[#This Row],[SP Qty]] * SnapshotTable[[#This Row],[SP Strike Price]]* 100) - SnapshotTable[[#This Row],[LP Protection]], 0)</f>
        <v>21000</v>
      </c>
      <c r="CH201" s="7">
        <f>IF(ISNUMBER(SnapshotTable[[#This Row],[SP Break Even]]),-1 * (SnapshotTable[[#This Row],[SP Break Even]] - SnapshotTable[[#This Row],[Last Price]]) / SnapshotTable[[#This Row],[Last Price]], "")</f>
        <v>9.1205515185392272E-2</v>
      </c>
      <c r="CI201" s="31">
        <f>IF(AND(ISNUMBER((SnapshotTable[[#This Row],[SP Potential Spend]])), SnapshotTable[[#This Row],[SP Strike Price]] &gt; SnapshotTable[[#This Row],[Last Price]], SnapshotTable[[#This Row],[SP Is Filled]]), SnapshotTable[[#This Row],[SP Potential Spend]] -  SnapshotTable[[#This Row],[LP Max Value]], 0)</f>
        <v>0</v>
      </c>
      <c r="CJ201" s="244"/>
      <c r="CK201" s="31">
        <f>IF(ISNUMBER(SnapshotTable[[#This Row],[SP Potential Spend]]),IF(ISNUMBER(SnapshotTable[[#This Row],[SP POW]]), SnapshotTable[[#This Row],[SP POW]] * SnapshotTable[[#This Row],[SP Potential Spend]], SnapshotTable[[#This Row],[SP Potential Spend]]), "")</f>
        <v>21000</v>
      </c>
      <c r="CL201" s="164" t="str">
        <f>IF(NOT(SnapshotTable[[#This Row],[SP Is Filled]]),(SnapshotTable[[#This Row],[SP Qty]] * SnapshotTable[[#This Row],[SP Strike Price]] * 100) - SnapshotTable[[#This Row],[LP Max Value]],"")</f>
        <v/>
      </c>
      <c r="CM201" s="31" t="str">
        <f>IF(SnapshotTable[[#This Row],[SP Actual Spend]]&lt;&gt;0, ((SnapshotTable[[#This Row],[SP Strike Price]]-SnapshotTable[[#This Row],[Last Price]]) *(SnapshotTable[[#This Row],[SP Qty]]*100) - SnapshotTable[[#This Row],[SP Premium]]) * - 1, "")</f>
        <v/>
      </c>
      <c r="CN201" s="154">
        <v>15.9</v>
      </c>
      <c r="CO201" s="369">
        <v>0.47</v>
      </c>
      <c r="CP201" s="4" t="e">
        <f ca="1">IF(SnapshotTable[[#This Row],[SP Is Filled]], btc_max_buyback_amount(SnapshotTable[[#This Row],[SP Fill Date]],SnapshotTable[[#This Row],[SP Exp Date]], SnapshotTable[[#This Row],[SP Book Price]]),"")</f>
        <v>#NAME?</v>
      </c>
      <c r="CQ201" s="78"/>
      <c r="CR201"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1" s="155" t="e">
        <f ca="1">IF(SnapshotTable[[#This Row],[SP Is Filled]], btc_next_cutoff_date(SnapshotTable[[#This Row],[SP Fill Date]],SnapshotTable[[#This Row],[SP Exp Date]]),"")</f>
        <v>#NAME?</v>
      </c>
      <c r="CT201" s="235" t="e" cm="1">
        <f t="array" aca="1" ref="CT201" ca="1">IF(SnapshotTable[[#This Row],[SP Is Filled]], btc_should_buy_back(SnapshotTable[[#This Row],[SP Fill Date]], SnapshotTable[[#This Row],[SP Exp Date]], SnapshotTable[[#This Row],[SP Book Price]], SnapshotTable[[#This Row],[SP Current Ask]], MockToday, SnapshotTable[[#This Row],[SP Buyback Override]]),"")</f>
        <v>#NAME?</v>
      </c>
      <c r="CU201" s="156">
        <v>46218</v>
      </c>
      <c r="CV201" s="235"/>
      <c r="CW201" s="378">
        <f ca="1">IF(ISNUMBER( SnapshotTable[[#This Row],[SP Term]]), SnapshotTable[[#This Row],[SP Exp Date]] - MockToday,"")</f>
        <v>18</v>
      </c>
      <c r="CX201" s="31" t="e">
        <f ca="1">IF(SnapshotTable[[#This Row],[SP Is Filled]],SnapshotTable[[#This Row],[SP Buyback Price to Use]] * 100 * SnapshotTable[[#This Row],[SP Qty]], "")</f>
        <v>#NAME?</v>
      </c>
      <c r="CY201" s="4">
        <f>IF(ISNUMBER(SnapshotTable[[#This Row],[SP Strike Price]]), SnapshotTable[[#This Row],[SP Strike Price]] * (1 - SP_MaxLoss_StrikePct), "")</f>
        <v>203.7</v>
      </c>
      <c r="CZ201" s="31">
        <f>IF(ISNUMBER(SnapshotTable[[#This Row],[SP Strike  Stop Per Share]]),SnapshotTable[[#This Row],[SP Premium]] - ((SnapshotTable[[#This Row],[SP Strike Price]]-SnapshotTable[[#This Row],[SP Strike  Stop Per Share]]) *(SnapshotTable[[#This Row],[SP Qty]] * 100)),"")</f>
        <v>859.99999999999886</v>
      </c>
      <c r="DA201" s="4">
        <f>IF(AND(ISNUMBER(SnapshotTable[[#This Row],[SP Premium]]),SnapshotTable[[#This Row],[SP Premium]]&gt;0), SnapshotTable[[#This Row],[SP Book Price]] * (1 + SP_MaxLoss_OptionPct), "")</f>
        <v>22.35</v>
      </c>
      <c r="DB201" s="31">
        <f>IF(ISNUMBER(SnapshotTable[[#This Row],[SP Option  Stop Contract]]),(SnapshotTable[[#This Row],[SP Option  Stop Contract]] *(SnapshotTable[[#This Row],[SP Qty]] * 100) - SnapshotTable[[#This Row],[SP Premium]]),"")</f>
        <v>745</v>
      </c>
      <c r="DC201" s="4"/>
      <c r="DD201" s="4"/>
      <c r="DE201" s="4" t="str">
        <f>IF(AND(SnapshotTable[[#This Row],[SP Qty]]&gt;0, SnapshotTable[[#This Row],[SP Stop To Use]]&gt;0),SnapshotTable[[#This Row],[SP Premium]] - ( SnapshotTable[[#This Row],[SP Qty]] * SnapshotTable[[#This Row],[SP Stop To Use]] * 100), "")</f>
        <v/>
      </c>
      <c r="DF201" s="31">
        <f>IF(AND(SnapshotTable[[#This Row],[SP Qty]]&gt;0,SnapshotTable[[#This Row],[SP Current Ask]]&gt;0), SnapshotTable[[#This Row],[SP Qty]] * SnapshotTable[[#This Row],[SP Current Ask]] * -100, "")</f>
        <v>-1590</v>
      </c>
      <c r="DG201" s="31">
        <f>IF(ISNUMBER((SnapshotTable[[#This Row],[SP Total Value]])), SnapshotTable[[#This Row],[SP Premium]] + SnapshotTable[[#This Row],[SP Total Value]], "")</f>
        <v>-100</v>
      </c>
      <c r="DH201" s="294">
        <f>IF(ISNUMBER((SnapshotTable[[#This Row],[SP Total Value]])), SnapshotTable[[#This Row],[SP Gain Loss]] / SnapshotTable[[#This Row],[SP Premium]], "")</f>
        <v>-6.7114093959731544E-2</v>
      </c>
      <c r="DI201" s="406"/>
      <c r="DJ201" s="138"/>
      <c r="DK201" s="148"/>
      <c r="DL201" s="147"/>
      <c r="DM201" s="147"/>
      <c r="DO201" s="31">
        <f>IF(SnapshotTable[[#This Row],[LC Symbol Count]]=1, SnapshotTable[[#This Row],[LC Qty]] * SnapshotTable[[#This Row],[LC Book Price]] * 100, 0)</f>
        <v>0</v>
      </c>
      <c r="DP201" s="163" t="str">
        <f>IF(AND(SnapshotTable[[#This Row],[LC Exp Date]]&gt;0, SnapshotTable[[#This Row],[LC Strike Price]]&gt;0,SnapshotTable[[#This Row],[LC Qty]]&gt;0,SnapshotTable[[#This Row],[LC Book Date]]&gt;0,SnapshotTable[[#This Row],[LC Book Price]]&gt;0,SnapshotTable[[#This Row],[LC Fill Date]]=0),"Y","")</f>
        <v/>
      </c>
      <c r="DQ201" s="386" t="str">
        <f>IF(SnapshotTable[[#This Row],[LC Premium]] &gt; 0,SnapshotTable[[#This Row],[LC Exp Date]]-MAX(SnapshotTable[[#This Row],[LC Book Date]], SnapshotTable[[#This Row],[LC Fill Date]]),"")</f>
        <v/>
      </c>
      <c r="DR201" s="386" t="str">
        <f>IF(ISNUMBER(SnapshotTable[[#This Row],[LC Term]]), SnapshotTable[[#This Row],[LC Exp Date]] - MockToday, "")</f>
        <v/>
      </c>
      <c r="DS201" s="23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40" t="str">
        <f>IF(ISNUMBER(SnapshotTable[[#This Row],[LC Actual Gain Loss]]), SnapshotTable[[#This Row],[LC Actual Gain Loss]] / SnapshotTable[[#This Row],[LC Premium]],"")</f>
        <v/>
      </c>
      <c r="DX201" s="284" t="str">
        <f>IF(ISNUMBER(SnapshotTable[[#This Row],[LC Book Price]]),SnapshotTable[[#This Row],[LC Book Price]] * 1.5,"")</f>
        <v/>
      </c>
      <c r="DY201" s="265" t="str">
        <f>IF(SnapshotTable[[#This Row],[LC Premium]]&gt;0, SnapshotTable[[#This Row],[LC Next Target]] * SnapshotTable[[#This Row],[LC Qty]] * 100,"")</f>
        <v/>
      </c>
      <c r="DZ201" s="265" t="str">
        <f>IF(ISNUMBER(SnapshotTable[[#This Row],[LC Target Gross]]), SnapshotTable[[#This Row],[LC Target Gross]] - SnapshotTable[[#This Row],[LC Premium]], "")</f>
        <v/>
      </c>
      <c r="EA201" s="305" t="str">
        <f>IF(ISNUMBER(SnapshotTable[[#This Row],[LC Target Gain Loss]]), SnapshotTable[[#This Row],[LC Target Gain Loss]]/SnapshotTable[[#This Row],[LC Premium]], "")</f>
        <v/>
      </c>
      <c r="EB201" s="262"/>
      <c r="EC201" s="283" t="str">
        <f>IF(SnapshotTable[[#This Row],[LC Premium]]&gt;0, SnapshotTable[[#This Row],[LC Book Price]] * (1 - LC_StopLoss_Pct),"")</f>
        <v/>
      </c>
      <c r="ED201" s="284"/>
      <c r="EE201" s="28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4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7"/>
      <c r="EL201" s="138"/>
      <c r="EM201" s="148"/>
      <c r="EN201" s="147"/>
      <c r="EO201" s="147"/>
      <c r="EP201" s="138"/>
      <c r="EQ201" s="419" t="b">
        <f>AND(ISNUMBER(SnapshotTable[[#This Row],[SC Exp Date]]), ISNUMBER(SnapshotTable[[#This Row],[SC Strike Price]]), ISNUMBER(SnapshotTable[[#This Row],[SC Qty]]), ISNUMBER(SnapshotTable[[#This Row],[SC Book Date]]), ISNUMBER(SnapshotTable[[#This Row],[SC Book Price]]))</f>
        <v>0</v>
      </c>
      <c r="ER201" s="419" t="b">
        <f>AND(SnapshotTable[[#This Row],[SC Is Booked]], NOT(ISBLANK(SnapshotTable[[#This Row],[SC Fill Date]])))</f>
        <v>0</v>
      </c>
      <c r="ES201" s="370"/>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3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283"/>
      <c r="FA201" s="218"/>
      <c r="FB201" s="370"/>
      <c r="FC201" s="4">
        <f>IF(SnapshotTable[[#This Row],[SC Is Filled]], btc_max_buyback_amount(SnapshotTable[[#This Row],[SC Fill Date]],SnapshotTable[[#This Row],[SC Exp Date]], SnapshotTable[[#This Row],[SC Book Price]]),0)</f>
        <v>0</v>
      </c>
      <c r="FD201" s="5"/>
      <c r="FE201" s="144"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382">
        <f>IF(SnapshotTable[[#This Row],[SC Is Filled]], IF(ISNUMBER(SnapshotTable[[#This Row],[SC Current Ask]]), SnapshotTable[[#This Row],[SC Current Ask]], SnapshotTable[[#This Row],[SC Book Price]]) - SnapshotTable[[#This Row],[SC Intrinsic Value]], 0)</f>
        <v>0</v>
      </c>
      <c r="FI201" s="143"/>
      <c r="FJ201" s="32" t="str">
        <f>IF(SnapshotTable[[#This Row],[SC Is Filled]],100 * SnapshotTable[[#This Row],[SC Qty]] * IF(ISNUMBER(SnapshotTable[[#This Row],[SC Buyback Override]]), SnapshotTable[[#This Row],[SC Buyback Override]], SnapshotTable[[#This Row],[SC Current Ask]]), "")</f>
        <v/>
      </c>
      <c r="FK201" s="250" t="str">
        <f>IF(SnapshotTable[[#This Row],[SC Time Val]]&gt;0, SnapshotTable[[#This Row],[SC Time Val]] / SnapshotTable[[#This Row],[Last Price]],"")</f>
        <v/>
      </c>
      <c r="FL201" s="302" t="str">
        <f>IF(SnapshotTable[[#This Row],[SC Is Booked]], ((SnapshotTable[[#This Row],[Last Price]] -SnapshotTable[[#This Row],[SC Strike Price]]) / SnapshotTable[[#This Row],[Last Price]]) * -1, "")</f>
        <v/>
      </c>
      <c r="FM201" s="157" t="str">
        <f>IF(SnapshotTable[[#This Row],[SC Is Booked]],  (SnapshotTable[[#This Row],[SC Qty]] * 100 * SnapshotTable[[#This Row],[SC Strike Price]]) - SnapshotTable[[#This Row],[SC Current Ask]], "")</f>
        <v/>
      </c>
      <c r="FN20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157"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33"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36" t="str">
        <f>IF(AND(ISNUMBER(SnapshotTable[[#This Row],[SC Simple ROO]]),SnapshotTable[[#This Row],[SC Simple ROO]] &gt; 0), SnapshotTable[[#This Row],[SC Premium]] + (SnapshotTable[[#This Row],[SC Qty]] * SnapshotTable[[#This Row],[SC Upside Potential]]), "")</f>
        <v/>
      </c>
      <c r="FX201" s="302" t="str" cm="1">
        <f t="array" ref="FX201">IF(ISNUMBER(SnapshotTable[[#This Row],[SC Max Dollars]]), annualize(SnapshotTable[[#This Row],[SC Term]],(SnapshotTable[[#This Row],[SC Max Dollars]]/SnapshotTable[[#This Row],[SC Basis]])),"")</f>
        <v/>
      </c>
      <c r="FY201" s="23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29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77.206499999999991</v>
      </c>
      <c r="GD201" s="40">
        <f>SnapshotTable[[#This Row],[Last Price]] * (1+ SellingPriceToConsiderBasedOnTargetPercentage)</f>
        <v>418.62599999999998</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158" t="str">
        <f>IF(SnapshotTable[[#This Row],[Sale G/L]]&gt;0, SnapshotTable[[#This Row],[Sale G/L]] / SnapshotTable[[#This Row],[Sale Basis]], IF(ISNUMBER(SnapshotTable[[#This Row],[SC Exercise P&amp;L (TAX)]]), SnapshotTable[[#This Row],[SC Exercise P&amp;L (TAX)]] / SnapshotTable[[#This Row],[SC Basis]], ""))</f>
        <v/>
      </c>
      <c r="GK201" s="158"/>
      <c r="GL201" s="159"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FNV260817P00210000</v>
      </c>
      <c r="GO201" s="30">
        <f>IF(LEN(SnapshotTable[[#This Row],[SP Symbol]])&gt;0, 1, "")</f>
        <v>1</v>
      </c>
      <c r="GP201" s="159" t="str">
        <f>IF(AND(SnapshotTable[[#This Row],[LC Exp Date]]&gt;0,SnapshotTable[[#This Row],[LC Strike Price]]&gt;0), [1]!ToOptionSymbol(SnapshotTable[[#This Row],[Symbol]], SnapshotTable[[#This Row],[LC Strike Price]],SnapshotTable[[#This Row],[LC Exp Date]],0), "")</f>
        <v/>
      </c>
      <c r="GQ201" s="160" t="str">
        <f>IF(LEN(SnapshotTable[[#This Row],[LC Symbol]])&gt;0, 1, "")</f>
        <v/>
      </c>
      <c r="GR201" s="159" t="str">
        <f>IF(AND(SnapshotTable[[#This Row],[SC Exp Date]]&gt;0,SnapshotTable[[#This Row],[SC Strike Price]]&gt;0), [1]!ToOptionSymbol(SnapshotTable[[#This Row],[Symbol]], SnapshotTable[[#This Row],[SC Strike Price]],SnapshotTable[[#This Row],[SC Exp Date]],0), "")</f>
        <v/>
      </c>
      <c r="GS201" s="160" t="str">
        <f>IF(LEN(SnapshotTable[[#This Row],[SC Symbol]])&gt;0, 1, "")</f>
        <v/>
      </c>
      <c r="GT201" s="161" t="str">
        <f>IF(COUNT(SnapshotTable[[#This Row],[LP Symbol Count]],SnapshotTable[[#This Row],[SP Symbol Count]],SnapshotTable[[#This Row],[LC Symbol Count]],SnapshotTable[[#This Row],[SC Symbol Count]])&gt;0, "Y", "")</f>
        <v>Y</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1" s="231">
        <f>MAX(SnapshotTable[[#This Row],[Equity Basis Total]],SnapshotTable[[#This Row],[Equity Value]]) + (SnapshotTable[[#This Row],[SP Potential Spend]]- SnapshotTable[[#This Row],[SP Premium]] + SnapshotTable[[#This Row],[LP Premium]])+ (SnapshotTable[[#This Row],[LC Premium]] - SnapshotTable[[#This Row],[SC Premium]])</f>
        <v>19510</v>
      </c>
      <c r="GW201" s="139">
        <f ca="1">IF(AND(SnapshotTable[[#This Row],[Exposure]] &lt;&gt; 0),SnapshotTable[[#This Row],[Exposure]] / SnapshotTable[[#Totals],[Exposure]], "")</f>
        <v>9.1834513735543716E-2</v>
      </c>
      <c r="HE201" s="268"/>
      <c r="HF201" s="268"/>
      <c r="HK201" s="1"/>
      <c r="HL201" s="1"/>
      <c r="HM201" s="1"/>
      <c r="HN201" s="1"/>
      <c r="HO201" s="1"/>
      <c r="HP201" s="1"/>
    </row>
    <row r="202" spans="2:224" ht="12.75" hidden="1" customHeight="1" x14ac:dyDescent="0.25">
      <c r="B202" s="12" t="s">
        <v>1046</v>
      </c>
      <c r="C202" s="422">
        <v>77.819999999999993</v>
      </c>
      <c r="D202" s="208"/>
      <c r="E202" s="39">
        <f>SnapshotTable[[#This Row],[Last Price]]*(1 -CrashDiscount)</f>
        <v>66.146999999999991</v>
      </c>
      <c r="F202" s="26" t="s">
        <v>223</v>
      </c>
      <c r="G202" s="26" t="s">
        <v>49</v>
      </c>
      <c r="H202" s="149"/>
      <c r="I202" s="194">
        <v>44760.3125</v>
      </c>
      <c r="J202" s="195">
        <v>44760.3125</v>
      </c>
      <c r="K202" s="196" t="s">
        <v>3</v>
      </c>
      <c r="L202" s="326"/>
      <c r="M202" s="140"/>
      <c r="N202" s="140"/>
      <c r="O202" s="140"/>
      <c r="P202" s="22"/>
      <c r="Q202" s="25"/>
      <c r="R202" s="4" t="str">
        <f>IF(SnapshotTable[[#This Row],[Equity Basis Total]] &gt; 0, SnapshotTable[[#This Row],[Equity Basis Total]] / SnapshotTable[[#This Row],[Equity Shares]], "")</f>
        <v/>
      </c>
      <c r="S202" s="269">
        <f>SnapshotTable[[#This Row],[Last Price]] * SnapshotTable[[#This Row],[Equity Shares]]</f>
        <v>0</v>
      </c>
      <c r="T202" s="269">
        <f>SnapshotTable[[#This Row],[Equity Value]] - SnapshotTable[[#This Row],[Equity Basis Total]]</f>
        <v>0</v>
      </c>
      <c r="U202" s="270" t="str">
        <f>IF(SnapshotTable[[#This Row],[Equity Basis Total]] &gt; 0, SnapshotTable[[#This Row],[Equity G/L]] / SnapshotTable[[#This Row],[Equity Basis Total]], "")</f>
        <v/>
      </c>
      <c r="V202" s="268">
        <v>60</v>
      </c>
      <c r="W202" s="268">
        <v>43</v>
      </c>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7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0"/>
      <c r="AD202" s="151"/>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1"/>
      <c r="AI202" s="5"/>
      <c r="AJ202" s="138">
        <v>47.67</v>
      </c>
      <c r="AK202" s="152" t="str">
        <f>IF(ISNUMBER( SnapshotTable[[#This Row],[EBF Target]]),(SnapshotTable[[#This Row],[EBF Target]] - SnapshotTable[[#This Row],[Last Price]]) / SnapshotTable[[#This Row],[Last Price]], "")</f>
        <v/>
      </c>
      <c r="AL202" s="152"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2">
        <f>IF(AND(ISNUMBER( SnapshotTable[[#This Row],[Long Term Target]]), ISNUMBER(SnapshotTable[[#This Row],[Last Price]])),(SnapshotTable[[#This Row],[Long Term Target]] - SnapshotTable[[#This Row],[Last Price]]) / SnapshotTable[[#This Row],[Last Price]], "")</f>
        <v>-0.387432536622976</v>
      </c>
      <c r="AP202" s="5"/>
      <c r="AQ202" s="38"/>
      <c r="AR202" s="5"/>
      <c r="AS202" s="38"/>
      <c r="AT202" s="146"/>
      <c r="AU202" s="187" t="str">
        <f>IF(OR(SnapshotTable[[#This Row],[LP No Fill]]="Y",SnapshotTable[[#This Row],[SP Is Filled]],SnapshotTable[[#This Row],[LC Not Filled]]="Y",SnapshotTable[[#This Row],[SC Is Filled]]),"Y","")</f>
        <v/>
      </c>
      <c r="AV202" s="219"/>
      <c r="AW202" s="225"/>
      <c r="AX202" s="220"/>
      <c r="AY202" s="219" t="str">
        <f>IF(SnapshotTable[[#This Row],[Implied Move]]&gt;0, SnapshotTable[[#This Row],[Last Price]]-SnapshotTable[[#This Row],[Implied Move]],"")</f>
        <v/>
      </c>
      <c r="AZ202" s="219" t="str">
        <f>IF(SnapshotTable[[#This Row],[Implied Move]]&gt;0, SnapshotTable[[#This Row],[Last Price]] + SnapshotTable[[#This Row],[Implied Move]],"")</f>
        <v/>
      </c>
      <c r="BA202" s="331">
        <v>48.42</v>
      </c>
      <c r="BB202" s="347"/>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51"/>
      <c r="BE202" s="138"/>
      <c r="BF202" s="166"/>
      <c r="BG202" s="167"/>
      <c r="BH202" s="167"/>
      <c r="BI202" s="221"/>
      <c r="BJ202" s="153">
        <f>IF(SnapshotTable[[#This Row],[LP Qty]] &gt; 0, SnapshotTable[[#This Row],[LP Qty]] * SnapshotTable[[#This Row],[LP Book Price]] * 100,0)</f>
        <v>0</v>
      </c>
      <c r="BK202" s="136">
        <f>IF(SnapshotTable[[#This Row],[LP Premium]] &gt; 0, SnapshotTable[[#This Row],[LP Qty]] * SnapshotTable[[#This Row],[LP Strike Price]] * 100,0)</f>
        <v>0</v>
      </c>
      <c r="BL202" s="154"/>
      <c r="BM202" s="385" t="str">
        <f>IF(SnapshotTable[[#This Row],[LP Premium]] &gt; 0,SnapshotTable[[#This Row],[LP Exp Date]]-MAX(SnapshotTable[[#This Row],[LP Book Date]], SnapshotTable[[#This Row],[LP Fill Date]]),"")</f>
        <v/>
      </c>
      <c r="BN202" s="385" t="str">
        <f>IF(ISNUMBER( SnapshotTable[[#This Row],[LP Term]]), SnapshotTable[[#This Row],[LP Exp Date]] - MockToday,"")</f>
        <v/>
      </c>
      <c r="BO202" s="163"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7"/>
      <c r="BU202" s="13"/>
      <c r="BV202" s="5"/>
      <c r="BW202" s="419" t="b">
        <f>AND(ISNUMBER(SnapshotTable[[#This Row],[SP Exp Date]]), ISNUMBER(SnapshotTable[[#This Row],[SP Strike Price]]), ISNUMBER(SnapshotTable[[#This Row],[SP Qty]]), ISNUMBER(SnapshotTable[[#This Row],[SP Book Date]]), ISNUMBER(SnapshotTable[[#This Row],[SP Book Price]]))</f>
        <v>0</v>
      </c>
      <c r="BX202" s="419" t="b">
        <f>AND(SnapshotTable[[#This Row],[SP Is Booked]], NOT(ISBLANK(SnapshotTable[[#This Row],[SP Fill Date]])))</f>
        <v>0</v>
      </c>
      <c r="BY202" s="33">
        <f>IF(SnapshotTable[[#This Row],[SP Is Booked]], SnapshotTable[[#This Row],[SP Qty]] * SnapshotTable[[#This Row],[SP Book Price]] * 100, 0)</f>
        <v>0</v>
      </c>
      <c r="BZ202" s="369"/>
      <c r="CA202" s="368">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3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44"/>
      <c r="CK202" s="31">
        <f>IF(ISNUMBER(SnapshotTable[[#This Row],[SP Potential Spend]]),IF(ISNUMBER(SnapshotTable[[#This Row],[SP POW]]), SnapshotTable[[#This Row],[SP POW]] * SnapshotTable[[#This Row],[SP Potential Spend]], SnapshotTable[[#This Row],[SP Potential Spend]]), "")</f>
        <v>0</v>
      </c>
      <c r="CL202" s="164">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4"/>
      <c r="CO202" s="369"/>
      <c r="CP202" s="4" t="str">
        <f>IF(SnapshotTable[[#This Row],[SP Is Filled]], btc_max_buyback_amount(SnapshotTable[[#This Row],[SP Fill Date]],SnapshotTable[[#This Row],[SP Exp Date]], SnapshotTable[[#This Row],[SP Book Price]]),"")</f>
        <v/>
      </c>
      <c r="CQ202" s="78"/>
      <c r="CR2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5" t="str">
        <f>IF(SnapshotTable[[#This Row],[SP Is Filled]], btc_next_cutoff_date(SnapshotTable[[#This Row],[SP Fill Date]],SnapshotTable[[#This Row],[SP Exp Date]]),"")</f>
        <v/>
      </c>
      <c r="CT202" s="23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56"/>
      <c r="CV202" s="235"/>
      <c r="CW202" s="378"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294" t="str">
        <f>IF(ISNUMBER((SnapshotTable[[#This Row],[SP Total Value]])), SnapshotTable[[#This Row],[SP Gain Loss]] / SnapshotTable[[#This Row],[SP Premium]], "")</f>
        <v/>
      </c>
      <c r="DI202" s="406"/>
      <c r="DJ202" s="138"/>
      <c r="DK202" s="148"/>
      <c r="DL202" s="147"/>
      <c r="DM202" s="147"/>
      <c r="DO202" s="31">
        <f>IF(SnapshotTable[[#This Row],[LC Symbol Count]]=1, SnapshotTable[[#This Row],[LC Qty]] * SnapshotTable[[#This Row],[LC Book Price]] * 100, 0)</f>
        <v>0</v>
      </c>
      <c r="DP202" s="289" t="str">
        <f>IF(AND(SnapshotTable[[#This Row],[LC Exp Date]]&gt;0, SnapshotTable[[#This Row],[LC Strike Price]]&gt;0,SnapshotTable[[#This Row],[LC Qty]]&gt;0,SnapshotTable[[#This Row],[LC Book Date]]&gt;0,SnapshotTable[[#This Row],[LC Book Price]]&gt;0,SnapshotTable[[#This Row],[LC Fill Date]]=0),"Y","")</f>
        <v/>
      </c>
      <c r="DQ202" s="386" t="str">
        <f>IF(SnapshotTable[[#This Row],[LC Premium]] &gt; 0,SnapshotTable[[#This Row],[LC Exp Date]]-MAX(SnapshotTable[[#This Row],[LC Book Date]], SnapshotTable[[#This Row],[LC Fill Date]]),"")</f>
        <v/>
      </c>
      <c r="DR202" s="386" t="str">
        <f>IF(ISNUMBER(SnapshotTable[[#This Row],[LC Term]]), SnapshotTable[[#This Row],[LC Exp Date]] - MockToday, "")</f>
        <v/>
      </c>
      <c r="DS202" s="23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40" t="str">
        <f>IF(ISNUMBER(SnapshotTable[[#This Row],[LC Actual Gain Loss]]), SnapshotTable[[#This Row],[LC Actual Gain Loss]] / SnapshotTable[[#This Row],[LC Premium]],"")</f>
        <v/>
      </c>
      <c r="DX202" s="284" t="str">
        <f>IF(ISNUMBER(SnapshotTable[[#This Row],[LC Book Price]]),SnapshotTable[[#This Row],[LC Book Price]] * 1.5,"")</f>
        <v/>
      </c>
      <c r="DY202" s="265" t="str">
        <f>IF(SnapshotTable[[#This Row],[LC Premium]]&gt;0, SnapshotTable[[#This Row],[LC Next Target]] * SnapshotTable[[#This Row],[LC Qty]] * 100,"")</f>
        <v/>
      </c>
      <c r="DZ202" s="265" t="str">
        <f>IF(ISNUMBER(SnapshotTable[[#This Row],[LC Target Gross]]), SnapshotTable[[#This Row],[LC Target Gross]] - SnapshotTable[[#This Row],[LC Premium]], "")</f>
        <v/>
      </c>
      <c r="EA202" s="305" t="str">
        <f>IF(ISNUMBER(SnapshotTable[[#This Row],[LC Target Gain Loss]]), SnapshotTable[[#This Row],[LC Target Gain Loss]]/SnapshotTable[[#This Row],[LC Premium]], "")</f>
        <v/>
      </c>
      <c r="EB202" s="262"/>
      <c r="EC202" s="283" t="str">
        <f>IF(SnapshotTable[[#This Row],[LC Premium]]&gt;0, SnapshotTable[[#This Row],[LC Book Price]] * (1 - LC_StopLoss_Pct),"")</f>
        <v/>
      </c>
      <c r="ED202" s="284"/>
      <c r="EE202" s="283" t="str">
        <f>IF(ISNUMBER(SnapshotTable[[#This Row],[LC Contract Value]]),IF(ISNUMBER(SnapshotTable[[#This Row],[LC Stop Loss Override]]), SnapshotTable[[#This Row],[LC Stop Loss Override]],SnapshotTable[[#This Row],[LC Stop Loss Calc Target]]),"")</f>
        <v/>
      </c>
      <c r="EF202" s="31"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4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7"/>
      <c r="EL202" s="138"/>
      <c r="EM202" s="148"/>
      <c r="EN202" s="147"/>
      <c r="EO202" s="147"/>
      <c r="EP202" s="138"/>
      <c r="EQ202" s="419" t="b">
        <f>AND(ISNUMBER(SnapshotTable[[#This Row],[SC Exp Date]]), ISNUMBER(SnapshotTable[[#This Row],[SC Strike Price]]), ISNUMBER(SnapshotTable[[#This Row],[SC Qty]]), ISNUMBER(SnapshotTable[[#This Row],[SC Book Date]]), ISNUMBER(SnapshotTable[[#This Row],[SC Book Price]]))</f>
        <v>0</v>
      </c>
      <c r="ER202" s="419" t="b">
        <f>AND(SnapshotTable[[#This Row],[SC Is Booked]], NOT(ISBLANK(SnapshotTable[[#This Row],[SC Fill Date]])))</f>
        <v>0</v>
      </c>
      <c r="ES202" s="370"/>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3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283"/>
      <c r="FA202" s="218"/>
      <c r="FB202" s="370"/>
      <c r="FC202" s="4">
        <f>IF(SnapshotTable[[#This Row],[SC Is Filled]], btc_max_buyback_amount(SnapshotTable[[#This Row],[SC Fill Date]],SnapshotTable[[#This Row],[SC Exp Date]], SnapshotTable[[#This Row],[SC Book Price]]),0)</f>
        <v>0</v>
      </c>
      <c r="FD202" s="5"/>
      <c r="FE202" s="144"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382">
        <f>IF(SnapshotTable[[#This Row],[SC Is Filled]], IF(ISNUMBER(SnapshotTable[[#This Row],[SC Current Ask]]), SnapshotTable[[#This Row],[SC Current Ask]], SnapshotTable[[#This Row],[SC Book Price]]) - SnapshotTable[[#This Row],[SC Intrinsic Value]], 0)</f>
        <v>0</v>
      </c>
      <c r="FI202" s="143"/>
      <c r="FJ202" s="32" t="str">
        <f>IF(SnapshotTable[[#This Row],[SC Is Filled]],100 * SnapshotTable[[#This Row],[SC Qty]] * IF(ISNUMBER(SnapshotTable[[#This Row],[SC Buyback Override]]), SnapshotTable[[#This Row],[SC Buyback Override]], SnapshotTable[[#This Row],[SC Current Ask]]), "")</f>
        <v/>
      </c>
      <c r="FK202" s="250" t="str">
        <f>IF(SnapshotTable[[#This Row],[SC Time Val]]&gt;0, SnapshotTable[[#This Row],[SC Time Val]] / SnapshotTable[[#This Row],[Last Price]],"")</f>
        <v/>
      </c>
      <c r="FL202" s="302" t="str">
        <f>IF(SnapshotTable[[#This Row],[SC Is Booked]], ((SnapshotTable[[#This Row],[Last Price]] -SnapshotTable[[#This Row],[SC Strike Price]]) / SnapshotTable[[#This Row],[Last Price]]) * -1, "")</f>
        <v/>
      </c>
      <c r="FM202" s="157" t="str">
        <f>IF(SnapshotTable[[#This Row],[SC Is Booked]],  (SnapshotTable[[#This Row],[SC Qty]] * 100 * SnapshotTable[[#This Row],[SC Strike Price]]) - SnapshotTable[[#This Row],[SC Current Ask]], "")</f>
        <v/>
      </c>
      <c r="FN20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7"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33"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36" t="str">
        <f>IF(AND(ISNUMBER(SnapshotTable[[#This Row],[SC Simple ROO]]),SnapshotTable[[#This Row],[SC Simple ROO]] &gt; 0), SnapshotTable[[#This Row],[SC Premium]] + (SnapshotTable[[#This Row],[SC Qty]] * SnapshotTable[[#This Row],[SC Upside Potential]]), "")</f>
        <v/>
      </c>
      <c r="FX202" s="302" t="str" cm="1">
        <f t="array" ref="FX202">IF(ISNUMBER(SnapshotTable[[#This Row],[SC Max Dollars]]), annualize(SnapshotTable[[#This Row],[SC Term]],(SnapshotTable[[#This Row],[SC Max Dollars]]/SnapshotTable[[#This Row],[SC Basis]])),"")</f>
        <v/>
      </c>
      <c r="FY202" s="236" t="str">
        <f>IF(AND(SnapshotTable[[#This Row],[SC Qty]]&gt;0,SnapshotTable[[#This Row],[SC Current Ask]]&gt;0), SnapshotTable[[#This Row],[SC Qty]] * SnapshotTable[[#This Row],[SC Current Ask]] * -100, "")</f>
        <v/>
      </c>
      <c r="FZ202" s="235" t="str">
        <f>IF(ISNUMBER((SnapshotTable[[#This Row],[SC Current Value]])), SnapshotTable[[#This Row],[SC Premium]] + SnapshotTable[[#This Row],[SC Current Value]], "")</f>
        <v/>
      </c>
      <c r="GA202" s="29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45.286499999999997</v>
      </c>
      <c r="GD202" s="40">
        <f>SnapshotTable[[#This Row],[Last Price]] * (1+ SellingPriceToConsiderBasedOnTargetPercentage)</f>
        <v>151.749</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8" t="str">
        <f>IF(SnapshotTable[[#This Row],[Sale G/L]]&gt;0, SnapshotTable[[#This Row],[Sale G/L]] / SnapshotTable[[#This Row],[Sale Basis]], IF(ISNUMBER(SnapshotTable[[#This Row],[SC Exercise P&amp;L (TAX)]]), SnapshotTable[[#This Row],[SC Exercise P&amp;L (TAX)]] / SnapshotTable[[#This Row],[SC Basis]], ""))</f>
        <v/>
      </c>
      <c r="GK202" s="158"/>
      <c r="GL202" s="159"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59" t="str">
        <f>IF(AND(SnapshotTable[[#This Row],[LC Exp Date]]&gt;0,SnapshotTable[[#This Row],[LC Strike Price]]&gt;0), [1]!ToOptionSymbol(SnapshotTable[[#This Row],[Symbol]], SnapshotTable[[#This Row],[LC Strike Price]],SnapshotTable[[#This Row],[LC Exp Date]],0), "")</f>
        <v/>
      </c>
      <c r="GQ202" s="160" t="str">
        <f>IF(LEN(SnapshotTable[[#This Row],[LC Symbol]])&gt;0, 1, "")</f>
        <v/>
      </c>
      <c r="GR202" s="159" t="str">
        <f>IF(AND(SnapshotTable[[#This Row],[SC Exp Date]]&gt;0,SnapshotTable[[#This Row],[SC Strike Price]]&gt;0), [1]!ToOptionSymbol(SnapshotTable[[#This Row],[Symbol]], SnapshotTable[[#This Row],[SC Strike Price]],SnapshotTable[[#This Row],[SC Exp Date]],0), "")</f>
        <v/>
      </c>
      <c r="GS202" s="160" t="str">
        <f>IF(LEN(SnapshotTable[[#This Row],[SC Symbol]])&gt;0, 1, "")</f>
        <v/>
      </c>
      <c r="GT202" s="161"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31">
        <f>MAX(SnapshotTable[[#This Row],[Equity Basis Total]],SnapshotTable[[#This Row],[Equity Value]]) + (SnapshotTable[[#This Row],[SP Potential Spend]]- SnapshotTable[[#This Row],[SP Premium]] + SnapshotTable[[#This Row],[LP Premium]])+ (SnapshotTable[[#This Row],[LC Premium]] - SnapshotTable[[#This Row],[SC Premium]])</f>
        <v>0</v>
      </c>
      <c r="GW202" s="139" t="str">
        <f>IF(AND(SnapshotTable[[#This Row],[Exposure]] &lt;&gt; 0),SnapshotTable[[#This Row],[Exposure]] / SnapshotTable[[#Totals],[Exposure]], "")</f>
        <v/>
      </c>
      <c r="HE202" s="268"/>
      <c r="HF202" s="268"/>
      <c r="HK202" s="1"/>
      <c r="HL202" s="1"/>
      <c r="HM202" s="1"/>
      <c r="HN202" s="1"/>
      <c r="HO202" s="1"/>
      <c r="HP202" s="1"/>
    </row>
    <row r="203" spans="2:224" s="47" customFormat="1" ht="12.75" hidden="1" customHeight="1" x14ac:dyDescent="0.25">
      <c r="B203" s="12" t="s">
        <v>530</v>
      </c>
      <c r="C203" s="422">
        <v>89.04</v>
      </c>
      <c r="D203" s="208"/>
      <c r="E203" s="39">
        <f>SnapshotTable[[#This Row],[Last Price]]*(1 -CrashDiscount)</f>
        <v>75.683999999999997</v>
      </c>
      <c r="F203" s="26" t="s">
        <v>531</v>
      </c>
      <c r="G203" s="26" t="s">
        <v>17</v>
      </c>
      <c r="H203" s="149"/>
      <c r="I203" s="194">
        <v>44761.270833333336</v>
      </c>
      <c r="J203" s="195">
        <v>44761.270833333336</v>
      </c>
      <c r="K203" s="196"/>
      <c r="L203" s="326"/>
      <c r="M203" s="140"/>
      <c r="N203" s="140"/>
      <c r="O203" s="140"/>
      <c r="P203" s="22"/>
      <c r="Q203" s="25"/>
      <c r="R203" s="4" t="str">
        <f>IF(SnapshotTable[[#This Row],[Equity Basis Total]] &gt; 0, SnapshotTable[[#This Row],[Equity Basis Total]] / SnapshotTable[[#This Row],[Equity Shares]], "")</f>
        <v/>
      </c>
      <c r="S203" s="269">
        <f>SnapshotTable[[#This Row],[Last Price]] * SnapshotTable[[#This Row],[Equity Shares]]</f>
        <v>0</v>
      </c>
      <c r="T203" s="269">
        <f>SnapshotTable[[#This Row],[Equity Value]] - SnapshotTable[[#This Row],[Equity Basis Total]]</f>
        <v>0</v>
      </c>
      <c r="U203" s="270" t="str">
        <f>IF(SnapshotTable[[#This Row],[Equity Basis Total]] &gt; 0, SnapshotTable[[#This Row],[Equity G/L]] / SnapshotTable[[#This Row],[Equity Basis Total]], "")</f>
        <v/>
      </c>
      <c r="V203" s="268"/>
      <c r="W203" s="268"/>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7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0"/>
      <c r="AD203" s="151"/>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1"/>
      <c r="AI203" s="5"/>
      <c r="AJ203" s="138">
        <v>91.67</v>
      </c>
      <c r="AK203" s="152" t="str">
        <f>IF(ISNUMBER( SnapshotTable[[#This Row],[EBF Target]]),(SnapshotTable[[#This Row],[EBF Target]] - SnapshotTable[[#This Row],[Last Price]]) / SnapshotTable[[#This Row],[Last Price]], "")</f>
        <v/>
      </c>
      <c r="AL203" s="152"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2">
        <f>IF(AND(ISNUMBER( SnapshotTable[[#This Row],[Long Term Target]]), ISNUMBER(SnapshotTable[[#This Row],[Last Price]])),(SnapshotTable[[#This Row],[Long Term Target]] - SnapshotTable[[#This Row],[Last Price]]) / SnapshotTable[[#This Row],[Last Price]], "")</f>
        <v>2.9537286612758257E-2</v>
      </c>
      <c r="AP203" s="5">
        <v>115</v>
      </c>
      <c r="AQ203" s="38" t="s">
        <v>110</v>
      </c>
      <c r="AR203" s="5">
        <v>105</v>
      </c>
      <c r="AS203" s="38" t="s">
        <v>109</v>
      </c>
      <c r="AT203" s="146" t="s">
        <v>533</v>
      </c>
      <c r="AU203" s="187" t="str">
        <f>IF(OR(SnapshotTable[[#This Row],[LP No Fill]]="Y",SnapshotTable[[#This Row],[SP Is Filled]],SnapshotTable[[#This Row],[LC Not Filled]]="Y",SnapshotTable[[#This Row],[SC Is Filled]]),"Y","")</f>
        <v/>
      </c>
      <c r="AV203" s="219"/>
      <c r="AW203" s="225"/>
      <c r="AX203" s="220"/>
      <c r="AY203" s="219" t="str">
        <f>IF(SnapshotTable[[#This Row],[Implied Move]]&gt;0, SnapshotTable[[#This Row],[Last Price]]-SnapshotTable[[#This Row],[Implied Move]],"")</f>
        <v/>
      </c>
      <c r="AZ203" s="219" t="str">
        <f>IF(SnapshotTable[[#This Row],[Implied Move]]&gt;0, SnapshotTable[[#This Row],[Last Price]] + SnapshotTable[[#This Row],[Implied Move]],"")</f>
        <v/>
      </c>
      <c r="BA203" s="331"/>
      <c r="BB203" s="347"/>
      <c r="BC2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3" s="351"/>
      <c r="BE203" s="5"/>
      <c r="BF203" s="14"/>
      <c r="BG203" s="13"/>
      <c r="BH203" s="13"/>
      <c r="BI203" s="5"/>
      <c r="BJ203" s="136">
        <f>IF(SnapshotTable[[#This Row],[LP Qty]] &gt; 0, SnapshotTable[[#This Row],[LP Qty]] * SnapshotTable[[#This Row],[LP Book Price]] * 100,0)</f>
        <v>0</v>
      </c>
      <c r="BK203" s="136">
        <f>IF(SnapshotTable[[#This Row],[LP Premium]] &gt; 0, SnapshotTable[[#This Row],[LP Qty]] * SnapshotTable[[#This Row],[LP Strike Price]] * 100,0)</f>
        <v>0</v>
      </c>
      <c r="BL203" s="154"/>
      <c r="BM203" s="385" t="str">
        <f>IF(SnapshotTable[[#This Row],[LP Premium]] &gt; 0,SnapshotTable[[#This Row],[LP Exp Date]]-MAX(SnapshotTable[[#This Row],[LP Book Date]], SnapshotTable[[#This Row],[LP Fill Date]]),"")</f>
        <v/>
      </c>
      <c r="BN203" s="385" t="str">
        <f>IF(ISNUMBER( SnapshotTable[[#This Row],[LP Term]]), SnapshotTable[[#This Row],[LP Exp Date]] - MockToday,"")</f>
        <v/>
      </c>
      <c r="BO203" s="163"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c r="BR203" s="5"/>
      <c r="BS203" s="36"/>
      <c r="BT203" s="147"/>
      <c r="BU203" s="13"/>
      <c r="BV203" s="5"/>
      <c r="BW203" s="419" t="b">
        <f>AND(ISNUMBER(SnapshotTable[[#This Row],[SP Exp Date]]), ISNUMBER(SnapshotTable[[#This Row],[SP Strike Price]]), ISNUMBER(SnapshotTable[[#This Row],[SP Qty]]), ISNUMBER(SnapshotTable[[#This Row],[SP Book Date]]), ISNUMBER(SnapshotTable[[#This Row],[SP Book Price]]))</f>
        <v>0</v>
      </c>
      <c r="BX203" s="419" t="b">
        <f>AND(SnapshotTable[[#This Row],[SP Is Booked]], NOT(ISBLANK(SnapshotTable[[#This Row],[SP Fill Date]])))</f>
        <v>0</v>
      </c>
      <c r="BY203" s="33">
        <f>IF(SnapshotTable[[#This Row],[SP Is Booked]], SnapshotTable[[#This Row],[SP Qty]] * SnapshotTable[[#This Row],[SP Book Price]] * 100, 0)</f>
        <v>0</v>
      </c>
      <c r="BZ203" s="369"/>
      <c r="CA203" s="368">
        <f>SnapshotTable[[#This Row],[LP Qty]]</f>
        <v>0</v>
      </c>
      <c r="CB203" s="4" t="str">
        <f>IF(SnapshotTable[[#This Row],[SP Is Booked]], SnapshotTable[[#This Row],[SP Strike Price]] - SnapshotTable[[#This Row],[SP Book Price]], "")</f>
        <v/>
      </c>
      <c r="CC203" s="19" t="str">
        <f>IF(SnapshotTable[[#This Row],[SP Is Booked]],SnapshotTable[[#This Row],[SP Exp Date]]-MAX(SnapshotTable[[#This Row],[SP Book Date]], SnapshotTable[[#This Row],[SP Fill Date]]),"")</f>
        <v/>
      </c>
      <c r="CD203" s="7" t="str">
        <f>IF(SnapshotTable[[#This Row],[SP Is Booked]], SnapshotTable[[#This Row],[SP Book Price]]/SnapshotTable[[#This Row],[SP Strike Price]], "")</f>
        <v/>
      </c>
      <c r="CE203" s="7" t="str">
        <f>IF(ISNUMBER(SnapshotTable[[#This Row],[SP ROO Term]]),SnapshotTable[[#This Row],[SP ROO Term]]*(365/SnapshotTable[[#This Row],[SP Term]]),"")</f>
        <v/>
      </c>
      <c r="CF203" s="236">
        <f>SnapshotTable[[#This Row],[LP Strike Price]] * SnapshotTable[[#This Row],[LP Qty]] * 100</f>
        <v>0</v>
      </c>
      <c r="CG203" s="31">
        <f>IF(ISNUMBER(SnapshotTable[[#This Row],[SP Premium]]), (SnapshotTable[[#This Row],[SP Qty]] * SnapshotTable[[#This Row],[SP Strike Price]]* 100) - SnapshotTable[[#This Row],[LP Protection]], 0)</f>
        <v>0</v>
      </c>
      <c r="CH203" s="7" t="str">
        <f>IF(ISNUMBER(SnapshotTable[[#This Row],[SP Break Even]]),-1 * (SnapshotTable[[#This Row],[SP Break Even]] - SnapshotTable[[#This Row],[Last Price]]) / SnapshotTable[[#This Row],[Last Price]], "")</f>
        <v/>
      </c>
      <c r="CI203" s="31">
        <f>IF(AND(ISNUMBER((SnapshotTable[[#This Row],[SP Potential Spend]])), SnapshotTable[[#This Row],[SP Strike Price]] &gt; SnapshotTable[[#This Row],[Last Price]], SnapshotTable[[#This Row],[SP Is Filled]]), SnapshotTable[[#This Row],[SP Potential Spend]] -  SnapshotTable[[#This Row],[LP Max Value]], 0)</f>
        <v>0</v>
      </c>
      <c r="CJ203" s="244"/>
      <c r="CK203" s="31">
        <f>IF(ISNUMBER(SnapshotTable[[#This Row],[SP Potential Spend]]),IF(ISNUMBER(SnapshotTable[[#This Row],[SP POW]]), SnapshotTable[[#This Row],[SP POW]] * SnapshotTable[[#This Row],[SP Potential Spend]], SnapshotTable[[#This Row],[SP Potential Spend]]), "")</f>
        <v>0</v>
      </c>
      <c r="CL203" s="164">
        <f>IF(NOT(SnapshotTable[[#This Row],[SP Is Filled]]),(SnapshotTable[[#This Row],[SP Qty]] * SnapshotTable[[#This Row],[SP Strike Price]] * 100) - SnapshotTable[[#This Row],[LP Max Value]],"")</f>
        <v>0</v>
      </c>
      <c r="CM203" s="31" t="str">
        <f>IF(SnapshotTable[[#This Row],[SP Actual Spend]]&lt;&gt;0, ((SnapshotTable[[#This Row],[SP Strike Price]]-SnapshotTable[[#This Row],[Last Price]]) *(SnapshotTable[[#This Row],[SP Qty]]*100) - SnapshotTable[[#This Row],[SP Premium]]) * - 1, "")</f>
        <v/>
      </c>
      <c r="CN203" s="78"/>
      <c r="CO203" s="369"/>
      <c r="CP203" s="4" t="str">
        <f>IF(SnapshotTable[[#This Row],[SP Is Filled]], btc_max_buyback_amount(SnapshotTable[[#This Row],[SP Fill Date]],SnapshotTable[[#This Row],[SP Exp Date]], SnapshotTable[[#This Row],[SP Book Price]]),"")</f>
        <v/>
      </c>
      <c r="CQ203" s="78"/>
      <c r="CR2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3" s="155" t="str">
        <f>IF(SnapshotTable[[#This Row],[SP Is Filled]], btc_next_cutoff_date(SnapshotTable[[#This Row],[SP Fill Date]],SnapshotTable[[#This Row],[SP Exp Date]]),"")</f>
        <v/>
      </c>
      <c r="CT203" s="235" t="str" cm="1">
        <f t="array" ref="CT203">IF(SnapshotTable[[#This Row],[SP Is Filled]], btc_should_buy_back(SnapshotTable[[#This Row],[SP Fill Date]], SnapshotTable[[#This Row],[SP Exp Date]], SnapshotTable[[#This Row],[SP Book Price]], SnapshotTable[[#This Row],[SP Current Ask]], MockToday, SnapshotTable[[#This Row],[SP Buyback Override]]),"")</f>
        <v/>
      </c>
      <c r="CU203" s="143"/>
      <c r="CV203" s="235"/>
      <c r="CW203" s="378" t="str">
        <f>IF(ISNUMBER( SnapshotTable[[#This Row],[SP Term]]), SnapshotTable[[#This Row],[SP Exp Date]] - MockToday,"")</f>
        <v/>
      </c>
      <c r="CX203" s="31" t="str">
        <f>IF(SnapshotTable[[#This Row],[SP Is Filled]],SnapshotTable[[#This Row],[SP Buyback Price to Use]] * 100 * SnapshotTable[[#This Row],[SP Qty]], "")</f>
        <v/>
      </c>
      <c r="CY203" s="4" t="str">
        <f>IF(ISNUMBER(SnapshotTable[[#This Row],[SP Strike Price]]), SnapshotTable[[#This Row],[SP Strike Price]] * (1 - SP_MaxLoss_StrikePct), "")</f>
        <v/>
      </c>
      <c r="CZ203" s="31" t="str">
        <f>IF(ISNUMBER(SnapshotTable[[#This Row],[SP Strike  Stop Per Share]]),SnapshotTable[[#This Row],[SP Premium]] - ((SnapshotTable[[#This Row],[SP Strike Price]]-SnapshotTable[[#This Row],[SP Strike  Stop Per Share]]) *(SnapshotTable[[#This Row],[SP Qty]] * 100)),"")</f>
        <v/>
      </c>
      <c r="DA203" s="4" t="str">
        <f>IF(AND(ISNUMBER(SnapshotTable[[#This Row],[SP Premium]]),SnapshotTable[[#This Row],[SP Premium]]&gt;0), SnapshotTable[[#This Row],[SP Book Price]] * (1 + SP_MaxLoss_OptionPct), "")</f>
        <v/>
      </c>
      <c r="DB203" s="31" t="str">
        <f>IF(ISNUMBER(SnapshotTable[[#This Row],[SP Option  Stop Contract]]),(SnapshotTable[[#This Row],[SP Option  Stop Contract]] *(SnapshotTable[[#This Row],[SP Qty]] * 100) - SnapshotTable[[#This Row],[SP Premium]]),"")</f>
        <v/>
      </c>
      <c r="DC203" s="4"/>
      <c r="DD203" s="4"/>
      <c r="DE203" s="4" t="str">
        <f>IF(AND(SnapshotTable[[#This Row],[SP Qty]]&gt;0, SnapshotTable[[#This Row],[SP Stop To Use]]&gt;0),SnapshotTable[[#This Row],[SP Premium]] - ( SnapshotTable[[#This Row],[SP Qty]] * SnapshotTable[[#This Row],[SP Stop To Use]] * 100), "")</f>
        <v/>
      </c>
      <c r="DF203" s="31" t="str">
        <f>IF(AND(SnapshotTable[[#This Row],[SP Qty]]&gt;0,SnapshotTable[[#This Row],[SP Current Ask]]&gt;0), SnapshotTable[[#This Row],[SP Qty]] * SnapshotTable[[#This Row],[SP Current Ask]] * -100, "")</f>
        <v/>
      </c>
      <c r="DG203" s="31" t="str">
        <f>IF(ISNUMBER((SnapshotTable[[#This Row],[SP Total Value]])), SnapshotTable[[#This Row],[SP Premium]] + SnapshotTable[[#This Row],[SP Total Value]], "")</f>
        <v/>
      </c>
      <c r="DH203" s="294" t="str">
        <f>IF(ISNUMBER((SnapshotTable[[#This Row],[SP Total Value]])), SnapshotTable[[#This Row],[SP Gain Loss]] / SnapshotTable[[#This Row],[SP Premium]], "")</f>
        <v/>
      </c>
      <c r="DI203" s="406"/>
      <c r="DJ203" s="138"/>
      <c r="DK203" s="148"/>
      <c r="DL203" s="13"/>
      <c r="DM203" s="13"/>
      <c r="DN203" s="5"/>
      <c r="DO203" s="31">
        <f>IF(SnapshotTable[[#This Row],[LC Symbol Count]]=1, SnapshotTable[[#This Row],[LC Qty]] * SnapshotTable[[#This Row],[LC Book Price]] * 100, 0)</f>
        <v>0</v>
      </c>
      <c r="DP203" s="163" t="str">
        <f>IF(AND(SnapshotTable[[#This Row],[LC Exp Date]]&gt;0, SnapshotTable[[#This Row],[LC Strike Price]]&gt;0,SnapshotTable[[#This Row],[LC Qty]]&gt;0,SnapshotTable[[#This Row],[LC Book Date]]&gt;0,SnapshotTable[[#This Row],[LC Book Price]]&gt;0,SnapshotTable[[#This Row],[LC Fill Date]]=0),"Y","")</f>
        <v/>
      </c>
      <c r="DQ203" s="386" t="str">
        <f>IF(SnapshotTable[[#This Row],[LC Premium]] &gt; 0,SnapshotTable[[#This Row],[LC Exp Date]]-MAX(SnapshotTable[[#This Row],[LC Book Date]], SnapshotTable[[#This Row],[LC Fill Date]]),"")</f>
        <v/>
      </c>
      <c r="DR203" s="386" t="str">
        <f>IF(ISNUMBER(SnapshotTable[[#This Row],[LC Term]]), SnapshotTable[[#This Row],[LC Exp Date]] - MockToday, "")</f>
        <v/>
      </c>
      <c r="DS203" s="234" t="str">
        <f>IF(SnapshotTable[[#This Row],[LC Premium]]&gt;0,SnapshotTable[[#This Row],[LC Strike Price]] + SnapshotTable[[#This Row],[LC Book Price]],"")</f>
        <v/>
      </c>
      <c r="DT203" s="5"/>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40" t="str">
        <f>IF(ISNUMBER(SnapshotTable[[#This Row],[LC Actual Gain Loss]]), SnapshotTable[[#This Row],[LC Actual Gain Loss]] / SnapshotTable[[#This Row],[LC Premium]],"")</f>
        <v/>
      </c>
      <c r="DX203" s="284" t="str">
        <f>IF(ISNUMBER(SnapshotTable[[#This Row],[LC Book Price]]),SnapshotTable[[#This Row],[LC Book Price]] * 1.5,"")</f>
        <v/>
      </c>
      <c r="DY203" s="265" t="str">
        <f>IF(SnapshotTable[[#This Row],[LC Premium]]&gt;0, SnapshotTable[[#This Row],[LC Next Target]] * SnapshotTable[[#This Row],[LC Qty]] * 100,"")</f>
        <v/>
      </c>
      <c r="DZ203" s="265" t="str">
        <f>IF(ISNUMBER(SnapshotTable[[#This Row],[LC Target Gross]]), SnapshotTable[[#This Row],[LC Target Gross]] - SnapshotTable[[#This Row],[LC Premium]], "")</f>
        <v/>
      </c>
      <c r="EA203" s="305" t="str">
        <f>IF(ISNUMBER(SnapshotTable[[#This Row],[LC Target Gain Loss]]), SnapshotTable[[#This Row],[LC Target Gain Loss]]/SnapshotTable[[#This Row],[LC Premium]], "")</f>
        <v/>
      </c>
      <c r="EB203" s="262"/>
      <c r="EC203" s="283" t="str">
        <f>IF(SnapshotTable[[#This Row],[LC Premium]]&gt;0, SnapshotTable[[#This Row],[LC Book Price]] * (1 - LC_StopLoss_Pct),"")</f>
        <v/>
      </c>
      <c r="ED203" s="284"/>
      <c r="EE203" s="28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4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7"/>
      <c r="EL203" s="138"/>
      <c r="EM203" s="148"/>
      <c r="EN203" s="147"/>
      <c r="EO203" s="147"/>
      <c r="EP203" s="138"/>
      <c r="EQ203" s="419" t="b">
        <f>AND(ISNUMBER(SnapshotTable[[#This Row],[SC Exp Date]]), ISNUMBER(SnapshotTable[[#This Row],[SC Strike Price]]), ISNUMBER(SnapshotTable[[#This Row],[SC Qty]]), ISNUMBER(SnapshotTable[[#This Row],[SC Book Date]]), ISNUMBER(SnapshotTable[[#This Row],[SC Book Price]]))</f>
        <v>0</v>
      </c>
      <c r="ER203" s="419" t="b">
        <f>AND(SnapshotTable[[#This Row],[SC Is Booked]], NOT(ISBLANK(SnapshotTable[[#This Row],[SC Fill Date]])))</f>
        <v>0</v>
      </c>
      <c r="ES203" s="370"/>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3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283"/>
      <c r="FA203" s="218"/>
      <c r="FB203" s="370"/>
      <c r="FC203" s="4">
        <f>IF(SnapshotTable[[#This Row],[SC Is Filled]], btc_max_buyback_amount(SnapshotTable[[#This Row],[SC Fill Date]],SnapshotTable[[#This Row],[SC Exp Date]], SnapshotTable[[#This Row],[SC Book Price]]),0)</f>
        <v>0</v>
      </c>
      <c r="FD203" s="5"/>
      <c r="FE203" s="144"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382">
        <f>IF(SnapshotTable[[#This Row],[SC Is Filled]], IF(ISNUMBER(SnapshotTable[[#This Row],[SC Current Ask]]), SnapshotTable[[#This Row],[SC Current Ask]], SnapshotTable[[#This Row],[SC Book Price]]) - SnapshotTable[[#This Row],[SC Intrinsic Value]], 0)</f>
        <v>0</v>
      </c>
      <c r="FI203" s="143"/>
      <c r="FJ203" s="32" t="str">
        <f>IF(SnapshotTable[[#This Row],[SC Is Filled]],100 * SnapshotTable[[#This Row],[SC Qty]] * IF(ISNUMBER(SnapshotTable[[#This Row],[SC Buyback Override]]), SnapshotTable[[#This Row],[SC Buyback Override]], SnapshotTable[[#This Row],[SC Current Ask]]), "")</f>
        <v/>
      </c>
      <c r="FK203" s="250" t="str">
        <f>IF(SnapshotTable[[#This Row],[SC Time Val]]&gt;0, SnapshotTable[[#This Row],[SC Time Val]] / SnapshotTable[[#This Row],[Last Price]],"")</f>
        <v/>
      </c>
      <c r="FL203" s="302" t="str">
        <f>IF(SnapshotTable[[#This Row],[SC Is Booked]], ((SnapshotTable[[#This Row],[Last Price]] -SnapshotTable[[#This Row],[SC Strike Price]]) / SnapshotTable[[#This Row],[Last Price]]) * -1, "")</f>
        <v/>
      </c>
      <c r="FM203" s="157" t="str">
        <f>IF(SnapshotTable[[#This Row],[SC Is Booked]],  (SnapshotTable[[#This Row],[SC Qty]] * 100 * SnapshotTable[[#This Row],[SC Strike Price]]) - SnapshotTable[[#This Row],[SC Current Ask]], "")</f>
        <v/>
      </c>
      <c r="FN2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31"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33"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36" t="str">
        <f>IF(AND(ISNUMBER(SnapshotTable[[#This Row],[SC Simple ROO]]),SnapshotTable[[#This Row],[SC Simple ROO]] &gt; 0), SnapshotTable[[#This Row],[SC Premium]] + (SnapshotTable[[#This Row],[SC Qty]] * SnapshotTable[[#This Row],[SC Upside Potential]]), "")</f>
        <v/>
      </c>
      <c r="FX203" s="302" t="str" cm="1">
        <f t="array" ref="FX203">IF(ISNUMBER(SnapshotTable[[#This Row],[SC Max Dollars]]), annualize(SnapshotTable[[#This Row],[SC Term]],(SnapshotTable[[#This Row],[SC Max Dollars]]/SnapshotTable[[#This Row],[SC Basis]])),"")</f>
        <v/>
      </c>
      <c r="FY203" s="23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29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87.086500000000001</v>
      </c>
      <c r="GD203" s="40">
        <f>SnapshotTable[[#This Row],[Last Price]] * (1+ SellingPriceToConsiderBasedOnTargetPercentage)</f>
        <v>173.62800000000001</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27" t="str">
        <f>IF(SnapshotTable[[#This Row],[Sale G/L]]&gt;0, SnapshotTable[[#This Row],[Sale G/L]] / SnapshotTable[[#This Row],[Sale Basis]], IF(ISNUMBER(SnapshotTable[[#This Row],[SC Exercise P&amp;L (TAX)]]), SnapshotTable[[#This Row],[SC Exercise P&amp;L (TAX)]] / SnapshotTable[[#This Row],[SC Basis]], ""))</f>
        <v/>
      </c>
      <c r="GK203" s="27" t="s">
        <v>720</v>
      </c>
      <c r="GL203" s="43"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
      </c>
      <c r="GO203" s="30" t="str">
        <f>IF(LEN(SnapshotTable[[#This Row],[SP Symbol]])&gt;0, 1, "")</f>
        <v/>
      </c>
      <c r="GP203" s="43" t="str">
        <f>IF(AND(SnapshotTable[[#This Row],[LC Exp Date]]&gt;0,SnapshotTable[[#This Row],[LC Strike Price]]&gt;0), [1]!ToOptionSymbol(SnapshotTable[[#This Row],[Symbol]], SnapshotTable[[#This Row],[LC Strike Price]],SnapshotTable[[#This Row],[LC Exp Date]],0), "")</f>
        <v/>
      </c>
      <c r="GQ203" s="30" t="str">
        <f>IF(LEN(SnapshotTable[[#This Row],[LC Symbol]])&gt;0, 1, "")</f>
        <v/>
      </c>
      <c r="GR203" s="43" t="str">
        <f>IF(AND(SnapshotTable[[#This Row],[SC Exp Date]]&gt;0,SnapshotTable[[#This Row],[SC Strike Price]]&gt;0), [1]!ToOptionSymbol(SnapshotTable[[#This Row],[Symbol]], SnapshotTable[[#This Row],[SC Strike Price]],SnapshotTable[[#This Row],[SC Exp Date]],0), "")</f>
        <v/>
      </c>
      <c r="GS203" s="30" t="str">
        <f>IF(LEN(SnapshotTable[[#This Row],[SC Symbol]])&gt;0, 1, "")</f>
        <v/>
      </c>
      <c r="GT203" s="29" t="str">
        <f>IF(COUNT(SnapshotTable[[#This Row],[LP Symbol Count]],SnapshotTable[[#This Row],[SP Symbol Count]],SnapshotTable[[#This Row],[LC Symbol Count]],SnapshotTable[[#This Row],[SC Symbol Count]])&gt;0, "Y", "")</f>
        <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3" s="231">
        <f>MAX(SnapshotTable[[#This Row],[Equity Basis Total]],SnapshotTable[[#This Row],[Equity Value]]) + (SnapshotTable[[#This Row],[SP Potential Spend]]- SnapshotTable[[#This Row],[SP Premium]] + SnapshotTable[[#This Row],[LP Premium]])+ (SnapshotTable[[#This Row],[LC Premium]] - SnapshotTable[[#This Row],[SC Premium]])</f>
        <v>0</v>
      </c>
      <c r="GW203" s="139" t="str">
        <f>IF(AND(SnapshotTable[[#This Row],[Exposure]] &lt;&gt; 0),SnapshotTable[[#This Row],[Exposure]] / SnapshotTable[[#Totals],[Exposure]], "")</f>
        <v/>
      </c>
      <c r="GY203" s="381"/>
      <c r="HE203" s="268"/>
      <c r="HF203" s="268"/>
      <c r="HG203" s="381"/>
      <c r="HH203" s="381"/>
      <c r="HI203" s="381"/>
      <c r="HJ203" s="381"/>
    </row>
    <row r="204" spans="2:224" ht="12.75" hidden="1" customHeight="1" x14ac:dyDescent="0.25">
      <c r="B204" s="12" t="s">
        <v>143</v>
      </c>
      <c r="C204" s="422">
        <v>331.45</v>
      </c>
      <c r="D204" s="208"/>
      <c r="E204" s="39">
        <f>SnapshotTable[[#This Row],[Last Price]]*(1 -CrashDiscount)</f>
        <v>281.73249999999996</v>
      </c>
      <c r="F204" s="26" t="s">
        <v>141</v>
      </c>
      <c r="G204" s="26" t="s">
        <v>14</v>
      </c>
      <c r="H204" s="149"/>
      <c r="I204" s="194">
        <v>44789.25</v>
      </c>
      <c r="J204" s="195">
        <v>44789.25</v>
      </c>
      <c r="K204" s="196"/>
      <c r="L204" s="326"/>
      <c r="M204" s="140"/>
      <c r="N204" s="140" t="b">
        <v>1</v>
      </c>
      <c r="O204" s="140"/>
      <c r="P204" s="22"/>
      <c r="Q204" s="25"/>
      <c r="R204" s="4" t="str">
        <f>IF(SnapshotTable[[#This Row],[Equity Basis Total]] &gt; 0, SnapshotTable[[#This Row],[Equity Basis Total]] / SnapshotTable[[#This Row],[Equity Shares]], "")</f>
        <v/>
      </c>
      <c r="S204" s="269">
        <f>SnapshotTable[[#This Row],[Last Price]] * SnapshotTable[[#This Row],[Equity Shares]]</f>
        <v>0</v>
      </c>
      <c r="T204" s="269">
        <f>SnapshotTable[[#This Row],[Equity Value]] - SnapshotTable[[#This Row],[Equity Basis Total]]</f>
        <v>0</v>
      </c>
      <c r="U204" s="270" t="str">
        <f>IF(SnapshotTable[[#This Row],[Equity Basis Total]] &gt; 0, SnapshotTable[[#This Row],[Equity G/L]] / SnapshotTable[[#This Row],[Equity Basis Total]], "")</f>
        <v/>
      </c>
      <c r="V204" s="268"/>
      <c r="W204" s="268"/>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7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0">
        <v>2.76</v>
      </c>
      <c r="AD204" s="151">
        <v>42809</v>
      </c>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8.3270478201840394E-3</v>
      </c>
      <c r="AH204" s="151">
        <v>43612</v>
      </c>
      <c r="AI204" s="5">
        <v>230</v>
      </c>
      <c r="AJ204" s="138">
        <v>255.74</v>
      </c>
      <c r="AK204" s="152">
        <f>IF(ISNUMBER( SnapshotTable[[#This Row],[EBF Target]]),(SnapshotTable[[#This Row],[EBF Target]] - SnapshotTable[[#This Row],[Last Price]]) / SnapshotTable[[#This Row],[Last Price]], "")</f>
        <v>-0.30607934831799666</v>
      </c>
      <c r="AL204" s="152"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2">
        <f>IF(AND(ISNUMBER( SnapshotTable[[#This Row],[Long Term Target]]), ISNUMBER(SnapshotTable[[#This Row],[Last Price]])),(SnapshotTable[[#This Row],[Long Term Target]] - SnapshotTable[[#This Row],[Last Price]]) / SnapshotTable[[#This Row],[Last Price]], "")</f>
        <v>-0.22842057625584547</v>
      </c>
      <c r="AP204" s="5"/>
      <c r="AQ204" s="38"/>
      <c r="AR204" s="5"/>
      <c r="AS204" s="38"/>
      <c r="AT204" s="146"/>
      <c r="AU204" s="187" t="str">
        <f>IF(OR(SnapshotTable[[#This Row],[LP No Fill]]="Y",SnapshotTable[[#This Row],[SP Is Filled]],SnapshotTable[[#This Row],[LC Not Filled]]="Y",SnapshotTable[[#This Row],[SC Is Filled]]),"Y","")</f>
        <v/>
      </c>
      <c r="AV204" s="219"/>
      <c r="AW204" s="225"/>
      <c r="AX204" s="220"/>
      <c r="AY204" s="219" t="str">
        <f>IF(SnapshotTable[[#This Row],[Implied Move]]&gt;0, SnapshotTable[[#This Row],[Last Price]]-SnapshotTable[[#This Row],[Implied Move]],"")</f>
        <v/>
      </c>
      <c r="AZ204" s="219" t="str">
        <f>IF(SnapshotTable[[#This Row],[Implied Move]]&gt;0, SnapshotTable[[#This Row],[Last Price]] + SnapshotTable[[#This Row],[Implied Move]],"")</f>
        <v/>
      </c>
      <c r="BA204" s="331"/>
      <c r="BB204" s="347"/>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51"/>
      <c r="BE204" s="5"/>
      <c r="BF204" s="14"/>
      <c r="BG204" s="13"/>
      <c r="BH204" s="13"/>
      <c r="BI204" s="5"/>
      <c r="BJ204" s="136">
        <f>IF(SnapshotTable[[#This Row],[LP Qty]] &gt; 0, SnapshotTable[[#This Row],[LP Qty]] * SnapshotTable[[#This Row],[LP Book Price]] * 100,0)</f>
        <v>0</v>
      </c>
      <c r="BK204" s="136">
        <f>IF(SnapshotTable[[#This Row],[LP Premium]] &gt; 0, SnapshotTable[[#This Row],[LP Qty]] * SnapshotTable[[#This Row],[LP Strike Price]] * 100,0)</f>
        <v>0</v>
      </c>
      <c r="BL204" s="154"/>
      <c r="BM204" s="385" t="str">
        <f>IF(SnapshotTable[[#This Row],[LP Premium]] &gt; 0,SnapshotTable[[#This Row],[LP Exp Date]]-MAX(SnapshotTable[[#This Row],[LP Book Date]], SnapshotTable[[#This Row],[LP Fill Date]]),"")</f>
        <v/>
      </c>
      <c r="BN204" s="385" t="str">
        <f>IF(ISNUMBER( SnapshotTable[[#This Row],[LP Term]]), SnapshotTable[[#This Row],[LP Exp Date]] - MockToday,"")</f>
        <v/>
      </c>
      <c r="BO204" s="163"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7"/>
      <c r="BU204" s="13"/>
      <c r="BV204" s="5"/>
      <c r="BW204" s="419" t="b">
        <f>AND(ISNUMBER(SnapshotTable[[#This Row],[SP Exp Date]]), ISNUMBER(SnapshotTable[[#This Row],[SP Strike Price]]), ISNUMBER(SnapshotTable[[#This Row],[SP Qty]]), ISNUMBER(SnapshotTable[[#This Row],[SP Book Date]]), ISNUMBER(SnapshotTable[[#This Row],[SP Book Price]]))</f>
        <v>0</v>
      </c>
      <c r="BX204" s="419" t="b">
        <f>AND(SnapshotTable[[#This Row],[SP Is Booked]], NOT(ISBLANK(SnapshotTable[[#This Row],[SP Fill Date]])))</f>
        <v>0</v>
      </c>
      <c r="BY204" s="33">
        <f>IF(SnapshotTable[[#This Row],[SP Is Booked]], SnapshotTable[[#This Row],[SP Qty]] * SnapshotTable[[#This Row],[SP Book Price]] * 100, 0)</f>
        <v>0</v>
      </c>
      <c r="BZ204" s="369"/>
      <c r="CA204" s="368">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3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44"/>
      <c r="CK204" s="31">
        <f>IF(ISNUMBER(SnapshotTable[[#This Row],[SP Potential Spend]]),IF(ISNUMBER(SnapshotTable[[#This Row],[SP POW]]), SnapshotTable[[#This Row],[SP POW]] * SnapshotTable[[#This Row],[SP Potential Spend]], SnapshotTable[[#This Row],[SP Potential Spend]]), "")</f>
        <v>0</v>
      </c>
      <c r="CL204" s="164">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78"/>
      <c r="CO204" s="369"/>
      <c r="CP204" s="4" t="str">
        <f>IF(SnapshotTable[[#This Row],[SP Is Filled]], btc_max_buyback_amount(SnapshotTable[[#This Row],[SP Fill Date]],SnapshotTable[[#This Row],[SP Exp Date]], SnapshotTable[[#This Row],[SP Book Price]]),"")</f>
        <v/>
      </c>
      <c r="CQ204" s="78"/>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5" t="str">
        <f>IF(SnapshotTable[[#This Row],[SP Is Filled]], btc_next_cutoff_date(SnapshotTable[[#This Row],[SP Fill Date]],SnapshotTable[[#This Row],[SP Exp Date]]),"")</f>
        <v/>
      </c>
      <c r="CT204" s="23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43"/>
      <c r="CV204" s="235"/>
      <c r="CW204" s="378"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294" t="str">
        <f>IF(ISNUMBER((SnapshotTable[[#This Row],[SP Total Value]])), SnapshotTable[[#This Row],[SP Gain Loss]] / SnapshotTable[[#This Row],[SP Premium]], "")</f>
        <v/>
      </c>
      <c r="DI204" s="406"/>
      <c r="DJ204" s="138"/>
      <c r="DK204" s="148"/>
      <c r="DL204" s="13"/>
      <c r="DM204" s="13"/>
      <c r="DO204" s="31">
        <f>IF(SnapshotTable[[#This Row],[LC Symbol Count]]=1, SnapshotTable[[#This Row],[LC Qty]] * SnapshotTable[[#This Row],[LC Book Price]] * 100, 0)</f>
        <v>0</v>
      </c>
      <c r="DP204" s="163" t="str">
        <f>IF(AND(SnapshotTable[[#This Row],[LC Exp Date]]&gt;0, SnapshotTable[[#This Row],[LC Strike Price]]&gt;0,SnapshotTable[[#This Row],[LC Qty]]&gt;0,SnapshotTable[[#This Row],[LC Book Date]]&gt;0,SnapshotTable[[#This Row],[LC Book Price]]&gt;0,SnapshotTable[[#This Row],[LC Fill Date]]=0),"Y","")</f>
        <v/>
      </c>
      <c r="DQ204" s="386" t="str">
        <f>IF(SnapshotTable[[#This Row],[LC Premium]] &gt; 0,SnapshotTable[[#This Row],[LC Exp Date]]-MAX(SnapshotTable[[#This Row],[LC Book Date]], SnapshotTable[[#This Row],[LC Fill Date]]),"")</f>
        <v/>
      </c>
      <c r="DR204" s="386" t="str">
        <f>IF(ISNUMBER(SnapshotTable[[#This Row],[LC Term]]), SnapshotTable[[#This Row],[LC Exp Date]] - MockToday, "")</f>
        <v/>
      </c>
      <c r="DS204" s="23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40" t="str">
        <f>IF(ISNUMBER(SnapshotTable[[#This Row],[LC Actual Gain Loss]]), SnapshotTable[[#This Row],[LC Actual Gain Loss]] / SnapshotTable[[#This Row],[LC Premium]],"")</f>
        <v/>
      </c>
      <c r="DX204" s="284" t="str">
        <f>IF(ISNUMBER(SnapshotTable[[#This Row],[LC Book Price]]),SnapshotTable[[#This Row],[LC Book Price]] * 1.5,"")</f>
        <v/>
      </c>
      <c r="DY204" s="265" t="str">
        <f>IF(SnapshotTable[[#This Row],[LC Premium]]&gt;0, SnapshotTable[[#This Row],[LC Next Target]] * SnapshotTable[[#This Row],[LC Qty]] * 100,"")</f>
        <v/>
      </c>
      <c r="DZ204" s="265" t="str">
        <f>IF(ISNUMBER(SnapshotTable[[#This Row],[LC Target Gross]]), SnapshotTable[[#This Row],[LC Target Gross]] - SnapshotTable[[#This Row],[LC Premium]], "")</f>
        <v/>
      </c>
      <c r="EA204" s="305" t="str">
        <f>IF(ISNUMBER(SnapshotTable[[#This Row],[LC Target Gain Loss]]), SnapshotTable[[#This Row],[LC Target Gain Loss]]/SnapshotTable[[#This Row],[LC Premium]], "")</f>
        <v/>
      </c>
      <c r="EB204" s="262"/>
      <c r="EC204" s="283" t="str">
        <f>IF(SnapshotTable[[#This Row],[LC Premium]]&gt;0, SnapshotTable[[#This Row],[LC Book Price]] * (1 - LC_StopLoss_Pct),"")</f>
        <v/>
      </c>
      <c r="ED204" s="284"/>
      <c r="EE204" s="28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4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7"/>
      <c r="EL204" s="138"/>
      <c r="EM204" s="148"/>
      <c r="EN204" s="147"/>
      <c r="EO204" s="147"/>
      <c r="EP204" s="138"/>
      <c r="EQ204" s="419" t="b">
        <f>AND(ISNUMBER(SnapshotTable[[#This Row],[SC Exp Date]]), ISNUMBER(SnapshotTable[[#This Row],[SC Strike Price]]), ISNUMBER(SnapshotTable[[#This Row],[SC Qty]]), ISNUMBER(SnapshotTable[[#This Row],[SC Book Date]]), ISNUMBER(SnapshotTable[[#This Row],[SC Book Price]]))</f>
        <v>0</v>
      </c>
      <c r="ER204" s="419" t="b">
        <f>AND(SnapshotTable[[#This Row],[SC Is Booked]], NOT(ISBLANK(SnapshotTable[[#This Row],[SC Fill Date]])))</f>
        <v>0</v>
      </c>
      <c r="ES204" s="370"/>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3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283"/>
      <c r="FA204" s="218"/>
      <c r="FB204" s="370"/>
      <c r="FC204" s="4">
        <f>IF(SnapshotTable[[#This Row],[SC Is Filled]], btc_max_buyback_amount(SnapshotTable[[#This Row],[SC Fill Date]],SnapshotTable[[#This Row],[SC Exp Date]], SnapshotTable[[#This Row],[SC Book Price]]),0)</f>
        <v>0</v>
      </c>
      <c r="FD204" s="5"/>
      <c r="FE204" s="144"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382">
        <f>IF(SnapshotTable[[#This Row],[SC Is Filled]], IF(ISNUMBER(SnapshotTable[[#This Row],[SC Current Ask]]), SnapshotTable[[#This Row],[SC Current Ask]], SnapshotTable[[#This Row],[SC Book Price]]) - SnapshotTable[[#This Row],[SC Intrinsic Value]], 0)</f>
        <v>0</v>
      </c>
      <c r="FI204" s="143"/>
      <c r="FJ204" s="32" t="str">
        <f>IF(SnapshotTable[[#This Row],[SC Is Filled]],100 * SnapshotTable[[#This Row],[SC Qty]] * IF(ISNUMBER(SnapshotTable[[#This Row],[SC Buyback Override]]), SnapshotTable[[#This Row],[SC Buyback Override]], SnapshotTable[[#This Row],[SC Current Ask]]), "")</f>
        <v/>
      </c>
      <c r="FK204" s="250" t="str">
        <f>IF(SnapshotTable[[#This Row],[SC Time Val]]&gt;0, SnapshotTable[[#This Row],[SC Time Val]] / SnapshotTable[[#This Row],[Last Price]],"")</f>
        <v/>
      </c>
      <c r="FL204" s="302" t="str">
        <f>IF(SnapshotTable[[#This Row],[SC Is Booked]], ((SnapshotTable[[#This Row],[Last Price]] -SnapshotTable[[#This Row],[SC Strike Price]]) / SnapshotTable[[#This Row],[Last Price]]) * -1, "")</f>
        <v/>
      </c>
      <c r="FM204" s="157" t="str">
        <f>IF(SnapshotTable[[#This Row],[SC Is Booked]],  (SnapshotTable[[#This Row],[SC Qty]] * 100 * SnapshotTable[[#This Row],[SC Strike Price]]) - SnapshotTable[[#This Row],[SC Current Ask]], "")</f>
        <v/>
      </c>
      <c r="FN2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31"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33"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36" t="str">
        <f>IF(AND(ISNUMBER(SnapshotTable[[#This Row],[SC Simple ROO]]),SnapshotTable[[#This Row],[SC Simple ROO]] &gt; 0), SnapshotTable[[#This Row],[SC Premium]] + (SnapshotTable[[#This Row],[SC Qty]] * SnapshotTable[[#This Row],[SC Upside Potential]]), "")</f>
        <v/>
      </c>
      <c r="FX204" s="302" t="str" cm="1">
        <f t="array" ref="FX204">IF(ISNUMBER(SnapshotTable[[#This Row],[SC Max Dollars]]), annualize(SnapshotTable[[#This Row],[SC Term]],(SnapshotTable[[#This Row],[SC Max Dollars]]/SnapshotTable[[#This Row],[SC Basis]])),"")</f>
        <v/>
      </c>
      <c r="FY204" s="236" t="str">
        <f>IF(AND(SnapshotTable[[#This Row],[SC Qty]]&gt;0,SnapshotTable[[#This Row],[SC Current Ask]]&gt;0), SnapshotTable[[#This Row],[SC Qty]] * SnapshotTable[[#This Row],[SC Current Ask]] * -100, "")</f>
        <v/>
      </c>
      <c r="FZ204" s="31" t="str">
        <f>IF(ISNUMBER((SnapshotTable[[#This Row],[SC Current Value]])), SnapshotTable[[#This Row],[SC Premium]] + SnapshotTable[[#This Row],[SC Current Value]], "")</f>
        <v/>
      </c>
      <c r="GA204" s="29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242.953</v>
      </c>
      <c r="GD204" s="40">
        <f>SnapshotTable[[#This Row],[Last Price]] * (1+ SellingPriceToConsiderBasedOnTargetPercentage)</f>
        <v>646.32749999999999</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27" t="str">
        <f>IF(SnapshotTable[[#This Row],[Sale G/L]]&gt;0, SnapshotTable[[#This Row],[Sale G/L]] / SnapshotTable[[#This Row],[Sale Basis]], IF(ISNUMBER(SnapshotTable[[#This Row],[SC Exercise P&amp;L (TAX)]]), SnapshotTable[[#This Row],[SC Exercise P&amp;L (TAX)]] / SnapshotTable[[#This Row],[SC Basis]], ""))</f>
        <v/>
      </c>
      <c r="GK204" s="27" t="s">
        <v>721</v>
      </c>
      <c r="GL204" s="43"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43" t="str">
        <f>IF(AND(SnapshotTable[[#This Row],[LC Exp Date]]&gt;0,SnapshotTable[[#This Row],[LC Strike Price]]&gt;0), [1]!ToOptionSymbol(SnapshotTable[[#This Row],[Symbol]], SnapshotTable[[#This Row],[LC Strike Price]],SnapshotTable[[#This Row],[LC Exp Date]],0), "")</f>
        <v/>
      </c>
      <c r="GQ204" s="30" t="str">
        <f>IF(LEN(SnapshotTable[[#This Row],[LC Symbol]])&gt;0, 1, "")</f>
        <v/>
      </c>
      <c r="GR204" s="43" t="str">
        <f>IF(AND(SnapshotTable[[#This Row],[SC Exp Date]]&gt;0,SnapshotTable[[#This Row],[SC Strike Price]]&gt;0), [1]!ToOptionSymbol(SnapshotTable[[#This Row],[Symbol]], SnapshotTable[[#This Row],[SC Strike Price]],SnapshotTable[[#This Row],[SC Exp Date]],0), "")</f>
        <v/>
      </c>
      <c r="GS204" s="30" t="str">
        <f>IF(LEN(SnapshotTable[[#This Row],[SC Symbol]])&gt;0, 1, "")</f>
        <v/>
      </c>
      <c r="GT204" s="29"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31">
        <f>MAX(SnapshotTable[[#This Row],[Equity Basis Total]],SnapshotTable[[#This Row],[Equity Value]]) + (SnapshotTable[[#This Row],[SP Potential Spend]]- SnapshotTable[[#This Row],[SP Premium]] + SnapshotTable[[#This Row],[LP Premium]])+ (SnapshotTable[[#This Row],[LC Premium]] - SnapshotTable[[#This Row],[SC Premium]])</f>
        <v>0</v>
      </c>
      <c r="GW204" s="139" t="str">
        <f>IF(AND(SnapshotTable[[#This Row],[Exposure]] &lt;&gt; 0),SnapshotTable[[#This Row],[Exposure]] / SnapshotTable[[#Totals],[Exposure]], "")</f>
        <v/>
      </c>
      <c r="HE204" s="268"/>
      <c r="HF204" s="268"/>
      <c r="HK204" s="1"/>
      <c r="HL204" s="1"/>
      <c r="HM204" s="1"/>
      <c r="HN204" s="1"/>
      <c r="HO204" s="1"/>
      <c r="HP204" s="1"/>
    </row>
    <row r="205" spans="2:224" ht="12.75" hidden="1" customHeight="1" x14ac:dyDescent="0.25">
      <c r="B205" s="12" t="s">
        <v>901</v>
      </c>
      <c r="C205" s="422">
        <v>33.07</v>
      </c>
      <c r="D205" s="208"/>
      <c r="E205" s="39">
        <f>SnapshotTable[[#This Row],[Last Price]]*(1 -CrashDiscount)</f>
        <v>28.109500000000001</v>
      </c>
      <c r="F205" s="26" t="s">
        <v>907</v>
      </c>
      <c r="G205" s="26" t="s">
        <v>610</v>
      </c>
      <c r="H205" s="149"/>
      <c r="I205" s="194">
        <v>44799.270833333336</v>
      </c>
      <c r="J205" s="195">
        <v>44799.270833333336</v>
      </c>
      <c r="K205" s="196"/>
      <c r="L205" s="326"/>
      <c r="M205" s="140"/>
      <c r="N205" s="140"/>
      <c r="O205" s="140"/>
      <c r="P205" s="22"/>
      <c r="Q205" s="25"/>
      <c r="R205" s="4" t="str">
        <f>IF(SnapshotTable[[#This Row],[Equity Basis Total]] &gt; 0, SnapshotTable[[#This Row],[Equity Basis Total]] / SnapshotTable[[#This Row],[Equity Shares]], "")</f>
        <v/>
      </c>
      <c r="S205" s="269">
        <f>SnapshotTable[[#This Row],[Last Price]] * SnapshotTable[[#This Row],[Equity Shares]]</f>
        <v>0</v>
      </c>
      <c r="T205" s="269">
        <f>SnapshotTable[[#This Row],[Equity Value]] - SnapshotTable[[#This Row],[Equity Basis Total]]</f>
        <v>0</v>
      </c>
      <c r="U205" s="270" t="str">
        <f>IF(SnapshotTable[[#This Row],[Equity Basis Total]] &gt; 0, SnapshotTable[[#This Row],[Equity G/L]] / SnapshotTable[[#This Row],[Equity Basis Total]], "")</f>
        <v/>
      </c>
      <c r="V205" s="268"/>
      <c r="W205" s="26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7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0"/>
      <c r="AD205" s="151"/>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1"/>
      <c r="AI205" s="5"/>
      <c r="AJ205" s="138">
        <v>29.5</v>
      </c>
      <c r="AK205" s="152" t="str">
        <f>IF(ISNUMBER( SnapshotTable[[#This Row],[EBF Target]]),(SnapshotTable[[#This Row],[EBF Target]] - SnapshotTable[[#This Row],[Last Price]]) / SnapshotTable[[#This Row],[Last Price]], "")</f>
        <v/>
      </c>
      <c r="AL205" s="152"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2">
        <f>IF(AND(ISNUMBER( SnapshotTable[[#This Row],[Long Term Target]]), ISNUMBER(SnapshotTable[[#This Row],[Last Price]])),(SnapshotTable[[#This Row],[Long Term Target]] - SnapshotTable[[#This Row],[Last Price]]) / SnapshotTable[[#This Row],[Last Price]], "")</f>
        <v>-0.10795282733595404</v>
      </c>
      <c r="AP205" s="5"/>
      <c r="AQ205" s="38"/>
      <c r="AR205" s="5"/>
      <c r="AS205" s="38"/>
      <c r="AT205" s="146"/>
      <c r="AU205" s="187" t="str">
        <f>IF(OR(SnapshotTable[[#This Row],[LP No Fill]]="Y",SnapshotTable[[#This Row],[SP Is Filled]],SnapshotTable[[#This Row],[LC Not Filled]]="Y",SnapshotTable[[#This Row],[SC Is Filled]]),"Y","")</f>
        <v/>
      </c>
      <c r="AV205" s="219"/>
      <c r="AW205" s="225"/>
      <c r="AX205" s="220"/>
      <c r="AY205" s="219" t="str">
        <f>IF(SnapshotTable[[#This Row],[Implied Move]]&gt;0, SnapshotTable[[#This Row],[Last Price]]-SnapshotTable[[#This Row],[Implied Move]],"")</f>
        <v/>
      </c>
      <c r="AZ205" s="219" t="str">
        <f>IF(SnapshotTable[[#This Row],[Implied Move]]&gt;0, SnapshotTable[[#This Row],[Last Price]] + SnapshotTable[[#This Row],[Implied Move]],"")</f>
        <v/>
      </c>
      <c r="BA205" s="331"/>
      <c r="BB205" s="347"/>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51"/>
      <c r="BE205" s="138"/>
      <c r="BF205" s="166"/>
      <c r="BG205" s="167"/>
      <c r="BH205" s="167"/>
      <c r="BI205" s="221"/>
      <c r="BJ205" s="153">
        <f>IF(SnapshotTable[[#This Row],[LP Qty]] &gt; 0, SnapshotTable[[#This Row],[LP Qty]] * SnapshotTable[[#This Row],[LP Book Price]] * 100,0)</f>
        <v>0</v>
      </c>
      <c r="BK205" s="136">
        <f>IF(SnapshotTable[[#This Row],[LP Premium]] &gt; 0, SnapshotTable[[#This Row],[LP Qty]] * SnapshotTable[[#This Row],[LP Strike Price]] * 100,0)</f>
        <v>0</v>
      </c>
      <c r="BL205" s="154"/>
      <c r="BM205" s="385" t="str">
        <f>IF(SnapshotTable[[#This Row],[LP Premium]] &gt; 0,SnapshotTable[[#This Row],[LP Exp Date]]-MAX(SnapshotTable[[#This Row],[LP Book Date]], SnapshotTable[[#This Row],[LP Fill Date]]),"")</f>
        <v/>
      </c>
      <c r="BN205" s="385" t="str">
        <f>IF(ISNUMBER( SnapshotTable[[#This Row],[LP Term]]), SnapshotTable[[#This Row],[LP Exp Date]] - MockToday,"")</f>
        <v/>
      </c>
      <c r="BO205" s="163"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7"/>
      <c r="BU205" s="13"/>
      <c r="BV205" s="5"/>
      <c r="BW205" s="419" t="b">
        <f>AND(ISNUMBER(SnapshotTable[[#This Row],[SP Exp Date]]), ISNUMBER(SnapshotTable[[#This Row],[SP Strike Price]]), ISNUMBER(SnapshotTable[[#This Row],[SP Qty]]), ISNUMBER(SnapshotTable[[#This Row],[SP Book Date]]), ISNUMBER(SnapshotTable[[#This Row],[SP Book Price]]))</f>
        <v>0</v>
      </c>
      <c r="BX205" s="419" t="b">
        <f>AND(SnapshotTable[[#This Row],[SP Is Booked]], NOT(ISBLANK(SnapshotTable[[#This Row],[SP Fill Date]])))</f>
        <v>0</v>
      </c>
      <c r="BY205" s="33">
        <f>IF(SnapshotTable[[#This Row],[SP Is Booked]], SnapshotTable[[#This Row],[SP Qty]] * SnapshotTable[[#This Row],[SP Book Price]] * 100, 0)</f>
        <v>0</v>
      </c>
      <c r="BZ205" s="369"/>
      <c r="CA205" s="368">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3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44"/>
      <c r="CK205" s="31">
        <f>IF(ISNUMBER(SnapshotTable[[#This Row],[SP Potential Spend]]),IF(ISNUMBER(SnapshotTable[[#This Row],[SP POW]]), SnapshotTable[[#This Row],[SP POW]] * SnapshotTable[[#This Row],[SP Potential Spend]], SnapshotTable[[#This Row],[SP Potential Spend]]), "")</f>
        <v>0</v>
      </c>
      <c r="CL205" s="164">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154"/>
      <c r="CO205" s="369"/>
      <c r="CP205" s="4" t="str">
        <f>IF(SnapshotTable[[#This Row],[SP Is Filled]], btc_max_buyback_amount(SnapshotTable[[#This Row],[SP Fill Date]],SnapshotTable[[#This Row],[SP Exp Date]], SnapshotTable[[#This Row],[SP Book Price]]),"")</f>
        <v/>
      </c>
      <c r="CQ205" s="78"/>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5" t="str">
        <f>IF(SnapshotTable[[#This Row],[SP Is Filled]], btc_next_cutoff_date(SnapshotTable[[#This Row],[SP Fill Date]],SnapshotTable[[#This Row],[SP Exp Date]]),"")</f>
        <v/>
      </c>
      <c r="CT205" s="23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56"/>
      <c r="CV205" s="235"/>
      <c r="CW205" s="378"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294" t="str">
        <f>IF(ISNUMBER((SnapshotTable[[#This Row],[SP Total Value]])), SnapshotTable[[#This Row],[SP Gain Loss]] / SnapshotTable[[#This Row],[SP Premium]], "")</f>
        <v/>
      </c>
      <c r="DI205" s="406"/>
      <c r="DJ205" s="138"/>
      <c r="DK205" s="148"/>
      <c r="DL205" s="147"/>
      <c r="DM205" s="147"/>
      <c r="DO205" s="31">
        <f>IF(SnapshotTable[[#This Row],[LC Symbol Count]]=1, SnapshotTable[[#This Row],[LC Qty]] * SnapshotTable[[#This Row],[LC Book Price]] * 100, 0)</f>
        <v>0</v>
      </c>
      <c r="DP205" s="289" t="str">
        <f>IF(AND(SnapshotTable[[#This Row],[LC Exp Date]]&gt;0, SnapshotTable[[#This Row],[LC Strike Price]]&gt;0,SnapshotTable[[#This Row],[LC Qty]]&gt;0,SnapshotTable[[#This Row],[LC Book Date]]&gt;0,SnapshotTable[[#This Row],[LC Book Price]]&gt;0,SnapshotTable[[#This Row],[LC Fill Date]]=0),"Y","")</f>
        <v/>
      </c>
      <c r="DQ205" s="386" t="str">
        <f>IF(SnapshotTable[[#This Row],[LC Premium]] &gt; 0,SnapshotTable[[#This Row],[LC Exp Date]]-MAX(SnapshotTable[[#This Row],[LC Book Date]], SnapshotTable[[#This Row],[LC Fill Date]]),"")</f>
        <v/>
      </c>
      <c r="DR205" s="386" t="str">
        <f>IF(ISNUMBER(SnapshotTable[[#This Row],[LC Term]]), SnapshotTable[[#This Row],[LC Exp Date]] - MockToday, "")</f>
        <v/>
      </c>
      <c r="DS205" s="234" t="str">
        <f>IF(SnapshotTable[[#This Row],[LC Premium]]&gt;0,SnapshotTable[[#This Row],[LC Strike Price]] + SnapshotTable[[#This Row],[LC Book Price]],"")</f>
        <v/>
      </c>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40" t="str">
        <f>IF(ISNUMBER(SnapshotTable[[#This Row],[LC Actual Gain Loss]]), SnapshotTable[[#This Row],[LC Actual Gain Loss]] / SnapshotTable[[#This Row],[LC Premium]],"")</f>
        <v/>
      </c>
      <c r="DX205" s="284" t="str">
        <f>IF(ISNUMBER(SnapshotTable[[#This Row],[LC Book Price]]),SnapshotTable[[#This Row],[LC Book Price]] * 1.5,"")</f>
        <v/>
      </c>
      <c r="DY205" s="265" t="str">
        <f>IF(SnapshotTable[[#This Row],[LC Premium]]&gt;0, SnapshotTable[[#This Row],[LC Next Target]] * SnapshotTable[[#This Row],[LC Qty]] * 100,"")</f>
        <v/>
      </c>
      <c r="DZ205" s="265" t="str">
        <f>IF(ISNUMBER(SnapshotTable[[#This Row],[LC Target Gross]]), SnapshotTable[[#This Row],[LC Target Gross]] - SnapshotTable[[#This Row],[LC Premium]], "")</f>
        <v/>
      </c>
      <c r="EA205" s="305" t="str">
        <f>IF(ISNUMBER(SnapshotTable[[#This Row],[LC Target Gain Loss]]), SnapshotTable[[#This Row],[LC Target Gain Loss]]/SnapshotTable[[#This Row],[LC Premium]], "")</f>
        <v/>
      </c>
      <c r="EB205" s="262"/>
      <c r="EC205" s="283" t="str">
        <f>IF(SnapshotTable[[#This Row],[LC Premium]]&gt;0, SnapshotTable[[#This Row],[LC Book Price]] * (1 - LC_StopLoss_Pct),"")</f>
        <v/>
      </c>
      <c r="ED205" s="284"/>
      <c r="EE205" s="28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4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7"/>
      <c r="EL205" s="138"/>
      <c r="EM205" s="148"/>
      <c r="EN205" s="147"/>
      <c r="EO205" s="147"/>
      <c r="EP205" s="138"/>
      <c r="EQ205" s="419" t="b">
        <f>AND(ISNUMBER(SnapshotTable[[#This Row],[SC Exp Date]]), ISNUMBER(SnapshotTable[[#This Row],[SC Strike Price]]), ISNUMBER(SnapshotTable[[#This Row],[SC Qty]]), ISNUMBER(SnapshotTable[[#This Row],[SC Book Date]]), ISNUMBER(SnapshotTable[[#This Row],[SC Book Price]]))</f>
        <v>0</v>
      </c>
      <c r="ER205" s="419" t="b">
        <f>AND(SnapshotTable[[#This Row],[SC Is Booked]], NOT(ISBLANK(SnapshotTable[[#This Row],[SC Fill Date]])))</f>
        <v>0</v>
      </c>
      <c r="ES205" s="370"/>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3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283"/>
      <c r="FA205" s="218"/>
      <c r="FB205" s="370"/>
      <c r="FC205" s="4">
        <f>IF(SnapshotTable[[#This Row],[SC Is Filled]], btc_max_buyback_amount(SnapshotTable[[#This Row],[SC Fill Date]],SnapshotTable[[#This Row],[SC Exp Date]], SnapshotTable[[#This Row],[SC Book Price]]),0)</f>
        <v>0</v>
      </c>
      <c r="FD205" s="5"/>
      <c r="FE205" s="144"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382">
        <f>IF(SnapshotTable[[#This Row],[SC Is Filled]], IF(ISNUMBER(SnapshotTable[[#This Row],[SC Current Ask]]), SnapshotTable[[#This Row],[SC Current Ask]], SnapshotTable[[#This Row],[SC Book Price]]) - SnapshotTable[[#This Row],[SC Intrinsic Value]], 0)</f>
        <v>0</v>
      </c>
      <c r="FI205" s="143"/>
      <c r="FJ205" s="32" t="str">
        <f>IF(SnapshotTable[[#This Row],[SC Is Filled]],100 * SnapshotTable[[#This Row],[SC Qty]] * IF(ISNUMBER(SnapshotTable[[#This Row],[SC Buyback Override]]), SnapshotTable[[#This Row],[SC Buyback Override]], SnapshotTable[[#This Row],[SC Current Ask]]), "")</f>
        <v/>
      </c>
      <c r="FK205" s="250" t="str">
        <f>IF(SnapshotTable[[#This Row],[SC Time Val]]&gt;0, SnapshotTable[[#This Row],[SC Time Val]] / SnapshotTable[[#This Row],[Last Price]],"")</f>
        <v/>
      </c>
      <c r="FL205" s="302" t="str">
        <f>IF(SnapshotTable[[#This Row],[SC Is Booked]], ((SnapshotTable[[#This Row],[Last Price]] -SnapshotTable[[#This Row],[SC Strike Price]]) / SnapshotTable[[#This Row],[Last Price]]) * -1, "")</f>
        <v/>
      </c>
      <c r="FM205" s="157" t="str">
        <f>IF(SnapshotTable[[#This Row],[SC Is Booked]],  (SnapshotTable[[#This Row],[SC Qty]] * 100 * SnapshotTable[[#This Row],[SC Strike Price]]) - SnapshotTable[[#This Row],[SC Current Ask]], "")</f>
        <v/>
      </c>
      <c r="FN20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157"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33"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36" t="str">
        <f>IF(AND(ISNUMBER(SnapshotTable[[#This Row],[SC Simple ROO]]),SnapshotTable[[#This Row],[SC Simple ROO]] &gt; 0), SnapshotTable[[#This Row],[SC Premium]] + (SnapshotTable[[#This Row],[SC Qty]] * SnapshotTable[[#This Row],[SC Upside Potential]]), "")</f>
        <v/>
      </c>
      <c r="FX205" s="302" t="str" cm="1">
        <f t="array" ref="FX205">IF(ISNUMBER(SnapshotTable[[#This Row],[SC Max Dollars]]), annualize(SnapshotTable[[#This Row],[SC Term]],(SnapshotTable[[#This Row],[SC Max Dollars]]/SnapshotTable[[#This Row],[SC Basis]])),"")</f>
        <v/>
      </c>
      <c r="FY205" s="236" t="str">
        <f>IF(AND(SnapshotTable[[#This Row],[SC Qty]]&gt;0,SnapshotTable[[#This Row],[SC Current Ask]]&gt;0), SnapshotTable[[#This Row],[SC Qty]] * SnapshotTable[[#This Row],[SC Current Ask]] * -100, "")</f>
        <v/>
      </c>
      <c r="FZ205" s="235" t="str">
        <f>IF(ISNUMBER((SnapshotTable[[#This Row],[SC Current Value]])), SnapshotTable[[#This Row],[SC Premium]] + SnapshotTable[[#This Row],[SC Current Value]], "")</f>
        <v/>
      </c>
      <c r="GA205" s="29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28.024999999999999</v>
      </c>
      <c r="GD205" s="40">
        <f>SnapshotTable[[#This Row],[Last Price]] * (1+ SellingPriceToConsiderBasedOnTargetPercentage)</f>
        <v>64.486499999999992</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158" t="str">
        <f>IF(SnapshotTable[[#This Row],[Sale G/L]]&gt;0, SnapshotTable[[#This Row],[Sale G/L]] / SnapshotTable[[#This Row],[Sale Basis]], IF(ISNUMBER(SnapshotTable[[#This Row],[SC Exercise P&amp;L (TAX)]]), SnapshotTable[[#This Row],[SC Exercise P&amp;L (TAX)]] / SnapshotTable[[#This Row],[SC Basis]], ""))</f>
        <v/>
      </c>
      <c r="GK205" s="158"/>
      <c r="GL205" s="159"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159" t="str">
        <f>IF(AND(SnapshotTable[[#This Row],[LC Exp Date]]&gt;0,SnapshotTable[[#This Row],[LC Strike Price]]&gt;0), [1]!ToOptionSymbol(SnapshotTable[[#This Row],[Symbol]], SnapshotTable[[#This Row],[LC Strike Price]],SnapshotTable[[#This Row],[LC Exp Date]],0), "")</f>
        <v/>
      </c>
      <c r="GQ205" s="160" t="str">
        <f>IF(LEN(SnapshotTable[[#This Row],[LC Symbol]])&gt;0, 1, "")</f>
        <v/>
      </c>
      <c r="GR205" s="159" t="str">
        <f>IF(AND(SnapshotTable[[#This Row],[SC Exp Date]]&gt;0,SnapshotTable[[#This Row],[SC Strike Price]]&gt;0), [1]!ToOptionSymbol(SnapshotTable[[#This Row],[Symbol]], SnapshotTable[[#This Row],[SC Strike Price]],SnapshotTable[[#This Row],[SC Exp Date]],0), "")</f>
        <v/>
      </c>
      <c r="GS205" s="160" t="str">
        <f>IF(LEN(SnapshotTable[[#This Row],[SC Symbol]])&gt;0, 1, "")</f>
        <v/>
      </c>
      <c r="GT205" s="161"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31">
        <f>MAX(SnapshotTable[[#This Row],[Equity Basis Total]],SnapshotTable[[#This Row],[Equity Value]]) + (SnapshotTable[[#This Row],[SP Potential Spend]]- SnapshotTable[[#This Row],[SP Premium]] + SnapshotTable[[#This Row],[LP Premium]])+ (SnapshotTable[[#This Row],[LC Premium]] - SnapshotTable[[#This Row],[SC Premium]])</f>
        <v>0</v>
      </c>
      <c r="GW205" s="139" t="str">
        <f>IF(AND(SnapshotTable[[#This Row],[Exposure]] &lt;&gt; 0),SnapshotTable[[#This Row],[Exposure]] / SnapshotTable[[#Totals],[Exposure]], "")</f>
        <v/>
      </c>
      <c r="HE205" s="268"/>
      <c r="HF205" s="268"/>
      <c r="HK205" s="1"/>
      <c r="HL205" s="1"/>
      <c r="HM205" s="1"/>
      <c r="HN205" s="1"/>
      <c r="HO205" s="1"/>
      <c r="HP205" s="1"/>
    </row>
    <row r="206" spans="2:224" ht="12.75" hidden="1" customHeight="1" x14ac:dyDescent="0.25">
      <c r="B206" s="12" t="s">
        <v>78</v>
      </c>
      <c r="C206" s="422">
        <v>140.84</v>
      </c>
      <c r="D206" s="208"/>
      <c r="E206" s="39">
        <f>SnapshotTable[[#This Row],[Last Price]]*(1 -CrashDiscount)</f>
        <v>119.714</v>
      </c>
      <c r="F206" s="26" t="s">
        <v>77</v>
      </c>
      <c r="G206" s="26" t="s">
        <v>4</v>
      </c>
      <c r="H206" s="149"/>
      <c r="I206" s="194">
        <v>44770.677083333336</v>
      </c>
      <c r="J206" s="195">
        <v>44770.677083333336</v>
      </c>
      <c r="K206" s="196"/>
      <c r="L206" s="326"/>
      <c r="M206" s="140"/>
      <c r="N206" s="140"/>
      <c r="O206" s="140"/>
      <c r="P206" s="22"/>
      <c r="Q206" s="25"/>
      <c r="R206" s="4" t="str">
        <f>IF(SnapshotTable[[#This Row],[Equity Basis Total]] &gt; 0, SnapshotTable[[#This Row],[Equity Basis Total]] / SnapshotTable[[#This Row],[Equity Shares]], "")</f>
        <v/>
      </c>
      <c r="S206" s="269">
        <f>SnapshotTable[[#This Row],[Last Price]] * SnapshotTable[[#This Row],[Equity Shares]]</f>
        <v>0</v>
      </c>
      <c r="T206" s="269">
        <f>SnapshotTable[[#This Row],[Equity Value]] - SnapshotTable[[#This Row],[Equity Basis Total]]</f>
        <v>0</v>
      </c>
      <c r="U206" s="270" t="str">
        <f>IF(SnapshotTable[[#This Row],[Equity Basis Total]] &gt; 0, SnapshotTable[[#This Row],[Equity G/L]] / SnapshotTable[[#This Row],[Equity Basis Total]], "")</f>
        <v/>
      </c>
      <c r="V206" s="268"/>
      <c r="W206" s="26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7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0">
        <v>0.84</v>
      </c>
      <c r="AD206" s="151">
        <v>42370</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5.9642147117296221E-3</v>
      </c>
      <c r="AH206" s="151">
        <v>42242</v>
      </c>
      <c r="AI206" s="5"/>
      <c r="AJ206" s="138">
        <v>54.5</v>
      </c>
      <c r="AK206" s="152" t="str">
        <f>IF(ISNUMBER( SnapshotTable[[#This Row],[EBF Target]]),(SnapshotTable[[#This Row],[EBF Target]] - SnapshotTable[[#This Row],[Last Price]]) / SnapshotTable[[#This Row],[Last Price]], "")</f>
        <v/>
      </c>
      <c r="AL206" s="152"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2">
        <f>IF(AND(ISNUMBER( SnapshotTable[[#This Row],[Long Term Target]]), ISNUMBER(SnapshotTable[[#This Row],[Last Price]])),(SnapshotTable[[#This Row],[Long Term Target]] - SnapshotTable[[#This Row],[Last Price]]) / SnapshotTable[[#This Row],[Last Price]], "")</f>
        <v>-0.61303606929849475</v>
      </c>
      <c r="AP206" s="5"/>
      <c r="AQ206" s="38"/>
      <c r="AR206" s="5"/>
      <c r="AS206" s="38"/>
      <c r="AT206" s="146"/>
      <c r="AU206" s="187" t="str">
        <f>IF(OR(SnapshotTable[[#This Row],[LP No Fill]]="Y",SnapshotTable[[#This Row],[SP Is Filled]],SnapshotTable[[#This Row],[LC Not Filled]]="Y",SnapshotTable[[#This Row],[SC Is Filled]]),"Y","")</f>
        <v/>
      </c>
      <c r="AV206" s="219"/>
      <c r="AW206" s="225"/>
      <c r="AX206" s="220"/>
      <c r="AY206" s="219" t="str">
        <f>IF(SnapshotTable[[#This Row],[Implied Move]]&gt;0, SnapshotTable[[#This Row],[Last Price]]-SnapshotTable[[#This Row],[Implied Move]],"")</f>
        <v/>
      </c>
      <c r="AZ206" s="219" t="str">
        <f>IF(SnapshotTable[[#This Row],[Implied Move]]&gt;0, SnapshotTable[[#This Row],[Last Price]] + SnapshotTable[[#This Row],[Implied Move]],"")</f>
        <v/>
      </c>
      <c r="BA206" s="331"/>
      <c r="BB206" s="347"/>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51"/>
      <c r="BE206" s="5"/>
      <c r="BF206" s="14"/>
      <c r="BG206" s="13"/>
      <c r="BH206" s="13"/>
      <c r="BI206" s="5"/>
      <c r="BJ206" s="136">
        <f>IF(SnapshotTable[[#This Row],[LP Qty]] &gt; 0, SnapshotTable[[#This Row],[LP Qty]] * SnapshotTable[[#This Row],[LP Book Price]] * 100,0)</f>
        <v>0</v>
      </c>
      <c r="BK206" s="136">
        <f>IF(SnapshotTable[[#This Row],[LP Premium]] &gt; 0, SnapshotTable[[#This Row],[LP Qty]] * SnapshotTable[[#This Row],[LP Strike Price]] * 100,0)</f>
        <v>0</v>
      </c>
      <c r="BL206" s="154"/>
      <c r="BM206" s="385" t="str">
        <f>IF(SnapshotTable[[#This Row],[LP Premium]] &gt; 0,SnapshotTable[[#This Row],[LP Exp Date]]-MAX(SnapshotTable[[#This Row],[LP Book Date]], SnapshotTable[[#This Row],[LP Fill Date]]),"")</f>
        <v/>
      </c>
      <c r="BN206" s="385" t="str">
        <f>IF(ISNUMBER( SnapshotTable[[#This Row],[LP Term]]), SnapshotTable[[#This Row],[LP Exp Date]] - MockToday,"")</f>
        <v/>
      </c>
      <c r="BO206" s="163"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7"/>
      <c r="BU206" s="13"/>
      <c r="BV206" s="5"/>
      <c r="BW206" s="419" t="b">
        <f>AND(ISNUMBER(SnapshotTable[[#This Row],[SP Exp Date]]), ISNUMBER(SnapshotTable[[#This Row],[SP Strike Price]]), ISNUMBER(SnapshotTable[[#This Row],[SP Qty]]), ISNUMBER(SnapshotTable[[#This Row],[SP Book Date]]), ISNUMBER(SnapshotTable[[#This Row],[SP Book Price]]))</f>
        <v>0</v>
      </c>
      <c r="BX206" s="419" t="b">
        <f>AND(SnapshotTable[[#This Row],[SP Is Booked]], NOT(ISBLANK(SnapshotTable[[#This Row],[SP Fill Date]])))</f>
        <v>0</v>
      </c>
      <c r="BY206" s="33">
        <f>IF(SnapshotTable[[#This Row],[SP Is Booked]], SnapshotTable[[#This Row],[SP Qty]] * SnapshotTable[[#This Row],[SP Book Price]] * 100, 0)</f>
        <v>0</v>
      </c>
      <c r="BZ206" s="369"/>
      <c r="CA206" s="368">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3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44"/>
      <c r="CK206" s="31">
        <f>IF(ISNUMBER(SnapshotTable[[#This Row],[SP Potential Spend]]),IF(ISNUMBER(SnapshotTable[[#This Row],[SP POW]]), SnapshotTable[[#This Row],[SP POW]] * SnapshotTable[[#This Row],[SP Potential Spend]], SnapshotTable[[#This Row],[SP Potential Spend]]), "")</f>
        <v>0</v>
      </c>
      <c r="CL206" s="164">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8"/>
      <c r="CO206" s="369"/>
      <c r="CP206" s="4" t="str">
        <f>IF(SnapshotTable[[#This Row],[SP Is Filled]], btc_max_buyback_amount(SnapshotTable[[#This Row],[SP Fill Date]],SnapshotTable[[#This Row],[SP Exp Date]], SnapshotTable[[#This Row],[SP Book Price]]),"")</f>
        <v/>
      </c>
      <c r="CQ206" s="78"/>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5" t="str">
        <f>IF(SnapshotTable[[#This Row],[SP Is Filled]], btc_next_cutoff_date(SnapshotTable[[#This Row],[SP Fill Date]],SnapshotTable[[#This Row],[SP Exp Date]]),"")</f>
        <v/>
      </c>
      <c r="CT206" s="23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3"/>
      <c r="CV206" s="235"/>
      <c r="CW206" s="378"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294" t="str">
        <f>IF(ISNUMBER((SnapshotTable[[#This Row],[SP Total Value]])), SnapshotTable[[#This Row],[SP Gain Loss]] / SnapshotTable[[#This Row],[SP Premium]], "")</f>
        <v/>
      </c>
      <c r="DI206" s="406"/>
      <c r="DJ206" s="138"/>
      <c r="DK206" s="148"/>
      <c r="DL206" s="13"/>
      <c r="DM206" s="13"/>
      <c r="DO206" s="31">
        <f>IF(SnapshotTable[[#This Row],[LC Symbol Count]]=1, SnapshotTable[[#This Row],[LC Qty]] * SnapshotTable[[#This Row],[LC Book Price]] * 100, 0)</f>
        <v>0</v>
      </c>
      <c r="DP206" s="163" t="str">
        <f>IF(AND(SnapshotTable[[#This Row],[LC Exp Date]]&gt;0, SnapshotTable[[#This Row],[LC Strike Price]]&gt;0,SnapshotTable[[#This Row],[LC Qty]]&gt;0,SnapshotTable[[#This Row],[LC Book Date]]&gt;0,SnapshotTable[[#This Row],[LC Book Price]]&gt;0,SnapshotTable[[#This Row],[LC Fill Date]]=0),"Y","")</f>
        <v/>
      </c>
      <c r="DQ206" s="386" t="str">
        <f>IF(SnapshotTable[[#This Row],[LC Premium]] &gt; 0,SnapshotTable[[#This Row],[LC Exp Date]]-MAX(SnapshotTable[[#This Row],[LC Book Date]], SnapshotTable[[#This Row],[LC Fill Date]]),"")</f>
        <v/>
      </c>
      <c r="DR206" s="386" t="str">
        <f>IF(ISNUMBER(SnapshotTable[[#This Row],[LC Term]]), SnapshotTable[[#This Row],[LC Exp Date]] - MockToday, "")</f>
        <v/>
      </c>
      <c r="DS206" s="23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40" t="str">
        <f>IF(ISNUMBER(SnapshotTable[[#This Row],[LC Actual Gain Loss]]), SnapshotTable[[#This Row],[LC Actual Gain Loss]] / SnapshotTable[[#This Row],[LC Premium]],"")</f>
        <v/>
      </c>
      <c r="DX206" s="284" t="str">
        <f>IF(ISNUMBER(SnapshotTable[[#This Row],[LC Book Price]]),SnapshotTable[[#This Row],[LC Book Price]] * 1.5,"")</f>
        <v/>
      </c>
      <c r="DY206" s="265" t="str">
        <f>IF(SnapshotTable[[#This Row],[LC Premium]]&gt;0, SnapshotTable[[#This Row],[LC Next Target]] * SnapshotTable[[#This Row],[LC Qty]] * 100,"")</f>
        <v/>
      </c>
      <c r="DZ206" s="265" t="str">
        <f>IF(ISNUMBER(SnapshotTable[[#This Row],[LC Target Gross]]), SnapshotTable[[#This Row],[LC Target Gross]] - SnapshotTable[[#This Row],[LC Premium]], "")</f>
        <v/>
      </c>
      <c r="EA206" s="305" t="str">
        <f>IF(ISNUMBER(SnapshotTable[[#This Row],[LC Target Gain Loss]]), SnapshotTable[[#This Row],[LC Target Gain Loss]]/SnapshotTable[[#This Row],[LC Premium]], "")</f>
        <v/>
      </c>
      <c r="EB206" s="262"/>
      <c r="EC206" s="283" t="str">
        <f>IF(SnapshotTable[[#This Row],[LC Premium]]&gt;0, SnapshotTable[[#This Row],[LC Book Price]] * (1 - LC_StopLoss_Pct),"")</f>
        <v/>
      </c>
      <c r="ED206" s="284"/>
      <c r="EE206" s="28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4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7"/>
      <c r="EL206" s="138"/>
      <c r="EM206" s="148"/>
      <c r="EN206" s="147"/>
      <c r="EO206" s="147"/>
      <c r="EP206" s="138"/>
      <c r="EQ206" s="419" t="b">
        <f>AND(ISNUMBER(SnapshotTable[[#This Row],[SC Exp Date]]), ISNUMBER(SnapshotTable[[#This Row],[SC Strike Price]]), ISNUMBER(SnapshotTable[[#This Row],[SC Qty]]), ISNUMBER(SnapshotTable[[#This Row],[SC Book Date]]), ISNUMBER(SnapshotTable[[#This Row],[SC Book Price]]))</f>
        <v>0</v>
      </c>
      <c r="ER206" s="419" t="b">
        <f>AND(SnapshotTable[[#This Row],[SC Is Booked]], NOT(ISBLANK(SnapshotTable[[#This Row],[SC Fill Date]])))</f>
        <v>0</v>
      </c>
      <c r="ES206" s="370"/>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3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283"/>
      <c r="FA206" s="218"/>
      <c r="FB206" s="370"/>
      <c r="FC206" s="4">
        <f>IF(SnapshotTable[[#This Row],[SC Is Filled]], btc_max_buyback_amount(SnapshotTable[[#This Row],[SC Fill Date]],SnapshotTable[[#This Row],[SC Exp Date]], SnapshotTable[[#This Row],[SC Book Price]]),0)</f>
        <v>0</v>
      </c>
      <c r="FD206" s="5"/>
      <c r="FE206" s="144"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382">
        <f>IF(SnapshotTable[[#This Row],[SC Is Filled]], IF(ISNUMBER(SnapshotTable[[#This Row],[SC Current Ask]]), SnapshotTable[[#This Row],[SC Current Ask]], SnapshotTable[[#This Row],[SC Book Price]]) - SnapshotTable[[#This Row],[SC Intrinsic Value]], 0)</f>
        <v>0</v>
      </c>
      <c r="FI206" s="143"/>
      <c r="FJ206" s="32" t="str">
        <f>IF(SnapshotTable[[#This Row],[SC Is Filled]],100 * SnapshotTable[[#This Row],[SC Qty]] * IF(ISNUMBER(SnapshotTable[[#This Row],[SC Buyback Override]]), SnapshotTable[[#This Row],[SC Buyback Override]], SnapshotTable[[#This Row],[SC Current Ask]]), "")</f>
        <v/>
      </c>
      <c r="FK206" s="250" t="str">
        <f>IF(SnapshotTable[[#This Row],[SC Time Val]]&gt;0, SnapshotTable[[#This Row],[SC Time Val]] / SnapshotTable[[#This Row],[Last Price]],"")</f>
        <v/>
      </c>
      <c r="FL206" s="302" t="str">
        <f>IF(SnapshotTable[[#This Row],[SC Is Booked]], ((SnapshotTable[[#This Row],[Last Price]] -SnapshotTable[[#This Row],[SC Strike Price]]) / SnapshotTable[[#This Row],[Last Price]]) * -1, "")</f>
        <v/>
      </c>
      <c r="FM206" s="157"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33"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36" t="str">
        <f>IF(AND(ISNUMBER(SnapshotTable[[#This Row],[SC Simple ROO]]),SnapshotTable[[#This Row],[SC Simple ROO]] &gt; 0), SnapshotTable[[#This Row],[SC Premium]] + (SnapshotTable[[#This Row],[SC Qty]] * SnapshotTable[[#This Row],[SC Upside Potential]]), "")</f>
        <v/>
      </c>
      <c r="FX206" s="302" t="str" cm="1">
        <f t="array" ref="FX206">IF(ISNUMBER(SnapshotTable[[#This Row],[SC Max Dollars]]), annualize(SnapshotTable[[#This Row],[SC Term]],(SnapshotTable[[#This Row],[SC Max Dollars]]/SnapshotTable[[#This Row],[SC Basis]])),"")</f>
        <v/>
      </c>
      <c r="FY206" s="23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29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51.774999999999999</v>
      </c>
      <c r="GD206" s="40">
        <f>SnapshotTable[[#This Row],[Last Price]] * (1+ SellingPriceToConsiderBasedOnTargetPercentage)</f>
        <v>274.63799999999998</v>
      </c>
      <c r="GE206" s="41"/>
      <c r="GF206" s="40">
        <v>38.880000000000003</v>
      </c>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722</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31">
        <f>MAX(SnapshotTable[[#This Row],[Equity Basis Total]],SnapshotTable[[#This Row],[Equity Value]]) + (SnapshotTable[[#This Row],[SP Potential Spend]]- SnapshotTable[[#This Row],[SP Premium]] + SnapshotTable[[#This Row],[LP Premium]])+ (SnapshotTable[[#This Row],[LC Premium]] - SnapshotTable[[#This Row],[SC Premium]])</f>
        <v>0</v>
      </c>
      <c r="GW206" s="139" t="str">
        <f>IF(AND(SnapshotTable[[#This Row],[Exposure]] &lt;&gt; 0),SnapshotTable[[#This Row],[Exposure]] / SnapshotTable[[#Totals],[Exposure]], "")</f>
        <v/>
      </c>
      <c r="HE206" s="268"/>
      <c r="HF206" s="268"/>
      <c r="HK206" s="1"/>
      <c r="HL206" s="1"/>
      <c r="HM206" s="1"/>
      <c r="HN206" s="1"/>
      <c r="HO206" s="1"/>
      <c r="HP206" s="1"/>
    </row>
    <row r="207" spans="2:224" ht="12.75" hidden="1" customHeight="1" x14ac:dyDescent="0.25">
      <c r="B207" s="12" t="s">
        <v>1152</v>
      </c>
      <c r="C207" s="422">
        <v>15.69</v>
      </c>
      <c r="D207" s="208"/>
      <c r="E207" s="39">
        <f>SnapshotTable[[#This Row],[Last Price]]*(1 -CrashDiscount)</f>
        <v>13.336499999999999</v>
      </c>
      <c r="F207" s="26" t="s">
        <v>1137</v>
      </c>
      <c r="G207" s="26" t="s">
        <v>41</v>
      </c>
      <c r="H207" s="149"/>
      <c r="I207" s="194"/>
      <c r="J207" s="195"/>
      <c r="K207" s="196"/>
      <c r="L207" s="326"/>
      <c r="M207" s="140"/>
      <c r="N207" s="140"/>
      <c r="O207" s="140"/>
      <c r="P207" s="22"/>
      <c r="Q207" s="25"/>
      <c r="R207" s="4" t="str">
        <f>IF(SnapshotTable[[#This Row],[Equity Basis Total]] &gt; 0, SnapshotTable[[#This Row],[Equity Basis Total]] / SnapshotTable[[#This Row],[Equity Shares]], "")</f>
        <v/>
      </c>
      <c r="S207" s="269">
        <f>SnapshotTable[[#This Row],[Last Price]] * SnapshotTable[[#This Row],[Equity Shares]]</f>
        <v>0</v>
      </c>
      <c r="T207" s="269">
        <f>SnapshotTable[[#This Row],[Equity Value]] - SnapshotTable[[#This Row],[Equity Basis Total]]</f>
        <v>0</v>
      </c>
      <c r="U207" s="270" t="str">
        <f>IF(SnapshotTable[[#This Row],[Equity Basis Total]] &gt; 0, SnapshotTable[[#This Row],[Equity G/L]] / SnapshotTable[[#This Row],[Equity Basis Total]], "")</f>
        <v/>
      </c>
      <c r="V207" s="268"/>
      <c r="W207" s="26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7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0"/>
      <c r="AD207" s="151"/>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1"/>
      <c r="AI207" s="5"/>
      <c r="AJ207" s="138"/>
      <c r="AK207" s="152" t="str">
        <f>IF(ISNUMBER( SnapshotTable[[#This Row],[EBF Target]]),(SnapshotTable[[#This Row],[EBF Target]] - SnapshotTable[[#This Row],[Last Price]]) / SnapshotTable[[#This Row],[Last Price]], "")</f>
        <v/>
      </c>
      <c r="AL207" s="152"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2" t="str">
        <f>IF(AND(ISNUMBER( SnapshotTable[[#This Row],[Long Term Target]]), ISNUMBER(SnapshotTable[[#This Row],[Last Price]])),(SnapshotTable[[#This Row],[Long Term Target]] - SnapshotTable[[#This Row],[Last Price]]) / SnapshotTable[[#This Row],[Last Price]], "")</f>
        <v/>
      </c>
      <c r="AP207" s="5">
        <v>4.5</v>
      </c>
      <c r="AQ207" s="38" t="s">
        <v>27</v>
      </c>
      <c r="AR207" s="5">
        <v>3.5</v>
      </c>
      <c r="AS207" s="38" t="s">
        <v>26</v>
      </c>
      <c r="AT207" s="146" t="s">
        <v>553</v>
      </c>
      <c r="AU207" s="187" t="str">
        <f>IF(OR(SnapshotTable[[#This Row],[LP No Fill]]="Y",SnapshotTable[[#This Row],[SP Is Filled]],SnapshotTable[[#This Row],[LC Not Filled]]="Y",SnapshotTable[[#This Row],[SC Is Filled]]),"Y","")</f>
        <v/>
      </c>
      <c r="AV207" s="219"/>
      <c r="AW207" s="225"/>
      <c r="AX207" s="220"/>
      <c r="AY207" s="219" t="str">
        <f>IF(SnapshotTable[[#This Row],[Implied Move]]&gt;0, SnapshotTable[[#This Row],[Last Price]]-SnapshotTable[[#This Row],[Implied Move]],"")</f>
        <v/>
      </c>
      <c r="AZ207" s="219" t="str">
        <f>IF(SnapshotTable[[#This Row],[Implied Move]]&gt;0, SnapshotTable[[#This Row],[Last Price]] + SnapshotTable[[#This Row],[Implied Move]],"")</f>
        <v/>
      </c>
      <c r="BA207" s="331">
        <v>3.57</v>
      </c>
      <c r="BB207" s="347"/>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51"/>
      <c r="BE207" s="5"/>
      <c r="BF207" s="14"/>
      <c r="BG207" s="13"/>
      <c r="BH207" s="13"/>
      <c r="BI207" s="5"/>
      <c r="BJ207" s="136">
        <f>IF(SnapshotTable[[#This Row],[LP Qty]] &gt; 0, SnapshotTable[[#This Row],[LP Qty]] * SnapshotTable[[#This Row],[LP Book Price]] * 100,0)</f>
        <v>0</v>
      </c>
      <c r="BK207" s="136">
        <f>IF(SnapshotTable[[#This Row],[LP Premium]] &gt; 0, SnapshotTable[[#This Row],[LP Qty]] * SnapshotTable[[#This Row],[LP Strike Price]] * 100,0)</f>
        <v>0</v>
      </c>
      <c r="BL207" s="154"/>
      <c r="BM207" s="385" t="str">
        <f>IF(SnapshotTable[[#This Row],[LP Premium]] &gt; 0,SnapshotTable[[#This Row],[LP Exp Date]]-MAX(SnapshotTable[[#This Row],[LP Book Date]], SnapshotTable[[#This Row],[LP Fill Date]]),"")</f>
        <v/>
      </c>
      <c r="BN207" s="385" t="str">
        <f>IF(ISNUMBER( SnapshotTable[[#This Row],[LP Term]]), SnapshotTable[[#This Row],[LP Exp Date]] - MockToday,"")</f>
        <v/>
      </c>
      <c r="BO207" s="163"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7"/>
      <c r="BU207" s="13"/>
      <c r="BV207" s="5"/>
      <c r="BW207" s="419" t="b">
        <f>AND(ISNUMBER(SnapshotTable[[#This Row],[SP Exp Date]]), ISNUMBER(SnapshotTable[[#This Row],[SP Strike Price]]), ISNUMBER(SnapshotTable[[#This Row],[SP Qty]]), ISNUMBER(SnapshotTable[[#This Row],[SP Book Date]]), ISNUMBER(SnapshotTable[[#This Row],[SP Book Price]]))</f>
        <v>0</v>
      </c>
      <c r="BX207" s="419" t="b">
        <f>AND(SnapshotTable[[#This Row],[SP Is Booked]], NOT(ISBLANK(SnapshotTable[[#This Row],[SP Fill Date]])))</f>
        <v>0</v>
      </c>
      <c r="BY207" s="33">
        <f>IF(SnapshotTable[[#This Row],[SP Is Booked]], SnapshotTable[[#This Row],[SP Qty]] * SnapshotTable[[#This Row],[SP Book Price]] * 100, 0)</f>
        <v>0</v>
      </c>
      <c r="BZ207" s="369"/>
      <c r="CA207" s="368">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3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44">
        <v>0.01</v>
      </c>
      <c r="CK207" s="31">
        <f>IF(ISNUMBER(SnapshotTable[[#This Row],[SP Potential Spend]]),IF(ISNUMBER(SnapshotTable[[#This Row],[SP POW]]), SnapshotTable[[#This Row],[SP POW]] * SnapshotTable[[#This Row],[SP Potential Spend]], SnapshotTable[[#This Row],[SP Potential Spend]]), "")</f>
        <v>0</v>
      </c>
      <c r="CL207" s="164">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78"/>
      <c r="CO207" s="369"/>
      <c r="CP207" s="4" t="str">
        <f>IF(SnapshotTable[[#This Row],[SP Is Filled]], btc_max_buyback_amount(SnapshotTable[[#This Row],[SP Fill Date]],SnapshotTable[[#This Row],[SP Exp Date]], SnapshotTable[[#This Row],[SP Book Price]]),"")</f>
        <v/>
      </c>
      <c r="CQ207" s="78"/>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5" t="str">
        <f>IF(SnapshotTable[[#This Row],[SP Is Filled]], btc_next_cutoff_date(SnapshotTable[[#This Row],[SP Fill Date]],SnapshotTable[[#This Row],[SP Exp Date]]),"")</f>
        <v/>
      </c>
      <c r="CT207" s="23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6"/>
      <c r="CV207" s="235"/>
      <c r="CW207" s="378"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294" t="str">
        <f>IF(ISNUMBER((SnapshotTable[[#This Row],[SP Total Value]])), SnapshotTable[[#This Row],[SP Gain Loss]] / SnapshotTable[[#This Row],[SP Premium]], "")</f>
        <v/>
      </c>
      <c r="DI207" s="406"/>
      <c r="DJ207" s="138"/>
      <c r="DK207" s="148"/>
      <c r="DL207" s="13"/>
      <c r="DM207" s="13"/>
      <c r="DO207" s="31">
        <f>IF(SnapshotTable[[#This Row],[LC Symbol Count]]=1, SnapshotTable[[#This Row],[LC Qty]] * SnapshotTable[[#This Row],[LC Book Price]] * 100, 0)</f>
        <v>0</v>
      </c>
      <c r="DP207" s="163" t="str">
        <f>IF(AND(SnapshotTable[[#This Row],[LC Exp Date]]&gt;0, SnapshotTable[[#This Row],[LC Strike Price]]&gt;0,SnapshotTable[[#This Row],[LC Qty]]&gt;0,SnapshotTable[[#This Row],[LC Book Date]]&gt;0,SnapshotTable[[#This Row],[LC Book Price]]&gt;0,SnapshotTable[[#This Row],[LC Fill Date]]=0),"Y","")</f>
        <v/>
      </c>
      <c r="DQ207" s="386" t="str">
        <f>IF(SnapshotTable[[#This Row],[LC Premium]] &gt; 0,SnapshotTable[[#This Row],[LC Exp Date]]-MAX(SnapshotTable[[#This Row],[LC Book Date]], SnapshotTable[[#This Row],[LC Fill Date]]),"")</f>
        <v/>
      </c>
      <c r="DR207" s="386" t="str">
        <f>IF(ISNUMBER(SnapshotTable[[#This Row],[LC Term]]), SnapshotTable[[#This Row],[LC Exp Date]] - MockToday, "")</f>
        <v/>
      </c>
      <c r="DS207" s="23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40" t="str">
        <f>IF(ISNUMBER(SnapshotTable[[#This Row],[LC Actual Gain Loss]]), SnapshotTable[[#This Row],[LC Actual Gain Loss]] / SnapshotTable[[#This Row],[LC Premium]],"")</f>
        <v/>
      </c>
      <c r="DX207" s="284" t="str">
        <f>IF(ISNUMBER(SnapshotTable[[#This Row],[LC Book Price]]),SnapshotTable[[#This Row],[LC Book Price]] * 1.5,"")</f>
        <v/>
      </c>
      <c r="DY207" s="265" t="str">
        <f>IF(SnapshotTable[[#This Row],[LC Premium]]&gt;0, SnapshotTable[[#This Row],[LC Next Target]] * SnapshotTable[[#This Row],[LC Qty]] * 100,"")</f>
        <v/>
      </c>
      <c r="DZ207" s="265" t="str">
        <f>IF(ISNUMBER(SnapshotTable[[#This Row],[LC Target Gross]]), SnapshotTable[[#This Row],[LC Target Gross]] - SnapshotTable[[#This Row],[LC Premium]], "")</f>
        <v/>
      </c>
      <c r="EA207" s="305" t="str">
        <f>IF(ISNUMBER(SnapshotTable[[#This Row],[LC Target Gain Loss]]), SnapshotTable[[#This Row],[LC Target Gain Loss]]/SnapshotTable[[#This Row],[LC Premium]], "")</f>
        <v/>
      </c>
      <c r="EB207" s="262"/>
      <c r="EC207" s="283" t="str">
        <f>IF(SnapshotTable[[#This Row],[LC Premium]]&gt;0, SnapshotTable[[#This Row],[LC Book Price]] * (1 - LC_StopLoss_Pct),"")</f>
        <v/>
      </c>
      <c r="ED207" s="284"/>
      <c r="EE207" s="28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4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7"/>
      <c r="EL207" s="138"/>
      <c r="EM207" s="148"/>
      <c r="EN207" s="147"/>
      <c r="EO207" s="147"/>
      <c r="EP207" s="138"/>
      <c r="EQ207" s="419" t="b">
        <f>AND(ISNUMBER(SnapshotTable[[#This Row],[SC Exp Date]]), ISNUMBER(SnapshotTable[[#This Row],[SC Strike Price]]), ISNUMBER(SnapshotTable[[#This Row],[SC Qty]]), ISNUMBER(SnapshotTable[[#This Row],[SC Book Date]]), ISNUMBER(SnapshotTable[[#This Row],[SC Book Price]]))</f>
        <v>0</v>
      </c>
      <c r="ER207" s="419" t="b">
        <f>AND(SnapshotTable[[#This Row],[SC Is Booked]], NOT(ISBLANK(SnapshotTable[[#This Row],[SC Fill Date]])))</f>
        <v>0</v>
      </c>
      <c r="ES207" s="370"/>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3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283"/>
      <c r="FA207" s="218"/>
      <c r="FB207" s="370"/>
      <c r="FC207" s="4">
        <f>IF(SnapshotTable[[#This Row],[SC Is Filled]], btc_max_buyback_amount(SnapshotTable[[#This Row],[SC Fill Date]],SnapshotTable[[#This Row],[SC Exp Date]], SnapshotTable[[#This Row],[SC Book Price]]),0)</f>
        <v>0</v>
      </c>
      <c r="FD207" s="5"/>
      <c r="FE207" s="144"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382">
        <f>IF(SnapshotTable[[#This Row],[SC Is Filled]], IF(ISNUMBER(SnapshotTable[[#This Row],[SC Current Ask]]), SnapshotTable[[#This Row],[SC Current Ask]], SnapshotTable[[#This Row],[SC Book Price]]) - SnapshotTable[[#This Row],[SC Intrinsic Value]], 0)</f>
        <v>0</v>
      </c>
      <c r="FI207" s="143"/>
      <c r="FJ207" s="32" t="str">
        <f>IF(SnapshotTable[[#This Row],[SC Is Filled]],100 * SnapshotTable[[#This Row],[SC Qty]] * IF(ISNUMBER(SnapshotTable[[#This Row],[SC Buyback Override]]), SnapshotTable[[#This Row],[SC Buyback Override]], SnapshotTable[[#This Row],[SC Current Ask]]), "")</f>
        <v/>
      </c>
      <c r="FK207" s="250" t="str">
        <f>IF(SnapshotTable[[#This Row],[SC Time Val]]&gt;0, SnapshotTable[[#This Row],[SC Time Val]] / SnapshotTable[[#This Row],[Last Price]],"")</f>
        <v/>
      </c>
      <c r="FL207" s="302" t="str">
        <f>IF(SnapshotTable[[#This Row],[SC Is Booked]], ((SnapshotTable[[#This Row],[Last Price]] -SnapshotTable[[#This Row],[SC Strike Price]]) / SnapshotTable[[#This Row],[Last Price]]) * -1, "")</f>
        <v/>
      </c>
      <c r="FM207" s="157" t="str">
        <f>IF(SnapshotTable[[#This Row],[SC Is Booked]],  (SnapshotTable[[#This Row],[SC Qty]] * 100 * SnapshotTable[[#This Row],[SC Strike Price]]) - SnapshotTable[[#This Row],[SC Current Ask]], "")</f>
        <v/>
      </c>
      <c r="FN2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31"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33"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36" t="str">
        <f>IF(AND(ISNUMBER(SnapshotTable[[#This Row],[SC Simple ROO]]),SnapshotTable[[#This Row],[SC Simple ROO]] &gt; 0), SnapshotTable[[#This Row],[SC Premium]] + (SnapshotTable[[#This Row],[SC Qty]] * SnapshotTable[[#This Row],[SC Upside Potential]]), "")</f>
        <v/>
      </c>
      <c r="FX207" s="302" t="str" cm="1">
        <f t="array" ref="FX207">IF(ISNUMBER(SnapshotTable[[#This Row],[SC Max Dollars]]), annualize(SnapshotTable[[#This Row],[SC Term]],(SnapshotTable[[#This Row],[SC Max Dollars]]/SnapshotTable[[#This Row],[SC Basis]])),"")</f>
        <v/>
      </c>
      <c r="FY207" s="236" t="str">
        <f>IF(AND(SnapshotTable[[#This Row],[SC Qty]]&gt;0,SnapshotTable[[#This Row],[SC Current Ask]]&gt;0), SnapshotTable[[#This Row],[SC Qty]] * SnapshotTable[[#This Row],[SC Current Ask]] * -100, "")</f>
        <v/>
      </c>
      <c r="FZ207" s="31" t="str">
        <f>IF(ISNUMBER((SnapshotTable[[#This Row],[SC Current Value]])), SnapshotTable[[#This Row],[SC Premium]] + SnapshotTable[[#This Row],[SC Current Value]], "")</f>
        <v/>
      </c>
      <c r="GA207" s="29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0</v>
      </c>
      <c r="GD207" s="40">
        <f>SnapshotTable[[#This Row],[Last Price]] * (1+ SellingPriceToConsiderBasedOnTargetPercentage)</f>
        <v>30.595499999999998</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27" t="str">
        <f>IF(SnapshotTable[[#This Row],[Sale G/L]]&gt;0, SnapshotTable[[#This Row],[Sale G/L]] / SnapshotTable[[#This Row],[Sale Basis]], IF(ISNUMBER(SnapshotTable[[#This Row],[SC Exercise P&amp;L (TAX)]]), SnapshotTable[[#This Row],[SC Exercise P&amp;L (TAX)]] / SnapshotTable[[#This Row],[SC Basis]], ""))</f>
        <v/>
      </c>
      <c r="GK207" s="27"/>
      <c r="GL207" s="43"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43" t="str">
        <f>IF(AND(SnapshotTable[[#This Row],[LC Exp Date]]&gt;0,SnapshotTable[[#This Row],[LC Strike Price]]&gt;0), [1]!ToOptionSymbol(SnapshotTable[[#This Row],[Symbol]], SnapshotTable[[#This Row],[LC Strike Price]],SnapshotTable[[#This Row],[LC Exp Date]],0), "")</f>
        <v/>
      </c>
      <c r="GQ207" s="30" t="str">
        <f>IF(LEN(SnapshotTable[[#This Row],[LC Symbol]])&gt;0, 1, "")</f>
        <v/>
      </c>
      <c r="GR207" s="43" t="str">
        <f>IF(AND(SnapshotTable[[#This Row],[SC Exp Date]]&gt;0,SnapshotTable[[#This Row],[SC Strike Price]]&gt;0), [1]!ToOptionSymbol(SnapshotTable[[#This Row],[Symbol]], SnapshotTable[[#This Row],[SC Strike Price]],SnapshotTable[[#This Row],[SC Exp Date]],0), "")</f>
        <v/>
      </c>
      <c r="GS207" s="30" t="str">
        <f>IF(LEN(SnapshotTable[[#This Row],[SC Symbol]])&gt;0, 1, "")</f>
        <v/>
      </c>
      <c r="GT207" s="29"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31">
        <f>MAX(SnapshotTable[[#This Row],[Equity Basis Total]],SnapshotTable[[#This Row],[Equity Value]]) + (SnapshotTable[[#This Row],[SP Potential Spend]]- SnapshotTable[[#This Row],[SP Premium]] + SnapshotTable[[#This Row],[LP Premium]])+ (SnapshotTable[[#This Row],[LC Premium]] - SnapshotTable[[#This Row],[SC Premium]])</f>
        <v>0</v>
      </c>
      <c r="GW207" s="139" t="str">
        <f>IF(AND(SnapshotTable[[#This Row],[Exposure]] &lt;&gt; 0),SnapshotTable[[#This Row],[Exposure]] / SnapshotTable[[#Totals],[Exposure]], "")</f>
        <v/>
      </c>
      <c r="HE207" s="268"/>
      <c r="HF207" s="268"/>
      <c r="HK207" s="1"/>
      <c r="HL207" s="1"/>
      <c r="HM207" s="1"/>
      <c r="HN207" s="1"/>
      <c r="HO207" s="1"/>
      <c r="HP207" s="1"/>
    </row>
    <row r="208" spans="2:224" ht="12.75" hidden="1" customHeight="1" x14ac:dyDescent="0.25">
      <c r="B208" s="12" t="s">
        <v>30</v>
      </c>
      <c r="C208" s="422">
        <v>232.99</v>
      </c>
      <c r="D208" s="208"/>
      <c r="E208" s="39">
        <f>SnapshotTable[[#This Row],[Last Price]]*(1 -CrashDiscount)</f>
        <v>198.04150000000001</v>
      </c>
      <c r="F208" s="26" t="s">
        <v>29</v>
      </c>
      <c r="G208" s="26" t="s">
        <v>20</v>
      </c>
      <c r="H208" s="149"/>
      <c r="I208" s="194">
        <v>44771.270833333336</v>
      </c>
      <c r="J208" s="195">
        <v>44771.270833333336</v>
      </c>
      <c r="K208" s="196"/>
      <c r="L208" s="326" t="s">
        <v>28</v>
      </c>
      <c r="M208" s="140"/>
      <c r="N208" s="140" t="b">
        <v>1</v>
      </c>
      <c r="O208" s="140">
        <v>3</v>
      </c>
      <c r="P208" s="22"/>
      <c r="Q208" s="25"/>
      <c r="R208" s="4" t="str">
        <f>IF(SnapshotTable[[#This Row],[Equity Basis Total]] &gt; 0, SnapshotTable[[#This Row],[Equity Basis Total]] / SnapshotTable[[#This Row],[Equity Shares]], "")</f>
        <v/>
      </c>
      <c r="S208" s="269">
        <f>SnapshotTable[[#This Row],[Last Price]] * SnapshotTable[[#This Row],[Equity Shares]]</f>
        <v>0</v>
      </c>
      <c r="T208" s="269">
        <f>SnapshotTable[[#This Row],[Equity Value]] - SnapshotTable[[#This Row],[Equity Basis Total]]</f>
        <v>0</v>
      </c>
      <c r="U208" s="270" t="str">
        <f>IF(SnapshotTable[[#This Row],[Equity Basis Total]] &gt; 0, SnapshotTable[[#This Row],[Equity G/L]] / SnapshotTable[[#This Row],[Equity Basis Total]], "")</f>
        <v/>
      </c>
      <c r="V208" s="268"/>
      <c r="W208" s="26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7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0">
        <v>2.52</v>
      </c>
      <c r="AD208" s="151">
        <v>43805</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1.0815914846130734E-2</v>
      </c>
      <c r="AH208" s="151">
        <v>43784</v>
      </c>
      <c r="AI208" s="5">
        <v>175</v>
      </c>
      <c r="AJ208" s="138">
        <v>157.85</v>
      </c>
      <c r="AK208" s="152">
        <f>IF(ISNUMBER( SnapshotTable[[#This Row],[EBF Target]]),(SnapshotTable[[#This Row],[EBF Target]] - SnapshotTable[[#This Row],[Last Price]]) / SnapshotTable[[#This Row],[Last Price]], "")</f>
        <v>-0.24889480235203232</v>
      </c>
      <c r="AL208" s="152"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2">
        <f>IF(AND(ISNUMBER( SnapshotTable[[#This Row],[Long Term Target]]), ISNUMBER(SnapshotTable[[#This Row],[Last Price]])),(SnapshotTable[[#This Row],[Long Term Target]] - SnapshotTable[[#This Row],[Last Price]]) / SnapshotTable[[#This Row],[Last Price]], "")</f>
        <v>-0.32250311172153318</v>
      </c>
      <c r="AP208" s="5"/>
      <c r="AQ208" s="38"/>
      <c r="AR208" s="5"/>
      <c r="AS208" s="38"/>
      <c r="AT208" s="146"/>
      <c r="AU208" s="187" t="str">
        <f>IF(OR(SnapshotTable[[#This Row],[LP No Fill]]="Y",SnapshotTable[[#This Row],[SP Is Filled]],SnapshotTable[[#This Row],[LC Not Filled]]="Y",SnapshotTable[[#This Row],[SC Is Filled]]),"Y","")</f>
        <v/>
      </c>
      <c r="AV208" s="219"/>
      <c r="AW208" s="225"/>
      <c r="AX208" s="220"/>
      <c r="AY208" s="219" t="str">
        <f>IF(SnapshotTable[[#This Row],[Implied Move]]&gt;0, SnapshotTable[[#This Row],[Last Price]]-SnapshotTable[[#This Row],[Implied Move]],"")</f>
        <v/>
      </c>
      <c r="AZ208" s="219" t="str">
        <f>IF(SnapshotTable[[#This Row],[Implied Move]]&gt;0, SnapshotTable[[#This Row],[Last Price]] + SnapshotTable[[#This Row],[Implied Move]],"")</f>
        <v/>
      </c>
      <c r="BA208" s="331"/>
      <c r="BB208" s="347"/>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51"/>
      <c r="BE208" s="5"/>
      <c r="BF208" s="14"/>
      <c r="BG208" s="13"/>
      <c r="BH208" s="13"/>
      <c r="BI208" s="5"/>
      <c r="BJ208" s="136">
        <f>IF(SnapshotTable[[#This Row],[LP Qty]] &gt; 0, SnapshotTable[[#This Row],[LP Qty]] * SnapshotTable[[#This Row],[LP Book Price]] * 100,0)</f>
        <v>0</v>
      </c>
      <c r="BK208" s="136">
        <f>IF(SnapshotTable[[#This Row],[LP Premium]] &gt; 0, SnapshotTable[[#This Row],[LP Qty]] * SnapshotTable[[#This Row],[LP Strike Price]] * 100,0)</f>
        <v>0</v>
      </c>
      <c r="BL208" s="154"/>
      <c r="BM208" s="385" t="str">
        <f>IF(SnapshotTable[[#This Row],[LP Premium]] &gt; 0,SnapshotTable[[#This Row],[LP Exp Date]]-MAX(SnapshotTable[[#This Row],[LP Book Date]], SnapshotTable[[#This Row],[LP Fill Date]]),"")</f>
        <v/>
      </c>
      <c r="BN208" s="385" t="str">
        <f>IF(ISNUMBER( SnapshotTable[[#This Row],[LP Term]]), SnapshotTable[[#This Row],[LP Exp Date]] - MockToday,"")</f>
        <v/>
      </c>
      <c r="BO208" s="163"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7"/>
      <c r="BU208" s="13"/>
      <c r="BV208" s="5"/>
      <c r="BW208" s="419" t="b">
        <f>AND(ISNUMBER(SnapshotTable[[#This Row],[SP Exp Date]]), ISNUMBER(SnapshotTable[[#This Row],[SP Strike Price]]), ISNUMBER(SnapshotTable[[#This Row],[SP Qty]]), ISNUMBER(SnapshotTable[[#This Row],[SP Book Date]]), ISNUMBER(SnapshotTable[[#This Row],[SP Book Price]]))</f>
        <v>0</v>
      </c>
      <c r="BX208" s="419" t="b">
        <f>AND(SnapshotTable[[#This Row],[SP Is Booked]], NOT(ISBLANK(SnapshotTable[[#This Row],[SP Fill Date]])))</f>
        <v>0</v>
      </c>
      <c r="BY208" s="33">
        <f>IF(SnapshotTable[[#This Row],[SP Is Booked]], SnapshotTable[[#This Row],[SP Qty]] * SnapshotTable[[#This Row],[SP Book Price]] * 100, 0)</f>
        <v>0</v>
      </c>
      <c r="BZ208" s="369"/>
      <c r="CA208" s="368">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3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44"/>
      <c r="CK208" s="31">
        <f>IF(ISNUMBER(SnapshotTable[[#This Row],[SP Potential Spend]]),IF(ISNUMBER(SnapshotTable[[#This Row],[SP POW]]), SnapshotTable[[#This Row],[SP POW]] * SnapshotTable[[#This Row],[SP Potential Spend]], SnapshotTable[[#This Row],[SP Potential Spend]]), "")</f>
        <v>0</v>
      </c>
      <c r="CL208" s="164">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8"/>
      <c r="CO208" s="369"/>
      <c r="CP208" s="4" t="str">
        <f>IF(SnapshotTable[[#This Row],[SP Is Filled]], btc_max_buyback_amount(SnapshotTable[[#This Row],[SP Fill Date]],SnapshotTable[[#This Row],[SP Exp Date]], SnapshotTable[[#This Row],[SP Book Price]]),"")</f>
        <v/>
      </c>
      <c r="CQ208" s="78"/>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5" t="str">
        <f>IF(SnapshotTable[[#This Row],[SP Is Filled]], btc_next_cutoff_date(SnapshotTable[[#This Row],[SP Fill Date]],SnapshotTable[[#This Row],[SP Exp Date]]),"")</f>
        <v/>
      </c>
      <c r="CT208" s="23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3"/>
      <c r="CV208" s="235"/>
      <c r="CW208" s="378"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294" t="str">
        <f>IF(ISNUMBER((SnapshotTable[[#This Row],[SP Total Value]])), SnapshotTable[[#This Row],[SP Gain Loss]] / SnapshotTable[[#This Row],[SP Premium]], "")</f>
        <v/>
      </c>
      <c r="DI208" s="406"/>
      <c r="DJ208" s="138"/>
      <c r="DK208" s="148"/>
      <c r="DL208" s="13"/>
      <c r="DM208" s="13"/>
      <c r="DO208" s="31">
        <f>IF(SnapshotTable[[#This Row],[LC Symbol Count]]=1, SnapshotTable[[#This Row],[LC Qty]] * SnapshotTable[[#This Row],[LC Book Price]] * 100, 0)</f>
        <v>0</v>
      </c>
      <c r="DP208" s="163" t="str">
        <f>IF(AND(SnapshotTable[[#This Row],[LC Exp Date]]&gt;0, SnapshotTable[[#This Row],[LC Strike Price]]&gt;0,SnapshotTable[[#This Row],[LC Qty]]&gt;0,SnapshotTable[[#This Row],[LC Book Date]]&gt;0,SnapshotTable[[#This Row],[LC Book Price]]&gt;0,SnapshotTable[[#This Row],[LC Fill Date]]=0),"Y","")</f>
        <v/>
      </c>
      <c r="DQ208" s="386" t="str">
        <f>IF(SnapshotTable[[#This Row],[LC Premium]] &gt; 0,SnapshotTable[[#This Row],[LC Exp Date]]-MAX(SnapshotTable[[#This Row],[LC Book Date]], SnapshotTable[[#This Row],[LC Fill Date]]),"")</f>
        <v/>
      </c>
      <c r="DR208" s="386" t="str">
        <f>IF(ISNUMBER(SnapshotTable[[#This Row],[LC Term]]), SnapshotTable[[#This Row],[LC Exp Date]] - MockToday, "")</f>
        <v/>
      </c>
      <c r="DS208" s="23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40" t="str">
        <f>IF(ISNUMBER(SnapshotTable[[#This Row],[LC Actual Gain Loss]]), SnapshotTable[[#This Row],[LC Actual Gain Loss]] / SnapshotTable[[#This Row],[LC Premium]],"")</f>
        <v/>
      </c>
      <c r="DX208" s="284" t="str">
        <f>IF(ISNUMBER(SnapshotTable[[#This Row],[LC Book Price]]),SnapshotTable[[#This Row],[LC Book Price]] * 1.5,"")</f>
        <v/>
      </c>
      <c r="DY208" s="265" t="str">
        <f>IF(SnapshotTable[[#This Row],[LC Premium]]&gt;0, SnapshotTable[[#This Row],[LC Next Target]] * SnapshotTable[[#This Row],[LC Qty]] * 100,"")</f>
        <v/>
      </c>
      <c r="DZ208" s="265" t="str">
        <f>IF(ISNUMBER(SnapshotTable[[#This Row],[LC Target Gross]]), SnapshotTable[[#This Row],[LC Target Gross]] - SnapshotTable[[#This Row],[LC Premium]], "")</f>
        <v/>
      </c>
      <c r="EA208" s="305" t="str">
        <f>IF(ISNUMBER(SnapshotTable[[#This Row],[LC Target Gain Loss]]), SnapshotTable[[#This Row],[LC Target Gain Loss]]/SnapshotTable[[#This Row],[LC Premium]], "")</f>
        <v/>
      </c>
      <c r="EB208" s="262"/>
      <c r="EC208" s="283" t="str">
        <f>IF(SnapshotTable[[#This Row],[LC Premium]]&gt;0, SnapshotTable[[#This Row],[LC Book Price]] * (1 - LC_StopLoss_Pct),"")</f>
        <v/>
      </c>
      <c r="ED208" s="284"/>
      <c r="EE208" s="28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4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7"/>
      <c r="EL208" s="138"/>
      <c r="EM208" s="148"/>
      <c r="EN208" s="147"/>
      <c r="EO208" s="147"/>
      <c r="EP208" s="138"/>
      <c r="EQ208" s="419" t="b">
        <f>AND(ISNUMBER(SnapshotTable[[#This Row],[SC Exp Date]]), ISNUMBER(SnapshotTable[[#This Row],[SC Strike Price]]), ISNUMBER(SnapshotTable[[#This Row],[SC Qty]]), ISNUMBER(SnapshotTable[[#This Row],[SC Book Date]]), ISNUMBER(SnapshotTable[[#This Row],[SC Book Price]]))</f>
        <v>0</v>
      </c>
      <c r="ER208" s="419" t="b">
        <f>AND(SnapshotTable[[#This Row],[SC Is Booked]], NOT(ISBLANK(SnapshotTable[[#This Row],[SC Fill Date]])))</f>
        <v>0</v>
      </c>
      <c r="ES208" s="370"/>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3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283"/>
      <c r="FA208" s="218"/>
      <c r="FB208" s="370"/>
      <c r="FC208" s="4">
        <f>IF(SnapshotTable[[#This Row],[SC Is Filled]], btc_max_buyback_amount(SnapshotTable[[#This Row],[SC Fill Date]],SnapshotTable[[#This Row],[SC Exp Date]], SnapshotTable[[#This Row],[SC Book Price]]),0)</f>
        <v>0</v>
      </c>
      <c r="FD208" s="5"/>
      <c r="FE208" s="144"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382">
        <f>IF(SnapshotTable[[#This Row],[SC Is Filled]], IF(ISNUMBER(SnapshotTable[[#This Row],[SC Current Ask]]), SnapshotTable[[#This Row],[SC Current Ask]], SnapshotTable[[#This Row],[SC Book Price]]) - SnapshotTable[[#This Row],[SC Intrinsic Value]], 0)</f>
        <v>0</v>
      </c>
      <c r="FI208" s="143"/>
      <c r="FJ208" s="32" t="str">
        <f>IF(SnapshotTable[[#This Row],[SC Is Filled]],100 * SnapshotTable[[#This Row],[SC Qty]] * IF(ISNUMBER(SnapshotTable[[#This Row],[SC Buyback Override]]), SnapshotTable[[#This Row],[SC Buyback Override]], SnapshotTable[[#This Row],[SC Current Ask]]), "")</f>
        <v/>
      </c>
      <c r="FK208" s="250" t="str">
        <f>IF(SnapshotTable[[#This Row],[SC Time Val]]&gt;0, SnapshotTable[[#This Row],[SC Time Val]] / SnapshotTable[[#This Row],[Last Price]],"")</f>
        <v/>
      </c>
      <c r="FL208" s="302" t="str">
        <f>IF(SnapshotTable[[#This Row],[SC Is Booked]], ((SnapshotTable[[#This Row],[Last Price]] -SnapshotTable[[#This Row],[SC Strike Price]]) / SnapshotTable[[#This Row],[Last Price]]) * -1, "")</f>
        <v/>
      </c>
      <c r="FM208" s="157"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33"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36" t="str">
        <f>IF(AND(ISNUMBER(SnapshotTable[[#This Row],[SC Simple ROO]]),SnapshotTable[[#This Row],[SC Simple ROO]] &gt; 0), SnapshotTable[[#This Row],[SC Premium]] + (SnapshotTable[[#This Row],[SC Qty]] * SnapshotTable[[#This Row],[SC Upside Potential]]), "")</f>
        <v/>
      </c>
      <c r="FX208" s="302" t="str" cm="1">
        <f t="array" ref="FX208">IF(ISNUMBER(SnapshotTable[[#This Row],[SC Max Dollars]]), annualize(SnapshotTable[[#This Row],[SC Term]],(SnapshotTable[[#This Row],[SC Max Dollars]]/SnapshotTable[[#This Row],[SC Basis]])),"")</f>
        <v/>
      </c>
      <c r="FY208" s="23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29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149.95749999999998</v>
      </c>
      <c r="GD208" s="40">
        <f>SnapshotTable[[#This Row],[Last Price]] * (1+ SellingPriceToConsiderBasedOnTargetPercentage)</f>
        <v>454.33050000000003</v>
      </c>
      <c r="GE208" s="41"/>
      <c r="GF208" s="40"/>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723</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31">
        <f>MAX(SnapshotTable[[#This Row],[Equity Basis Total]],SnapshotTable[[#This Row],[Equity Value]]) + (SnapshotTable[[#This Row],[SP Potential Spend]]- SnapshotTable[[#This Row],[SP Premium]] + SnapshotTable[[#This Row],[LP Premium]])+ (SnapshotTable[[#This Row],[LC Premium]] - SnapshotTable[[#This Row],[SC Premium]])</f>
        <v>0</v>
      </c>
      <c r="GW208" s="139" t="str">
        <f>IF(AND(SnapshotTable[[#This Row],[Exposure]] &lt;&gt; 0),SnapshotTable[[#This Row],[Exposure]] / SnapshotTable[[#Totals],[Exposure]], "")</f>
        <v/>
      </c>
      <c r="GX208" s="2"/>
      <c r="HE208" s="268"/>
      <c r="HF208" s="268"/>
      <c r="HK208" s="1"/>
      <c r="HL208" s="1"/>
      <c r="HM208" s="1"/>
      <c r="HN208" s="1"/>
      <c r="HO208" s="1"/>
      <c r="HP208" s="1"/>
    </row>
    <row r="209" spans="2:224" ht="12.75" hidden="1" customHeight="1" x14ac:dyDescent="0.25">
      <c r="B209" s="12" t="s">
        <v>83</v>
      </c>
      <c r="C209" s="422">
        <v>39.549999999999997</v>
      </c>
      <c r="D209" s="208"/>
      <c r="E209" s="39">
        <f>SnapshotTable[[#This Row],[Last Price]]*(1 -CrashDiscount)</f>
        <v>33.6175</v>
      </c>
      <c r="F209" s="26" t="s">
        <v>82</v>
      </c>
      <c r="G209" s="26" t="s">
        <v>14</v>
      </c>
      <c r="H209" s="149"/>
      <c r="I209" s="194">
        <v>44771.270833333336</v>
      </c>
      <c r="J209" s="195">
        <v>44771.270833333336</v>
      </c>
      <c r="K209" s="196"/>
      <c r="L209" s="326"/>
      <c r="M209" s="140"/>
      <c r="N209" s="140"/>
      <c r="O209" s="140"/>
      <c r="P209" s="22"/>
      <c r="Q209" s="25"/>
      <c r="R209" s="4" t="str">
        <f>IF(SnapshotTable[[#This Row],[Equity Basis Total]] &gt; 0, SnapshotTable[[#This Row],[Equity Basis Total]] / SnapshotTable[[#This Row],[Equity Shares]], "")</f>
        <v/>
      </c>
      <c r="S209" s="269">
        <f>SnapshotTable[[#This Row],[Last Price]] * SnapshotTable[[#This Row],[Equity Shares]]</f>
        <v>0</v>
      </c>
      <c r="T209" s="269">
        <f>SnapshotTable[[#This Row],[Equity Value]] - SnapshotTable[[#This Row],[Equity Basis Total]]</f>
        <v>0</v>
      </c>
      <c r="U209" s="270" t="str">
        <f>IF(SnapshotTable[[#This Row],[Equity Basis Total]] &gt; 0, SnapshotTable[[#This Row],[Equity G/L]] / SnapshotTable[[#This Row],[Equity Basis Total]], "")</f>
        <v/>
      </c>
      <c r="V209" s="268"/>
      <c r="W209" s="26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7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0">
        <v>0.88</v>
      </c>
      <c r="AD209" s="151">
        <v>42738</v>
      </c>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2.2250316055625791E-2</v>
      </c>
      <c r="AH209" s="151">
        <v>42712</v>
      </c>
      <c r="AI209" s="5"/>
      <c r="AJ209" s="138">
        <v>17.329999999999998</v>
      </c>
      <c r="AK209" s="152" t="str">
        <f>IF(ISNUMBER( SnapshotTable[[#This Row],[EBF Target]]),(SnapshotTable[[#This Row],[EBF Target]] - SnapshotTable[[#This Row],[Last Price]]) / SnapshotTable[[#This Row],[Last Price]], "")</f>
        <v/>
      </c>
      <c r="AL209" s="152"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2">
        <f>IF(AND(ISNUMBER( SnapshotTable[[#This Row],[Long Term Target]]), ISNUMBER(SnapshotTable[[#This Row],[Last Price]])),(SnapshotTable[[#This Row],[Long Term Target]] - SnapshotTable[[#This Row],[Last Price]]) / SnapshotTable[[#This Row],[Last Price]], "")</f>
        <v>-0.56182048040455124</v>
      </c>
      <c r="AP209" s="5">
        <v>26</v>
      </c>
      <c r="AQ209" s="38" t="s">
        <v>46</v>
      </c>
      <c r="AR209" s="5">
        <v>23</v>
      </c>
      <c r="AS209" s="38" t="s">
        <v>26</v>
      </c>
      <c r="AT209" s="146"/>
      <c r="AU209" s="187" t="str">
        <f>IF(OR(SnapshotTable[[#This Row],[LP No Fill]]="Y",SnapshotTable[[#This Row],[SP Is Filled]],SnapshotTable[[#This Row],[LC Not Filled]]="Y",SnapshotTable[[#This Row],[SC Is Filled]]),"Y","")</f>
        <v/>
      </c>
      <c r="AV209" s="219"/>
      <c r="AW209" s="225"/>
      <c r="AX209" s="220"/>
      <c r="AY209" s="219" t="str">
        <f>IF(SnapshotTable[[#This Row],[Implied Move]]&gt;0, SnapshotTable[[#This Row],[Last Price]]-SnapshotTable[[#This Row],[Implied Move]],"")</f>
        <v/>
      </c>
      <c r="AZ209" s="219" t="str">
        <f>IF(SnapshotTable[[#This Row],[Implied Move]]&gt;0, SnapshotTable[[#This Row],[Last Price]] + SnapshotTable[[#This Row],[Implied Move]],"")</f>
        <v/>
      </c>
      <c r="BA209" s="331"/>
      <c r="BB209" s="347"/>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51"/>
      <c r="BE209" s="5"/>
      <c r="BF209" s="14"/>
      <c r="BG209" s="13"/>
      <c r="BH209" s="13"/>
      <c r="BI209" s="5"/>
      <c r="BJ209" s="136">
        <f>IF(SnapshotTable[[#This Row],[LP Qty]] &gt; 0, SnapshotTable[[#This Row],[LP Qty]] * SnapshotTable[[#This Row],[LP Book Price]] * 100,0)</f>
        <v>0</v>
      </c>
      <c r="BK209" s="136">
        <f>IF(SnapshotTable[[#This Row],[LP Premium]] &gt; 0, SnapshotTable[[#This Row],[LP Qty]] * SnapshotTable[[#This Row],[LP Strike Price]] * 100,0)</f>
        <v>0</v>
      </c>
      <c r="BL209" s="154"/>
      <c r="BM209" s="385" t="str">
        <f>IF(SnapshotTable[[#This Row],[LP Premium]] &gt; 0,SnapshotTable[[#This Row],[LP Exp Date]]-MAX(SnapshotTable[[#This Row],[LP Book Date]], SnapshotTable[[#This Row],[LP Fill Date]]),"")</f>
        <v/>
      </c>
      <c r="BN209" s="385" t="str">
        <f>IF(ISNUMBER( SnapshotTable[[#This Row],[LP Term]]), SnapshotTable[[#This Row],[LP Exp Date]] - MockToday,"")</f>
        <v/>
      </c>
      <c r="BO209" s="163"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7"/>
      <c r="BU209" s="13"/>
      <c r="BV209" s="5"/>
      <c r="BW209" s="419" t="b">
        <f>AND(ISNUMBER(SnapshotTable[[#This Row],[SP Exp Date]]), ISNUMBER(SnapshotTable[[#This Row],[SP Strike Price]]), ISNUMBER(SnapshotTable[[#This Row],[SP Qty]]), ISNUMBER(SnapshotTable[[#This Row],[SP Book Date]]), ISNUMBER(SnapshotTable[[#This Row],[SP Book Price]]))</f>
        <v>0</v>
      </c>
      <c r="BX209" s="419" t="b">
        <f>AND(SnapshotTable[[#This Row],[SP Is Booked]], NOT(ISBLANK(SnapshotTable[[#This Row],[SP Fill Date]])))</f>
        <v>0</v>
      </c>
      <c r="BY209" s="33">
        <f>IF(SnapshotTable[[#This Row],[SP Is Booked]], SnapshotTable[[#This Row],[SP Qty]] * SnapshotTable[[#This Row],[SP Book Price]] * 100, 0)</f>
        <v>0</v>
      </c>
      <c r="BZ209" s="369"/>
      <c r="CA209" s="368">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3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44"/>
      <c r="CK209" s="31">
        <f>IF(ISNUMBER(SnapshotTable[[#This Row],[SP Potential Spend]]),IF(ISNUMBER(SnapshotTable[[#This Row],[SP POW]]), SnapshotTable[[#This Row],[SP POW]] * SnapshotTable[[#This Row],[SP Potential Spend]], SnapshotTable[[#This Row],[SP Potential Spend]]), "")</f>
        <v>0</v>
      </c>
      <c r="CL209" s="164">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8"/>
      <c r="CO209" s="369"/>
      <c r="CP209" s="4" t="str">
        <f>IF(SnapshotTable[[#This Row],[SP Is Filled]], btc_max_buyback_amount(SnapshotTable[[#This Row],[SP Fill Date]],SnapshotTable[[#This Row],[SP Exp Date]], SnapshotTable[[#This Row],[SP Book Price]]),"")</f>
        <v/>
      </c>
      <c r="CQ209" s="78"/>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5" t="str">
        <f>IF(SnapshotTable[[#This Row],[SP Is Filled]], btc_next_cutoff_date(SnapshotTable[[#This Row],[SP Fill Date]],SnapshotTable[[#This Row],[SP Exp Date]]),"")</f>
        <v/>
      </c>
      <c r="CT209" s="23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43"/>
      <c r="CV209" s="235"/>
      <c r="CW209" s="378"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294" t="str">
        <f>IF(ISNUMBER((SnapshotTable[[#This Row],[SP Total Value]])), SnapshotTable[[#This Row],[SP Gain Loss]] / SnapshotTable[[#This Row],[SP Premium]], "")</f>
        <v/>
      </c>
      <c r="DI209" s="406"/>
      <c r="DJ209" s="138"/>
      <c r="DK209" s="148"/>
      <c r="DL209" s="13"/>
      <c r="DM209" s="13"/>
      <c r="DO209" s="31">
        <f>IF(SnapshotTable[[#This Row],[LC Symbol Count]]=1, SnapshotTable[[#This Row],[LC Qty]] * SnapshotTable[[#This Row],[LC Book Price]] * 100, 0)</f>
        <v>0</v>
      </c>
      <c r="DP209" s="163" t="str">
        <f>IF(AND(SnapshotTable[[#This Row],[LC Exp Date]]&gt;0, SnapshotTable[[#This Row],[LC Strike Price]]&gt;0,SnapshotTable[[#This Row],[LC Qty]]&gt;0,SnapshotTable[[#This Row],[LC Book Date]]&gt;0,SnapshotTable[[#This Row],[LC Book Price]]&gt;0,SnapshotTable[[#This Row],[LC Fill Date]]=0),"Y","")</f>
        <v/>
      </c>
      <c r="DQ209" s="386" t="str">
        <f>IF(SnapshotTable[[#This Row],[LC Premium]] &gt; 0,SnapshotTable[[#This Row],[LC Exp Date]]-MAX(SnapshotTable[[#This Row],[LC Book Date]], SnapshotTable[[#This Row],[LC Fill Date]]),"")</f>
        <v/>
      </c>
      <c r="DR209" s="386" t="str">
        <f>IF(ISNUMBER(SnapshotTable[[#This Row],[LC Term]]), SnapshotTable[[#This Row],[LC Exp Date]] - MockToday, "")</f>
        <v/>
      </c>
      <c r="DS209" s="23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40" t="str">
        <f>IF(ISNUMBER(SnapshotTable[[#This Row],[LC Actual Gain Loss]]), SnapshotTable[[#This Row],[LC Actual Gain Loss]] / SnapshotTable[[#This Row],[LC Premium]],"")</f>
        <v/>
      </c>
      <c r="DX209" s="284" t="str">
        <f>IF(ISNUMBER(SnapshotTable[[#This Row],[LC Book Price]]),SnapshotTable[[#This Row],[LC Book Price]] * 1.5,"")</f>
        <v/>
      </c>
      <c r="DY209" s="265" t="str">
        <f>IF(SnapshotTable[[#This Row],[LC Premium]]&gt;0, SnapshotTable[[#This Row],[LC Next Target]] * SnapshotTable[[#This Row],[LC Qty]] * 100,"")</f>
        <v/>
      </c>
      <c r="DZ209" s="265" t="str">
        <f>IF(ISNUMBER(SnapshotTable[[#This Row],[LC Target Gross]]), SnapshotTable[[#This Row],[LC Target Gross]] - SnapshotTable[[#This Row],[LC Premium]], "")</f>
        <v/>
      </c>
      <c r="EA209" s="305" t="str">
        <f>IF(ISNUMBER(SnapshotTable[[#This Row],[LC Target Gain Loss]]), SnapshotTable[[#This Row],[LC Target Gain Loss]]/SnapshotTable[[#This Row],[LC Premium]], "")</f>
        <v/>
      </c>
      <c r="EB209" s="262"/>
      <c r="EC209" s="283" t="str">
        <f>IF(SnapshotTable[[#This Row],[LC Premium]]&gt;0, SnapshotTable[[#This Row],[LC Book Price]] * (1 - LC_StopLoss_Pct),"")</f>
        <v/>
      </c>
      <c r="ED209" s="284"/>
      <c r="EE209" s="28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4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7"/>
      <c r="EL209" s="138"/>
      <c r="EM209" s="148"/>
      <c r="EN209" s="147"/>
      <c r="EO209" s="147"/>
      <c r="EP209" s="138"/>
      <c r="EQ209" s="419" t="b">
        <f>AND(ISNUMBER(SnapshotTable[[#This Row],[SC Exp Date]]), ISNUMBER(SnapshotTable[[#This Row],[SC Strike Price]]), ISNUMBER(SnapshotTable[[#This Row],[SC Qty]]), ISNUMBER(SnapshotTable[[#This Row],[SC Book Date]]), ISNUMBER(SnapshotTable[[#This Row],[SC Book Price]]))</f>
        <v>0</v>
      </c>
      <c r="ER209" s="419" t="b">
        <f>AND(SnapshotTable[[#This Row],[SC Is Booked]], NOT(ISBLANK(SnapshotTable[[#This Row],[SC Fill Date]])))</f>
        <v>0</v>
      </c>
      <c r="ES209" s="370"/>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3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283"/>
      <c r="FA209" s="218"/>
      <c r="FB209" s="370"/>
      <c r="FC209" s="4">
        <f>IF(SnapshotTable[[#This Row],[SC Is Filled]], btc_max_buyback_amount(SnapshotTable[[#This Row],[SC Fill Date]],SnapshotTable[[#This Row],[SC Exp Date]], SnapshotTable[[#This Row],[SC Book Price]]),0)</f>
        <v>0</v>
      </c>
      <c r="FD209" s="5"/>
      <c r="FE209" s="144"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382">
        <f>IF(SnapshotTable[[#This Row],[SC Is Filled]], IF(ISNUMBER(SnapshotTable[[#This Row],[SC Current Ask]]), SnapshotTable[[#This Row],[SC Current Ask]], SnapshotTable[[#This Row],[SC Book Price]]) - SnapshotTable[[#This Row],[SC Intrinsic Value]], 0)</f>
        <v>0</v>
      </c>
      <c r="FI209" s="143"/>
      <c r="FJ209" s="32" t="str">
        <f>IF(SnapshotTable[[#This Row],[SC Is Filled]],100 * SnapshotTable[[#This Row],[SC Qty]] * IF(ISNUMBER(SnapshotTable[[#This Row],[SC Buyback Override]]), SnapshotTable[[#This Row],[SC Buyback Override]], SnapshotTable[[#This Row],[SC Current Ask]]), "")</f>
        <v/>
      </c>
      <c r="FK209" s="250" t="str">
        <f>IF(SnapshotTable[[#This Row],[SC Time Val]]&gt;0, SnapshotTable[[#This Row],[SC Time Val]] / SnapshotTable[[#This Row],[Last Price]],"")</f>
        <v/>
      </c>
      <c r="FL209" s="302" t="str">
        <f>IF(SnapshotTable[[#This Row],[SC Is Booked]], ((SnapshotTable[[#This Row],[Last Price]] -SnapshotTable[[#This Row],[SC Strike Price]]) / SnapshotTable[[#This Row],[Last Price]]) * -1, "")</f>
        <v/>
      </c>
      <c r="FM209" s="157"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33"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36" t="str">
        <f>IF(AND(ISNUMBER(SnapshotTable[[#This Row],[SC Simple ROO]]),SnapshotTable[[#This Row],[SC Simple ROO]] &gt; 0), SnapshotTable[[#This Row],[SC Premium]] + (SnapshotTable[[#This Row],[SC Qty]] * SnapshotTable[[#This Row],[SC Upside Potential]]), "")</f>
        <v/>
      </c>
      <c r="FX209" s="302" t="str" cm="1">
        <f t="array" ref="FX209">IF(ISNUMBER(SnapshotTable[[#This Row],[SC Max Dollars]]), annualize(SnapshotTable[[#This Row],[SC Term]],(SnapshotTable[[#This Row],[SC Max Dollars]]/SnapshotTable[[#This Row],[SC Basis]])),"")</f>
        <v/>
      </c>
      <c r="FY209" s="23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29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16.463499999999996</v>
      </c>
      <c r="GD209" s="40">
        <f>SnapshotTable[[#This Row],[Last Price]] * (1+ SellingPriceToConsiderBasedOnTargetPercentage)</f>
        <v>77.122499999999988</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t="s">
        <v>724</v>
      </c>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31">
        <f>MAX(SnapshotTable[[#This Row],[Equity Basis Total]],SnapshotTable[[#This Row],[Equity Value]]) + (SnapshotTable[[#This Row],[SP Potential Spend]]- SnapshotTable[[#This Row],[SP Premium]] + SnapshotTable[[#This Row],[LP Premium]])+ (SnapshotTable[[#This Row],[LC Premium]] - SnapshotTable[[#This Row],[SC Premium]])</f>
        <v>0</v>
      </c>
      <c r="GW209" s="139" t="str">
        <f>IF(AND(SnapshotTable[[#This Row],[Exposure]] &lt;&gt; 0),SnapshotTable[[#This Row],[Exposure]] / SnapshotTable[[#Totals],[Exposure]], "")</f>
        <v/>
      </c>
      <c r="GX209" s="46"/>
      <c r="HE209" s="268"/>
      <c r="HF209" s="268"/>
      <c r="HK209" s="1"/>
      <c r="HL209" s="1"/>
      <c r="HM209" s="1"/>
      <c r="HN209" s="1"/>
      <c r="HO209" s="1"/>
      <c r="HP209" s="1"/>
    </row>
    <row r="210" spans="2:224" ht="12.75" hidden="1" customHeight="1" x14ac:dyDescent="0.25">
      <c r="B210" s="12" t="s">
        <v>156</v>
      </c>
      <c r="C210" s="422">
        <v>103.11</v>
      </c>
      <c r="D210" s="208"/>
      <c r="E210" s="39">
        <f>SnapshotTable[[#This Row],[Last Price]]*(1 -CrashDiscount)</f>
        <v>87.643500000000003</v>
      </c>
      <c r="F210" s="26" t="s">
        <v>155</v>
      </c>
      <c r="G210" s="26" t="s">
        <v>4</v>
      </c>
      <c r="H210" s="149"/>
      <c r="I210" s="194">
        <v>44768</v>
      </c>
      <c r="J210" s="195">
        <v>44768</v>
      </c>
      <c r="K210" s="196"/>
      <c r="L210" s="326"/>
      <c r="M210" s="140"/>
      <c r="N210" s="140"/>
      <c r="O210" s="140"/>
      <c r="P210" s="22"/>
      <c r="Q210" s="25"/>
      <c r="R210" s="4" t="str">
        <f>IF(SnapshotTable[[#This Row],[Equity Basis Total]] &gt; 0, SnapshotTable[[#This Row],[Equity Basis Total]] / SnapshotTable[[#This Row],[Equity Shares]], "")</f>
        <v/>
      </c>
      <c r="S210" s="269">
        <f>SnapshotTable[[#This Row],[Last Price]] * SnapshotTable[[#This Row],[Equity Shares]]</f>
        <v>0</v>
      </c>
      <c r="T210" s="269">
        <f>SnapshotTable[[#This Row],[Equity Value]] - SnapshotTable[[#This Row],[Equity Basis Total]]</f>
        <v>0</v>
      </c>
      <c r="U210" s="270" t="str">
        <f>IF(SnapshotTable[[#This Row],[Equity Basis Total]] &gt; 0, SnapshotTable[[#This Row],[Equity G/L]] / SnapshotTable[[#This Row],[Equity Basis Total]], "")</f>
        <v/>
      </c>
      <c r="V210" s="268"/>
      <c r="W210" s="26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7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0">
        <v>2</v>
      </c>
      <c r="AD210" s="151">
        <v>42641</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1.9396760740956261E-2</v>
      </c>
      <c r="AH210" s="151">
        <v>42682</v>
      </c>
      <c r="AI210" s="5"/>
      <c r="AJ210" s="138">
        <v>28.47</v>
      </c>
      <c r="AK210" s="152" t="str">
        <f>IF(ISNUMBER( SnapshotTable[[#This Row],[EBF Target]]),(SnapshotTable[[#This Row],[EBF Target]] - SnapshotTable[[#This Row],[Last Price]]) / SnapshotTable[[#This Row],[Last Price]], "")</f>
        <v/>
      </c>
      <c r="AL210" s="152"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2">
        <f>IF(AND(ISNUMBER( SnapshotTable[[#This Row],[Long Term Target]]), ISNUMBER(SnapshotTable[[#This Row],[Last Price]])),(SnapshotTable[[#This Row],[Long Term Target]] - SnapshotTable[[#This Row],[Last Price]]) / SnapshotTable[[#This Row],[Last Price]], "")</f>
        <v>-0.72388711085248769</v>
      </c>
      <c r="AP210" s="5"/>
      <c r="AQ210" s="38"/>
      <c r="AR210" s="5"/>
      <c r="AS210" s="38"/>
      <c r="AT210" s="146"/>
      <c r="AU210" s="187" t="str">
        <f>IF(OR(SnapshotTable[[#This Row],[LP No Fill]]="Y",SnapshotTable[[#This Row],[SP Is Filled]],SnapshotTable[[#This Row],[LC Not Filled]]="Y",SnapshotTable[[#This Row],[SC Is Filled]]),"Y","")</f>
        <v/>
      </c>
      <c r="AV210" s="219"/>
      <c r="AW210" s="225"/>
      <c r="AX210" s="220"/>
      <c r="AY210" s="219" t="str">
        <f>IF(SnapshotTable[[#This Row],[Implied Move]]&gt;0, SnapshotTable[[#This Row],[Last Price]]-SnapshotTable[[#This Row],[Implied Move]],"")</f>
        <v/>
      </c>
      <c r="AZ210" s="219" t="str">
        <f>IF(SnapshotTable[[#This Row],[Implied Move]]&gt;0, SnapshotTable[[#This Row],[Last Price]] + SnapshotTable[[#This Row],[Implied Move]],"")</f>
        <v/>
      </c>
      <c r="BA210" s="331"/>
      <c r="BB210" s="347"/>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51"/>
      <c r="BE210" s="5"/>
      <c r="BF210" s="14"/>
      <c r="BG210" s="13"/>
      <c r="BH210" s="13"/>
      <c r="BI210" s="5"/>
      <c r="BJ210" s="136"/>
      <c r="BK210" s="136">
        <f>IF(SnapshotTable[[#This Row],[LP Premium]] &gt; 0, SnapshotTable[[#This Row],[LP Qty]] * SnapshotTable[[#This Row],[LP Strike Price]] * 100,0)</f>
        <v>0</v>
      </c>
      <c r="BL210" s="154"/>
      <c r="BM210" s="385" t="str">
        <f>IF(SnapshotTable[[#This Row],[LP Premium]] &gt; 0,SnapshotTable[[#This Row],[LP Exp Date]]-MAX(SnapshotTable[[#This Row],[LP Book Date]], SnapshotTable[[#This Row],[LP Fill Date]]),"")</f>
        <v/>
      </c>
      <c r="BN210" s="385" t="str">
        <f>IF(ISNUMBER( SnapshotTable[[#This Row],[LP Term]]), SnapshotTable[[#This Row],[LP Exp Date]] - MockToday,"")</f>
        <v/>
      </c>
      <c r="BO210" s="163"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7"/>
      <c r="BU210" s="13"/>
      <c r="BV210" s="5"/>
      <c r="BW210" s="419" t="b">
        <f>AND(ISNUMBER(SnapshotTable[[#This Row],[SP Exp Date]]), ISNUMBER(SnapshotTable[[#This Row],[SP Strike Price]]), ISNUMBER(SnapshotTable[[#This Row],[SP Qty]]), ISNUMBER(SnapshotTable[[#This Row],[SP Book Date]]), ISNUMBER(SnapshotTable[[#This Row],[SP Book Price]]))</f>
        <v>0</v>
      </c>
      <c r="BX210" s="419" t="b">
        <f>AND(SnapshotTable[[#This Row],[SP Is Booked]], NOT(ISBLANK(SnapshotTable[[#This Row],[SP Fill Date]])))</f>
        <v>0</v>
      </c>
      <c r="BY210" s="33">
        <f>IF(SnapshotTable[[#This Row],[SP Is Booked]], SnapshotTable[[#This Row],[SP Qty]] * SnapshotTable[[#This Row],[SP Book Price]] * 100, 0)</f>
        <v>0</v>
      </c>
      <c r="BZ210" s="369"/>
      <c r="CA210" s="368">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3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44"/>
      <c r="CK210" s="31">
        <f>IF(ISNUMBER(SnapshotTable[[#This Row],[SP Potential Spend]]),IF(ISNUMBER(SnapshotTable[[#This Row],[SP POW]]), SnapshotTable[[#This Row],[SP POW]] * SnapshotTable[[#This Row],[SP Potential Spend]], SnapshotTable[[#This Row],[SP Potential Spend]]), "")</f>
        <v>0</v>
      </c>
      <c r="CL210" s="164">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8"/>
      <c r="CO210" s="369"/>
      <c r="CP210" s="4" t="str">
        <f>IF(SnapshotTable[[#This Row],[SP Is Filled]], btc_max_buyback_amount(SnapshotTable[[#This Row],[SP Fill Date]],SnapshotTable[[#This Row],[SP Exp Date]], SnapshotTable[[#This Row],[SP Book Price]]),"")</f>
        <v/>
      </c>
      <c r="CQ210" s="78"/>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5" t="str">
        <f>IF(SnapshotTable[[#This Row],[SP Is Filled]], btc_next_cutoff_date(SnapshotTable[[#This Row],[SP Fill Date]],SnapshotTable[[#This Row],[SP Exp Date]]),"")</f>
        <v/>
      </c>
      <c r="CT210" s="23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3"/>
      <c r="CV210" s="235"/>
      <c r="CW210" s="378"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294" t="str">
        <f>IF(ISNUMBER((SnapshotTable[[#This Row],[SP Total Value]])), SnapshotTable[[#This Row],[SP Gain Loss]] / SnapshotTable[[#This Row],[SP Premium]], "")</f>
        <v/>
      </c>
      <c r="DI210" s="406"/>
      <c r="DJ210" s="138"/>
      <c r="DK210" s="148"/>
      <c r="DL210" s="13"/>
      <c r="DM210" s="13"/>
      <c r="DO210" s="31">
        <f>IF(SnapshotTable[[#This Row],[LC Symbol Count]]=1, SnapshotTable[[#This Row],[LC Qty]] * SnapshotTable[[#This Row],[LC Book Price]] * 100, 0)</f>
        <v>0</v>
      </c>
      <c r="DP210" s="163" t="str">
        <f>IF(AND(SnapshotTable[[#This Row],[LC Exp Date]]&gt;0, SnapshotTable[[#This Row],[LC Strike Price]]&gt;0,SnapshotTable[[#This Row],[LC Qty]]&gt;0,SnapshotTable[[#This Row],[LC Book Date]]&gt;0,SnapshotTable[[#This Row],[LC Book Price]]&gt;0,SnapshotTable[[#This Row],[LC Fill Date]]=0),"Y","")</f>
        <v/>
      </c>
      <c r="DQ210" s="386" t="str">
        <f>IF(SnapshotTable[[#This Row],[LC Premium]] &gt; 0,SnapshotTable[[#This Row],[LC Exp Date]]-MAX(SnapshotTable[[#This Row],[LC Book Date]], SnapshotTable[[#This Row],[LC Fill Date]]),"")</f>
        <v/>
      </c>
      <c r="DR210" s="386" t="str">
        <f>IF(ISNUMBER(SnapshotTable[[#This Row],[LC Term]]), SnapshotTable[[#This Row],[LC Exp Date]] - MockToday, "")</f>
        <v/>
      </c>
      <c r="DS210" s="23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40" t="str">
        <f>IF(ISNUMBER(SnapshotTable[[#This Row],[LC Actual Gain Loss]]), SnapshotTable[[#This Row],[LC Actual Gain Loss]] / SnapshotTable[[#This Row],[LC Premium]],"")</f>
        <v/>
      </c>
      <c r="DX210" s="284" t="str">
        <f>IF(ISNUMBER(SnapshotTable[[#This Row],[LC Book Price]]),SnapshotTable[[#This Row],[LC Book Price]] * 1.5,"")</f>
        <v/>
      </c>
      <c r="DY210" s="265" t="str">
        <f>IF(SnapshotTable[[#This Row],[LC Premium]]&gt;0, SnapshotTable[[#This Row],[LC Next Target]] * SnapshotTable[[#This Row],[LC Qty]] * 100,"")</f>
        <v/>
      </c>
      <c r="DZ210" s="265" t="str">
        <f>IF(ISNUMBER(SnapshotTable[[#This Row],[LC Target Gross]]), SnapshotTable[[#This Row],[LC Target Gross]] - SnapshotTable[[#This Row],[LC Premium]], "")</f>
        <v/>
      </c>
      <c r="EA210" s="305" t="str">
        <f>IF(ISNUMBER(SnapshotTable[[#This Row],[LC Target Gain Loss]]), SnapshotTable[[#This Row],[LC Target Gain Loss]]/SnapshotTable[[#This Row],[LC Premium]], "")</f>
        <v/>
      </c>
      <c r="EB210" s="262"/>
      <c r="EC210" s="283" t="str">
        <f>IF(SnapshotTable[[#This Row],[LC Premium]]&gt;0, SnapshotTable[[#This Row],[LC Book Price]] * (1 - LC_StopLoss_Pct),"")</f>
        <v/>
      </c>
      <c r="ED210" s="284"/>
      <c r="EE210" s="28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4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7"/>
      <c r="EL210" s="138"/>
      <c r="EM210" s="148"/>
      <c r="EN210" s="147"/>
      <c r="EO210" s="147"/>
      <c r="EP210" s="138"/>
      <c r="EQ210" s="419" t="b">
        <f>AND(ISNUMBER(SnapshotTable[[#This Row],[SC Exp Date]]), ISNUMBER(SnapshotTable[[#This Row],[SC Strike Price]]), ISNUMBER(SnapshotTable[[#This Row],[SC Qty]]), ISNUMBER(SnapshotTable[[#This Row],[SC Book Date]]), ISNUMBER(SnapshotTable[[#This Row],[SC Book Price]]))</f>
        <v>0</v>
      </c>
      <c r="ER210" s="419" t="b">
        <f>AND(SnapshotTable[[#This Row],[SC Is Booked]], NOT(ISBLANK(SnapshotTable[[#This Row],[SC Fill Date]])))</f>
        <v>0</v>
      </c>
      <c r="ES210" s="370"/>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3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283"/>
      <c r="FA210" s="218"/>
      <c r="FB210" s="370"/>
      <c r="FC210" s="4">
        <f>IF(SnapshotTable[[#This Row],[SC Is Filled]], btc_max_buyback_amount(SnapshotTable[[#This Row],[SC Fill Date]],SnapshotTable[[#This Row],[SC Exp Date]], SnapshotTable[[#This Row],[SC Book Price]]),0)</f>
        <v>0</v>
      </c>
      <c r="FD210" s="5"/>
      <c r="FE210" s="144"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382">
        <f>IF(SnapshotTable[[#This Row],[SC Is Filled]], IF(ISNUMBER(SnapshotTable[[#This Row],[SC Current Ask]]), SnapshotTable[[#This Row],[SC Current Ask]], SnapshotTable[[#This Row],[SC Book Price]]) - SnapshotTable[[#This Row],[SC Intrinsic Value]], 0)</f>
        <v>0</v>
      </c>
      <c r="FI210" s="143"/>
      <c r="FJ210" s="32" t="str">
        <f>IF(SnapshotTable[[#This Row],[SC Is Filled]],100 * SnapshotTable[[#This Row],[SC Qty]] * IF(ISNUMBER(SnapshotTable[[#This Row],[SC Buyback Override]]), SnapshotTable[[#This Row],[SC Buyback Override]], SnapshotTable[[#This Row],[SC Current Ask]]), "")</f>
        <v/>
      </c>
      <c r="FK210" s="250" t="str">
        <f>IF(SnapshotTable[[#This Row],[SC Time Val]]&gt;0, SnapshotTable[[#This Row],[SC Time Val]] / SnapshotTable[[#This Row],[Last Price]],"")</f>
        <v/>
      </c>
      <c r="FL210" s="302" t="str">
        <f>IF(SnapshotTable[[#This Row],[SC Is Booked]], ((SnapshotTable[[#This Row],[Last Price]] -SnapshotTable[[#This Row],[SC Strike Price]]) / SnapshotTable[[#This Row],[Last Price]]) * -1, "")</f>
        <v/>
      </c>
      <c r="FM210" s="157"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33"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36" t="str">
        <f>IF(AND(ISNUMBER(SnapshotTable[[#This Row],[SC Simple ROO]]),SnapshotTable[[#This Row],[SC Simple ROO]] &gt; 0), SnapshotTable[[#This Row],[SC Premium]] + (SnapshotTable[[#This Row],[SC Qty]] * SnapshotTable[[#This Row],[SC Upside Potential]]), "")</f>
        <v/>
      </c>
      <c r="FX210" s="302" t="str" cm="1">
        <f t="array" ref="FX210">IF(ISNUMBER(SnapshotTable[[#This Row],[SC Max Dollars]]), annualize(SnapshotTable[[#This Row],[SC Term]],(SnapshotTable[[#This Row],[SC Max Dollars]]/SnapshotTable[[#This Row],[SC Basis]])),"")</f>
        <v/>
      </c>
      <c r="FY210" s="23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29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27.046499999999998</v>
      </c>
      <c r="GD210" s="40">
        <f>SnapshotTable[[#This Row],[Last Price]] * (1+ SellingPriceToConsiderBasedOnTargetPercentage)</f>
        <v>201.06449999999998</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725</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31">
        <f>MAX(SnapshotTable[[#This Row],[Equity Basis Total]],SnapshotTable[[#This Row],[Equity Value]]) + (SnapshotTable[[#This Row],[SP Potential Spend]]- SnapshotTable[[#This Row],[SP Premium]] + SnapshotTable[[#This Row],[LP Premium]])+ (SnapshotTable[[#This Row],[LC Premium]] - SnapshotTable[[#This Row],[SC Premium]])</f>
        <v>0</v>
      </c>
      <c r="GW210" s="139" t="str">
        <f>IF(AND(SnapshotTable[[#This Row],[Exposure]] &lt;&gt; 0),SnapshotTable[[#This Row],[Exposure]] / SnapshotTable[[#Totals],[Exposure]], "")</f>
        <v/>
      </c>
      <c r="GX210" s="2"/>
      <c r="HE210" s="268"/>
      <c r="HF210" s="268"/>
      <c r="HK210" s="1"/>
      <c r="HL210" s="1"/>
      <c r="HM210" s="1"/>
      <c r="HN210" s="1"/>
      <c r="HO210" s="1"/>
      <c r="HP210" s="1"/>
    </row>
    <row r="211" spans="2:224" ht="12.75" hidden="1" customHeight="1" x14ac:dyDescent="0.25">
      <c r="B211" s="12" t="s">
        <v>1134</v>
      </c>
      <c r="C211" s="422">
        <v>172.33</v>
      </c>
      <c r="D211" s="208"/>
      <c r="E211" s="39">
        <f>SnapshotTable[[#This Row],[Last Price]]*(1 -CrashDiscount)</f>
        <v>146.48050000000001</v>
      </c>
      <c r="F211" s="26" t="s">
        <v>209</v>
      </c>
      <c r="G211" s="26" t="s">
        <v>821</v>
      </c>
      <c r="H211" s="149"/>
      <c r="I211" s="194"/>
      <c r="J211" s="195"/>
      <c r="K211" s="196"/>
      <c r="L211" s="326"/>
      <c r="M211" s="140"/>
      <c r="N211" s="140"/>
      <c r="O211" s="140"/>
      <c r="P211" s="22"/>
      <c r="Q211" s="25"/>
      <c r="R211" s="4" t="str">
        <f>IF(SnapshotTable[[#This Row],[Equity Basis Total]] &gt; 0, SnapshotTable[[#This Row],[Equity Basis Total]] / SnapshotTable[[#This Row],[Equity Shares]], "")</f>
        <v/>
      </c>
      <c r="S211" s="269">
        <f>SnapshotTable[[#This Row],[Last Price]] * SnapshotTable[[#This Row],[Equity Shares]]</f>
        <v>0</v>
      </c>
      <c r="T211" s="269">
        <f>SnapshotTable[[#This Row],[Equity Value]] - SnapshotTable[[#This Row],[Equity Basis Total]]</f>
        <v>0</v>
      </c>
      <c r="U211" s="270" t="str">
        <f>IF(SnapshotTable[[#This Row],[Equity Basis Total]] &gt; 0, SnapshotTable[[#This Row],[Equity G/L]] / SnapshotTable[[#This Row],[Equity Basis Total]], "")</f>
        <v/>
      </c>
      <c r="V211" s="268"/>
      <c r="W211" s="26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7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0"/>
      <c r="AD211" s="151"/>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0</v>
      </c>
      <c r="AH211" s="151"/>
      <c r="AI211" s="5"/>
      <c r="AJ211" s="138">
        <v>257.64999999999998</v>
      </c>
      <c r="AK211" s="152" t="str">
        <f>IF(ISNUMBER( SnapshotTable[[#This Row],[EBF Target]]),(SnapshotTable[[#This Row],[EBF Target]] - SnapshotTable[[#This Row],[Last Price]]) / SnapshotTable[[#This Row],[Last Price]], "")</f>
        <v/>
      </c>
      <c r="AL211" s="152"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2">
        <f>IF(AND(ISNUMBER( SnapshotTable[[#This Row],[Long Term Target]]), ISNUMBER(SnapshotTable[[#This Row],[Last Price]])),(SnapshotTable[[#This Row],[Long Term Target]] - SnapshotTable[[#This Row],[Last Price]]) / SnapshotTable[[#This Row],[Last Price]], "")</f>
        <v>0.49509661695584029</v>
      </c>
      <c r="AP211" s="5"/>
      <c r="AQ211" s="38"/>
      <c r="AR211" s="5"/>
      <c r="AS211" s="38"/>
      <c r="AT211" s="146"/>
      <c r="AU211" s="187" t="str">
        <f>IF(OR(SnapshotTable[[#This Row],[LP No Fill]]="Y",SnapshotTable[[#This Row],[SP Is Filled]],SnapshotTable[[#This Row],[LC Not Filled]]="Y",SnapshotTable[[#This Row],[SC Is Filled]]),"Y","")</f>
        <v/>
      </c>
      <c r="AV211" s="219"/>
      <c r="AW211" s="225"/>
      <c r="AX211" s="220"/>
      <c r="AY211" s="219" t="str">
        <f>IF(SnapshotTable[[#This Row],[Implied Move]]&gt;0, SnapshotTable[[#This Row],[Last Price]]-SnapshotTable[[#This Row],[Implied Move]],"")</f>
        <v/>
      </c>
      <c r="AZ211" s="219" t="str">
        <f>IF(SnapshotTable[[#This Row],[Implied Move]]&gt;0, SnapshotTable[[#This Row],[Last Price]] + SnapshotTable[[#This Row],[Implied Move]],"")</f>
        <v/>
      </c>
      <c r="BA211" s="331"/>
      <c r="BB211" s="347" t="s">
        <v>2</v>
      </c>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51"/>
      <c r="BE211" s="5"/>
      <c r="BF211" s="14"/>
      <c r="BG211" s="13"/>
      <c r="BH211" s="13"/>
      <c r="BI211" s="5"/>
      <c r="BJ211" s="136">
        <f>IF(SnapshotTable[[#This Row],[LP Qty]] &gt; 0, SnapshotTable[[#This Row],[LP Qty]] * SnapshotTable[[#This Row],[LP Book Price]] * 100,0)</f>
        <v>0</v>
      </c>
      <c r="BK211" s="136">
        <f>IF(SnapshotTable[[#This Row],[LP Premium]] &gt; 0, SnapshotTable[[#This Row],[LP Qty]] * SnapshotTable[[#This Row],[LP Strike Price]] * 100,0)</f>
        <v>0</v>
      </c>
      <c r="BL211" s="154"/>
      <c r="BM211" s="385" t="str">
        <f>IF(SnapshotTable[[#This Row],[LP Premium]] &gt; 0,SnapshotTable[[#This Row],[LP Exp Date]]-MAX(SnapshotTable[[#This Row],[LP Book Date]], SnapshotTable[[#This Row],[LP Fill Date]]),"")</f>
        <v/>
      </c>
      <c r="BN211" s="385" t="str">
        <f>IF(ISNUMBER( SnapshotTable[[#This Row],[LP Term]]), SnapshotTable[[#This Row],[LP Exp Date]] - MockToday,"")</f>
        <v/>
      </c>
      <c r="BO211" s="163"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7"/>
      <c r="BU211" s="13"/>
      <c r="BV211" s="5"/>
      <c r="BW211" s="419" t="b">
        <f>AND(ISNUMBER(SnapshotTable[[#This Row],[SP Exp Date]]), ISNUMBER(SnapshotTable[[#This Row],[SP Strike Price]]), ISNUMBER(SnapshotTable[[#This Row],[SP Qty]]), ISNUMBER(SnapshotTable[[#This Row],[SP Book Date]]), ISNUMBER(SnapshotTable[[#This Row],[SP Book Price]]))</f>
        <v>0</v>
      </c>
      <c r="BX211" s="419" t="b">
        <f>AND(SnapshotTable[[#This Row],[SP Is Booked]], NOT(ISBLANK(SnapshotTable[[#This Row],[SP Fill Date]])))</f>
        <v>0</v>
      </c>
      <c r="BY211" s="33">
        <f>IF(SnapshotTable[[#This Row],[SP Is Booked]], SnapshotTable[[#This Row],[SP Qty]] * SnapshotTable[[#This Row],[SP Book Price]] * 100, 0)</f>
        <v>0</v>
      </c>
      <c r="BZ211" s="369"/>
      <c r="CA211" s="368">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3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44"/>
      <c r="CK211" s="31">
        <f>IF(ISNUMBER(SnapshotTable[[#This Row],[SP Potential Spend]]),IF(ISNUMBER(SnapshotTable[[#This Row],[SP POW]]), SnapshotTable[[#This Row],[SP POW]] * SnapshotTable[[#This Row],[SP Potential Spend]], SnapshotTable[[#This Row],[SP Potential Spend]]), "")</f>
        <v>0</v>
      </c>
      <c r="CL211" s="164">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8"/>
      <c r="CO211" s="369"/>
      <c r="CP211" s="4" t="str">
        <f>IF(SnapshotTable[[#This Row],[SP Is Filled]], btc_max_buyback_amount(SnapshotTable[[#This Row],[SP Fill Date]],SnapshotTable[[#This Row],[SP Exp Date]], SnapshotTable[[#This Row],[SP Book Price]]),"")</f>
        <v/>
      </c>
      <c r="CQ211" s="78"/>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5" t="str">
        <f>IF(SnapshotTable[[#This Row],[SP Is Filled]], btc_next_cutoff_date(SnapshotTable[[#This Row],[SP Fill Date]],SnapshotTable[[#This Row],[SP Exp Date]]),"")</f>
        <v/>
      </c>
      <c r="CT211" s="23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56"/>
      <c r="CV211" s="235"/>
      <c r="CW211" s="378"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294" t="str">
        <f>IF(ISNUMBER((SnapshotTable[[#This Row],[SP Total Value]])), SnapshotTable[[#This Row],[SP Gain Loss]] / SnapshotTable[[#This Row],[SP Premium]], "")</f>
        <v/>
      </c>
      <c r="DI211" s="406"/>
      <c r="DJ211" s="138"/>
      <c r="DK211" s="148"/>
      <c r="DL211" s="13"/>
      <c r="DM211" s="13"/>
      <c r="DO211" s="31">
        <f>IF(SnapshotTable[[#This Row],[LC Symbol Count]]=1, SnapshotTable[[#This Row],[LC Qty]] * SnapshotTable[[#This Row],[LC Book Price]] * 100, 0)</f>
        <v>0</v>
      </c>
      <c r="DP211" s="163" t="str">
        <f>IF(AND(SnapshotTable[[#This Row],[LC Exp Date]]&gt;0, SnapshotTable[[#This Row],[LC Strike Price]]&gt;0,SnapshotTable[[#This Row],[LC Qty]]&gt;0,SnapshotTable[[#This Row],[LC Book Date]]&gt;0,SnapshotTable[[#This Row],[LC Book Price]]&gt;0,SnapshotTable[[#This Row],[LC Fill Date]]=0),"Y","")</f>
        <v/>
      </c>
      <c r="DQ211" s="386" t="str">
        <f>IF(SnapshotTable[[#This Row],[LC Premium]] &gt; 0,SnapshotTable[[#This Row],[LC Exp Date]]-MAX(SnapshotTable[[#This Row],[LC Book Date]], SnapshotTable[[#This Row],[LC Fill Date]]),"")</f>
        <v/>
      </c>
      <c r="DR211" s="386" t="str">
        <f>IF(ISNUMBER(SnapshotTable[[#This Row],[LC Term]]), SnapshotTable[[#This Row],[LC Exp Date]] - MockToday, "")</f>
        <v/>
      </c>
      <c r="DS211" s="23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40" t="str">
        <f>IF(ISNUMBER(SnapshotTable[[#This Row],[LC Actual Gain Loss]]), SnapshotTable[[#This Row],[LC Actual Gain Loss]] / SnapshotTable[[#This Row],[LC Premium]],"")</f>
        <v/>
      </c>
      <c r="DX211" s="284" t="str">
        <f>IF(ISNUMBER(SnapshotTable[[#This Row],[LC Book Price]]),SnapshotTable[[#This Row],[LC Book Price]] * 1.5,"")</f>
        <v/>
      </c>
      <c r="DY211" s="265" t="str">
        <f>IF(SnapshotTable[[#This Row],[LC Premium]]&gt;0, SnapshotTable[[#This Row],[LC Next Target]] * SnapshotTable[[#This Row],[LC Qty]] * 100,"")</f>
        <v/>
      </c>
      <c r="DZ211" s="265" t="str">
        <f>IF(ISNUMBER(SnapshotTable[[#This Row],[LC Target Gross]]), SnapshotTable[[#This Row],[LC Target Gross]] - SnapshotTable[[#This Row],[LC Premium]], "")</f>
        <v/>
      </c>
      <c r="EA211" s="305" t="str">
        <f>IF(ISNUMBER(SnapshotTable[[#This Row],[LC Target Gain Loss]]), SnapshotTable[[#This Row],[LC Target Gain Loss]]/SnapshotTable[[#This Row],[LC Premium]], "")</f>
        <v/>
      </c>
      <c r="EB211" s="262"/>
      <c r="EC211" s="283" t="str">
        <f>IF(SnapshotTable[[#This Row],[LC Premium]]&gt;0, SnapshotTable[[#This Row],[LC Book Price]] * (1 - LC_StopLoss_Pct),"")</f>
        <v/>
      </c>
      <c r="ED211" s="284"/>
      <c r="EE211" s="28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4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7"/>
      <c r="EL211" s="138"/>
      <c r="EM211" s="148"/>
      <c r="EN211" s="147"/>
      <c r="EO211" s="147"/>
      <c r="EP211" s="138"/>
      <c r="EQ211" s="419" t="b">
        <f>AND(ISNUMBER(SnapshotTable[[#This Row],[SC Exp Date]]), ISNUMBER(SnapshotTable[[#This Row],[SC Strike Price]]), ISNUMBER(SnapshotTable[[#This Row],[SC Qty]]), ISNUMBER(SnapshotTable[[#This Row],[SC Book Date]]), ISNUMBER(SnapshotTable[[#This Row],[SC Book Price]]))</f>
        <v>0</v>
      </c>
      <c r="ER211" s="419" t="b">
        <f>AND(SnapshotTable[[#This Row],[SC Is Booked]], NOT(ISBLANK(SnapshotTable[[#This Row],[SC Fill Date]])))</f>
        <v>0</v>
      </c>
      <c r="ES211" s="370"/>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3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283"/>
      <c r="FA211" s="218"/>
      <c r="FB211" s="370"/>
      <c r="FC211" s="4">
        <f>IF(SnapshotTable[[#This Row],[SC Is Filled]], btc_max_buyback_amount(SnapshotTable[[#This Row],[SC Fill Date]],SnapshotTable[[#This Row],[SC Exp Date]], SnapshotTable[[#This Row],[SC Book Price]]),0)</f>
        <v>0</v>
      </c>
      <c r="FD211" s="5"/>
      <c r="FE211" s="144"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382">
        <f>IF(SnapshotTable[[#This Row],[SC Is Filled]], IF(ISNUMBER(SnapshotTable[[#This Row],[SC Current Ask]]), SnapshotTable[[#This Row],[SC Current Ask]], SnapshotTable[[#This Row],[SC Book Price]]) - SnapshotTable[[#This Row],[SC Intrinsic Value]], 0)</f>
        <v>0</v>
      </c>
      <c r="FI211" s="143"/>
      <c r="FJ211" s="32" t="str">
        <f>IF(SnapshotTable[[#This Row],[SC Is Filled]],100 * SnapshotTable[[#This Row],[SC Qty]] * IF(ISNUMBER(SnapshotTable[[#This Row],[SC Buyback Override]]), SnapshotTable[[#This Row],[SC Buyback Override]], SnapshotTable[[#This Row],[SC Current Ask]]), "")</f>
        <v/>
      </c>
      <c r="FK211" s="250" t="str">
        <f>IF(SnapshotTable[[#This Row],[SC Time Val]]&gt;0, SnapshotTable[[#This Row],[SC Time Val]] / SnapshotTable[[#This Row],[Last Price]],"")</f>
        <v/>
      </c>
      <c r="FL211" s="302" t="str">
        <f>IF(SnapshotTable[[#This Row],[SC Is Booked]], ((SnapshotTable[[#This Row],[Last Price]] -SnapshotTable[[#This Row],[SC Strike Price]]) / SnapshotTable[[#This Row],[Last Price]]) * -1, "")</f>
        <v/>
      </c>
      <c r="FM211" s="157"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33"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36" t="str">
        <f>IF(AND(ISNUMBER(SnapshotTable[[#This Row],[SC Simple ROO]]),SnapshotTable[[#This Row],[SC Simple ROO]] &gt; 0), SnapshotTable[[#This Row],[SC Premium]] + (SnapshotTable[[#This Row],[SC Qty]] * SnapshotTable[[#This Row],[SC Upside Potential]]), "")</f>
        <v/>
      </c>
      <c r="FX211" s="302" t="str" cm="1">
        <f t="array" ref="FX211">IF(ISNUMBER(SnapshotTable[[#This Row],[SC Max Dollars]]), annualize(SnapshotTable[[#This Row],[SC Term]],(SnapshotTable[[#This Row],[SC Max Dollars]]/SnapshotTable[[#This Row],[SC Basis]])),"")</f>
        <v/>
      </c>
      <c r="FY211" s="23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29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244.76749999999996</v>
      </c>
      <c r="GD211" s="40">
        <f>SnapshotTable[[#This Row],[Last Price]] * (1+ SellingPriceToConsiderBasedOnTargetPercentage)</f>
        <v>336.04349999999999</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31">
        <f>MAX(SnapshotTable[[#This Row],[Equity Basis Total]],SnapshotTable[[#This Row],[Equity Value]]) + (SnapshotTable[[#This Row],[SP Potential Spend]]- SnapshotTable[[#This Row],[SP Premium]] + SnapshotTable[[#This Row],[LP Premium]])+ (SnapshotTable[[#This Row],[LC Premium]] - SnapshotTable[[#This Row],[SC Premium]])</f>
        <v>0</v>
      </c>
      <c r="GW211" s="139" t="str">
        <f>IF(AND(SnapshotTable[[#This Row],[Exposure]] &lt;&gt; 0),SnapshotTable[[#This Row],[Exposure]] / SnapshotTable[[#Totals],[Exposure]], "")</f>
        <v/>
      </c>
      <c r="GX211" s="2"/>
      <c r="HE211" s="268"/>
      <c r="HF211" s="268"/>
      <c r="HK211" s="1"/>
      <c r="HL211" s="1"/>
      <c r="HM211" s="1"/>
      <c r="HN211" s="1"/>
      <c r="HO211" s="1"/>
      <c r="HP211" s="1"/>
    </row>
    <row r="212" spans="2:224" ht="12.75" hidden="1" customHeight="1" x14ac:dyDescent="0.25">
      <c r="B212" s="12" t="s">
        <v>188</v>
      </c>
      <c r="C212" s="422">
        <v>255.63</v>
      </c>
      <c r="D212" s="208" t="s">
        <v>578</v>
      </c>
      <c r="E212" s="39">
        <f>SnapshotTable[[#This Row],[Last Price]]*(1 -CrashDiscount)</f>
        <v>217.28549999999998</v>
      </c>
      <c r="F212" s="26" t="s">
        <v>85</v>
      </c>
      <c r="G212" s="26" t="s">
        <v>49</v>
      </c>
      <c r="H212" s="149"/>
      <c r="I212" s="194">
        <v>44761.267361111109</v>
      </c>
      <c r="J212" s="195">
        <v>44761.267361111109</v>
      </c>
      <c r="K212" s="196"/>
      <c r="L212" s="326"/>
      <c r="M212" s="140">
        <v>2</v>
      </c>
      <c r="N212" s="140"/>
      <c r="O212" s="140"/>
      <c r="P212" s="22"/>
      <c r="Q212" s="25"/>
      <c r="R212" s="4" t="str">
        <f>IF(SnapshotTable[[#This Row],[Equity Basis Total]] &gt; 0, SnapshotTable[[#This Row],[Equity Basis Total]] / SnapshotTable[[#This Row],[Equity Shares]], "")</f>
        <v/>
      </c>
      <c r="S212" s="269">
        <f>SnapshotTable[[#This Row],[Last Price]] * SnapshotTable[[#This Row],[Equity Shares]]</f>
        <v>0</v>
      </c>
      <c r="T212" s="269">
        <f>SnapshotTable[[#This Row],[Equity Value]] - SnapshotTable[[#This Row],[Equity Basis Total]]</f>
        <v>0</v>
      </c>
      <c r="U212" s="270" t="str">
        <f>IF(SnapshotTable[[#This Row],[Equity Basis Total]] &gt; 0, SnapshotTable[[#This Row],[Equity G/L]] / SnapshotTable[[#This Row],[Equity Basis Total]], "")</f>
        <v/>
      </c>
      <c r="V212" s="268"/>
      <c r="W212" s="26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7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0">
        <v>3.8</v>
      </c>
      <c r="AD212" s="151">
        <v>43809</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1.4865234909830613E-2</v>
      </c>
      <c r="AH212" s="151">
        <v>43795</v>
      </c>
      <c r="AI212" s="5">
        <v>160</v>
      </c>
      <c r="AJ212" s="138">
        <v>166.06</v>
      </c>
      <c r="AK212" s="152">
        <f>IF(ISNUMBER( SnapshotTable[[#This Row],[EBF Target]]),(SnapshotTable[[#This Row],[EBF Target]] - SnapshotTable[[#This Row],[Last Price]]) / SnapshotTable[[#This Row],[Last Price]], "")</f>
        <v>-0.37409537221765832</v>
      </c>
      <c r="AL212" s="152"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2">
        <f>IF(AND(ISNUMBER( SnapshotTable[[#This Row],[Long Term Target]]), ISNUMBER(SnapshotTable[[#This Row],[Last Price]])),(SnapshotTable[[#This Row],[Long Term Target]] - SnapshotTable[[#This Row],[Last Price]]) / SnapshotTable[[#This Row],[Last Price]], "")</f>
        <v>-0.3503892344404021</v>
      </c>
      <c r="AP212" s="5"/>
      <c r="AQ212" s="38"/>
      <c r="AR212" s="5"/>
      <c r="AS212" s="38"/>
      <c r="AT212" s="146"/>
      <c r="AU212" s="187" t="str">
        <f>IF(OR(SnapshotTable[[#This Row],[LP No Fill]]="Y",SnapshotTable[[#This Row],[SP Is Filled]],SnapshotTable[[#This Row],[LC Not Filled]]="Y",SnapshotTable[[#This Row],[SC Is Filled]]),"Y","")</f>
        <v/>
      </c>
      <c r="AV212" s="219"/>
      <c r="AW212" s="225"/>
      <c r="AX212" s="220"/>
      <c r="AY212" s="219" t="str">
        <f>IF(SnapshotTable[[#This Row],[Implied Move]]&gt;0, SnapshotTable[[#This Row],[Last Price]]-SnapshotTable[[#This Row],[Implied Move]],"")</f>
        <v/>
      </c>
      <c r="AZ212" s="219" t="str">
        <f>IF(SnapshotTable[[#This Row],[Implied Move]]&gt;0, SnapshotTable[[#This Row],[Last Price]] + SnapshotTable[[#This Row],[Implied Move]],"")</f>
        <v/>
      </c>
      <c r="BA212" s="331"/>
      <c r="BB212" s="347"/>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51"/>
      <c r="BE212" s="5"/>
      <c r="BF212" s="14"/>
      <c r="BG212" s="13"/>
      <c r="BH212" s="13"/>
      <c r="BI212" s="5"/>
      <c r="BJ212" s="136">
        <f>IF(SnapshotTable[[#This Row],[LP Qty]] &gt; 0, SnapshotTable[[#This Row],[LP Qty]] * SnapshotTable[[#This Row],[LP Book Price]] * 100,0)</f>
        <v>0</v>
      </c>
      <c r="BK212" s="136">
        <f>IF(SnapshotTable[[#This Row],[LP Premium]] &gt; 0, SnapshotTable[[#This Row],[LP Qty]] * SnapshotTable[[#This Row],[LP Strike Price]] * 100,0)</f>
        <v>0</v>
      </c>
      <c r="BL212" s="154"/>
      <c r="BM212" s="385" t="str">
        <f>IF(SnapshotTable[[#This Row],[LP Premium]] &gt; 0,SnapshotTable[[#This Row],[LP Exp Date]]-MAX(SnapshotTable[[#This Row],[LP Book Date]], SnapshotTable[[#This Row],[LP Fill Date]]),"")</f>
        <v/>
      </c>
      <c r="BN212" s="385" t="str">
        <f>IF(ISNUMBER( SnapshotTable[[#This Row],[LP Term]]), SnapshotTable[[#This Row],[LP Exp Date]] - MockToday,"")</f>
        <v/>
      </c>
      <c r="BO212" s="163"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7"/>
      <c r="BU212" s="13"/>
      <c r="BV212" s="5"/>
      <c r="BW212" s="419" t="b">
        <f>AND(ISNUMBER(SnapshotTable[[#This Row],[SP Exp Date]]), ISNUMBER(SnapshotTable[[#This Row],[SP Strike Price]]), ISNUMBER(SnapshotTable[[#This Row],[SP Qty]]), ISNUMBER(SnapshotTable[[#This Row],[SP Book Date]]), ISNUMBER(SnapshotTable[[#This Row],[SP Book Price]]))</f>
        <v>0</v>
      </c>
      <c r="BX212" s="419" t="b">
        <f>AND(SnapshotTable[[#This Row],[SP Is Booked]], NOT(ISBLANK(SnapshotTable[[#This Row],[SP Fill Date]])))</f>
        <v>0</v>
      </c>
      <c r="BY212" s="33">
        <f>IF(SnapshotTable[[#This Row],[SP Is Booked]], SnapshotTable[[#This Row],[SP Qty]] * SnapshotTable[[#This Row],[SP Book Price]] * 100, 0)</f>
        <v>0</v>
      </c>
      <c r="BZ212" s="369"/>
      <c r="CA212" s="368">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3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44"/>
      <c r="CK212" s="31">
        <f>IF(ISNUMBER(SnapshotTable[[#This Row],[SP Potential Spend]]),IF(ISNUMBER(SnapshotTable[[#This Row],[SP POW]]), SnapshotTable[[#This Row],[SP POW]] * SnapshotTable[[#This Row],[SP Potential Spend]], SnapshotTable[[#This Row],[SP Potential Spend]]), "")</f>
        <v>0</v>
      </c>
      <c r="CL212" s="164">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8"/>
      <c r="CO212" s="369"/>
      <c r="CP212" s="4" t="str">
        <f>IF(SnapshotTable[[#This Row],[SP Is Filled]], btc_max_buyback_amount(SnapshotTable[[#This Row],[SP Fill Date]],SnapshotTable[[#This Row],[SP Exp Date]], SnapshotTable[[#This Row],[SP Book Price]]),"")</f>
        <v/>
      </c>
      <c r="CQ212" s="78"/>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5" t="str">
        <f>IF(SnapshotTable[[#This Row],[SP Is Filled]], btc_next_cutoff_date(SnapshotTable[[#This Row],[SP Fill Date]],SnapshotTable[[#This Row],[SP Exp Date]]),"")</f>
        <v/>
      </c>
      <c r="CT212" s="23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3"/>
      <c r="CV212" s="235"/>
      <c r="CW212" s="378"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294" t="str">
        <f>IF(ISNUMBER((SnapshotTable[[#This Row],[SP Total Value]])), SnapshotTable[[#This Row],[SP Gain Loss]] / SnapshotTable[[#This Row],[SP Premium]], "")</f>
        <v/>
      </c>
      <c r="DI212" s="406"/>
      <c r="DJ212" s="138"/>
      <c r="DK212" s="148"/>
      <c r="DL212" s="13"/>
      <c r="DM212" s="13"/>
      <c r="DO212" s="31">
        <f>IF(SnapshotTable[[#This Row],[LC Symbol Count]]=1, SnapshotTable[[#This Row],[LC Qty]] * SnapshotTable[[#This Row],[LC Book Price]] * 100, 0)</f>
        <v>0</v>
      </c>
      <c r="DP212" s="163" t="str">
        <f>IF(AND(SnapshotTable[[#This Row],[LC Exp Date]]&gt;0, SnapshotTable[[#This Row],[LC Strike Price]]&gt;0,SnapshotTable[[#This Row],[LC Qty]]&gt;0,SnapshotTable[[#This Row],[LC Book Date]]&gt;0,SnapshotTable[[#This Row],[LC Book Price]]&gt;0,SnapshotTable[[#This Row],[LC Fill Date]]=0),"Y","")</f>
        <v/>
      </c>
      <c r="DQ212" s="386" t="str">
        <f>IF(SnapshotTable[[#This Row],[LC Premium]] &gt; 0,SnapshotTable[[#This Row],[LC Exp Date]]-MAX(SnapshotTable[[#This Row],[LC Book Date]], SnapshotTable[[#This Row],[LC Fill Date]]),"")</f>
        <v/>
      </c>
      <c r="DR212" s="386" t="str">
        <f>IF(ISNUMBER(SnapshotTable[[#This Row],[LC Term]]), SnapshotTable[[#This Row],[LC Exp Date]] - MockToday, "")</f>
        <v/>
      </c>
      <c r="DS212" s="23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40" t="str">
        <f>IF(ISNUMBER(SnapshotTable[[#This Row],[LC Actual Gain Loss]]), SnapshotTable[[#This Row],[LC Actual Gain Loss]] / SnapshotTable[[#This Row],[LC Premium]],"")</f>
        <v/>
      </c>
      <c r="DX212" s="284" t="str">
        <f>IF(ISNUMBER(SnapshotTable[[#This Row],[LC Book Price]]),SnapshotTable[[#This Row],[LC Book Price]] * 1.5,"")</f>
        <v/>
      </c>
      <c r="DY212" s="265" t="str">
        <f>IF(SnapshotTable[[#This Row],[LC Premium]]&gt;0, SnapshotTable[[#This Row],[LC Next Target]] * SnapshotTable[[#This Row],[LC Qty]] * 100,"")</f>
        <v/>
      </c>
      <c r="DZ212" s="265" t="str">
        <f>IF(ISNUMBER(SnapshotTable[[#This Row],[LC Target Gross]]), SnapshotTable[[#This Row],[LC Target Gross]] - SnapshotTable[[#This Row],[LC Premium]], "")</f>
        <v/>
      </c>
      <c r="EA212" s="305" t="str">
        <f>IF(ISNUMBER(SnapshotTable[[#This Row],[LC Target Gain Loss]]), SnapshotTable[[#This Row],[LC Target Gain Loss]]/SnapshotTable[[#This Row],[LC Premium]], "")</f>
        <v/>
      </c>
      <c r="EB212" s="262"/>
      <c r="EC212" s="283" t="str">
        <f>IF(SnapshotTable[[#This Row],[LC Premium]]&gt;0, SnapshotTable[[#This Row],[LC Book Price]] * (1 - LC_StopLoss_Pct),"")</f>
        <v/>
      </c>
      <c r="ED212" s="284"/>
      <c r="EE212" s="28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4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7"/>
      <c r="EL212" s="138"/>
      <c r="EM212" s="148"/>
      <c r="EN212" s="147"/>
      <c r="EO212" s="147"/>
      <c r="EP212" s="138"/>
      <c r="EQ212" s="419" t="b">
        <f>AND(ISNUMBER(SnapshotTable[[#This Row],[SC Exp Date]]), ISNUMBER(SnapshotTable[[#This Row],[SC Strike Price]]), ISNUMBER(SnapshotTable[[#This Row],[SC Qty]]), ISNUMBER(SnapshotTable[[#This Row],[SC Book Date]]), ISNUMBER(SnapshotTable[[#This Row],[SC Book Price]]))</f>
        <v>0</v>
      </c>
      <c r="ER212" s="419" t="b">
        <f>AND(SnapshotTable[[#This Row],[SC Is Booked]], NOT(ISBLANK(SnapshotTable[[#This Row],[SC Fill Date]])))</f>
        <v>0</v>
      </c>
      <c r="ES212" s="370"/>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3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283"/>
      <c r="FA212" s="218"/>
      <c r="FB212" s="370"/>
      <c r="FC212" s="4">
        <f>IF(SnapshotTable[[#This Row],[SC Is Filled]], btc_max_buyback_amount(SnapshotTable[[#This Row],[SC Fill Date]],SnapshotTable[[#This Row],[SC Exp Date]], SnapshotTable[[#This Row],[SC Book Price]]),0)</f>
        <v>0</v>
      </c>
      <c r="FD212" s="5"/>
      <c r="FE212" s="144"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382">
        <f>IF(SnapshotTable[[#This Row],[SC Is Filled]], IF(ISNUMBER(SnapshotTable[[#This Row],[SC Current Ask]]), SnapshotTable[[#This Row],[SC Current Ask]], SnapshotTable[[#This Row],[SC Book Price]]) - SnapshotTable[[#This Row],[SC Intrinsic Value]], 0)</f>
        <v>0</v>
      </c>
      <c r="FI212" s="143"/>
      <c r="FJ212" s="32" t="str">
        <f>IF(SnapshotTable[[#This Row],[SC Is Filled]],100 * SnapshotTable[[#This Row],[SC Qty]] * IF(ISNUMBER(SnapshotTable[[#This Row],[SC Buyback Override]]), SnapshotTable[[#This Row],[SC Buyback Override]], SnapshotTable[[#This Row],[SC Current Ask]]), "")</f>
        <v/>
      </c>
      <c r="FK212" s="250" t="str">
        <f>IF(SnapshotTable[[#This Row],[SC Time Val]]&gt;0, SnapshotTable[[#This Row],[SC Time Val]] / SnapshotTable[[#This Row],[Last Price]],"")</f>
        <v/>
      </c>
      <c r="FL212" s="302" t="str">
        <f>IF(SnapshotTable[[#This Row],[SC Is Booked]], ((SnapshotTable[[#This Row],[Last Price]] -SnapshotTable[[#This Row],[SC Strike Price]]) / SnapshotTable[[#This Row],[Last Price]]) * -1, "")</f>
        <v/>
      </c>
      <c r="FM212" s="157"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33"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36" t="str">
        <f>IF(AND(ISNUMBER(SnapshotTable[[#This Row],[SC Simple ROO]]),SnapshotTable[[#This Row],[SC Simple ROO]] &gt; 0), SnapshotTable[[#This Row],[SC Premium]] + (SnapshotTable[[#This Row],[SC Qty]] * SnapshotTable[[#This Row],[SC Upside Potential]]), "")</f>
        <v/>
      </c>
      <c r="FX212" s="302" t="str" cm="1">
        <f t="array" ref="FX212">IF(ISNUMBER(SnapshotTable[[#This Row],[SC Max Dollars]]), annualize(SnapshotTable[[#This Row],[SC Term]],(SnapshotTable[[#This Row],[SC Max Dollars]]/SnapshotTable[[#This Row],[SC Basis]])),"")</f>
        <v/>
      </c>
      <c r="FY212" s="23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29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157.75700000000001</v>
      </c>
      <c r="GD212" s="40">
        <f>SnapshotTable[[#This Row],[Last Price]] * (1+ SellingPriceToConsiderBasedOnTargetPercentage)</f>
        <v>498.4785</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726</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31">
        <f>MAX(SnapshotTable[[#This Row],[Equity Basis Total]],SnapshotTable[[#This Row],[Equity Value]]) + (SnapshotTable[[#This Row],[SP Potential Spend]]- SnapshotTable[[#This Row],[SP Premium]] + SnapshotTable[[#This Row],[LP Premium]])+ (SnapshotTable[[#This Row],[LC Premium]] - SnapshotTable[[#This Row],[SC Premium]])</f>
        <v>0</v>
      </c>
      <c r="GW212" s="139" t="str">
        <f>IF(AND(SnapshotTable[[#This Row],[Exposure]] &lt;&gt; 0),SnapshotTable[[#This Row],[Exposure]] / SnapshotTable[[#Totals],[Exposure]], "")</f>
        <v/>
      </c>
      <c r="HE212" s="268"/>
      <c r="HF212" s="268"/>
      <c r="HK212" s="1"/>
      <c r="HL212" s="1"/>
      <c r="HM212" s="1"/>
      <c r="HN212" s="1"/>
      <c r="HO212" s="1"/>
      <c r="HP212" s="1"/>
    </row>
    <row r="213" spans="2:224" ht="12.75" hidden="1" customHeight="1" x14ac:dyDescent="0.25">
      <c r="B213" s="12" t="s">
        <v>177</v>
      </c>
      <c r="C213" s="422">
        <v>29.3</v>
      </c>
      <c r="D213" s="208"/>
      <c r="E213" s="39">
        <f>SnapshotTable[[#This Row],[Last Price]]*(1 -CrashDiscount)</f>
        <v>24.905000000000001</v>
      </c>
      <c r="F213" s="26" t="s">
        <v>176</v>
      </c>
      <c r="G213" s="26" t="s">
        <v>14</v>
      </c>
      <c r="H213" s="149"/>
      <c r="I213" s="194">
        <v>44796.670138888891</v>
      </c>
      <c r="J213" s="195">
        <v>44796.670138888891</v>
      </c>
      <c r="K213" s="196"/>
      <c r="L213" s="326"/>
      <c r="M213" s="140"/>
      <c r="N213" s="140"/>
      <c r="O213" s="140"/>
      <c r="P213" s="22"/>
      <c r="Q213" s="25"/>
      <c r="R213" s="4" t="str">
        <f>IF(SnapshotTable[[#This Row],[Equity Basis Total]] &gt; 0, SnapshotTable[[#This Row],[Equity Basis Total]] / SnapshotTable[[#This Row],[Equity Shares]], "")</f>
        <v/>
      </c>
      <c r="S213" s="269">
        <f>SnapshotTable[[#This Row],[Last Price]] * SnapshotTable[[#This Row],[Equity Shares]]</f>
        <v>0</v>
      </c>
      <c r="T213" s="269">
        <f>SnapshotTable[[#This Row],[Equity Value]] - SnapshotTable[[#This Row],[Equity Basis Total]]</f>
        <v>0</v>
      </c>
      <c r="U213" s="270" t="str">
        <f>IF(SnapshotTable[[#This Row],[Equity Basis Total]] &gt; 0, SnapshotTable[[#This Row],[Equity G/L]] / SnapshotTable[[#This Row],[Equity Basis Total]], "")</f>
        <v/>
      </c>
      <c r="V213" s="268"/>
      <c r="W213" s="26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7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0"/>
      <c r="AD213" s="151"/>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1"/>
      <c r="AI213" s="5">
        <v>60</v>
      </c>
      <c r="AJ213" s="138">
        <v>25.94</v>
      </c>
      <c r="AK213" s="152">
        <f>IF(ISNUMBER( SnapshotTable[[#This Row],[EBF Target]]),(SnapshotTable[[#This Row],[EBF Target]] - SnapshotTable[[#This Row],[Last Price]]) / SnapshotTable[[#This Row],[Last Price]], "")</f>
        <v>1.0477815699658704</v>
      </c>
      <c r="AL213" s="152"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2">
        <f>IF(AND(ISNUMBER( SnapshotTable[[#This Row],[Long Term Target]]), ISNUMBER(SnapshotTable[[#This Row],[Last Price]])),(SnapshotTable[[#This Row],[Long Term Target]] - SnapshotTable[[#This Row],[Last Price]]) / SnapshotTable[[#This Row],[Last Price]], "")</f>
        <v>-0.11467576791808871</v>
      </c>
      <c r="AP213" s="5"/>
      <c r="AQ213" s="38"/>
      <c r="AR213" s="5"/>
      <c r="AS213" s="38"/>
      <c r="AT213" s="146"/>
      <c r="AU213" s="187" t="str">
        <f>IF(OR(SnapshotTable[[#This Row],[LP No Fill]]="Y",SnapshotTable[[#This Row],[SP Is Filled]],SnapshotTable[[#This Row],[LC Not Filled]]="Y",SnapshotTable[[#This Row],[SC Is Filled]]),"Y","")</f>
        <v/>
      </c>
      <c r="AV213" s="219"/>
      <c r="AW213" s="225"/>
      <c r="AX213" s="220"/>
      <c r="AY213" s="219" t="str">
        <f>IF(SnapshotTable[[#This Row],[Implied Move]]&gt;0, SnapshotTable[[#This Row],[Last Price]]-SnapshotTable[[#This Row],[Implied Move]],"")</f>
        <v/>
      </c>
      <c r="AZ213" s="219" t="str">
        <f>IF(SnapshotTable[[#This Row],[Implied Move]]&gt;0, SnapshotTable[[#This Row],[Last Price]] + SnapshotTable[[#This Row],[Implied Move]],"")</f>
        <v/>
      </c>
      <c r="BA213" s="331"/>
      <c r="BB213" s="347"/>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51"/>
      <c r="BE213" s="5"/>
      <c r="BF213" s="14"/>
      <c r="BG213" s="13"/>
      <c r="BH213" s="13"/>
      <c r="BI213" s="5"/>
      <c r="BJ213" s="136">
        <f>IF(SnapshotTable[[#This Row],[LP Qty]] &gt; 0, SnapshotTable[[#This Row],[LP Qty]] * SnapshotTable[[#This Row],[LP Book Price]] * 100,0)</f>
        <v>0</v>
      </c>
      <c r="BK213" s="136">
        <f>IF(SnapshotTable[[#This Row],[LP Premium]] &gt; 0, SnapshotTable[[#This Row],[LP Qty]] * SnapshotTable[[#This Row],[LP Strike Price]] * 100,0)</f>
        <v>0</v>
      </c>
      <c r="BL213" s="154"/>
      <c r="BM213" s="385" t="str">
        <f>IF(SnapshotTable[[#This Row],[LP Premium]] &gt; 0,SnapshotTable[[#This Row],[LP Exp Date]]-MAX(SnapshotTable[[#This Row],[LP Book Date]], SnapshotTable[[#This Row],[LP Fill Date]]),"")</f>
        <v/>
      </c>
      <c r="BN213" s="385" t="str">
        <f>IF(ISNUMBER( SnapshotTable[[#This Row],[LP Term]]), SnapshotTable[[#This Row],[LP Exp Date]] - MockToday,"")</f>
        <v/>
      </c>
      <c r="BO213" s="163"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7"/>
      <c r="BU213" s="13"/>
      <c r="BV213" s="5"/>
      <c r="BW213" s="419" t="b">
        <f>AND(ISNUMBER(SnapshotTable[[#This Row],[SP Exp Date]]), ISNUMBER(SnapshotTable[[#This Row],[SP Strike Price]]), ISNUMBER(SnapshotTable[[#This Row],[SP Qty]]), ISNUMBER(SnapshotTable[[#This Row],[SP Book Date]]), ISNUMBER(SnapshotTable[[#This Row],[SP Book Price]]))</f>
        <v>0</v>
      </c>
      <c r="BX213" s="419" t="b">
        <f>AND(SnapshotTable[[#This Row],[SP Is Booked]], NOT(ISBLANK(SnapshotTable[[#This Row],[SP Fill Date]])))</f>
        <v>0</v>
      </c>
      <c r="BY213" s="33">
        <f>IF(SnapshotTable[[#This Row],[SP Is Booked]], SnapshotTable[[#This Row],[SP Qty]] * SnapshotTable[[#This Row],[SP Book Price]] * 100, 0)</f>
        <v>0</v>
      </c>
      <c r="BZ213" s="369"/>
      <c r="CA213" s="368">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3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44"/>
      <c r="CK213" s="31">
        <f>IF(ISNUMBER(SnapshotTable[[#This Row],[SP Potential Spend]]),IF(ISNUMBER(SnapshotTable[[#This Row],[SP POW]]), SnapshotTable[[#This Row],[SP POW]] * SnapshotTable[[#This Row],[SP Potential Spend]], SnapshotTable[[#This Row],[SP Potential Spend]]), "")</f>
        <v>0</v>
      </c>
      <c r="CL213" s="164">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8"/>
      <c r="CO213" s="369"/>
      <c r="CP213" s="4" t="str">
        <f>IF(SnapshotTable[[#This Row],[SP Is Filled]], btc_max_buyback_amount(SnapshotTable[[#This Row],[SP Fill Date]],SnapshotTable[[#This Row],[SP Exp Date]], SnapshotTable[[#This Row],[SP Book Price]]),"")</f>
        <v/>
      </c>
      <c r="CQ213" s="78"/>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5" t="str">
        <f>IF(SnapshotTable[[#This Row],[SP Is Filled]], btc_next_cutoff_date(SnapshotTable[[#This Row],[SP Fill Date]],SnapshotTable[[#This Row],[SP Exp Date]]),"")</f>
        <v/>
      </c>
      <c r="CT213" s="23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43"/>
      <c r="CV213" s="235"/>
      <c r="CW213" s="378"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294" t="str">
        <f>IF(ISNUMBER((SnapshotTable[[#This Row],[SP Total Value]])), SnapshotTable[[#This Row],[SP Gain Loss]] / SnapshotTable[[#This Row],[SP Premium]], "")</f>
        <v/>
      </c>
      <c r="DI213" s="406"/>
      <c r="DJ213" s="138"/>
      <c r="DK213" s="148"/>
      <c r="DL213" s="13"/>
      <c r="DM213" s="13"/>
      <c r="DO213" s="31">
        <f>IF(SnapshotTable[[#This Row],[LC Symbol Count]]=1, SnapshotTable[[#This Row],[LC Qty]] * SnapshotTable[[#This Row],[LC Book Price]] * 100, 0)</f>
        <v>0</v>
      </c>
      <c r="DP213" s="163" t="str">
        <f>IF(AND(SnapshotTable[[#This Row],[LC Exp Date]]&gt;0, SnapshotTable[[#This Row],[LC Strike Price]]&gt;0,SnapshotTable[[#This Row],[LC Qty]]&gt;0,SnapshotTable[[#This Row],[LC Book Date]]&gt;0,SnapshotTable[[#This Row],[LC Book Price]]&gt;0,SnapshotTable[[#This Row],[LC Fill Date]]=0),"Y","")</f>
        <v/>
      </c>
      <c r="DQ213" s="386" t="str">
        <f>IF(SnapshotTable[[#This Row],[LC Premium]] &gt; 0,SnapshotTable[[#This Row],[LC Exp Date]]-MAX(SnapshotTable[[#This Row],[LC Book Date]], SnapshotTable[[#This Row],[LC Fill Date]]),"")</f>
        <v/>
      </c>
      <c r="DR213" s="386" t="str">
        <f>IF(ISNUMBER(SnapshotTable[[#This Row],[LC Term]]), SnapshotTable[[#This Row],[LC Exp Date]] - MockToday, "")</f>
        <v/>
      </c>
      <c r="DS213" s="23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40" t="str">
        <f>IF(ISNUMBER(SnapshotTable[[#This Row],[LC Actual Gain Loss]]), SnapshotTable[[#This Row],[LC Actual Gain Loss]] / SnapshotTable[[#This Row],[LC Premium]],"")</f>
        <v/>
      </c>
      <c r="DX213" s="284" t="str">
        <f>IF(ISNUMBER(SnapshotTable[[#This Row],[LC Book Price]]),SnapshotTable[[#This Row],[LC Book Price]] * 1.5,"")</f>
        <v/>
      </c>
      <c r="DY213" s="265" t="str">
        <f>IF(SnapshotTable[[#This Row],[LC Premium]]&gt;0, SnapshotTable[[#This Row],[LC Next Target]] * SnapshotTable[[#This Row],[LC Qty]] * 100,"")</f>
        <v/>
      </c>
      <c r="DZ213" s="265" t="str">
        <f>IF(ISNUMBER(SnapshotTable[[#This Row],[LC Target Gross]]), SnapshotTable[[#This Row],[LC Target Gross]] - SnapshotTable[[#This Row],[LC Premium]], "")</f>
        <v/>
      </c>
      <c r="EA213" s="305" t="str">
        <f>IF(ISNUMBER(SnapshotTable[[#This Row],[LC Target Gain Loss]]), SnapshotTable[[#This Row],[LC Target Gain Loss]]/SnapshotTable[[#This Row],[LC Premium]], "")</f>
        <v/>
      </c>
      <c r="EB213" s="262"/>
      <c r="EC213" s="283" t="str">
        <f>IF(SnapshotTable[[#This Row],[LC Premium]]&gt;0, SnapshotTable[[#This Row],[LC Book Price]] * (1 - LC_StopLoss_Pct),"")</f>
        <v/>
      </c>
      <c r="ED213" s="284"/>
      <c r="EE213" s="28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4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7"/>
      <c r="EL213" s="138"/>
      <c r="EM213" s="148"/>
      <c r="EN213" s="147"/>
      <c r="EO213" s="147"/>
      <c r="EP213" s="138"/>
      <c r="EQ213" s="419" t="b">
        <f>AND(ISNUMBER(SnapshotTable[[#This Row],[SC Exp Date]]), ISNUMBER(SnapshotTable[[#This Row],[SC Strike Price]]), ISNUMBER(SnapshotTable[[#This Row],[SC Qty]]), ISNUMBER(SnapshotTable[[#This Row],[SC Book Date]]), ISNUMBER(SnapshotTable[[#This Row],[SC Book Price]]))</f>
        <v>0</v>
      </c>
      <c r="ER213" s="419" t="b">
        <f>AND(SnapshotTable[[#This Row],[SC Is Booked]], NOT(ISBLANK(SnapshotTable[[#This Row],[SC Fill Date]])))</f>
        <v>0</v>
      </c>
      <c r="ES213" s="370"/>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3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283"/>
      <c r="FA213" s="218"/>
      <c r="FB213" s="370"/>
      <c r="FC213" s="4">
        <f>IF(SnapshotTable[[#This Row],[SC Is Filled]], btc_max_buyback_amount(SnapshotTable[[#This Row],[SC Fill Date]],SnapshotTable[[#This Row],[SC Exp Date]], SnapshotTable[[#This Row],[SC Book Price]]),0)</f>
        <v>0</v>
      </c>
      <c r="FD213" s="5"/>
      <c r="FE213" s="144"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382">
        <f>IF(SnapshotTable[[#This Row],[SC Is Filled]], IF(ISNUMBER(SnapshotTable[[#This Row],[SC Current Ask]]), SnapshotTable[[#This Row],[SC Current Ask]], SnapshotTable[[#This Row],[SC Book Price]]) - SnapshotTable[[#This Row],[SC Intrinsic Value]], 0)</f>
        <v>0</v>
      </c>
      <c r="FI213" s="143"/>
      <c r="FJ213" s="32" t="str">
        <f>IF(SnapshotTable[[#This Row],[SC Is Filled]],100 * SnapshotTable[[#This Row],[SC Qty]] * IF(ISNUMBER(SnapshotTable[[#This Row],[SC Buyback Override]]), SnapshotTable[[#This Row],[SC Buyback Override]], SnapshotTable[[#This Row],[SC Current Ask]]), "")</f>
        <v/>
      </c>
      <c r="FK213" s="250" t="str">
        <f>IF(SnapshotTable[[#This Row],[SC Time Val]]&gt;0, SnapshotTable[[#This Row],[SC Time Val]] / SnapshotTable[[#This Row],[Last Price]],"")</f>
        <v/>
      </c>
      <c r="FL213" s="302" t="str">
        <f>IF(SnapshotTable[[#This Row],[SC Is Booked]], ((SnapshotTable[[#This Row],[Last Price]] -SnapshotTable[[#This Row],[SC Strike Price]]) / SnapshotTable[[#This Row],[Last Price]]) * -1, "")</f>
        <v/>
      </c>
      <c r="FM213" s="157"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33"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36" t="str">
        <f>IF(AND(ISNUMBER(SnapshotTable[[#This Row],[SC Simple ROO]]),SnapshotTable[[#This Row],[SC Simple ROO]] &gt; 0), SnapshotTable[[#This Row],[SC Premium]] + (SnapshotTable[[#This Row],[SC Qty]] * SnapshotTable[[#This Row],[SC Upside Potential]]), "")</f>
        <v/>
      </c>
      <c r="FX213" s="302" t="str" cm="1">
        <f t="array" ref="FX213">IF(ISNUMBER(SnapshotTable[[#This Row],[SC Max Dollars]]), annualize(SnapshotTable[[#This Row],[SC Term]],(SnapshotTable[[#This Row],[SC Max Dollars]]/SnapshotTable[[#This Row],[SC Basis]])),"")</f>
        <v/>
      </c>
      <c r="FY213" s="23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29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24.643000000000001</v>
      </c>
      <c r="GD213" s="40">
        <f>SnapshotTable[[#This Row],[Last Price]] * (1+ SellingPriceToConsiderBasedOnTargetPercentage)</f>
        <v>57.134999999999998</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t="s">
        <v>728</v>
      </c>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31">
        <f>MAX(SnapshotTable[[#This Row],[Equity Basis Total]],SnapshotTable[[#This Row],[Equity Value]]) + (SnapshotTable[[#This Row],[SP Potential Spend]]- SnapshotTable[[#This Row],[SP Premium]] + SnapshotTable[[#This Row],[LP Premium]])+ (SnapshotTable[[#This Row],[LC Premium]] - SnapshotTable[[#This Row],[SC Premium]])</f>
        <v>0</v>
      </c>
      <c r="GW213" s="139" t="str">
        <f>IF(AND(SnapshotTable[[#This Row],[Exposure]] &lt;&gt; 0),SnapshotTable[[#This Row],[Exposure]] / SnapshotTable[[#Totals],[Exposure]], "")</f>
        <v/>
      </c>
      <c r="GX213" s="5"/>
      <c r="HE213" s="268"/>
      <c r="HF213" s="268"/>
      <c r="HK213" s="1"/>
      <c r="HL213" s="1"/>
      <c r="HM213" s="1"/>
      <c r="HN213" s="1"/>
      <c r="HO213" s="1"/>
      <c r="HP213" s="1"/>
    </row>
    <row r="214" spans="2:224" ht="12.75" hidden="1" customHeight="1" x14ac:dyDescent="0.25">
      <c r="B214" s="12" t="s">
        <v>1176</v>
      </c>
      <c r="C214" s="422">
        <v>123.75</v>
      </c>
      <c r="D214" s="208"/>
      <c r="E214" s="39">
        <f>SnapshotTable[[#This Row],[Last Price]]*(1 -CrashDiscount)</f>
        <v>105.1875</v>
      </c>
      <c r="F214" s="325" t="s">
        <v>1177</v>
      </c>
      <c r="G214" s="325" t="s">
        <v>4</v>
      </c>
      <c r="H214" s="149"/>
      <c r="I214" s="372"/>
      <c r="J214" s="352"/>
      <c r="K214" s="353"/>
      <c r="L214" s="327"/>
      <c r="M214" s="140"/>
      <c r="N214" s="140"/>
      <c r="O214" s="140"/>
      <c r="P214" s="328"/>
      <c r="Q214" s="354"/>
      <c r="R214" s="4" t="str">
        <f>IF(SnapshotTable[[#This Row],[Equity Basis Total]] &gt; 0, SnapshotTable[[#This Row],[Equity Basis Total]] / SnapshotTable[[#This Row],[Equity Shares]], "")</f>
        <v/>
      </c>
      <c r="S214" s="329">
        <f>SnapshotTable[[#This Row],[Last Price]] * SnapshotTable[[#This Row],[Equity Shares]]</f>
        <v>0</v>
      </c>
      <c r="T214" s="269">
        <f>SnapshotTable[[#This Row],[Equity Value]] - SnapshotTable[[#This Row],[Equity Basis Total]]</f>
        <v>0</v>
      </c>
      <c r="U214" s="270" t="str">
        <f>IF(SnapshotTable[[#This Row],[Equity Basis Total]] &gt; 0, SnapshotTable[[#This Row],[Equity G/L]] / SnapshotTable[[#This Row],[Equity Basis Total]], "")</f>
        <v/>
      </c>
      <c r="V214" s="268"/>
      <c r="W214" s="26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7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0"/>
      <c r="AD214" s="350"/>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0</v>
      </c>
      <c r="AH214" s="350"/>
      <c r="AI214" s="330"/>
      <c r="AJ214" s="138"/>
      <c r="AK214" s="152" t="str">
        <f>IF(ISNUMBER( SnapshotTable[[#This Row],[EBF Target]]),(SnapshotTable[[#This Row],[EBF Target]] - SnapshotTable[[#This Row],[Last Price]]) / SnapshotTable[[#This Row],[Last Price]], "")</f>
        <v/>
      </c>
      <c r="AL214" s="152"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2" t="str">
        <f>IF(AND(ISNUMBER( SnapshotTable[[#This Row],[Long Term Target]]), ISNUMBER(SnapshotTable[[#This Row],[Last Price]])),(SnapshotTable[[#This Row],[Long Term Target]] - SnapshotTable[[#This Row],[Last Price]]) / SnapshotTable[[#This Row],[Last Price]], "")</f>
        <v/>
      </c>
      <c r="AP214" s="330"/>
      <c r="AQ214" s="388"/>
      <c r="AR214" s="330"/>
      <c r="AS214" s="388"/>
      <c r="AT214" s="389"/>
      <c r="AU214" s="187" t="str">
        <f>IF(OR(SnapshotTable[[#This Row],[LP No Fill]]="Y",SnapshotTable[[#This Row],[SP Is Filled]],SnapshotTable[[#This Row],[LC Not Filled]]="Y",SnapshotTable[[#This Row],[SC Is Filled]]),"Y","")</f>
        <v/>
      </c>
      <c r="AV214" s="338"/>
      <c r="AW214" s="339"/>
      <c r="AX214" s="220"/>
      <c r="AY214" s="219" t="str">
        <f>IF(SnapshotTable[[#This Row],[Implied Move]]&gt;0, SnapshotTable[[#This Row],[Last Price]]-SnapshotTable[[#This Row],[Implied Move]],"")</f>
        <v/>
      </c>
      <c r="AZ214" s="219" t="str">
        <f>IF(SnapshotTable[[#This Row],[Implied Move]]&gt;0, SnapshotTable[[#This Row],[Last Price]] + SnapshotTable[[#This Row],[Implied Move]],"")</f>
        <v/>
      </c>
      <c r="BA214" s="331"/>
      <c r="BB214" s="347"/>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51"/>
      <c r="BE214" s="390"/>
      <c r="BF214" s="391"/>
      <c r="BG214" s="392"/>
      <c r="BH214" s="392"/>
      <c r="BI214" s="393"/>
      <c r="BJ214" s="153">
        <f>IF(SnapshotTable[[#This Row],[LP Qty]] &gt; 0, SnapshotTable[[#This Row],[LP Qty]] * SnapshotTable[[#This Row],[LP Book Price]] * 100,0)</f>
        <v>0</v>
      </c>
      <c r="BK214" s="136">
        <f>IF(SnapshotTable[[#This Row],[LP Premium]] &gt; 0, SnapshotTable[[#This Row],[LP Qty]] * SnapshotTable[[#This Row],[LP Strike Price]] * 100,0)</f>
        <v>0</v>
      </c>
      <c r="BL214" s="154"/>
      <c r="BM214" s="385" t="str">
        <f>IF(SnapshotTable[[#This Row],[LP Premium]] &gt; 0,SnapshotTable[[#This Row],[LP Exp Date]]-MAX(SnapshotTable[[#This Row],[LP Book Date]], SnapshotTable[[#This Row],[LP Fill Date]]),"")</f>
        <v/>
      </c>
      <c r="BN214" s="385" t="str">
        <f>IF(ISNUMBER( SnapshotTable[[#This Row],[LP Term]]), SnapshotTable[[#This Row],[LP Exp Date]] - MockToday,"")</f>
        <v/>
      </c>
      <c r="BO214" s="163"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7"/>
      <c r="BU214" s="13"/>
      <c r="BV214" s="5"/>
      <c r="BW214" s="419" t="b">
        <f>AND(ISNUMBER(SnapshotTable[[#This Row],[SP Exp Date]]), ISNUMBER(SnapshotTable[[#This Row],[SP Strike Price]]), ISNUMBER(SnapshotTable[[#This Row],[SP Qty]]), ISNUMBER(SnapshotTable[[#This Row],[SP Book Date]]), ISNUMBER(SnapshotTable[[#This Row],[SP Book Price]]))</f>
        <v>0</v>
      </c>
      <c r="BX214" s="419" t="b">
        <f>AND(SnapshotTable[[#This Row],[SP Is Booked]], NOT(ISBLANK(SnapshotTable[[#This Row],[SP Fill Date]])))</f>
        <v>0</v>
      </c>
      <c r="BY214" s="33">
        <f>IF(SnapshotTable[[#This Row],[SP Is Booked]], SnapshotTable[[#This Row],[SP Qty]] * SnapshotTable[[#This Row],[SP Book Price]] * 100, 0)</f>
        <v>0</v>
      </c>
      <c r="BZ214" s="373"/>
      <c r="CA214" s="368">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3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44"/>
      <c r="CK214" s="31">
        <f>IF(ISNUMBER(SnapshotTable[[#This Row],[SP Potential Spend]]),IF(ISNUMBER(SnapshotTable[[#This Row],[SP POW]]), SnapshotTable[[#This Row],[SP POW]] * SnapshotTable[[#This Row],[SP Potential Spend]], SnapshotTable[[#This Row],[SP Potential Spend]]), "")</f>
        <v>0</v>
      </c>
      <c r="CL214" s="164">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154"/>
      <c r="CO214" s="369"/>
      <c r="CP214" s="320" t="str">
        <f>IF(SnapshotTable[[#This Row],[SP Is Filled]], btc_max_buyback_amount(SnapshotTable[[#This Row],[SP Fill Date]],SnapshotTable[[#This Row],[SP Exp Date]], SnapshotTable[[#This Row],[SP Book Price]]),"")</f>
        <v/>
      </c>
      <c r="CQ214" s="78"/>
      <c r="CR21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5" t="str">
        <f>IF(SnapshotTable[[#This Row],[SP Is Filled]], btc_next_cutoff_date(SnapshotTable[[#This Row],[SP Fill Date]],SnapshotTable[[#This Row],[SP Exp Date]]),"")</f>
        <v/>
      </c>
      <c r="CT214" s="23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56"/>
      <c r="CV214" s="394"/>
      <c r="CW214" s="378"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294" t="str">
        <f>IF(ISNUMBER((SnapshotTable[[#This Row],[SP Total Value]])), SnapshotTable[[#This Row],[SP Gain Loss]] / SnapshotTable[[#This Row],[SP Premium]], "")</f>
        <v/>
      </c>
      <c r="DI214" s="406"/>
      <c r="DJ214" s="138"/>
      <c r="DK214" s="148"/>
      <c r="DL214" s="147"/>
      <c r="DM214" s="147"/>
      <c r="DO214" s="31">
        <f>IF(SnapshotTable[[#This Row],[LC Symbol Count]]=1, SnapshotTable[[#This Row],[LC Qty]] * SnapshotTable[[#This Row],[LC Book Price]] * 100, 0)</f>
        <v>0</v>
      </c>
      <c r="DP214" s="289" t="str">
        <f>IF(AND(SnapshotTable[[#This Row],[LC Exp Date]]&gt;0, SnapshotTable[[#This Row],[LC Strike Price]]&gt;0,SnapshotTable[[#This Row],[LC Qty]]&gt;0,SnapshotTable[[#This Row],[LC Book Date]]&gt;0,SnapshotTable[[#This Row],[LC Book Price]]&gt;0,SnapshotTable[[#This Row],[LC Fill Date]]=0),"Y","")</f>
        <v/>
      </c>
      <c r="DQ214" s="386" t="str">
        <f>IF(SnapshotTable[[#This Row],[LC Premium]] &gt; 0,SnapshotTable[[#This Row],[LC Exp Date]]-MAX(SnapshotTable[[#This Row],[LC Book Date]], SnapshotTable[[#This Row],[LC Fill Date]]),"")</f>
        <v/>
      </c>
      <c r="DR214" s="386" t="str">
        <f>IF(ISNUMBER(SnapshotTable[[#This Row],[LC Term]]), SnapshotTable[[#This Row],[LC Exp Date]] - MockToday, "")</f>
        <v/>
      </c>
      <c r="DS214" s="355" t="str">
        <f>IF(SnapshotTable[[#This Row],[LC Premium]]&gt;0,SnapshotTable[[#This Row],[LC Strike Price]] + SnapshotTable[[#This Row],[LC Book Price]],"")</f>
        <v/>
      </c>
      <c r="DT214" s="163"/>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40" t="str">
        <f>IF(ISNUMBER(SnapshotTable[[#This Row],[LC Actual Gain Loss]]), SnapshotTable[[#This Row],[LC Actual Gain Loss]] / SnapshotTable[[#This Row],[LC Premium]],"")</f>
        <v/>
      </c>
      <c r="DX214" s="284" t="str">
        <f>IF(ISNUMBER(SnapshotTable[[#This Row],[LC Book Price]]),SnapshotTable[[#This Row],[LC Book Price]] * 1.5,"")</f>
        <v/>
      </c>
      <c r="DY214" s="265" t="str">
        <f>IF(SnapshotTable[[#This Row],[LC Premium]]&gt;0, SnapshotTable[[#This Row],[LC Next Target]] * SnapshotTable[[#This Row],[LC Qty]] * 100,"")</f>
        <v/>
      </c>
      <c r="DZ214" s="265" t="str">
        <f>IF(ISNUMBER(SnapshotTable[[#This Row],[LC Target Gross]]), SnapshotTable[[#This Row],[LC Target Gross]] - SnapshotTable[[#This Row],[LC Premium]], "")</f>
        <v/>
      </c>
      <c r="EA214" s="305" t="str">
        <f>IF(ISNUMBER(SnapshotTable[[#This Row],[LC Target Gain Loss]]), SnapshotTable[[#This Row],[LC Target Gain Loss]]/SnapshotTable[[#This Row],[LC Premium]], "")</f>
        <v/>
      </c>
      <c r="EB214" s="262"/>
      <c r="EC214" s="290" t="str">
        <f>IF(SnapshotTable[[#This Row],[LC Premium]]&gt;0, SnapshotTable[[#This Row],[LC Book Price]] * (1 - LC_StopLoss_Pct),"")</f>
        <v/>
      </c>
      <c r="ED214" s="284"/>
      <c r="EE214" s="290" t="str">
        <f>IF(ISNUMBER(SnapshotTable[[#This Row],[LC Contract Value]]),IF(ISNUMBER(SnapshotTable[[#This Row],[LC Stop Loss Override]]), SnapshotTable[[#This Row],[LC Stop Loss Override]],SnapshotTable[[#This Row],[LC Stop Loss Calc Target]]),"")</f>
        <v/>
      </c>
      <c r="EF214" s="32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4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7"/>
      <c r="EL214" s="138"/>
      <c r="EM214" s="148"/>
      <c r="EN214" s="147"/>
      <c r="EO214" s="147"/>
      <c r="EP214" s="138"/>
      <c r="EQ214" s="419" t="b">
        <f>AND(ISNUMBER(SnapshotTable[[#This Row],[SC Exp Date]]), ISNUMBER(SnapshotTable[[#This Row],[SC Strike Price]]), ISNUMBER(SnapshotTable[[#This Row],[SC Qty]]), ISNUMBER(SnapshotTable[[#This Row],[SC Book Date]]), ISNUMBER(SnapshotTable[[#This Row],[SC Book Price]]))</f>
        <v>0</v>
      </c>
      <c r="ER214" s="419" t="b">
        <f>AND(SnapshotTable[[#This Row],[SC Is Booked]], NOT(ISBLANK(SnapshotTable[[#This Row],[SC Fill Date]])))</f>
        <v>0</v>
      </c>
      <c r="ES214" s="370"/>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37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283"/>
      <c r="FA214" s="395"/>
      <c r="FB214" s="396"/>
      <c r="FC214" s="4">
        <f>IF(SnapshotTable[[#This Row],[SC Is Filled]], btc_max_buyback_amount(SnapshotTable[[#This Row],[SC Fill Date]],SnapshotTable[[#This Row],[SC Exp Date]], SnapshotTable[[#This Row],[SC Book Price]]),0)</f>
        <v>0</v>
      </c>
      <c r="FD214" s="5"/>
      <c r="FE214" s="144"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382">
        <f>IF(SnapshotTable[[#This Row],[SC Is Filled]], IF(ISNUMBER(SnapshotTable[[#This Row],[SC Current Ask]]), SnapshotTable[[#This Row],[SC Current Ask]], SnapshotTable[[#This Row],[SC Book Price]]) - SnapshotTable[[#This Row],[SC Intrinsic Value]], 0)</f>
        <v>0</v>
      </c>
      <c r="FI214" s="143">
        <v>45786</v>
      </c>
      <c r="FJ214" s="32" t="str">
        <f>IF(SnapshotTable[[#This Row],[SC Is Filled]],100 * SnapshotTable[[#This Row],[SC Qty]] * IF(ISNUMBER(SnapshotTable[[#This Row],[SC Buyback Override]]), SnapshotTable[[#This Row],[SC Buyback Override]], SnapshotTable[[#This Row],[SC Current Ask]]), "")</f>
        <v/>
      </c>
      <c r="FK214" s="250" t="str">
        <f>IF(SnapshotTable[[#This Row],[SC Time Val]]&gt;0, SnapshotTable[[#This Row],[SC Time Val]] / SnapshotTable[[#This Row],[Last Price]],"")</f>
        <v/>
      </c>
      <c r="FL214" s="302" t="str">
        <f>IF(SnapshotTable[[#This Row],[SC Is Booked]], ((SnapshotTable[[#This Row],[Last Price]] -SnapshotTable[[#This Row],[SC Strike Price]]) / SnapshotTable[[#This Row],[Last Price]]) * -1, "")</f>
        <v/>
      </c>
      <c r="FM214" s="157" t="str">
        <f>IF(SnapshotTable[[#This Row],[SC Is Booked]],  (SnapshotTable[[#This Row],[SC Qty]] * 100 * SnapshotTable[[#This Row],[SC Strike Price]]) - SnapshotTable[[#This Row],[SC Current Ask]], "")</f>
        <v/>
      </c>
      <c r="FN21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157"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33"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36" t="str">
        <f>IF(AND(ISNUMBER(SnapshotTable[[#This Row],[SC Simple ROO]]),SnapshotTable[[#This Row],[SC Simple ROO]] &gt; 0), SnapshotTable[[#This Row],[SC Premium]] + (SnapshotTable[[#This Row],[SC Qty]] * SnapshotTable[[#This Row],[SC Upside Potential]]), "")</f>
        <v/>
      </c>
      <c r="FX214" s="302" t="str" cm="1">
        <f t="array" ref="FX214">IF(ISNUMBER(SnapshotTable[[#This Row],[SC Max Dollars]]), annualize(SnapshotTable[[#This Row],[SC Term]],(SnapshotTable[[#This Row],[SC Max Dollars]]/SnapshotTable[[#This Row],[SC Basis]])),"")</f>
        <v/>
      </c>
      <c r="FY214" s="236" t="str">
        <f>IF(AND(SnapshotTable[[#This Row],[SC Qty]]&gt;0,SnapshotTable[[#This Row],[SC Current Ask]]&gt;0), SnapshotTable[[#This Row],[SC Qty]] * SnapshotTable[[#This Row],[SC Current Ask]] * -100, "")</f>
        <v/>
      </c>
      <c r="FZ214" s="235" t="str">
        <f>IF(ISNUMBER((SnapshotTable[[#This Row],[SC Current Value]])), SnapshotTable[[#This Row],[SC Premium]] + SnapshotTable[[#This Row],[SC Current Value]], "")</f>
        <v/>
      </c>
      <c r="GA214" s="294" t="str">
        <f>IFERROR( IF(ISNUMBER((SnapshotTable[[#This Row],[SC Current Value]])), SnapshotTable[[#This Row],[SC Gain Loss]] / SnapshotTable[[#This Row],[SC Premium]], ""), "")</f>
        <v/>
      </c>
      <c r="GB214" s="397">
        <f>SnapshotTable[[#This Row],[Equity Shares]] * SaleSharesToConsiderPercentage</f>
        <v>0</v>
      </c>
      <c r="GC214" s="398">
        <f>SnapshotTable[[#This Row],[Long Term Target]] * SellingPriceToConsiderBasedOnTargetPercentage</f>
        <v>0</v>
      </c>
      <c r="GD214" s="398">
        <f>SnapshotTable[[#This Row],[Last Price]] * (1+ SellingPriceToConsiderBasedOnTargetPercentage)</f>
        <v>241.3125</v>
      </c>
      <c r="GE214" s="399"/>
      <c r="GF214" s="398"/>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158" t="str">
        <f>IF(SnapshotTable[[#This Row],[Sale G/L]]&gt;0, SnapshotTable[[#This Row],[Sale G/L]] / SnapshotTable[[#This Row],[Sale Basis]], IF(ISNUMBER(SnapshotTable[[#This Row],[SC Exercise P&amp;L (TAX)]]), SnapshotTable[[#This Row],[SC Exercise P&amp;L (TAX)]] / SnapshotTable[[#This Row],[SC Basis]], ""))</f>
        <v/>
      </c>
      <c r="GK214" s="27"/>
      <c r="GL214" s="159"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159" t="str">
        <f>IF(AND(SnapshotTable[[#This Row],[LC Exp Date]]&gt;0,SnapshotTable[[#This Row],[LC Strike Price]]&gt;0), [1]!ToOptionSymbol(SnapshotTable[[#This Row],[Symbol]], SnapshotTable[[#This Row],[LC Strike Price]],SnapshotTable[[#This Row],[LC Exp Date]],0), "")</f>
        <v/>
      </c>
      <c r="GQ214" s="160" t="str">
        <f>IF(LEN(SnapshotTable[[#This Row],[LC Symbol]])&gt;0, 1, "")</f>
        <v/>
      </c>
      <c r="GR214" s="159" t="str">
        <f>IF(AND(SnapshotTable[[#This Row],[SC Exp Date]]&gt;0,SnapshotTable[[#This Row],[SC Strike Price]]&gt;0), [1]!ToOptionSymbol(SnapshotTable[[#This Row],[Symbol]], SnapshotTable[[#This Row],[SC Strike Price]],SnapshotTable[[#This Row],[SC Exp Date]],0), "")</f>
        <v/>
      </c>
      <c r="GS214" s="160" t="str">
        <f>IF(LEN(SnapshotTable[[#This Row],[SC Symbol]])&gt;0, 1, "")</f>
        <v/>
      </c>
      <c r="GT214" s="161"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31">
        <f>MAX(SnapshotTable[[#This Row],[Equity Basis Total]],SnapshotTable[[#This Row],[Equity Value]]) + (SnapshotTable[[#This Row],[SP Potential Spend]]- SnapshotTable[[#This Row],[SP Premium]] + SnapshotTable[[#This Row],[LP Premium]])+ (SnapshotTable[[#This Row],[LC Premium]] - SnapshotTable[[#This Row],[SC Premium]])</f>
        <v>0</v>
      </c>
      <c r="GW214" s="139" t="str">
        <f>IF(AND(SnapshotTable[[#This Row],[Exposure]] &lt;&gt; 0),SnapshotTable[[#This Row],[Exposure]] / SnapshotTable[[#Totals],[Exposure]], "")</f>
        <v/>
      </c>
      <c r="GX214" s="5"/>
      <c r="HE214" s="268"/>
      <c r="HF214" s="268"/>
      <c r="HK214" s="1"/>
      <c r="HL214" s="1"/>
      <c r="HM214" s="1"/>
      <c r="HN214" s="1"/>
      <c r="HO214" s="1"/>
      <c r="HP214" s="1"/>
    </row>
    <row r="215" spans="2:224" ht="12.75" hidden="1" customHeight="1" x14ac:dyDescent="0.25">
      <c r="B215" s="12" t="s">
        <v>76</v>
      </c>
      <c r="C215" s="422">
        <v>23.11</v>
      </c>
      <c r="D215" s="208"/>
      <c r="E215" s="39">
        <f>SnapshotTable[[#This Row],[Last Price]]*(1 -CrashDiscount)</f>
        <v>19.6435</v>
      </c>
      <c r="F215" s="26" t="s">
        <v>12</v>
      </c>
      <c r="G215" s="26" t="s">
        <v>4</v>
      </c>
      <c r="H215" s="149"/>
      <c r="I215" s="194">
        <v>44763.270833333336</v>
      </c>
      <c r="J215" s="195">
        <v>44763.270833333336</v>
      </c>
      <c r="K215" s="196"/>
      <c r="L215" s="326"/>
      <c r="M215" s="140"/>
      <c r="N215" s="140"/>
      <c r="O215" s="140"/>
      <c r="P215" s="22"/>
      <c r="Q215" s="25"/>
      <c r="R215" s="4" t="str">
        <f>IF(SnapshotTable[[#This Row],[Equity Basis Total]] &gt; 0, SnapshotTable[[#This Row],[Equity Basis Total]] / SnapshotTable[[#This Row],[Equity Shares]], "")</f>
        <v/>
      </c>
      <c r="S215" s="269">
        <f>SnapshotTable[[#This Row],[Last Price]] * SnapshotTable[[#This Row],[Equity Shares]]</f>
        <v>0</v>
      </c>
      <c r="T215" s="269">
        <f>SnapshotTable[[#This Row],[Equity Value]] - SnapshotTable[[#This Row],[Equity Basis Total]]</f>
        <v>0</v>
      </c>
      <c r="U215" s="270" t="str">
        <f>IF(SnapshotTable[[#This Row],[Equity Basis Total]] &gt; 0, SnapshotTable[[#This Row],[Equity G/L]] / SnapshotTable[[#This Row],[Equity Basis Total]], "")</f>
        <v/>
      </c>
      <c r="V215" s="268"/>
      <c r="W215" s="26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7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0">
        <v>0.3</v>
      </c>
      <c r="AD215" s="151">
        <v>42353</v>
      </c>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1.2981393336218087E-2</v>
      </c>
      <c r="AH215" s="151">
        <v>42242</v>
      </c>
      <c r="AI215" s="5">
        <v>21</v>
      </c>
      <c r="AJ215" s="138">
        <v>13.16</v>
      </c>
      <c r="AK215" s="152">
        <f>IF(ISNUMBER( SnapshotTable[[#This Row],[EBF Target]]),(SnapshotTable[[#This Row],[EBF Target]] - SnapshotTable[[#This Row],[Last Price]]) / SnapshotTable[[#This Row],[Last Price]], "")</f>
        <v>-9.1302466464733861E-2</v>
      </c>
      <c r="AL215" s="152"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2">
        <f>IF(AND(ISNUMBER( SnapshotTable[[#This Row],[Long Term Target]]), ISNUMBER(SnapshotTable[[#This Row],[Last Price]])),(SnapshotTable[[#This Row],[Long Term Target]] - SnapshotTable[[#This Row],[Last Price]]) / SnapshotTable[[#This Row],[Last Price]], "")</f>
        <v>-0.43054954565123321</v>
      </c>
      <c r="AP215" s="5"/>
      <c r="AQ215" s="38"/>
      <c r="AR215" s="5"/>
      <c r="AS215" s="38"/>
      <c r="AT215" s="146"/>
      <c r="AU215" s="187" t="str">
        <f>IF(OR(SnapshotTable[[#This Row],[LP No Fill]]="Y",SnapshotTable[[#This Row],[SP Is Filled]],SnapshotTable[[#This Row],[LC Not Filled]]="Y",SnapshotTable[[#This Row],[SC Is Filled]]),"Y","")</f>
        <v/>
      </c>
      <c r="AV215" s="219"/>
      <c r="AW215" s="225"/>
      <c r="AX215" s="220"/>
      <c r="AY215" s="219" t="str">
        <f>IF(SnapshotTable[[#This Row],[Implied Move]]&gt;0, SnapshotTable[[#This Row],[Last Price]]-SnapshotTable[[#This Row],[Implied Move]],"")</f>
        <v/>
      </c>
      <c r="AZ215" s="219" t="str">
        <f>IF(SnapshotTable[[#This Row],[Implied Move]]&gt;0, SnapshotTable[[#This Row],[Last Price]] + SnapshotTable[[#This Row],[Implied Move]],"")</f>
        <v/>
      </c>
      <c r="BA215" s="331"/>
      <c r="BB215" s="347"/>
      <c r="BC2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5" s="351"/>
      <c r="BE215" s="5"/>
      <c r="BF215" s="14"/>
      <c r="BG215" s="13"/>
      <c r="BH215" s="13"/>
      <c r="BI215" s="5"/>
      <c r="BJ215" s="136">
        <f>IF(SnapshotTable[[#This Row],[LP Qty]] &gt; 0, SnapshotTable[[#This Row],[LP Qty]] * SnapshotTable[[#This Row],[LP Book Price]] * 100,0)</f>
        <v>0</v>
      </c>
      <c r="BK215" s="136">
        <f>IF(SnapshotTable[[#This Row],[LP Premium]] &gt; 0, SnapshotTable[[#This Row],[LP Qty]] * SnapshotTable[[#This Row],[LP Strike Price]] * 100,0)</f>
        <v>0</v>
      </c>
      <c r="BL215" s="154"/>
      <c r="BM215" s="385" t="str">
        <f>IF(SnapshotTable[[#This Row],[LP Premium]] &gt; 0,SnapshotTable[[#This Row],[LP Exp Date]]-MAX(SnapshotTable[[#This Row],[LP Book Date]], SnapshotTable[[#This Row],[LP Fill Date]]),"")</f>
        <v/>
      </c>
      <c r="BN215" s="385" t="str">
        <f>IF(ISNUMBER( SnapshotTable[[#This Row],[LP Term]]), SnapshotTable[[#This Row],[LP Exp Date]] - MockToday,"")</f>
        <v/>
      </c>
      <c r="BO215" s="163"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7"/>
      <c r="BU215" s="13"/>
      <c r="BV215" s="5"/>
      <c r="BW215" s="419" t="b">
        <f>AND(ISNUMBER(SnapshotTable[[#This Row],[SP Exp Date]]), ISNUMBER(SnapshotTable[[#This Row],[SP Strike Price]]), ISNUMBER(SnapshotTable[[#This Row],[SP Qty]]), ISNUMBER(SnapshotTable[[#This Row],[SP Book Date]]), ISNUMBER(SnapshotTable[[#This Row],[SP Book Price]]))</f>
        <v>0</v>
      </c>
      <c r="BX215" s="419" t="b">
        <f>AND(SnapshotTable[[#This Row],[SP Is Booked]], NOT(ISBLANK(SnapshotTable[[#This Row],[SP Fill Date]])))</f>
        <v>0</v>
      </c>
      <c r="BY215" s="33">
        <f>IF(SnapshotTable[[#This Row],[SP Is Booked]], SnapshotTable[[#This Row],[SP Qty]] * SnapshotTable[[#This Row],[SP Book Price]] * 100, 0)</f>
        <v>0</v>
      </c>
      <c r="BZ215" s="369"/>
      <c r="CA215" s="368">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3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44"/>
      <c r="CK215" s="31">
        <f>IF(ISNUMBER(SnapshotTable[[#This Row],[SP Potential Spend]]),IF(ISNUMBER(SnapshotTable[[#This Row],[SP POW]]), SnapshotTable[[#This Row],[SP POW]] * SnapshotTable[[#This Row],[SP Potential Spend]], SnapshotTable[[#This Row],[SP Potential Spend]]), "")</f>
        <v>0</v>
      </c>
      <c r="CL215" s="164">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8"/>
      <c r="CO215" s="369"/>
      <c r="CP215" s="4" t="str">
        <f>IF(SnapshotTable[[#This Row],[SP Is Filled]], btc_max_buyback_amount(SnapshotTable[[#This Row],[SP Fill Date]],SnapshotTable[[#This Row],[SP Exp Date]], SnapshotTable[[#This Row],[SP Book Price]]),"")</f>
        <v/>
      </c>
      <c r="CQ215" s="78"/>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5" t="str">
        <f>IF(SnapshotTable[[#This Row],[SP Is Filled]], btc_next_cutoff_date(SnapshotTable[[#This Row],[SP Fill Date]],SnapshotTable[[#This Row],[SP Exp Date]]),"")</f>
        <v/>
      </c>
      <c r="CT215" s="23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3"/>
      <c r="CV215" s="235"/>
      <c r="CW215" s="378"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294" t="str">
        <f>IF(ISNUMBER((SnapshotTable[[#This Row],[SP Total Value]])), SnapshotTable[[#This Row],[SP Gain Loss]] / SnapshotTable[[#This Row],[SP Premium]], "")</f>
        <v/>
      </c>
      <c r="DI215" s="406"/>
      <c r="DJ215" s="138"/>
      <c r="DK215" s="148"/>
      <c r="DL215" s="13"/>
      <c r="DM215" s="13"/>
      <c r="DO215" s="31">
        <f>IF(SnapshotTable[[#This Row],[LC Symbol Count]]=1, SnapshotTable[[#This Row],[LC Qty]] * SnapshotTable[[#This Row],[LC Book Price]] * 100, 0)</f>
        <v>0</v>
      </c>
      <c r="DP215" s="163" t="str">
        <f>IF(AND(SnapshotTable[[#This Row],[LC Exp Date]]&gt;0, SnapshotTable[[#This Row],[LC Strike Price]]&gt;0,SnapshotTable[[#This Row],[LC Qty]]&gt;0,SnapshotTable[[#This Row],[LC Book Date]]&gt;0,SnapshotTable[[#This Row],[LC Book Price]]&gt;0,SnapshotTable[[#This Row],[LC Fill Date]]=0),"Y","")</f>
        <v/>
      </c>
      <c r="DQ215" s="386" t="str">
        <f>IF(SnapshotTable[[#This Row],[LC Premium]] &gt; 0,SnapshotTable[[#This Row],[LC Exp Date]]-MAX(SnapshotTable[[#This Row],[LC Book Date]], SnapshotTable[[#This Row],[LC Fill Date]]),"")</f>
        <v/>
      </c>
      <c r="DR215" s="386" t="str">
        <f>IF(ISNUMBER(SnapshotTable[[#This Row],[LC Term]]), SnapshotTable[[#This Row],[LC Exp Date]] - MockToday, "")</f>
        <v/>
      </c>
      <c r="DS215" s="234" t="str">
        <f>IF(SnapshotTable[[#This Row],[LC Premium]]&gt;0,SnapshotTable[[#This Row],[LC Strike Price]] + SnapshotTable[[#This Row],[LC Book Price]],"")</f>
        <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40" t="str">
        <f>IF(ISNUMBER(SnapshotTable[[#This Row],[LC Actual Gain Loss]]), SnapshotTable[[#This Row],[LC Actual Gain Loss]] / SnapshotTable[[#This Row],[LC Premium]],"")</f>
        <v/>
      </c>
      <c r="DX215" s="284" t="str">
        <f>IF(ISNUMBER(SnapshotTable[[#This Row],[LC Book Price]]),SnapshotTable[[#This Row],[LC Book Price]] * 1.5,"")</f>
        <v/>
      </c>
      <c r="DY215" s="265" t="str">
        <f>IF(SnapshotTable[[#This Row],[LC Premium]]&gt;0, SnapshotTable[[#This Row],[LC Next Target]] * SnapshotTable[[#This Row],[LC Qty]] * 100,"")</f>
        <v/>
      </c>
      <c r="DZ215" s="265" t="str">
        <f>IF(ISNUMBER(SnapshotTable[[#This Row],[LC Target Gross]]), SnapshotTable[[#This Row],[LC Target Gross]] - SnapshotTable[[#This Row],[LC Premium]], "")</f>
        <v/>
      </c>
      <c r="EA215" s="305" t="str">
        <f>IF(ISNUMBER(SnapshotTable[[#This Row],[LC Target Gain Loss]]), SnapshotTable[[#This Row],[LC Target Gain Loss]]/SnapshotTable[[#This Row],[LC Premium]], "")</f>
        <v/>
      </c>
      <c r="EB215" s="262"/>
      <c r="EC215" s="283" t="str">
        <f>IF(SnapshotTable[[#This Row],[LC Premium]]&gt;0, SnapshotTable[[#This Row],[LC Book Price]] * (1 - LC_StopLoss_Pct),"")</f>
        <v/>
      </c>
      <c r="ED215" s="284"/>
      <c r="EE215" s="28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0</v>
      </c>
      <c r="EI215" s="24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0</v>
      </c>
      <c r="EK215" s="147"/>
      <c r="EL215" s="138"/>
      <c r="EM215" s="148"/>
      <c r="EN215" s="147"/>
      <c r="EO215" s="147"/>
      <c r="EP215" s="138"/>
      <c r="EQ215" s="419" t="b">
        <f>AND(ISNUMBER(SnapshotTable[[#This Row],[SC Exp Date]]), ISNUMBER(SnapshotTable[[#This Row],[SC Strike Price]]), ISNUMBER(SnapshotTable[[#This Row],[SC Qty]]), ISNUMBER(SnapshotTable[[#This Row],[SC Book Date]]), ISNUMBER(SnapshotTable[[#This Row],[SC Book Price]]))</f>
        <v>0</v>
      </c>
      <c r="ER215" s="419" t="b">
        <f>AND(SnapshotTable[[#This Row],[SC Is Booked]], NOT(ISBLANK(SnapshotTable[[#This Row],[SC Fill Date]])))</f>
        <v>0</v>
      </c>
      <c r="ES215" s="370"/>
      <c r="ET215" s="34" t="str">
        <f>IF(AND(ISNUMBER(SnapshotTable[[#This Row],[SC Exp Date]]), ISNUMBER(SnapshotTable[[#This Row],[SC Book Date]])), SnapshotTable[[#This Row],[SC Exp Date]] - MAX(SnapshotTable[[#This Row],[SC Book Date]], SnapshotTable[[#This Row],[SC Fill Date]]) + 1, "")</f>
        <v/>
      </c>
      <c r="EU215" s="34" t="str">
        <f>IF(ISNUMBER(SnapshotTable[[#This Row],[SC Term]]), SnapshotTable[[#This Row],[SC Exp Date]]- MockToday, "")</f>
        <v/>
      </c>
      <c r="EV215" s="31">
        <f>IF(SnapshotTable[[#This Row],[SC Is Booked]], SnapshotTable[[#This Row],[SC Qty]] * SnapshotTable[[#This Row],[SC Book Price]] * 100, 0)</f>
        <v>0</v>
      </c>
      <c r="EW215" s="4" t="str">
        <f>IF(AND(ISNUMBER(SnapshotTable[[#This Row],[Last Price]]), ISNUMBER( SnapshotTable[[#This Row],[SC Book Price]])), SnapshotTable[[#This Row],[Last Price]] - SnapshotTable[[#This Row],[SC Book Price]],"")</f>
        <v/>
      </c>
      <c r="EX215" s="234" t="str">
        <f>IF(SnapshotTable[[#This Row],[SC Is Booked]],IF(SnapshotTable[[#This Row],[SC Intrinsic Value]] &gt; 0, SnapshotTable[[#This Row],[SC Strike Price]], SnapshotTable[[#This Row],[Last Price]]), "")</f>
        <v/>
      </c>
      <c r="EY215" s="4">
        <f>IF(SnapshotTable[[#This Row],[SC Is Booked]], (MinimumPremiumRequired * SnapshotTable[[#This Row],[SC Basis]] * SnapshotTable[[#This Row],[SC Term]]), 0)</f>
        <v>0</v>
      </c>
      <c r="EZ215" s="283"/>
      <c r="FA215" s="218"/>
      <c r="FB215" s="370"/>
      <c r="FC215" s="4">
        <f>IF(SnapshotTable[[#This Row],[SC Is Filled]], btc_max_buyback_amount(SnapshotTable[[#This Row],[SC Fill Date]],SnapshotTable[[#This Row],[SC Exp Date]], SnapshotTable[[#This Row],[SC Book Price]]),0)</f>
        <v>0</v>
      </c>
      <c r="FD215" s="5"/>
      <c r="FE215" s="144" t="str">
        <f>IF(SnapshotTable[[#This Row],[SC Is Filled]], btc_next_cutoff_date(SnapshotTable[[#This Row],[SC Fill Date]],SnapshotTable[[#This Row],[SC Exp Date]]),"")</f>
        <v/>
      </c>
      <c r="FF215" s="4" t="str" cm="1">
        <f t="array" ref="FF215">IF(SnapshotTable[[#This Row],[SC Is Filled]], btc_should_buy_back(SnapshotTable[[#This Row],[SC Fill Date]], SnapshotTable[[#This Row],[SC Exp Date]], SnapshotTable[[#This Row],[SC Book Price]], SnapshotTable[[#This Row],[SC Current Ask]], MockToday, SnapshotTable[[#This Row],[SC Buyback Override]]),"")</f>
        <v/>
      </c>
      <c r="FG215" s="4">
        <f>IF(SnapshotTable[[#This Row],[SC Is Filled]], MAX(0,SnapshotTable[[#This Row],[Last Price]]  - SnapshotTable[[#This Row],[SC Strike Price]]), 0)</f>
        <v>0</v>
      </c>
      <c r="FH215" s="382">
        <f>IF(SnapshotTable[[#This Row],[SC Is Filled]], IF(ISNUMBER(SnapshotTable[[#This Row],[SC Current Ask]]), SnapshotTable[[#This Row],[SC Current Ask]], SnapshotTable[[#This Row],[SC Book Price]]) - SnapshotTable[[#This Row],[SC Intrinsic Value]], 0)</f>
        <v>0</v>
      </c>
      <c r="FI215" s="143"/>
      <c r="FJ215" s="32" t="str">
        <f>IF(SnapshotTable[[#This Row],[SC Is Filled]],100 * SnapshotTable[[#This Row],[SC Qty]] * IF(ISNUMBER(SnapshotTable[[#This Row],[SC Buyback Override]]), SnapshotTable[[#This Row],[SC Buyback Override]], SnapshotTable[[#This Row],[SC Current Ask]]), "")</f>
        <v/>
      </c>
      <c r="FK215" s="250" t="str">
        <f>IF(SnapshotTable[[#This Row],[SC Time Val]]&gt;0, SnapshotTable[[#This Row],[SC Time Val]] / SnapshotTable[[#This Row],[Last Price]],"")</f>
        <v/>
      </c>
      <c r="FL215" s="302" t="str">
        <f>IF(SnapshotTable[[#This Row],[SC Is Booked]], ((SnapshotTable[[#This Row],[Last Price]] -SnapshotTable[[#This Row],[SC Strike Price]]) / SnapshotTable[[#This Row],[Last Price]]) * -1, "")</f>
        <v/>
      </c>
      <c r="FM215" s="157" t="str">
        <f>IF(SnapshotTable[[#This Row],[SC Is Booked]],  (SnapshotTable[[#This Row],[SC Qty]] * 100 * SnapshotTable[[#This Row],[SC Strike Price]]) - SnapshotTable[[#This Row],[SC Current Ask]], "")</f>
        <v/>
      </c>
      <c r="FN2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IF(AND(ISNUMBER(SnapshotTable[[#This Row],[SC Exercise Gross]]), ISNUMBER(SnapshotTable[[#This Row],[Equity Basis Per Share]] )), SnapshotTable[[#This Row],[SC Exercise Gross]] - SnapshotTable[[#This Row],[Equity Basis Total]] +  SnapshotTable[[#This Row],[SC Premium]], "")</f>
        <v/>
      </c>
      <c r="FP215" s="5" t="str">
        <f>IF(ISNUMBER(SnapshotTable[[#This Row],[SC Exercise Gross]]), (SnapshotTable[[#This Row],[SC Exercise Gross]]) / (SnapshotTable[[#This Row],[SC Qty]] * 100), "")</f>
        <v/>
      </c>
      <c r="FQ215" s="27" t="str">
        <f>IF(SnapshotTable[[#This Row],[SC Is Booked]],SnapshotTable[[#This Row],[SC Time Val]] /SnapshotTable[[#This Row],[SC Basis]], "")</f>
        <v/>
      </c>
      <c r="FR215" s="27" t="str" cm="1">
        <f t="array" ref="FR215">IF(AND(ISNUMBER(SnapshotTable[[#This Row],[SC Term]]),ISNUMBER(SnapshotTable[[#This Row],[SC Simple ROO]])), EllmanAnnualize(SnapshotTable[[#This Row],[SC DTE]], SnapshotTable[[#This Row],[SC Simple ROO]] ),"")</f>
        <v/>
      </c>
      <c r="FS215" s="4">
        <f>IF(SnapshotTable[[#This Row],[SC Strike Price]] &gt; SnapshotTable[[#This Row],[Last Price]], SnapshotTable[[#This Row],[SC Strike Price]] - SnapshotTable[[#This Row],[Last Price]],0)</f>
        <v>0</v>
      </c>
      <c r="FT215" s="27" t="str">
        <f>IF(AND(ISNUMBER(SnapshotTable[[#This Row],[SC Upside Potential]]), SnapshotTable[[#This Row],[SC Upside Potential]] &gt; 0),(SnapshotTable[[#This Row],[SC Upside Potential]]/ SnapshotTable[[#This Row],[ACB]]),"")</f>
        <v/>
      </c>
      <c r="FU215" s="333"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36" t="str">
        <f>IF(AND(ISNUMBER(SnapshotTable[[#This Row],[SC Simple ROO]]),SnapshotTable[[#This Row],[SC Simple ROO]] &gt; 0), SnapshotTable[[#This Row],[SC Premium]] + (SnapshotTable[[#This Row],[SC Qty]] * SnapshotTable[[#This Row],[SC Upside Potential]]), "")</f>
        <v/>
      </c>
      <c r="FX215" s="302" t="str" cm="1">
        <f t="array" ref="FX215">IF(ISNUMBER(SnapshotTable[[#This Row],[SC Max Dollars]]), annualize(SnapshotTable[[#This Row],[SC Term]],(SnapshotTable[[#This Row],[SC Max Dollars]]/SnapshotTable[[#This Row],[SC Basis]])),"")</f>
        <v/>
      </c>
      <c r="FY215" s="236" t="str">
        <f>IF(AND(SnapshotTable[[#This Row],[SC Qty]]&gt;0,SnapshotTable[[#This Row],[SC Current Ask]]&gt;0), SnapshotTable[[#This Row],[SC Qty]] * SnapshotTable[[#This Row],[SC Current Ask]] * -100, "")</f>
        <v/>
      </c>
      <c r="FZ215" s="31" t="str">
        <f>IF(ISNUMBER((SnapshotTable[[#This Row],[SC Current Value]])), SnapshotTable[[#This Row],[SC Premium]] + SnapshotTable[[#This Row],[SC Current Value]], "")</f>
        <v/>
      </c>
      <c r="GA215" s="294" t="str">
        <f>IFERROR( IF(ISNUMBER((SnapshotTable[[#This Row],[SC Current Value]])), SnapshotTable[[#This Row],[SC Gain Loss]] / SnapshotTable[[#This Row],[SC Premium]], ""), "")</f>
        <v/>
      </c>
      <c r="GB215" s="42">
        <f>SnapshotTable[[#This Row],[Equity Shares]] * SaleSharesToConsiderPercentage</f>
        <v>0</v>
      </c>
      <c r="GC215" s="40">
        <f>SnapshotTable[[#This Row],[Long Term Target]] * SellingPriceToConsiderBasedOnTargetPercentage</f>
        <v>12.501999999999999</v>
      </c>
      <c r="GD215" s="40">
        <f>SnapshotTable[[#This Row],[Last Price]] * (1+ SellingPriceToConsiderBasedOnTargetPercentage)</f>
        <v>45.064499999999995</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IF(SnapshotTable[[#This Row],[Sale G/L]]&gt;0, SnapshotTable[[#This Row],[Sale G/L]] / SnapshotTable[[#This Row],[Sale Basis]], IF(ISNUMBER(SnapshotTable[[#This Row],[SC Exercise P&amp;L (TAX)]]), SnapshotTable[[#This Row],[SC Exercise P&amp;L (TAX)]] / SnapshotTable[[#This Row],[SC Basis]], ""))</f>
        <v/>
      </c>
      <c r="GK215" s="27" t="s">
        <v>729</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
      </c>
      <c r="GQ215" s="30" t="str">
        <f>IF(LEN(SnapshotTable[[#This Row],[LC Symbol]])&gt;0, 1, "")</f>
        <v/>
      </c>
      <c r="GR215" s="43" t="str">
        <f>IF(AND(SnapshotTable[[#This Row],[SC Exp Date]]&gt;0,SnapshotTable[[#This Row],[SC Strike Price]]&gt;0), [1]!ToOptionSymbol(SnapshotTable[[#This Row],[Symbol]], SnapshotTable[[#This Row],[SC Strike Price]],SnapshotTable[[#This Row],[SC Exp Date]],0), "")</f>
        <v/>
      </c>
      <c r="GS215" s="30" t="str">
        <f>IF(LEN(SnapshotTable[[#This Row],[SC Symbol]])&gt;0, 1, "")</f>
        <v/>
      </c>
      <c r="GT215" s="29" t="str">
        <f>IF(COUNT(SnapshotTable[[#This Row],[LP Symbol Count]],SnapshotTable[[#This Row],[SP Symbol Count]],SnapshotTable[[#This Row],[LC Symbol Count]],SnapshotTable[[#This Row],[SC Symbol Count]])&gt;0, "Y", "")</f>
        <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5" s="231">
        <f>MAX(SnapshotTable[[#This Row],[Equity Basis Total]],SnapshotTable[[#This Row],[Equity Value]]) + (SnapshotTable[[#This Row],[SP Potential Spend]]- SnapshotTable[[#This Row],[SP Premium]] + SnapshotTable[[#This Row],[LP Premium]])+ (SnapshotTable[[#This Row],[LC Premium]] - SnapshotTable[[#This Row],[SC Premium]])</f>
        <v>0</v>
      </c>
      <c r="GW215" s="139" t="str">
        <f>IF(AND(SnapshotTable[[#This Row],[Exposure]] &lt;&gt; 0),SnapshotTable[[#This Row],[Exposure]] / SnapshotTable[[#Totals],[Exposure]], "")</f>
        <v/>
      </c>
      <c r="GX215" s="46"/>
      <c r="HE215" s="268"/>
      <c r="HF215" s="268"/>
      <c r="HK215" s="1"/>
      <c r="HL215" s="1"/>
      <c r="HM215" s="1"/>
      <c r="HN215" s="1"/>
      <c r="HO215" s="1"/>
      <c r="HP215" s="1"/>
    </row>
    <row r="216" spans="2:224" ht="12.75" hidden="1" customHeight="1" x14ac:dyDescent="0.25">
      <c r="B216" s="12" t="s">
        <v>900</v>
      </c>
      <c r="C216" s="422">
        <v>24.24</v>
      </c>
      <c r="D216" s="208"/>
      <c r="E216" s="39">
        <f>SnapshotTable[[#This Row],[Last Price]]*(1 -CrashDiscount)</f>
        <v>20.603999999999999</v>
      </c>
      <c r="F216" s="26" t="s">
        <v>550</v>
      </c>
      <c r="G216" s="26" t="s">
        <v>41</v>
      </c>
      <c r="H216" s="149"/>
      <c r="I216" s="194">
        <v>44763.270833333336</v>
      </c>
      <c r="J216" s="195">
        <v>44763.270833333336</v>
      </c>
      <c r="K216" s="196"/>
      <c r="L216" s="326"/>
      <c r="M216" s="140"/>
      <c r="N216" s="140"/>
      <c r="O216" s="140"/>
      <c r="P216" s="22"/>
      <c r="Q216" s="25"/>
      <c r="R216" s="4" t="str">
        <f>IF(SnapshotTable[[#This Row],[Equity Basis Total]] &gt; 0, SnapshotTable[[#This Row],[Equity Basis Total]] / SnapshotTable[[#This Row],[Equity Shares]], "")</f>
        <v/>
      </c>
      <c r="S216" s="269">
        <f>SnapshotTable[[#This Row],[Last Price]] * SnapshotTable[[#This Row],[Equity Shares]]</f>
        <v>0</v>
      </c>
      <c r="T216" s="269">
        <f>SnapshotTable[[#This Row],[Equity Value]] - SnapshotTable[[#This Row],[Equity Basis Total]]</f>
        <v>0</v>
      </c>
      <c r="U216" s="270" t="str">
        <f>IF(SnapshotTable[[#This Row],[Equity Basis Total]] &gt; 0, SnapshotTable[[#This Row],[Equity G/L]] / SnapshotTable[[#This Row],[Equity Basis Total]], "")</f>
        <v/>
      </c>
      <c r="V216" s="268"/>
      <c r="W216" s="268"/>
      <c r="X216" s="4" t="str">
        <f>IF(AND(ISNUMBER(SnapshotTable[[#This Row],[Equity Basis Per Share]]),ISNUMBER(SnapshotTable[[#This Row],[Equity Target]])),SnapshotTable[[#This Row],[Equity Target]]-SnapshotTable[[#This Row],[Equity Basis Per Share]],"")</f>
        <v/>
      </c>
      <c r="Y216" s="4" t="str">
        <f>IF(AND(ISNUMBER(SnapshotTable[[#This Row],[Equity Basis Per Share]]),ISNUMBER(SnapshotTable[[#This Row],[Equity Stop Loss]])),SnapshotTable[[#This Row],[Equity Stop Loss]]-SnapshotTable[[#This Row],[Equity Basis Per Share]],"")</f>
        <v/>
      </c>
      <c r="Z216" s="275" t="str">
        <f>IFERROR( TEXT(SnapshotTable[[#This Row],[Equity Max Gain Per Share]] /ABS( SnapshotTable[[#This Row],[Equity Max Loss Per Share]]),"0.0 " ) &amp; " : 1", "")</f>
        <v/>
      </c>
      <c r="AA216" s="31" t="str">
        <f>IF(ISNUMBER(SnapshotTable[[#This Row],[Equity Max Gain Per Share]]),SnapshotTable[[#This Row],[Equity Max Gain Per Share]] * SnapshotTable[[#This Row],[Equity Shares]],"")</f>
        <v/>
      </c>
      <c r="AB216" s="31" t="str">
        <f>IF(ISNUMBER(SnapshotTable[[#This Row],[Equity Max Loss Per Share]]),SnapshotTable[[#This Row],[Equity Max Loss Per Share]] * SnapshotTable[[#This Row],[Equity Shares]],"")</f>
        <v/>
      </c>
      <c r="AC216" s="150"/>
      <c r="AD216" s="151"/>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1"/>
      <c r="AI216" s="5"/>
      <c r="AJ216" s="138">
        <v>10.55</v>
      </c>
      <c r="AK216" s="152" t="str">
        <f>IF(ISNUMBER( SnapshotTable[[#This Row],[EBF Target]]),(SnapshotTable[[#This Row],[EBF Target]] - SnapshotTable[[#This Row],[Last Price]]) / SnapshotTable[[#This Row],[Last Price]], "")</f>
        <v/>
      </c>
      <c r="AL216" s="152"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2">
        <f>IF(AND(ISNUMBER( SnapshotTable[[#This Row],[Long Term Target]]), ISNUMBER(SnapshotTable[[#This Row],[Last Price]])),(SnapshotTable[[#This Row],[Long Term Target]] - SnapshotTable[[#This Row],[Last Price]]) / SnapshotTable[[#This Row],[Last Price]], "")</f>
        <v>-0.56476897689768968</v>
      </c>
      <c r="AP216" s="5"/>
      <c r="AQ216" s="38"/>
      <c r="AR216" s="5"/>
      <c r="AS216" s="38"/>
      <c r="AT216" s="146"/>
      <c r="AU216" s="187" t="str">
        <f>IF(OR(SnapshotTable[[#This Row],[LP No Fill]]="Y",SnapshotTable[[#This Row],[SP Is Filled]],SnapshotTable[[#This Row],[LC Not Filled]]="Y",SnapshotTable[[#This Row],[SC Is Filled]]),"Y","")</f>
        <v/>
      </c>
      <c r="AV216" s="219"/>
      <c r="AW216" s="225"/>
      <c r="AX216" s="220"/>
      <c r="AY216" s="219" t="str">
        <f>IF(SnapshotTable[[#This Row],[Implied Move]]&gt;0, SnapshotTable[[#This Row],[Last Price]]-SnapshotTable[[#This Row],[Implied Move]],"")</f>
        <v/>
      </c>
      <c r="AZ216" s="219" t="str">
        <f>IF(SnapshotTable[[#This Row],[Implied Move]]&gt;0, SnapshotTable[[#This Row],[Last Price]] + SnapshotTable[[#This Row],[Implied Move]],"")</f>
        <v/>
      </c>
      <c r="BA216" s="331"/>
      <c r="BB216" s="347"/>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51"/>
      <c r="BE216" s="138"/>
      <c r="BF216" s="166"/>
      <c r="BG216" s="167"/>
      <c r="BH216" s="167"/>
      <c r="BI216" s="221"/>
      <c r="BJ216" s="153">
        <f>IF(SnapshotTable[[#This Row],[LP Qty]] &gt; 0, SnapshotTable[[#This Row],[LP Qty]] * SnapshotTable[[#This Row],[LP Book Price]] * 100,0)</f>
        <v>0</v>
      </c>
      <c r="BK216" s="136">
        <f>IF(SnapshotTable[[#This Row],[LP Premium]] &gt; 0, SnapshotTable[[#This Row],[LP Qty]] * SnapshotTable[[#This Row],[LP Strike Price]] * 100,0)</f>
        <v>0</v>
      </c>
      <c r="BL216" s="154"/>
      <c r="BM216" s="385" t="str">
        <f>IF(SnapshotTable[[#This Row],[LP Premium]] &gt; 0,SnapshotTable[[#This Row],[LP Exp Date]]-MAX(SnapshotTable[[#This Row],[LP Book Date]], SnapshotTable[[#This Row],[LP Fill Date]]),"")</f>
        <v/>
      </c>
      <c r="BN216" s="385" t="str">
        <f>IF(ISNUMBER( SnapshotTable[[#This Row],[LP Term]]), SnapshotTable[[#This Row],[LP Exp Date]] - MockToday,"")</f>
        <v/>
      </c>
      <c r="BO216" s="163"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7"/>
      <c r="BU216" s="13"/>
      <c r="BV216" s="5"/>
      <c r="BW216" s="419" t="b">
        <f>AND(ISNUMBER(SnapshotTable[[#This Row],[SP Exp Date]]), ISNUMBER(SnapshotTable[[#This Row],[SP Strike Price]]), ISNUMBER(SnapshotTable[[#This Row],[SP Qty]]), ISNUMBER(SnapshotTable[[#This Row],[SP Book Date]]), ISNUMBER(SnapshotTable[[#This Row],[SP Book Price]]))</f>
        <v>0</v>
      </c>
      <c r="BX216" s="419" t="b">
        <f>AND(SnapshotTable[[#This Row],[SP Is Booked]], NOT(ISBLANK(SnapshotTable[[#This Row],[SP Fill Date]])))</f>
        <v>0</v>
      </c>
      <c r="BY216" s="33">
        <f>IF(SnapshotTable[[#This Row],[SP Is Booked]], SnapshotTable[[#This Row],[SP Qty]] * SnapshotTable[[#This Row],[SP Book Price]] * 100, 0)</f>
        <v>0</v>
      </c>
      <c r="BZ216" s="369"/>
      <c r="CA216" s="368">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3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44"/>
      <c r="CK216" s="31">
        <f>IF(ISNUMBER(SnapshotTable[[#This Row],[SP Potential Spend]]),IF(ISNUMBER(SnapshotTable[[#This Row],[SP POW]]), SnapshotTable[[#This Row],[SP POW]] * SnapshotTable[[#This Row],[SP Potential Spend]], SnapshotTable[[#This Row],[SP Potential Spend]]), "")</f>
        <v>0</v>
      </c>
      <c r="CL216" s="164">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154"/>
      <c r="CO216" s="369"/>
      <c r="CP216" s="4" t="str">
        <f>IF(SnapshotTable[[#This Row],[SP Is Filled]], btc_max_buyback_amount(SnapshotTable[[#This Row],[SP Fill Date]],SnapshotTable[[#This Row],[SP Exp Date]], SnapshotTable[[#This Row],[SP Book Price]]),"")</f>
        <v/>
      </c>
      <c r="CQ216" s="78"/>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5" t="str">
        <f>IF(SnapshotTable[[#This Row],[SP Is Filled]], btc_next_cutoff_date(SnapshotTable[[#This Row],[SP Fill Date]],SnapshotTable[[#This Row],[SP Exp Date]]),"")</f>
        <v/>
      </c>
      <c r="CT216" s="23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56"/>
      <c r="CV216" s="235"/>
      <c r="CW216" s="378"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294" t="str">
        <f>IF(ISNUMBER((SnapshotTable[[#This Row],[SP Total Value]])), SnapshotTable[[#This Row],[SP Gain Loss]] / SnapshotTable[[#This Row],[SP Premium]], "")</f>
        <v/>
      </c>
      <c r="DI216" s="406"/>
      <c r="DJ216" s="138"/>
      <c r="DK216" s="148"/>
      <c r="DL216" s="147"/>
      <c r="DM216" s="147"/>
      <c r="DO216" s="31">
        <f>IF(SnapshotTable[[#This Row],[LC Symbol Count]]=1, SnapshotTable[[#This Row],[LC Qty]] * SnapshotTable[[#This Row],[LC Book Price]] * 100, 0)</f>
        <v>0</v>
      </c>
      <c r="DP216" s="289" t="str">
        <f>IF(AND(SnapshotTable[[#This Row],[LC Exp Date]]&gt;0, SnapshotTable[[#This Row],[LC Strike Price]]&gt;0,SnapshotTable[[#This Row],[LC Qty]]&gt;0,SnapshotTable[[#This Row],[LC Book Date]]&gt;0,SnapshotTable[[#This Row],[LC Book Price]]&gt;0,SnapshotTable[[#This Row],[LC Fill Date]]=0),"Y","")</f>
        <v/>
      </c>
      <c r="DQ216" s="386" t="str">
        <f>IF(SnapshotTable[[#This Row],[LC Premium]] &gt; 0,SnapshotTable[[#This Row],[LC Exp Date]]-MAX(SnapshotTable[[#This Row],[LC Book Date]], SnapshotTable[[#This Row],[LC Fill Date]]),"")</f>
        <v/>
      </c>
      <c r="DR216" s="386" t="str">
        <f>IF(ISNUMBER(SnapshotTable[[#This Row],[LC Term]]), SnapshotTable[[#This Row],[LC Exp Date]] - MockToday, "")</f>
        <v/>
      </c>
      <c r="DS216" s="23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40" t="str">
        <f>IF(ISNUMBER(SnapshotTable[[#This Row],[LC Actual Gain Loss]]), SnapshotTable[[#This Row],[LC Actual Gain Loss]] / SnapshotTable[[#This Row],[LC Premium]],"")</f>
        <v/>
      </c>
      <c r="DX216" s="284" t="str">
        <f>IF(ISNUMBER(SnapshotTable[[#This Row],[LC Book Price]]),SnapshotTable[[#This Row],[LC Book Price]] * 1.5,"")</f>
        <v/>
      </c>
      <c r="DY216" s="265" t="str">
        <f>IF(SnapshotTable[[#This Row],[LC Premium]]&gt;0, SnapshotTable[[#This Row],[LC Next Target]] * SnapshotTable[[#This Row],[LC Qty]] * 100,"")</f>
        <v/>
      </c>
      <c r="DZ216" s="265" t="str">
        <f>IF(ISNUMBER(SnapshotTable[[#This Row],[LC Target Gross]]), SnapshotTable[[#This Row],[LC Target Gross]] - SnapshotTable[[#This Row],[LC Premium]], "")</f>
        <v/>
      </c>
      <c r="EA216" s="305" t="str">
        <f>IF(ISNUMBER(SnapshotTable[[#This Row],[LC Target Gain Loss]]), SnapshotTable[[#This Row],[LC Target Gain Loss]]/SnapshotTable[[#This Row],[LC Premium]], "")</f>
        <v/>
      </c>
      <c r="EB216" s="262"/>
      <c r="EC216" s="283" t="str">
        <f>IF(SnapshotTable[[#This Row],[LC Premium]]&gt;0, SnapshotTable[[#This Row],[LC Book Price]] * (1 - LC_StopLoss_Pct),"")</f>
        <v/>
      </c>
      <c r="ED216" s="284"/>
      <c r="EE216" s="28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4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0</v>
      </c>
      <c r="EK216" s="147"/>
      <c r="EL216" s="138"/>
      <c r="EM216" s="148"/>
      <c r="EN216" s="147"/>
      <c r="EO216" s="147"/>
      <c r="EP216" s="138"/>
      <c r="EQ216" s="419" t="b">
        <f>AND(ISNUMBER(SnapshotTable[[#This Row],[SC Exp Date]]), ISNUMBER(SnapshotTable[[#This Row],[SC Strike Price]]), ISNUMBER(SnapshotTable[[#This Row],[SC Qty]]), ISNUMBER(SnapshotTable[[#This Row],[SC Book Date]]), ISNUMBER(SnapshotTable[[#This Row],[SC Book Price]]))</f>
        <v>0</v>
      </c>
      <c r="ER216" s="419" t="b">
        <f>AND(SnapshotTable[[#This Row],[SC Is Booked]], NOT(ISBLANK(SnapshotTable[[#This Row],[SC Fill Date]])))</f>
        <v>0</v>
      </c>
      <c r="ES216" s="370"/>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3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283"/>
      <c r="FA216" s="218"/>
      <c r="FB216" s="370"/>
      <c r="FC216" s="4">
        <f>IF(SnapshotTable[[#This Row],[SC Is Filled]], btc_max_buyback_amount(SnapshotTable[[#This Row],[SC Fill Date]],SnapshotTable[[#This Row],[SC Exp Date]], SnapshotTable[[#This Row],[SC Book Price]]),0)</f>
        <v>0</v>
      </c>
      <c r="FD216" s="5"/>
      <c r="FE216" s="144"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382">
        <f>IF(SnapshotTable[[#This Row],[SC Is Filled]], IF(ISNUMBER(SnapshotTable[[#This Row],[SC Current Ask]]), SnapshotTable[[#This Row],[SC Current Ask]], SnapshotTable[[#This Row],[SC Book Price]]) - SnapshotTable[[#This Row],[SC Intrinsic Value]], 0)</f>
        <v>0</v>
      </c>
      <c r="FI216" s="143"/>
      <c r="FJ216" s="32" t="str">
        <f>IF(SnapshotTable[[#This Row],[SC Is Filled]],100 * SnapshotTable[[#This Row],[SC Qty]] * IF(ISNUMBER(SnapshotTable[[#This Row],[SC Buyback Override]]), SnapshotTable[[#This Row],[SC Buyback Override]], SnapshotTable[[#This Row],[SC Current Ask]]), "")</f>
        <v/>
      </c>
      <c r="FK216" s="250" t="str">
        <f>IF(SnapshotTable[[#This Row],[SC Time Val]]&gt;0, SnapshotTable[[#This Row],[SC Time Val]] / SnapshotTable[[#This Row],[Last Price]],"")</f>
        <v/>
      </c>
      <c r="FL216" s="302" t="str">
        <f>IF(SnapshotTable[[#This Row],[SC Is Booked]], ((SnapshotTable[[#This Row],[Last Price]] -SnapshotTable[[#This Row],[SC Strike Price]]) / SnapshotTable[[#This Row],[Last Price]]) * -1, "")</f>
        <v/>
      </c>
      <c r="FM216" s="157" t="str">
        <f>IF(SnapshotTable[[#This Row],[SC Is Booked]],  (SnapshotTable[[#This Row],[SC Qty]] * 100 * SnapshotTable[[#This Row],[SC Strike Price]]) - SnapshotTable[[#This Row],[SC Current Ask]], "")</f>
        <v/>
      </c>
      <c r="FN21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157"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33"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36" t="str">
        <f>IF(AND(ISNUMBER(SnapshotTable[[#This Row],[SC Simple ROO]]),SnapshotTable[[#This Row],[SC Simple ROO]] &gt; 0), SnapshotTable[[#This Row],[SC Premium]] + (SnapshotTable[[#This Row],[SC Qty]] * SnapshotTable[[#This Row],[SC Upside Potential]]), "")</f>
        <v/>
      </c>
      <c r="FX216" s="302" t="str" cm="1">
        <f t="array" ref="FX216">IF(ISNUMBER(SnapshotTable[[#This Row],[SC Max Dollars]]), annualize(SnapshotTable[[#This Row],[SC Term]],(SnapshotTable[[#This Row],[SC Max Dollars]]/SnapshotTable[[#This Row],[SC Basis]])),"")</f>
        <v/>
      </c>
      <c r="FY216" s="236" t="str">
        <f>IF(AND(SnapshotTable[[#This Row],[SC Qty]]&gt;0,SnapshotTable[[#This Row],[SC Current Ask]]&gt;0), SnapshotTable[[#This Row],[SC Qty]] * SnapshotTable[[#This Row],[SC Current Ask]] * -100, "")</f>
        <v/>
      </c>
      <c r="FZ216" s="235" t="str">
        <f>IF(ISNUMBER((SnapshotTable[[#This Row],[SC Current Value]])), SnapshotTable[[#This Row],[SC Premium]] + SnapshotTable[[#This Row],[SC Current Value]], "")</f>
        <v/>
      </c>
      <c r="GA216" s="294" t="str">
        <f>IFERROR( IF(ISNUMBER((SnapshotTable[[#This Row],[SC Current Value]])), SnapshotTable[[#This Row],[SC Gain Loss]] / SnapshotTable[[#This Row],[SC Premium]], ""), "")</f>
        <v/>
      </c>
      <c r="GB216" s="42">
        <f>SnapshotTable[[#This Row],[Equity Shares]] * SaleSharesToConsiderPercentage</f>
        <v>0</v>
      </c>
      <c r="GC216" s="40">
        <f>SnapshotTable[[#This Row],[Long Term Target]] * SellingPriceToConsiderBasedOnTargetPercentage</f>
        <v>10.022500000000001</v>
      </c>
      <c r="GD216" s="40">
        <f>SnapshotTable[[#This Row],[Last Price]] * (1+ SellingPriceToConsiderBasedOnTargetPercentage)</f>
        <v>47.267999999999994</v>
      </c>
      <c r="GE216" s="41"/>
      <c r="GF216" s="40"/>
      <c r="GG216" s="31">
        <f>SnapshotTable[[#This Row],[Booked Sale Shares]] * SnapshotTable[[#This Row],[Booked Sale Price]]</f>
        <v>0</v>
      </c>
      <c r="GH216" s="31" t="str">
        <f>IF(SnapshotTable[[#This Row],[Equity Basis Total]] &gt; 0, SnapshotTable[[#This Row],[Equity Basis Per Share]] * SnapshotTable[[#This Row],[Booked Sale Shares]], "")</f>
        <v/>
      </c>
      <c r="GI216" s="31">
        <f>IF(SnapshotTable[[#This Row],[Sale Proceeds]]&gt;0, SnapshotTable[[#This Row],[Sale Proceeds]] - SnapshotTable[[#This Row],[Sale Basis]], 0)</f>
        <v>0</v>
      </c>
      <c r="GJ216" s="158" t="str">
        <f>IF(SnapshotTable[[#This Row],[Sale G/L]]&gt;0, SnapshotTable[[#This Row],[Sale G/L]] / SnapshotTable[[#This Row],[Sale Basis]], IF(ISNUMBER(SnapshotTable[[#This Row],[SC Exercise P&amp;L (TAX)]]), SnapshotTable[[#This Row],[SC Exercise P&amp;L (TAX)]] / SnapshotTable[[#This Row],[SC Basis]], ""))</f>
        <v/>
      </c>
      <c r="GK216" s="158"/>
      <c r="GL216" s="159"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159" t="str">
        <f>IF(AND(SnapshotTable[[#This Row],[LC Exp Date]]&gt;0,SnapshotTable[[#This Row],[LC Strike Price]]&gt;0), [1]!ToOptionSymbol(SnapshotTable[[#This Row],[Symbol]], SnapshotTable[[#This Row],[LC Strike Price]],SnapshotTable[[#This Row],[LC Exp Date]],0), "")</f>
        <v/>
      </c>
      <c r="GQ216" s="160" t="str">
        <f>IF(LEN(SnapshotTable[[#This Row],[LC Symbol]])&gt;0, 1, "")</f>
        <v/>
      </c>
      <c r="GR216" s="159" t="str">
        <f>IF(AND(SnapshotTable[[#This Row],[SC Exp Date]]&gt;0,SnapshotTable[[#This Row],[SC Strike Price]]&gt;0), [1]!ToOptionSymbol(SnapshotTable[[#This Row],[Symbol]], SnapshotTable[[#This Row],[SC Strike Price]],SnapshotTable[[#This Row],[SC Exp Date]],0), "")</f>
        <v/>
      </c>
      <c r="GS216" s="160" t="str">
        <f>IF(LEN(SnapshotTable[[#This Row],[SC Symbol]])&gt;0, 1, "")</f>
        <v/>
      </c>
      <c r="GT216" s="161"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6" s="231">
        <f>MAX(SnapshotTable[[#This Row],[Equity Basis Total]],SnapshotTable[[#This Row],[Equity Value]]) + (SnapshotTable[[#This Row],[SP Potential Spend]]- SnapshotTable[[#This Row],[SP Premium]] + SnapshotTable[[#This Row],[LP Premium]])+ (SnapshotTable[[#This Row],[LC Premium]] - SnapshotTable[[#This Row],[SC Premium]])</f>
        <v>0</v>
      </c>
      <c r="GW216" s="139" t="str">
        <f>IF(AND(SnapshotTable[[#This Row],[Exposure]] &lt;&gt; 0),SnapshotTable[[#This Row],[Exposure]] / SnapshotTable[[#Totals],[Exposure]], "")</f>
        <v/>
      </c>
      <c r="HE216" s="268"/>
      <c r="HF216" s="268"/>
      <c r="HK216" s="1"/>
      <c r="HL216" s="1"/>
      <c r="HM216" s="1"/>
      <c r="HN216" s="1"/>
      <c r="HO216" s="1"/>
      <c r="HP216" s="1"/>
    </row>
    <row r="217" spans="2:224" ht="12.75" hidden="1" customHeight="1" x14ac:dyDescent="0.25">
      <c r="B217" s="12" t="s">
        <v>159</v>
      </c>
      <c r="C217" s="422">
        <v>25.96</v>
      </c>
      <c r="D217" s="208"/>
      <c r="E217" s="39">
        <f>SnapshotTable[[#This Row],[Last Price]]*(1 -CrashDiscount)</f>
        <v>22.065999999999999</v>
      </c>
      <c r="F217" s="26" t="s">
        <v>158</v>
      </c>
      <c r="G217" s="26" t="s">
        <v>17</v>
      </c>
      <c r="H217" s="149"/>
      <c r="I217" s="194">
        <v>44769.291666666664</v>
      </c>
      <c r="J217" s="195">
        <v>44769.291666666664</v>
      </c>
      <c r="K217" s="196"/>
      <c r="L217" s="326"/>
      <c r="M217" s="140"/>
      <c r="N217" s="140"/>
      <c r="O217" s="140"/>
      <c r="P217" s="22"/>
      <c r="Q217" s="25"/>
      <c r="R217" s="4" t="str">
        <f>IF(SnapshotTable[[#This Row],[Equity Basis Total]] &gt; 0, SnapshotTable[[#This Row],[Equity Basis Total]] / SnapshotTable[[#This Row],[Equity Shares]], "")</f>
        <v/>
      </c>
      <c r="S217" s="269">
        <f>SnapshotTable[[#This Row],[Last Price]] * SnapshotTable[[#This Row],[Equity Shares]]</f>
        <v>0</v>
      </c>
      <c r="T217" s="269">
        <f>SnapshotTable[[#This Row],[Equity Value]] - SnapshotTable[[#This Row],[Equity Basis Total]]</f>
        <v>0</v>
      </c>
      <c r="U217" s="270" t="str">
        <f>IF(SnapshotTable[[#This Row],[Equity Basis Total]] &gt; 0, SnapshotTable[[#This Row],[Equity G/L]] / SnapshotTable[[#This Row],[Equity Basis Total]], "")</f>
        <v/>
      </c>
      <c r="V217" s="268"/>
      <c r="W217" s="26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7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0">
        <v>2.2999999999999998</v>
      </c>
      <c r="AD217" s="151">
        <v>42651</v>
      </c>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8.859784283513096E-2</v>
      </c>
      <c r="AH217" s="151">
        <v>42605</v>
      </c>
      <c r="AI217" s="5"/>
      <c r="AJ217" s="138">
        <v>28.24</v>
      </c>
      <c r="AK217" s="152" t="str">
        <f>IF(ISNUMBER( SnapshotTable[[#This Row],[EBF Target]]),(SnapshotTable[[#This Row],[EBF Target]] - SnapshotTable[[#This Row],[Last Price]]) / SnapshotTable[[#This Row],[Last Price]], "")</f>
        <v/>
      </c>
      <c r="AL217" s="152"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2">
        <f>IF(AND(ISNUMBER( SnapshotTable[[#This Row],[Long Term Target]]), ISNUMBER(SnapshotTable[[#This Row],[Last Price]])),(SnapshotTable[[#This Row],[Long Term Target]] - SnapshotTable[[#This Row],[Last Price]]) / SnapshotTable[[#This Row],[Last Price]], "")</f>
        <v>8.782742681047756E-2</v>
      </c>
      <c r="AP217" s="5"/>
      <c r="AQ217" s="38"/>
      <c r="AR217" s="5"/>
      <c r="AS217" s="38"/>
      <c r="AT217" s="146"/>
      <c r="AU217" s="187" t="str">
        <f>IF(OR(SnapshotTable[[#This Row],[LP No Fill]]="Y",SnapshotTable[[#This Row],[SP Is Filled]],SnapshotTable[[#This Row],[LC Not Filled]]="Y",SnapshotTable[[#This Row],[SC Is Filled]]),"Y","")</f>
        <v/>
      </c>
      <c r="AV217" s="219"/>
      <c r="AW217" s="225"/>
      <c r="AX217" s="220"/>
      <c r="AY217" s="219" t="str">
        <f>IF(SnapshotTable[[#This Row],[Implied Move]]&gt;0, SnapshotTable[[#This Row],[Last Price]]-SnapshotTable[[#This Row],[Implied Move]],"")</f>
        <v/>
      </c>
      <c r="AZ217" s="219" t="str">
        <f>IF(SnapshotTable[[#This Row],[Implied Move]]&gt;0, SnapshotTable[[#This Row],[Last Price]] + SnapshotTable[[#This Row],[Implied Move]],"")</f>
        <v/>
      </c>
      <c r="BA217" s="331"/>
      <c r="BB217" s="347"/>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51"/>
      <c r="BE217" s="5"/>
      <c r="BF217" s="14"/>
      <c r="BG217" s="13"/>
      <c r="BH217" s="13"/>
      <c r="BI217" s="5"/>
      <c r="BJ217" s="136">
        <f>IF(SnapshotTable[[#This Row],[LP Qty]] &gt; 0, SnapshotTable[[#This Row],[LP Qty]] * SnapshotTable[[#This Row],[LP Book Price]] * 100,0)</f>
        <v>0</v>
      </c>
      <c r="BK217" s="136">
        <f>IF(SnapshotTable[[#This Row],[LP Premium]] &gt; 0, SnapshotTable[[#This Row],[LP Qty]] * SnapshotTable[[#This Row],[LP Strike Price]] * 100,0)</f>
        <v>0</v>
      </c>
      <c r="BL217" s="154"/>
      <c r="BM217" s="385" t="str">
        <f>IF(SnapshotTable[[#This Row],[LP Premium]] &gt; 0,SnapshotTable[[#This Row],[LP Exp Date]]-MAX(SnapshotTable[[#This Row],[LP Book Date]], SnapshotTable[[#This Row],[LP Fill Date]]),"")</f>
        <v/>
      </c>
      <c r="BN217" s="385" t="str">
        <f>IF(ISNUMBER( SnapshotTable[[#This Row],[LP Term]]), SnapshotTable[[#This Row],[LP Exp Date]] - MockToday,"")</f>
        <v/>
      </c>
      <c r="BO217" s="163"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7"/>
      <c r="BU217" s="13"/>
      <c r="BV217" s="5"/>
      <c r="BW217" s="419" t="b">
        <f>AND(ISNUMBER(SnapshotTable[[#This Row],[SP Exp Date]]), ISNUMBER(SnapshotTable[[#This Row],[SP Strike Price]]), ISNUMBER(SnapshotTable[[#This Row],[SP Qty]]), ISNUMBER(SnapshotTable[[#This Row],[SP Book Date]]), ISNUMBER(SnapshotTable[[#This Row],[SP Book Price]]))</f>
        <v>0</v>
      </c>
      <c r="BX217" s="419" t="b">
        <f>AND(SnapshotTable[[#This Row],[SP Is Booked]], NOT(ISBLANK(SnapshotTable[[#This Row],[SP Fill Date]])))</f>
        <v>0</v>
      </c>
      <c r="BY217" s="33">
        <f>IF(SnapshotTable[[#This Row],[SP Is Booked]], SnapshotTable[[#This Row],[SP Qty]] * SnapshotTable[[#This Row],[SP Book Price]] * 100, 0)</f>
        <v>0</v>
      </c>
      <c r="BZ217" s="369"/>
      <c r="CA217" s="368">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3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44"/>
      <c r="CK217" s="31">
        <f>IF(ISNUMBER(SnapshotTable[[#This Row],[SP Potential Spend]]),IF(ISNUMBER(SnapshotTable[[#This Row],[SP POW]]), SnapshotTable[[#This Row],[SP POW]] * SnapshotTable[[#This Row],[SP Potential Spend]], SnapshotTable[[#This Row],[SP Potential Spend]]), "")</f>
        <v>0</v>
      </c>
      <c r="CL217" s="164">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78"/>
      <c r="CO217" s="369"/>
      <c r="CP217" s="4" t="str">
        <f>IF(SnapshotTable[[#This Row],[SP Is Filled]], btc_max_buyback_amount(SnapshotTable[[#This Row],[SP Fill Date]],SnapshotTable[[#This Row],[SP Exp Date]], SnapshotTable[[#This Row],[SP Book Price]]),"")</f>
        <v/>
      </c>
      <c r="CQ217" s="78"/>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5" t="str">
        <f>IF(SnapshotTable[[#This Row],[SP Is Filled]], btc_next_cutoff_date(SnapshotTable[[#This Row],[SP Fill Date]],SnapshotTable[[#This Row],[SP Exp Date]]),"")</f>
        <v/>
      </c>
      <c r="CT217" s="23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3"/>
      <c r="CV217" s="235"/>
      <c r="CW217" s="378"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294" t="str">
        <f>IF(ISNUMBER((SnapshotTable[[#This Row],[SP Total Value]])), SnapshotTable[[#This Row],[SP Gain Loss]] / SnapshotTable[[#This Row],[SP Premium]], "")</f>
        <v/>
      </c>
      <c r="DI217" s="406"/>
      <c r="DJ217" s="138"/>
      <c r="DK217" s="148"/>
      <c r="DL217" s="13"/>
      <c r="DM217" s="13"/>
      <c r="DO217" s="31">
        <f>IF(SnapshotTable[[#This Row],[LC Symbol Count]]=1, SnapshotTable[[#This Row],[LC Qty]] * SnapshotTable[[#This Row],[LC Book Price]] * 100, 0)</f>
        <v>0</v>
      </c>
      <c r="DP217" s="163" t="str">
        <f>IF(AND(SnapshotTable[[#This Row],[LC Exp Date]]&gt;0, SnapshotTable[[#This Row],[LC Strike Price]]&gt;0,SnapshotTable[[#This Row],[LC Qty]]&gt;0,SnapshotTable[[#This Row],[LC Book Date]]&gt;0,SnapshotTable[[#This Row],[LC Book Price]]&gt;0,SnapshotTable[[#This Row],[LC Fill Date]]=0),"Y","")</f>
        <v/>
      </c>
      <c r="DQ217" s="386" t="str">
        <f>IF(SnapshotTable[[#This Row],[LC Premium]] &gt; 0,SnapshotTable[[#This Row],[LC Exp Date]]-MAX(SnapshotTable[[#This Row],[LC Book Date]], SnapshotTable[[#This Row],[LC Fill Date]]),"")</f>
        <v/>
      </c>
      <c r="DR217" s="386" t="str">
        <f>IF(ISNUMBER(SnapshotTable[[#This Row],[LC Term]]), SnapshotTable[[#This Row],[LC Exp Date]] - MockToday, "")</f>
        <v/>
      </c>
      <c r="DS217" s="23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40" t="str">
        <f>IF(ISNUMBER(SnapshotTable[[#This Row],[LC Actual Gain Loss]]), SnapshotTable[[#This Row],[LC Actual Gain Loss]] / SnapshotTable[[#This Row],[LC Premium]],"")</f>
        <v/>
      </c>
      <c r="DX217" s="284" t="str">
        <f>IF(ISNUMBER(SnapshotTable[[#This Row],[LC Book Price]]),SnapshotTable[[#This Row],[LC Book Price]] * 1.5,"")</f>
        <v/>
      </c>
      <c r="DY217" s="265" t="str">
        <f>IF(SnapshotTable[[#This Row],[LC Premium]]&gt;0, SnapshotTable[[#This Row],[LC Next Target]] * SnapshotTable[[#This Row],[LC Qty]] * 100,"")</f>
        <v/>
      </c>
      <c r="DZ217" s="265" t="str">
        <f>IF(ISNUMBER(SnapshotTable[[#This Row],[LC Target Gross]]), SnapshotTable[[#This Row],[LC Target Gross]] - SnapshotTable[[#This Row],[LC Premium]], "")</f>
        <v/>
      </c>
      <c r="EA217" s="305" t="str">
        <f>IF(ISNUMBER(SnapshotTable[[#This Row],[LC Target Gain Loss]]), SnapshotTable[[#This Row],[LC Target Gain Loss]]/SnapshotTable[[#This Row],[LC Premium]], "")</f>
        <v/>
      </c>
      <c r="EB217" s="262"/>
      <c r="EC217" s="283" t="str">
        <f>IF(SnapshotTable[[#This Row],[LC Premium]]&gt;0, SnapshotTable[[#This Row],[LC Book Price]] * (1 - LC_StopLoss_Pct),"")</f>
        <v/>
      </c>
      <c r="ED217" s="284"/>
      <c r="EE217" s="28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4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7"/>
      <c r="EL217" s="138"/>
      <c r="EM217" s="148"/>
      <c r="EN217" s="147"/>
      <c r="EO217" s="147"/>
      <c r="EP217" s="138"/>
      <c r="EQ217" s="419" t="b">
        <f>AND(ISNUMBER(SnapshotTable[[#This Row],[SC Exp Date]]), ISNUMBER(SnapshotTable[[#This Row],[SC Strike Price]]), ISNUMBER(SnapshotTable[[#This Row],[SC Qty]]), ISNUMBER(SnapshotTable[[#This Row],[SC Book Date]]), ISNUMBER(SnapshotTable[[#This Row],[SC Book Price]]))</f>
        <v>0</v>
      </c>
      <c r="ER217" s="419" t="b">
        <f>AND(SnapshotTable[[#This Row],[SC Is Booked]], NOT(ISBLANK(SnapshotTable[[#This Row],[SC Fill Date]])))</f>
        <v>0</v>
      </c>
      <c r="ES217" s="370"/>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3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283"/>
      <c r="FA217" s="218"/>
      <c r="FB217" s="370"/>
      <c r="FC217" s="4">
        <f>IF(SnapshotTable[[#This Row],[SC Is Filled]], btc_max_buyback_amount(SnapshotTable[[#This Row],[SC Fill Date]],SnapshotTable[[#This Row],[SC Exp Date]], SnapshotTable[[#This Row],[SC Book Price]]),0)</f>
        <v>0</v>
      </c>
      <c r="FD217" s="5"/>
      <c r="FE217" s="144"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382">
        <f>IF(SnapshotTable[[#This Row],[SC Is Filled]], IF(ISNUMBER(SnapshotTable[[#This Row],[SC Current Ask]]), SnapshotTable[[#This Row],[SC Current Ask]], SnapshotTable[[#This Row],[SC Book Price]]) - SnapshotTable[[#This Row],[SC Intrinsic Value]], 0)</f>
        <v>0</v>
      </c>
      <c r="FI217" s="143"/>
      <c r="FJ217" s="32" t="str">
        <f>IF(SnapshotTable[[#This Row],[SC Is Filled]],100 * SnapshotTable[[#This Row],[SC Qty]] * IF(ISNUMBER(SnapshotTable[[#This Row],[SC Buyback Override]]), SnapshotTable[[#This Row],[SC Buyback Override]], SnapshotTable[[#This Row],[SC Current Ask]]), "")</f>
        <v/>
      </c>
      <c r="FK217" s="250" t="str">
        <f>IF(SnapshotTable[[#This Row],[SC Time Val]]&gt;0, SnapshotTable[[#This Row],[SC Time Val]] / SnapshotTable[[#This Row],[Last Price]],"")</f>
        <v/>
      </c>
      <c r="FL217" s="302" t="str">
        <f>IF(SnapshotTable[[#This Row],[SC Is Booked]], ((SnapshotTable[[#This Row],[Last Price]] -SnapshotTable[[#This Row],[SC Strike Price]]) / SnapshotTable[[#This Row],[Last Price]]) * -1, "")</f>
        <v/>
      </c>
      <c r="FM217" s="157" t="str">
        <f>IF(SnapshotTable[[#This Row],[SC Is Booked]],  (SnapshotTable[[#This Row],[SC Qty]] * 100 * SnapshotTable[[#This Row],[SC Strike Price]]) - SnapshotTable[[#This Row],[SC Current Ask]], "")</f>
        <v/>
      </c>
      <c r="FN2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31"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33"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36" t="str">
        <f>IF(AND(ISNUMBER(SnapshotTable[[#This Row],[SC Simple ROO]]),SnapshotTable[[#This Row],[SC Simple ROO]] &gt; 0), SnapshotTable[[#This Row],[SC Premium]] + (SnapshotTable[[#This Row],[SC Qty]] * SnapshotTable[[#This Row],[SC Upside Potential]]), "")</f>
        <v/>
      </c>
      <c r="FX217" s="302" t="str" cm="1">
        <f t="array" ref="FX217">IF(ISNUMBER(SnapshotTable[[#This Row],[SC Max Dollars]]), annualize(SnapshotTable[[#This Row],[SC Term]],(SnapshotTable[[#This Row],[SC Max Dollars]]/SnapshotTable[[#This Row],[SC Basis]])),"")</f>
        <v/>
      </c>
      <c r="FY217" s="236" t="str">
        <f>IF(AND(SnapshotTable[[#This Row],[SC Qty]]&gt;0,SnapshotTable[[#This Row],[SC Current Ask]]&gt;0), SnapshotTable[[#This Row],[SC Qty]] * SnapshotTable[[#This Row],[SC Current Ask]] * -100, "")</f>
        <v/>
      </c>
      <c r="FZ217" s="31" t="str">
        <f>IF(ISNUMBER((SnapshotTable[[#This Row],[SC Current Value]])), SnapshotTable[[#This Row],[SC Premium]] + SnapshotTable[[#This Row],[SC Current Value]], "")</f>
        <v/>
      </c>
      <c r="GA217" s="29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26.827999999999996</v>
      </c>
      <c r="GD217" s="40">
        <f>SnapshotTable[[#This Row],[Last Price]] * (1+ SellingPriceToConsiderBasedOnTargetPercentage)</f>
        <v>50.622</v>
      </c>
      <c r="GE217" s="41"/>
      <c r="GF217" s="40">
        <v>88.88</v>
      </c>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27" t="str">
        <f>IF(SnapshotTable[[#This Row],[Sale G/L]]&gt;0, SnapshotTable[[#This Row],[Sale G/L]] / SnapshotTable[[#This Row],[Sale Basis]], IF(ISNUMBER(SnapshotTable[[#This Row],[SC Exercise P&amp;L (TAX)]]), SnapshotTable[[#This Row],[SC Exercise P&amp;L (TAX)]] / SnapshotTable[[#This Row],[SC Basis]], ""))</f>
        <v/>
      </c>
      <c r="GK217" s="27" t="s">
        <v>730</v>
      </c>
      <c r="GL217" s="43"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43" t="str">
        <f>IF(AND(SnapshotTable[[#This Row],[LC Exp Date]]&gt;0,SnapshotTable[[#This Row],[LC Strike Price]]&gt;0), [1]!ToOptionSymbol(SnapshotTable[[#This Row],[Symbol]], SnapshotTable[[#This Row],[LC Strike Price]],SnapshotTable[[#This Row],[LC Exp Date]],0), "")</f>
        <v/>
      </c>
      <c r="GQ217" s="30" t="str">
        <f>IF(LEN(SnapshotTable[[#This Row],[LC Symbol]])&gt;0, 1, "")</f>
        <v/>
      </c>
      <c r="GR217" s="43" t="str">
        <f>IF(AND(SnapshotTable[[#This Row],[SC Exp Date]]&gt;0,SnapshotTable[[#This Row],[SC Strike Price]]&gt;0), [1]!ToOptionSymbol(SnapshotTable[[#This Row],[Symbol]], SnapshotTable[[#This Row],[SC Strike Price]],SnapshotTable[[#This Row],[SC Exp Date]],0), "")</f>
        <v/>
      </c>
      <c r="GS217" s="30" t="str">
        <f>IF(LEN(SnapshotTable[[#This Row],[SC Symbol]])&gt;0, 1, "")</f>
        <v/>
      </c>
      <c r="GT217" s="29"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31">
        <f>MAX(SnapshotTable[[#This Row],[Equity Basis Total]],SnapshotTable[[#This Row],[Equity Value]]) + (SnapshotTable[[#This Row],[SP Potential Spend]]- SnapshotTable[[#This Row],[SP Premium]] + SnapshotTable[[#This Row],[LP Premium]])+ (SnapshotTable[[#This Row],[LC Premium]] - SnapshotTable[[#This Row],[SC Premium]])</f>
        <v>0</v>
      </c>
      <c r="GW217" s="139" t="str">
        <f>IF(AND(SnapshotTable[[#This Row],[Exposure]] &lt;&gt; 0),SnapshotTable[[#This Row],[Exposure]] / SnapshotTable[[#Totals],[Exposure]], "")</f>
        <v/>
      </c>
      <c r="HE217" s="268"/>
      <c r="HF217" s="268"/>
      <c r="HK217" s="1"/>
      <c r="HL217" s="1"/>
      <c r="HM217" s="1"/>
      <c r="HN217" s="1"/>
      <c r="HO217" s="1"/>
      <c r="HP217" s="1"/>
    </row>
    <row r="218" spans="2:224" ht="12.75" hidden="1" customHeight="1" x14ac:dyDescent="0.25">
      <c r="B218" s="12" t="s">
        <v>899</v>
      </c>
      <c r="C218" s="422">
        <v>95.53</v>
      </c>
      <c r="D218" s="208"/>
      <c r="E218" s="39">
        <f>SnapshotTable[[#This Row],[Last Price]]*(1 -CrashDiscount)</f>
        <v>81.200500000000005</v>
      </c>
      <c r="F218" s="26" t="s">
        <v>241</v>
      </c>
      <c r="G218" s="26" t="s">
        <v>4</v>
      </c>
      <c r="H218" s="149"/>
      <c r="I218" s="194">
        <v>44775.284722222219</v>
      </c>
      <c r="J218" s="195">
        <v>44775.284722222219</v>
      </c>
      <c r="K218" s="196"/>
      <c r="L218" s="326"/>
      <c r="M218" s="140"/>
      <c r="N218" s="140"/>
      <c r="O218" s="140"/>
      <c r="P218" s="22"/>
      <c r="Q218" s="25"/>
      <c r="R218" s="4" t="str">
        <f>IF(SnapshotTable[[#This Row],[Equity Basis Total]] &gt; 0, SnapshotTable[[#This Row],[Equity Basis Total]] / SnapshotTable[[#This Row],[Equity Shares]], "")</f>
        <v/>
      </c>
      <c r="S218" s="269">
        <f>SnapshotTable[[#This Row],[Last Price]] * SnapshotTable[[#This Row],[Equity Shares]]</f>
        <v>0</v>
      </c>
      <c r="T218" s="269">
        <f>SnapshotTable[[#This Row],[Equity Value]] - SnapshotTable[[#This Row],[Equity Basis Total]]</f>
        <v>0</v>
      </c>
      <c r="U218" s="270" t="str">
        <f>IF(SnapshotTable[[#This Row],[Equity Basis Total]] &gt; 0, SnapshotTable[[#This Row],[Equity G/L]] / SnapshotTable[[#This Row],[Equity Basis Total]], "")</f>
        <v/>
      </c>
      <c r="V218" s="268"/>
      <c r="W218" s="26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7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0"/>
      <c r="AD218" s="151"/>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1"/>
      <c r="AI218" s="5"/>
      <c r="AJ218" s="138">
        <v>40.35</v>
      </c>
      <c r="AK218" s="152" t="str">
        <f>IF(ISNUMBER( SnapshotTable[[#This Row],[EBF Target]]),(SnapshotTable[[#This Row],[EBF Target]] - SnapshotTable[[#This Row],[Last Price]]) / SnapshotTable[[#This Row],[Last Price]], "")</f>
        <v/>
      </c>
      <c r="AL218" s="152"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2">
        <f>IF(AND(ISNUMBER( SnapshotTable[[#This Row],[Long Term Target]]), ISNUMBER(SnapshotTable[[#This Row],[Last Price]])),(SnapshotTable[[#This Row],[Long Term Target]] - SnapshotTable[[#This Row],[Last Price]]) / SnapshotTable[[#This Row],[Last Price]], "")</f>
        <v>-0.57761959593844869</v>
      </c>
      <c r="AP218" s="5"/>
      <c r="AQ218" s="38"/>
      <c r="AR218" s="5"/>
      <c r="AS218" s="38"/>
      <c r="AT218" s="146"/>
      <c r="AU218" s="187" t="str">
        <f>IF(OR(SnapshotTable[[#This Row],[LP No Fill]]="Y",SnapshotTable[[#This Row],[SP Is Filled]],SnapshotTable[[#This Row],[LC Not Filled]]="Y",SnapshotTable[[#This Row],[SC Is Filled]]),"Y","")</f>
        <v/>
      </c>
      <c r="AV218" s="219"/>
      <c r="AW218" s="225"/>
      <c r="AX218" s="220"/>
      <c r="AY218" s="219" t="str">
        <f>IF(SnapshotTable[[#This Row],[Implied Move]]&gt;0, SnapshotTable[[#This Row],[Last Price]]-SnapshotTable[[#This Row],[Implied Move]],"")</f>
        <v/>
      </c>
      <c r="AZ218" s="219" t="str">
        <f>IF(SnapshotTable[[#This Row],[Implied Move]]&gt;0, SnapshotTable[[#This Row],[Last Price]] + SnapshotTable[[#This Row],[Implied Move]],"")</f>
        <v/>
      </c>
      <c r="BA218" s="331"/>
      <c r="BB218" s="347"/>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51"/>
      <c r="BE218" s="138"/>
      <c r="BF218" s="166"/>
      <c r="BG218" s="167"/>
      <c r="BH218" s="167"/>
      <c r="BI218" s="221"/>
      <c r="BJ218" s="153">
        <f>IF(SnapshotTable[[#This Row],[LP Qty]] &gt; 0, SnapshotTable[[#This Row],[LP Qty]] * SnapshotTable[[#This Row],[LP Book Price]] * 100,0)</f>
        <v>0</v>
      </c>
      <c r="BK218" s="136">
        <f>IF(SnapshotTable[[#This Row],[LP Premium]] &gt; 0, SnapshotTable[[#This Row],[LP Qty]] * SnapshotTable[[#This Row],[LP Strike Price]] * 100,0)</f>
        <v>0</v>
      </c>
      <c r="BL218" s="154"/>
      <c r="BM218" s="385" t="str">
        <f>IF(SnapshotTable[[#This Row],[LP Premium]] &gt; 0,SnapshotTable[[#This Row],[LP Exp Date]]-MAX(SnapshotTable[[#This Row],[LP Book Date]], SnapshotTable[[#This Row],[LP Fill Date]]),"")</f>
        <v/>
      </c>
      <c r="BN218" s="385" t="str">
        <f>IF(ISNUMBER( SnapshotTable[[#This Row],[LP Term]]), SnapshotTable[[#This Row],[LP Exp Date]] - MockToday,"")</f>
        <v/>
      </c>
      <c r="BO218" s="163"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7"/>
      <c r="BU218" s="13"/>
      <c r="BV218" s="5"/>
      <c r="BW218" s="419" t="b">
        <f>AND(ISNUMBER(SnapshotTable[[#This Row],[SP Exp Date]]), ISNUMBER(SnapshotTable[[#This Row],[SP Strike Price]]), ISNUMBER(SnapshotTable[[#This Row],[SP Qty]]), ISNUMBER(SnapshotTable[[#This Row],[SP Book Date]]), ISNUMBER(SnapshotTable[[#This Row],[SP Book Price]]))</f>
        <v>0</v>
      </c>
      <c r="BX218" s="419" t="b">
        <f>AND(SnapshotTable[[#This Row],[SP Is Booked]], NOT(ISBLANK(SnapshotTable[[#This Row],[SP Fill Date]])))</f>
        <v>0</v>
      </c>
      <c r="BY218" s="33">
        <f>IF(SnapshotTable[[#This Row],[SP Is Booked]], SnapshotTable[[#This Row],[SP Qty]] * SnapshotTable[[#This Row],[SP Book Price]] * 100, 0)</f>
        <v>0</v>
      </c>
      <c r="BZ218" s="369"/>
      <c r="CA218" s="368">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3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44"/>
      <c r="CK218" s="31">
        <f>IF(ISNUMBER(SnapshotTable[[#This Row],[SP Potential Spend]]),IF(ISNUMBER(SnapshotTable[[#This Row],[SP POW]]), SnapshotTable[[#This Row],[SP POW]] * SnapshotTable[[#This Row],[SP Potential Spend]], SnapshotTable[[#This Row],[SP Potential Spend]]), "")</f>
        <v>0</v>
      </c>
      <c r="CL218" s="164">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4"/>
      <c r="CO218" s="369"/>
      <c r="CP218" s="4" t="str">
        <f>IF(SnapshotTable[[#This Row],[SP Is Filled]], btc_max_buyback_amount(SnapshotTable[[#This Row],[SP Fill Date]],SnapshotTable[[#This Row],[SP Exp Date]], SnapshotTable[[#This Row],[SP Book Price]]),"")</f>
        <v/>
      </c>
      <c r="CQ218" s="78"/>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5" t="str">
        <f>IF(SnapshotTable[[#This Row],[SP Is Filled]], btc_next_cutoff_date(SnapshotTable[[#This Row],[SP Fill Date]],SnapshotTable[[#This Row],[SP Exp Date]]),"")</f>
        <v/>
      </c>
      <c r="CT218" s="23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6"/>
      <c r="CV218" s="235"/>
      <c r="CW218" s="378"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294" t="str">
        <f>IF(ISNUMBER((SnapshotTable[[#This Row],[SP Total Value]])), SnapshotTable[[#This Row],[SP Gain Loss]] / SnapshotTable[[#This Row],[SP Premium]], "")</f>
        <v/>
      </c>
      <c r="DI218" s="406"/>
      <c r="DJ218" s="138"/>
      <c r="DK218" s="148"/>
      <c r="DL218" s="147"/>
      <c r="DM218" s="147"/>
      <c r="DO218" s="31">
        <f>IF(SnapshotTable[[#This Row],[LC Symbol Count]]=1, SnapshotTable[[#This Row],[LC Qty]] * SnapshotTable[[#This Row],[LC Book Price]] * 100, 0)</f>
        <v>0</v>
      </c>
      <c r="DP218" s="289" t="str">
        <f>IF(AND(SnapshotTable[[#This Row],[LC Exp Date]]&gt;0, SnapshotTable[[#This Row],[LC Strike Price]]&gt;0,SnapshotTable[[#This Row],[LC Qty]]&gt;0,SnapshotTable[[#This Row],[LC Book Date]]&gt;0,SnapshotTable[[#This Row],[LC Book Price]]&gt;0,SnapshotTable[[#This Row],[LC Fill Date]]=0),"Y","")</f>
        <v/>
      </c>
      <c r="DQ218" s="386" t="str">
        <f>IF(SnapshotTable[[#This Row],[LC Premium]] &gt; 0,SnapshotTable[[#This Row],[LC Exp Date]]-MAX(SnapshotTable[[#This Row],[LC Book Date]], SnapshotTable[[#This Row],[LC Fill Date]]),"")</f>
        <v/>
      </c>
      <c r="DR218" s="386" t="str">
        <f>IF(ISNUMBER(SnapshotTable[[#This Row],[LC Term]]), SnapshotTable[[#This Row],[LC Exp Date]] - MockToday, "")</f>
        <v/>
      </c>
      <c r="DS218" s="23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40" t="str">
        <f>IF(ISNUMBER(SnapshotTable[[#This Row],[LC Actual Gain Loss]]), SnapshotTable[[#This Row],[LC Actual Gain Loss]] / SnapshotTable[[#This Row],[LC Premium]],"")</f>
        <v/>
      </c>
      <c r="DX218" s="284" t="str">
        <f>IF(ISNUMBER(SnapshotTable[[#This Row],[LC Book Price]]),SnapshotTable[[#This Row],[LC Book Price]] * 1.5,"")</f>
        <v/>
      </c>
      <c r="DY218" s="265" t="str">
        <f>IF(SnapshotTable[[#This Row],[LC Premium]]&gt;0, SnapshotTable[[#This Row],[LC Next Target]] * SnapshotTable[[#This Row],[LC Qty]] * 100,"")</f>
        <v/>
      </c>
      <c r="DZ218" s="265" t="str">
        <f>IF(ISNUMBER(SnapshotTable[[#This Row],[LC Target Gross]]), SnapshotTable[[#This Row],[LC Target Gross]] - SnapshotTable[[#This Row],[LC Premium]], "")</f>
        <v/>
      </c>
      <c r="EA218" s="305" t="str">
        <f>IF(ISNUMBER(SnapshotTable[[#This Row],[LC Target Gain Loss]]), SnapshotTable[[#This Row],[LC Target Gain Loss]]/SnapshotTable[[#This Row],[LC Premium]], "")</f>
        <v/>
      </c>
      <c r="EB218" s="262"/>
      <c r="EC218" s="283" t="str">
        <f>IF(SnapshotTable[[#This Row],[LC Premium]]&gt;0, SnapshotTable[[#This Row],[LC Book Price]] * (1 - LC_StopLoss_Pct),"")</f>
        <v/>
      </c>
      <c r="ED218" s="284"/>
      <c r="EE218" s="28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4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7"/>
      <c r="EL218" s="138"/>
      <c r="EM218" s="148"/>
      <c r="EN218" s="147"/>
      <c r="EO218" s="147"/>
      <c r="EP218" s="138"/>
      <c r="EQ218" s="419" t="b">
        <f>AND(ISNUMBER(SnapshotTable[[#This Row],[SC Exp Date]]), ISNUMBER(SnapshotTable[[#This Row],[SC Strike Price]]), ISNUMBER(SnapshotTable[[#This Row],[SC Qty]]), ISNUMBER(SnapshotTable[[#This Row],[SC Book Date]]), ISNUMBER(SnapshotTable[[#This Row],[SC Book Price]]))</f>
        <v>0</v>
      </c>
      <c r="ER218" s="419" t="b">
        <f>AND(SnapshotTable[[#This Row],[SC Is Booked]], NOT(ISBLANK(SnapshotTable[[#This Row],[SC Fill Date]])))</f>
        <v>0</v>
      </c>
      <c r="ES218" s="370"/>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3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283"/>
      <c r="FA218" s="218"/>
      <c r="FB218" s="370"/>
      <c r="FC218" s="4">
        <f>IF(SnapshotTable[[#This Row],[SC Is Filled]], btc_max_buyback_amount(SnapshotTable[[#This Row],[SC Fill Date]],SnapshotTable[[#This Row],[SC Exp Date]], SnapshotTable[[#This Row],[SC Book Price]]),0)</f>
        <v>0</v>
      </c>
      <c r="FD218" s="5"/>
      <c r="FE218" s="144"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382">
        <f>IF(SnapshotTable[[#This Row],[SC Is Filled]], IF(ISNUMBER(SnapshotTable[[#This Row],[SC Current Ask]]), SnapshotTable[[#This Row],[SC Current Ask]], SnapshotTable[[#This Row],[SC Book Price]]) - SnapshotTable[[#This Row],[SC Intrinsic Value]], 0)</f>
        <v>0</v>
      </c>
      <c r="FI218" s="143"/>
      <c r="FJ218" s="32" t="str">
        <f>IF(SnapshotTable[[#This Row],[SC Is Filled]],100 * SnapshotTable[[#This Row],[SC Qty]] * IF(ISNUMBER(SnapshotTable[[#This Row],[SC Buyback Override]]), SnapshotTable[[#This Row],[SC Buyback Override]], SnapshotTable[[#This Row],[SC Current Ask]]), "")</f>
        <v/>
      </c>
      <c r="FK218" s="250" t="str">
        <f>IF(SnapshotTable[[#This Row],[SC Time Val]]&gt;0, SnapshotTable[[#This Row],[SC Time Val]] / SnapshotTable[[#This Row],[Last Price]],"")</f>
        <v/>
      </c>
      <c r="FL218" s="302" t="str">
        <f>IF(SnapshotTable[[#This Row],[SC Is Booked]], ((SnapshotTable[[#This Row],[Last Price]] -SnapshotTable[[#This Row],[SC Strike Price]]) / SnapshotTable[[#This Row],[Last Price]]) * -1, "")</f>
        <v/>
      </c>
      <c r="FM218" s="157" t="str">
        <f>IF(SnapshotTable[[#This Row],[SC Is Booked]],  (SnapshotTable[[#This Row],[SC Qty]] * 100 * SnapshotTable[[#This Row],[SC Strike Price]]) - SnapshotTable[[#This Row],[SC Current Ask]], "")</f>
        <v/>
      </c>
      <c r="FN21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7"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33"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36" t="str">
        <f>IF(AND(ISNUMBER(SnapshotTable[[#This Row],[SC Simple ROO]]),SnapshotTable[[#This Row],[SC Simple ROO]] &gt; 0), SnapshotTable[[#This Row],[SC Premium]] + (SnapshotTable[[#This Row],[SC Qty]] * SnapshotTable[[#This Row],[SC Upside Potential]]), "")</f>
        <v/>
      </c>
      <c r="FX218" s="302" t="str" cm="1">
        <f t="array" ref="FX218">IF(ISNUMBER(SnapshotTable[[#This Row],[SC Max Dollars]]), annualize(SnapshotTable[[#This Row],[SC Term]],(SnapshotTable[[#This Row],[SC Max Dollars]]/SnapshotTable[[#This Row],[SC Basis]])),"")</f>
        <v/>
      </c>
      <c r="FY218" s="236" t="str">
        <f>IF(AND(SnapshotTable[[#This Row],[SC Qty]]&gt;0,SnapshotTable[[#This Row],[SC Current Ask]]&gt;0), SnapshotTable[[#This Row],[SC Qty]] * SnapshotTable[[#This Row],[SC Current Ask]] * -100, "")</f>
        <v/>
      </c>
      <c r="FZ218" s="235" t="str">
        <f>IF(ISNUMBER((SnapshotTable[[#This Row],[SC Current Value]])), SnapshotTable[[#This Row],[SC Premium]] + SnapshotTable[[#This Row],[SC Current Value]], "")</f>
        <v/>
      </c>
      <c r="GA218" s="29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38.332499999999996</v>
      </c>
      <c r="GD218" s="40">
        <f>SnapshotTable[[#This Row],[Last Price]] * (1+ SellingPriceToConsiderBasedOnTargetPercentage)</f>
        <v>186.2835</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8" t="str">
        <f>IF(SnapshotTable[[#This Row],[Sale G/L]]&gt;0, SnapshotTable[[#This Row],[Sale G/L]] / SnapshotTable[[#This Row],[Sale Basis]], IF(ISNUMBER(SnapshotTable[[#This Row],[SC Exercise P&amp;L (TAX)]]), SnapshotTable[[#This Row],[SC Exercise P&amp;L (TAX)]] / SnapshotTable[[#This Row],[SC Basis]], ""))</f>
        <v/>
      </c>
      <c r="GK218" s="158"/>
      <c r="GL218" s="159"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59" t="str">
        <f>IF(AND(SnapshotTable[[#This Row],[LC Exp Date]]&gt;0,SnapshotTable[[#This Row],[LC Strike Price]]&gt;0), [1]!ToOptionSymbol(SnapshotTable[[#This Row],[Symbol]], SnapshotTable[[#This Row],[LC Strike Price]],SnapshotTable[[#This Row],[LC Exp Date]],0), "")</f>
        <v/>
      </c>
      <c r="GQ218" s="160" t="str">
        <f>IF(LEN(SnapshotTable[[#This Row],[LC Symbol]])&gt;0, 1, "")</f>
        <v/>
      </c>
      <c r="GR218" s="159" t="str">
        <f>IF(AND(SnapshotTable[[#This Row],[SC Exp Date]]&gt;0,SnapshotTable[[#This Row],[SC Strike Price]]&gt;0), [1]!ToOptionSymbol(SnapshotTable[[#This Row],[Symbol]], SnapshotTable[[#This Row],[SC Strike Price]],SnapshotTable[[#This Row],[SC Exp Date]],0), "")</f>
        <v/>
      </c>
      <c r="GS218" s="160" t="str">
        <f>IF(LEN(SnapshotTable[[#This Row],[SC Symbol]])&gt;0, 1, "")</f>
        <v/>
      </c>
      <c r="GT218" s="161"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31">
        <f>MAX(SnapshotTable[[#This Row],[Equity Basis Total]],SnapshotTable[[#This Row],[Equity Value]]) + (SnapshotTable[[#This Row],[SP Potential Spend]]- SnapshotTable[[#This Row],[SP Premium]] + SnapshotTable[[#This Row],[LP Premium]])+ (SnapshotTable[[#This Row],[LC Premium]] - SnapshotTable[[#This Row],[SC Premium]])</f>
        <v>0</v>
      </c>
      <c r="GW218" s="139" t="str">
        <f>IF(AND(SnapshotTable[[#This Row],[Exposure]] &lt;&gt; 0),SnapshotTable[[#This Row],[Exposure]] / SnapshotTable[[#Totals],[Exposure]], "")</f>
        <v/>
      </c>
      <c r="HE218" s="268"/>
      <c r="HF218" s="268"/>
      <c r="HK218" s="1"/>
      <c r="HL218" s="1"/>
      <c r="HM218" s="1"/>
      <c r="HN218" s="1"/>
      <c r="HO218" s="1"/>
      <c r="HP218" s="1"/>
    </row>
    <row r="219" spans="2:224" ht="12.75" hidden="1" customHeight="1" x14ac:dyDescent="0.25">
      <c r="B219" s="12" t="s">
        <v>492</v>
      </c>
      <c r="C219" s="422">
        <v>82.2</v>
      </c>
      <c r="D219" s="208"/>
      <c r="E219" s="39">
        <f>SnapshotTable[[#This Row],[Last Price]]*(1 -CrashDiscount)</f>
        <v>69.87</v>
      </c>
      <c r="F219" s="26" t="s">
        <v>136</v>
      </c>
      <c r="G219" s="26" t="s">
        <v>17</v>
      </c>
      <c r="H219" s="149"/>
      <c r="I219" s="194">
        <v>44767.288194444445</v>
      </c>
      <c r="J219" s="195">
        <v>44767.288194444445</v>
      </c>
      <c r="K219" s="196"/>
      <c r="L219" s="326"/>
      <c r="M219" s="140"/>
      <c r="N219" s="140"/>
      <c r="O219" s="140"/>
      <c r="P219" s="22"/>
      <c r="Q219" s="25"/>
      <c r="R219" s="4" t="str">
        <f>IF(SnapshotTable[[#This Row],[Equity Basis Total]] &gt; 0, SnapshotTable[[#This Row],[Equity Basis Total]] / SnapshotTable[[#This Row],[Equity Shares]], "")</f>
        <v/>
      </c>
      <c r="S219" s="269">
        <f>SnapshotTable[[#This Row],[Last Price]] * SnapshotTable[[#This Row],[Equity Shares]]</f>
        <v>0</v>
      </c>
      <c r="T219" s="269">
        <f>SnapshotTable[[#This Row],[Equity Value]] - SnapshotTable[[#This Row],[Equity Basis Total]]</f>
        <v>0</v>
      </c>
      <c r="U219" s="270" t="str">
        <f>IF(SnapshotTable[[#This Row],[Equity Basis Total]] &gt; 0, SnapshotTable[[#This Row],[Equity G/L]] / SnapshotTable[[#This Row],[Equity Basis Total]], "")</f>
        <v/>
      </c>
      <c r="V219" s="268"/>
      <c r="W219" s="26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7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0"/>
      <c r="AD219" s="151"/>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1"/>
      <c r="AI219" s="5"/>
      <c r="AJ219" s="138">
        <v>53.05</v>
      </c>
      <c r="AK219" s="152" t="str">
        <f>IF(ISNUMBER( SnapshotTable[[#This Row],[EBF Target]]),(SnapshotTable[[#This Row],[EBF Target]] - SnapshotTable[[#This Row],[Last Price]]) / SnapshotTable[[#This Row],[Last Price]], "")</f>
        <v/>
      </c>
      <c r="AL219" s="152"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2">
        <f>IF(AND(ISNUMBER( SnapshotTable[[#This Row],[Long Term Target]]), ISNUMBER(SnapshotTable[[#This Row],[Last Price]])),(SnapshotTable[[#This Row],[Long Term Target]] - SnapshotTable[[#This Row],[Last Price]]) / SnapshotTable[[#This Row],[Last Price]], "")</f>
        <v>-0.35462287104622875</v>
      </c>
      <c r="AP219" s="5">
        <v>52.5</v>
      </c>
      <c r="AQ219" s="38" t="s">
        <v>46</v>
      </c>
      <c r="AR219" s="5">
        <v>46</v>
      </c>
      <c r="AS219" s="38" t="s">
        <v>26</v>
      </c>
      <c r="AT219" s="146"/>
      <c r="AU219" s="187" t="str">
        <f>IF(OR(SnapshotTable[[#This Row],[LP No Fill]]="Y",SnapshotTable[[#This Row],[SP Is Filled]],SnapshotTable[[#This Row],[LC Not Filled]]="Y",SnapshotTable[[#This Row],[SC Is Filled]]),"Y","")</f>
        <v/>
      </c>
      <c r="AV219" s="219"/>
      <c r="AW219" s="225"/>
      <c r="AX219" s="220"/>
      <c r="AY219" s="219" t="str">
        <f>IF(SnapshotTable[[#This Row],[Implied Move]]&gt;0, SnapshotTable[[#This Row],[Last Price]]-SnapshotTable[[#This Row],[Implied Move]],"")</f>
        <v/>
      </c>
      <c r="AZ219" s="219" t="str">
        <f>IF(SnapshotTable[[#This Row],[Implied Move]]&gt;0, SnapshotTable[[#This Row],[Last Price]] + SnapshotTable[[#This Row],[Implied Move]],"")</f>
        <v/>
      </c>
      <c r="BA219" s="331"/>
      <c r="BB219" s="347"/>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51"/>
      <c r="BE219" s="5"/>
      <c r="BF219" s="14"/>
      <c r="BG219" s="13"/>
      <c r="BH219" s="13"/>
      <c r="BI219" s="5"/>
      <c r="BJ219" s="136">
        <f>IF(SnapshotTable[[#This Row],[LP Qty]] &gt; 0, SnapshotTable[[#This Row],[LP Qty]] * SnapshotTable[[#This Row],[LP Book Price]] * 100,0)</f>
        <v>0</v>
      </c>
      <c r="BK219" s="136">
        <f>IF(SnapshotTable[[#This Row],[LP Premium]] &gt; 0, SnapshotTable[[#This Row],[LP Qty]] * SnapshotTable[[#This Row],[LP Strike Price]] * 100,0)</f>
        <v>0</v>
      </c>
      <c r="BL219" s="154"/>
      <c r="BM219" s="385" t="str">
        <f>IF(SnapshotTable[[#This Row],[LP Premium]] &gt; 0,SnapshotTable[[#This Row],[LP Exp Date]]-MAX(SnapshotTable[[#This Row],[LP Book Date]], SnapshotTable[[#This Row],[LP Fill Date]]),"")</f>
        <v/>
      </c>
      <c r="BN219" s="385" t="str">
        <f>IF(ISNUMBER( SnapshotTable[[#This Row],[LP Term]]), SnapshotTable[[#This Row],[LP Exp Date]] - MockToday,"")</f>
        <v/>
      </c>
      <c r="BO219" s="163"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7"/>
      <c r="BU219" s="13"/>
      <c r="BV219" s="5"/>
      <c r="BW219" s="419" t="b">
        <f>AND(ISNUMBER(SnapshotTable[[#This Row],[SP Exp Date]]), ISNUMBER(SnapshotTable[[#This Row],[SP Strike Price]]), ISNUMBER(SnapshotTable[[#This Row],[SP Qty]]), ISNUMBER(SnapshotTable[[#This Row],[SP Book Date]]), ISNUMBER(SnapshotTable[[#This Row],[SP Book Price]]))</f>
        <v>0</v>
      </c>
      <c r="BX219" s="419" t="b">
        <f>AND(SnapshotTable[[#This Row],[SP Is Booked]], NOT(ISBLANK(SnapshotTable[[#This Row],[SP Fill Date]])))</f>
        <v>0</v>
      </c>
      <c r="BY219" s="33">
        <f>IF(SnapshotTable[[#This Row],[SP Is Booked]], SnapshotTable[[#This Row],[SP Qty]] * SnapshotTable[[#This Row],[SP Book Price]] * 100, 0)</f>
        <v>0</v>
      </c>
      <c r="BZ219" s="369"/>
      <c r="CA219" s="368">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3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44"/>
      <c r="CK219" s="31">
        <f>IF(ISNUMBER(SnapshotTable[[#This Row],[SP Potential Spend]]),IF(ISNUMBER(SnapshotTable[[#This Row],[SP POW]]), SnapshotTable[[#This Row],[SP POW]] * SnapshotTable[[#This Row],[SP Potential Spend]], SnapshotTable[[#This Row],[SP Potential Spend]]), "")</f>
        <v>0</v>
      </c>
      <c r="CL219" s="164">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8"/>
      <c r="CO219" s="369"/>
      <c r="CP219" s="4" t="str">
        <f>IF(SnapshotTable[[#This Row],[SP Is Filled]], btc_max_buyback_amount(SnapshotTable[[#This Row],[SP Fill Date]],SnapshotTable[[#This Row],[SP Exp Date]], SnapshotTable[[#This Row],[SP Book Price]]),"")</f>
        <v/>
      </c>
      <c r="CQ219" s="78"/>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5" t="str">
        <f>IF(SnapshotTable[[#This Row],[SP Is Filled]], btc_next_cutoff_date(SnapshotTable[[#This Row],[SP Fill Date]],SnapshotTable[[#This Row],[SP Exp Date]]),"")</f>
        <v/>
      </c>
      <c r="CT219" s="23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3"/>
      <c r="CV219" s="235"/>
      <c r="CW219" s="378"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294" t="str">
        <f>IF(ISNUMBER((SnapshotTable[[#This Row],[SP Total Value]])), SnapshotTable[[#This Row],[SP Gain Loss]] / SnapshotTable[[#This Row],[SP Premium]], "")</f>
        <v/>
      </c>
      <c r="DI219" s="406"/>
      <c r="DJ219" s="138"/>
      <c r="DK219" s="148"/>
      <c r="DL219" s="13"/>
      <c r="DM219" s="13"/>
      <c r="DO219" s="31">
        <f>IF(SnapshotTable[[#This Row],[LC Symbol Count]]=1, SnapshotTable[[#This Row],[LC Qty]] * SnapshotTable[[#This Row],[LC Book Price]] * 100, 0)</f>
        <v>0</v>
      </c>
      <c r="DP219" s="163" t="str">
        <f>IF(AND(SnapshotTable[[#This Row],[LC Exp Date]]&gt;0, SnapshotTable[[#This Row],[LC Strike Price]]&gt;0,SnapshotTable[[#This Row],[LC Qty]]&gt;0,SnapshotTable[[#This Row],[LC Book Date]]&gt;0,SnapshotTable[[#This Row],[LC Book Price]]&gt;0,SnapshotTable[[#This Row],[LC Fill Date]]=0),"Y","")</f>
        <v/>
      </c>
      <c r="DQ219" s="386" t="str">
        <f>IF(SnapshotTable[[#This Row],[LC Premium]] &gt; 0,SnapshotTable[[#This Row],[LC Exp Date]]-MAX(SnapshotTable[[#This Row],[LC Book Date]], SnapshotTable[[#This Row],[LC Fill Date]]),"")</f>
        <v/>
      </c>
      <c r="DR219" s="386" t="str">
        <f>IF(ISNUMBER(SnapshotTable[[#This Row],[LC Term]]), SnapshotTable[[#This Row],[LC Exp Date]] - MockToday, "")</f>
        <v/>
      </c>
      <c r="DS219" s="23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40" t="str">
        <f>IF(ISNUMBER(SnapshotTable[[#This Row],[LC Actual Gain Loss]]), SnapshotTable[[#This Row],[LC Actual Gain Loss]] / SnapshotTable[[#This Row],[LC Premium]],"")</f>
        <v/>
      </c>
      <c r="DX219" s="284" t="str">
        <f>IF(ISNUMBER(SnapshotTable[[#This Row],[LC Book Price]]),SnapshotTable[[#This Row],[LC Book Price]] * 1.5,"")</f>
        <v/>
      </c>
      <c r="DY219" s="265" t="str">
        <f>IF(SnapshotTable[[#This Row],[LC Premium]]&gt;0, SnapshotTable[[#This Row],[LC Next Target]] * SnapshotTable[[#This Row],[LC Qty]] * 100,"")</f>
        <v/>
      </c>
      <c r="DZ219" s="265" t="str">
        <f>IF(ISNUMBER(SnapshotTable[[#This Row],[LC Target Gross]]), SnapshotTable[[#This Row],[LC Target Gross]] - SnapshotTable[[#This Row],[LC Premium]], "")</f>
        <v/>
      </c>
      <c r="EA219" s="305" t="str">
        <f>IF(ISNUMBER(SnapshotTable[[#This Row],[LC Target Gain Loss]]), SnapshotTable[[#This Row],[LC Target Gain Loss]]/SnapshotTable[[#This Row],[LC Premium]], "")</f>
        <v/>
      </c>
      <c r="EB219" s="262"/>
      <c r="EC219" s="283" t="str">
        <f>IF(SnapshotTable[[#This Row],[LC Premium]]&gt;0, SnapshotTable[[#This Row],[LC Book Price]] * (1 - LC_StopLoss_Pct),"")</f>
        <v/>
      </c>
      <c r="ED219" s="284"/>
      <c r="EE219" s="28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4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7"/>
      <c r="EL219" s="138"/>
      <c r="EM219" s="148"/>
      <c r="EN219" s="147"/>
      <c r="EO219" s="147"/>
      <c r="EP219" s="138"/>
      <c r="EQ219" s="419" t="b">
        <f>AND(ISNUMBER(SnapshotTable[[#This Row],[SC Exp Date]]), ISNUMBER(SnapshotTable[[#This Row],[SC Strike Price]]), ISNUMBER(SnapshotTable[[#This Row],[SC Qty]]), ISNUMBER(SnapshotTable[[#This Row],[SC Book Date]]), ISNUMBER(SnapshotTable[[#This Row],[SC Book Price]]))</f>
        <v>0</v>
      </c>
      <c r="ER219" s="419" t="b">
        <f>AND(SnapshotTable[[#This Row],[SC Is Booked]], NOT(ISBLANK(SnapshotTable[[#This Row],[SC Fill Date]])))</f>
        <v>0</v>
      </c>
      <c r="ES219" s="370"/>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3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283"/>
      <c r="FA219" s="218"/>
      <c r="FB219" s="370"/>
      <c r="FC219" s="4">
        <f>IF(SnapshotTable[[#This Row],[SC Is Filled]], btc_max_buyback_amount(SnapshotTable[[#This Row],[SC Fill Date]],SnapshotTable[[#This Row],[SC Exp Date]], SnapshotTable[[#This Row],[SC Book Price]]),0)</f>
        <v>0</v>
      </c>
      <c r="FD219" s="5"/>
      <c r="FE219" s="144"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382">
        <f>IF(SnapshotTable[[#This Row],[SC Is Filled]], IF(ISNUMBER(SnapshotTable[[#This Row],[SC Current Ask]]), SnapshotTable[[#This Row],[SC Current Ask]], SnapshotTable[[#This Row],[SC Book Price]]) - SnapshotTable[[#This Row],[SC Intrinsic Value]], 0)</f>
        <v>0</v>
      </c>
      <c r="FI219" s="143"/>
      <c r="FJ219" s="32" t="str">
        <f>IF(SnapshotTable[[#This Row],[SC Is Filled]],100 * SnapshotTable[[#This Row],[SC Qty]] * IF(ISNUMBER(SnapshotTable[[#This Row],[SC Buyback Override]]), SnapshotTable[[#This Row],[SC Buyback Override]], SnapshotTable[[#This Row],[SC Current Ask]]), "")</f>
        <v/>
      </c>
      <c r="FK219" s="250" t="str">
        <f>IF(SnapshotTable[[#This Row],[SC Time Val]]&gt;0, SnapshotTable[[#This Row],[SC Time Val]] / SnapshotTable[[#This Row],[Last Price]],"")</f>
        <v/>
      </c>
      <c r="FL219" s="302" t="str">
        <f>IF(SnapshotTable[[#This Row],[SC Is Booked]], ((SnapshotTable[[#This Row],[Last Price]] -SnapshotTable[[#This Row],[SC Strike Price]]) / SnapshotTable[[#This Row],[Last Price]]) * -1, "")</f>
        <v/>
      </c>
      <c r="FM219" s="157"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33"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36" t="str">
        <f>IF(AND(ISNUMBER(SnapshotTable[[#This Row],[SC Simple ROO]]),SnapshotTable[[#This Row],[SC Simple ROO]] &gt; 0), SnapshotTable[[#This Row],[SC Premium]] + (SnapshotTable[[#This Row],[SC Qty]] * SnapshotTable[[#This Row],[SC Upside Potential]]), "")</f>
        <v/>
      </c>
      <c r="FX219" s="302" t="str" cm="1">
        <f t="array" ref="FX219">IF(ISNUMBER(SnapshotTable[[#This Row],[SC Max Dollars]]), annualize(SnapshotTable[[#This Row],[SC Term]],(SnapshotTable[[#This Row],[SC Max Dollars]]/SnapshotTable[[#This Row],[SC Basis]])),"")</f>
        <v/>
      </c>
      <c r="FY219" s="23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294" t="str">
        <f>IFERROR( IF(ISNUMBER((SnapshotTable[[#This Row],[SC Current Value]])), SnapshotTable[[#This Row],[SC Gain Loss]] / SnapshotTable[[#This Row],[SC Premium]], ""), "")</f>
        <v/>
      </c>
      <c r="GB219" s="42">
        <f>SnapshotTable[[#This Row],[Equity Shares]] * SaleSharesToConsiderPercentage</f>
        <v>0</v>
      </c>
      <c r="GC219" s="40">
        <f>SnapshotTable[[#This Row],[Long Term Target]] * SellingPriceToConsiderBasedOnTargetPercentage</f>
        <v>50.397499999999994</v>
      </c>
      <c r="GD219" s="40">
        <f>SnapshotTable[[#This Row],[Last Price]] * (1+ SellingPriceToConsiderBasedOnTargetPercentage)</f>
        <v>160.29</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733</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31">
        <f>MAX(SnapshotTable[[#This Row],[Equity Basis Total]],SnapshotTable[[#This Row],[Equity Value]]) + (SnapshotTable[[#This Row],[SP Potential Spend]]- SnapshotTable[[#This Row],[SP Premium]] + SnapshotTable[[#This Row],[LP Premium]])+ (SnapshotTable[[#This Row],[LC Premium]] - SnapshotTable[[#This Row],[SC Premium]])</f>
        <v>0</v>
      </c>
      <c r="GW219" s="139" t="str">
        <f>IF(AND(SnapshotTable[[#This Row],[Exposure]] &lt;&gt; 0),SnapshotTable[[#This Row],[Exposure]] / SnapshotTable[[#Totals],[Exposure]], "")</f>
        <v/>
      </c>
      <c r="GX219" s="5"/>
      <c r="HE219" s="268"/>
      <c r="HF219" s="268"/>
      <c r="HK219" s="1"/>
      <c r="HL219" s="1"/>
      <c r="HM219" s="1"/>
      <c r="HN219" s="1"/>
      <c r="HO219" s="1"/>
      <c r="HP219" s="1"/>
    </row>
    <row r="220" spans="2:224" ht="12.75" hidden="1" customHeight="1" x14ac:dyDescent="0.25">
      <c r="B220" s="12" t="s">
        <v>1051</v>
      </c>
      <c r="C220" s="422">
        <v>26.6</v>
      </c>
      <c r="D220" s="208" t="s">
        <v>578</v>
      </c>
      <c r="E220" s="39">
        <f>SnapshotTable[[#This Row],[Last Price]]*(1 -CrashDiscount)</f>
        <v>22.61</v>
      </c>
      <c r="F220" s="26" t="s">
        <v>5</v>
      </c>
      <c r="G220" s="26" t="s">
        <v>4</v>
      </c>
      <c r="H220" s="149"/>
      <c r="I220" s="194">
        <v>44875.270833333336</v>
      </c>
      <c r="J220" s="195">
        <v>44875.270833333336</v>
      </c>
      <c r="K220" s="196"/>
      <c r="L220" s="326"/>
      <c r="M220" s="140"/>
      <c r="N220" s="140"/>
      <c r="O220" s="140"/>
      <c r="P220" s="22"/>
      <c r="Q220" s="25"/>
      <c r="R220" s="4" t="str">
        <f>IF(SnapshotTable[[#This Row],[Equity Basis Total]] &gt; 0, SnapshotTable[[#This Row],[Equity Basis Total]] / SnapshotTable[[#This Row],[Equity Shares]], "")</f>
        <v/>
      </c>
      <c r="S220" s="269">
        <f>SnapshotTable[[#This Row],[Last Price]] * SnapshotTable[[#This Row],[Equity Shares]]</f>
        <v>0</v>
      </c>
      <c r="T220" s="269">
        <f>SnapshotTable[[#This Row],[Equity Value]] - SnapshotTable[[#This Row],[Equity Basis Total]]</f>
        <v>0</v>
      </c>
      <c r="U220" s="270" t="str">
        <f>IF(SnapshotTable[[#This Row],[Equity Basis Total]] &gt; 0, SnapshotTable[[#This Row],[Equity G/L]] / SnapshotTable[[#This Row],[Equity Basis Total]], "")</f>
        <v/>
      </c>
      <c r="V220" s="268"/>
      <c r="W220" s="26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7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0"/>
      <c r="AD220" s="151"/>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1"/>
      <c r="AI220" s="5"/>
      <c r="AJ220" s="138"/>
      <c r="AK220" s="152" t="str">
        <f>IF(ISNUMBER( SnapshotTable[[#This Row],[EBF Target]]),(SnapshotTable[[#This Row],[EBF Target]] - SnapshotTable[[#This Row],[Last Price]]) / SnapshotTable[[#This Row],[Last Price]], "")</f>
        <v/>
      </c>
      <c r="AL220" s="152"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2" t="str">
        <f>IF(AND(ISNUMBER( SnapshotTable[[#This Row],[Long Term Target]]), ISNUMBER(SnapshotTable[[#This Row],[Last Price]])),(SnapshotTable[[#This Row],[Long Term Target]] - SnapshotTable[[#This Row],[Last Price]]) / SnapshotTable[[#This Row],[Last Price]], "")</f>
        <v/>
      </c>
      <c r="AP220" s="5">
        <v>10</v>
      </c>
      <c r="AQ220" s="38" t="s">
        <v>38</v>
      </c>
      <c r="AR220" s="5">
        <v>10</v>
      </c>
      <c r="AS220" s="38" t="s">
        <v>26</v>
      </c>
      <c r="AT220" s="146" t="s">
        <v>538</v>
      </c>
      <c r="AU220" s="187" t="str">
        <f>IF(OR(SnapshotTable[[#This Row],[LP No Fill]]="Y",SnapshotTable[[#This Row],[SP Is Filled]],SnapshotTable[[#This Row],[LC Not Filled]]="Y",SnapshotTable[[#This Row],[SC Is Filled]]),"Y","")</f>
        <v/>
      </c>
      <c r="AV220" s="219"/>
      <c r="AW220" s="225"/>
      <c r="AX220" s="220"/>
      <c r="AY220" s="219" t="str">
        <f>IF(SnapshotTable[[#This Row],[Implied Move]]&gt;0, SnapshotTable[[#This Row],[Last Price]]-SnapshotTable[[#This Row],[Implied Move]],"")</f>
        <v/>
      </c>
      <c r="AZ220" s="219" t="str">
        <f>IF(SnapshotTable[[#This Row],[Implied Move]]&gt;0, SnapshotTable[[#This Row],[Last Price]] + SnapshotTable[[#This Row],[Implied Move]],"")</f>
        <v/>
      </c>
      <c r="BA220" s="331">
        <v>8.4499999999999993</v>
      </c>
      <c r="BB220" s="347"/>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51"/>
      <c r="BE220" s="5"/>
      <c r="BF220" s="14"/>
      <c r="BG220" s="13"/>
      <c r="BH220" s="13"/>
      <c r="BI220" s="5"/>
      <c r="BJ220" s="136">
        <f>IF(SnapshotTable[[#This Row],[LP Qty]] &gt; 0, SnapshotTable[[#This Row],[LP Qty]] * SnapshotTable[[#This Row],[LP Book Price]] * 100,0)</f>
        <v>0</v>
      </c>
      <c r="BK220" s="136">
        <f>IF(SnapshotTable[[#This Row],[LP Premium]] &gt; 0, SnapshotTable[[#This Row],[LP Qty]] * SnapshotTable[[#This Row],[LP Strike Price]] * 100,0)</f>
        <v>0</v>
      </c>
      <c r="BL220" s="154"/>
      <c r="BM220" s="385" t="str">
        <f>IF(SnapshotTable[[#This Row],[LP Premium]] &gt; 0,SnapshotTable[[#This Row],[LP Exp Date]]-MAX(SnapshotTable[[#This Row],[LP Book Date]], SnapshotTable[[#This Row],[LP Fill Date]]),"")</f>
        <v/>
      </c>
      <c r="BN220" s="385" t="str">
        <f>IF(ISNUMBER( SnapshotTable[[#This Row],[LP Term]]), SnapshotTable[[#This Row],[LP Exp Date]] - MockToday,"")</f>
        <v/>
      </c>
      <c r="BO220" s="163"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7"/>
      <c r="BU220" s="13"/>
      <c r="BV220" s="5"/>
      <c r="BW220" s="419" t="b">
        <f>AND(ISNUMBER(SnapshotTable[[#This Row],[SP Exp Date]]), ISNUMBER(SnapshotTable[[#This Row],[SP Strike Price]]), ISNUMBER(SnapshotTable[[#This Row],[SP Qty]]), ISNUMBER(SnapshotTable[[#This Row],[SP Book Date]]), ISNUMBER(SnapshotTable[[#This Row],[SP Book Price]]))</f>
        <v>0</v>
      </c>
      <c r="BX220" s="419" t="b">
        <f>AND(SnapshotTable[[#This Row],[SP Is Booked]], NOT(ISBLANK(SnapshotTable[[#This Row],[SP Fill Date]])))</f>
        <v>0</v>
      </c>
      <c r="BY220" s="33">
        <f>IF(SnapshotTable[[#This Row],[SP Is Booked]], SnapshotTable[[#This Row],[SP Qty]] * SnapshotTable[[#This Row],[SP Book Price]] * 100, 0)</f>
        <v>0</v>
      </c>
      <c r="BZ220" s="369"/>
      <c r="CA220" s="368">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3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44"/>
      <c r="CK220" s="31">
        <f>IF(ISNUMBER(SnapshotTable[[#This Row],[SP Potential Spend]]),IF(ISNUMBER(SnapshotTable[[#This Row],[SP POW]]), SnapshotTable[[#This Row],[SP POW]] * SnapshotTable[[#This Row],[SP Potential Spend]], SnapshotTable[[#This Row],[SP Potential Spend]]), "")</f>
        <v>0</v>
      </c>
      <c r="CL220" s="164">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8"/>
      <c r="CO220" s="369"/>
      <c r="CP220" s="4" t="str">
        <f>IF(SnapshotTable[[#This Row],[SP Is Filled]], btc_max_buyback_amount(SnapshotTable[[#This Row],[SP Fill Date]],SnapshotTable[[#This Row],[SP Exp Date]], SnapshotTable[[#This Row],[SP Book Price]]),"")</f>
        <v/>
      </c>
      <c r="CQ220" s="78"/>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5" t="str">
        <f>IF(SnapshotTable[[#This Row],[SP Is Filled]], btc_next_cutoff_date(SnapshotTable[[#This Row],[SP Fill Date]],SnapshotTable[[#This Row],[SP Exp Date]]),"")</f>
        <v/>
      </c>
      <c r="CT220" s="23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3"/>
      <c r="CV220" s="235"/>
      <c r="CW220" s="378"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294" t="str">
        <f>IF(ISNUMBER((SnapshotTable[[#This Row],[SP Total Value]])), SnapshotTable[[#This Row],[SP Gain Loss]] / SnapshotTable[[#This Row],[SP Premium]], "")</f>
        <v/>
      </c>
      <c r="DI220" s="406"/>
      <c r="DJ220" s="138"/>
      <c r="DK220" s="148"/>
      <c r="DL220" s="13"/>
      <c r="DM220" s="13"/>
      <c r="DO220" s="31">
        <f>IF(SnapshotTable[[#This Row],[LC Symbol Count]]=1, SnapshotTable[[#This Row],[LC Qty]] * SnapshotTable[[#This Row],[LC Book Price]] * 100, 0)</f>
        <v>0</v>
      </c>
      <c r="DP220" s="163" t="str">
        <f>IF(AND(SnapshotTable[[#This Row],[LC Exp Date]]&gt;0, SnapshotTable[[#This Row],[LC Strike Price]]&gt;0,SnapshotTable[[#This Row],[LC Qty]]&gt;0,SnapshotTable[[#This Row],[LC Book Date]]&gt;0,SnapshotTable[[#This Row],[LC Book Price]]&gt;0,SnapshotTable[[#This Row],[LC Fill Date]]=0),"Y","")</f>
        <v/>
      </c>
      <c r="DQ220" s="386" t="str">
        <f>IF(SnapshotTable[[#This Row],[LC Premium]] &gt; 0,SnapshotTable[[#This Row],[LC Exp Date]]-MAX(SnapshotTable[[#This Row],[LC Book Date]], SnapshotTable[[#This Row],[LC Fill Date]]),"")</f>
        <v/>
      </c>
      <c r="DR220" s="386" t="str">
        <f>IF(ISNUMBER(SnapshotTable[[#This Row],[LC Term]]), SnapshotTable[[#This Row],[LC Exp Date]] - MockToday, "")</f>
        <v/>
      </c>
      <c r="DS220" s="23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40" t="str">
        <f>IF(ISNUMBER(SnapshotTable[[#This Row],[LC Actual Gain Loss]]), SnapshotTable[[#This Row],[LC Actual Gain Loss]] / SnapshotTable[[#This Row],[LC Premium]],"")</f>
        <v/>
      </c>
      <c r="DX220" s="284" t="str">
        <f>IF(ISNUMBER(SnapshotTable[[#This Row],[LC Book Price]]),SnapshotTable[[#This Row],[LC Book Price]] * 1.5,"")</f>
        <v/>
      </c>
      <c r="DY220" s="265" t="str">
        <f>IF(SnapshotTable[[#This Row],[LC Premium]]&gt;0, SnapshotTable[[#This Row],[LC Next Target]] * SnapshotTable[[#This Row],[LC Qty]] * 100,"")</f>
        <v/>
      </c>
      <c r="DZ220" s="265" t="str">
        <f>IF(ISNUMBER(SnapshotTable[[#This Row],[LC Target Gross]]), SnapshotTable[[#This Row],[LC Target Gross]] - SnapshotTable[[#This Row],[LC Premium]], "")</f>
        <v/>
      </c>
      <c r="EA220" s="305" t="str">
        <f>IF(ISNUMBER(SnapshotTable[[#This Row],[LC Target Gain Loss]]), SnapshotTable[[#This Row],[LC Target Gain Loss]]/SnapshotTable[[#This Row],[LC Premium]], "")</f>
        <v/>
      </c>
      <c r="EB220" s="262"/>
      <c r="EC220" s="283" t="str">
        <f>IF(SnapshotTable[[#This Row],[LC Premium]]&gt;0, SnapshotTable[[#This Row],[LC Book Price]] * (1 - LC_StopLoss_Pct),"")</f>
        <v/>
      </c>
      <c r="ED220" s="284"/>
      <c r="EE220" s="28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4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7"/>
      <c r="EL220" s="138"/>
      <c r="EM220" s="148"/>
      <c r="EN220" s="147"/>
      <c r="EO220" s="147"/>
      <c r="EP220" s="138"/>
      <c r="EQ220" s="419" t="b">
        <f>AND(ISNUMBER(SnapshotTable[[#This Row],[SC Exp Date]]), ISNUMBER(SnapshotTable[[#This Row],[SC Strike Price]]), ISNUMBER(SnapshotTable[[#This Row],[SC Qty]]), ISNUMBER(SnapshotTable[[#This Row],[SC Book Date]]), ISNUMBER(SnapshotTable[[#This Row],[SC Book Price]]))</f>
        <v>0</v>
      </c>
      <c r="ER220" s="419" t="b">
        <f>AND(SnapshotTable[[#This Row],[SC Is Booked]], NOT(ISBLANK(SnapshotTable[[#This Row],[SC Fill Date]])))</f>
        <v>0</v>
      </c>
      <c r="ES220" s="370"/>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3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283"/>
      <c r="FA220" s="218"/>
      <c r="FB220" s="370"/>
      <c r="FC220" s="4">
        <f>IF(SnapshotTable[[#This Row],[SC Is Filled]], btc_max_buyback_amount(SnapshotTable[[#This Row],[SC Fill Date]],SnapshotTable[[#This Row],[SC Exp Date]], SnapshotTable[[#This Row],[SC Book Price]]),0)</f>
        <v>0</v>
      </c>
      <c r="FD220" s="5"/>
      <c r="FE220" s="144"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382">
        <f>IF(SnapshotTable[[#This Row],[SC Is Filled]], IF(ISNUMBER(SnapshotTable[[#This Row],[SC Current Ask]]), SnapshotTable[[#This Row],[SC Current Ask]], SnapshotTable[[#This Row],[SC Book Price]]) - SnapshotTable[[#This Row],[SC Intrinsic Value]], 0)</f>
        <v>0</v>
      </c>
      <c r="FI220" s="143"/>
      <c r="FJ220" s="32" t="str">
        <f>IF(SnapshotTable[[#This Row],[SC Is Filled]],100 * SnapshotTable[[#This Row],[SC Qty]] * IF(ISNUMBER(SnapshotTable[[#This Row],[SC Buyback Override]]), SnapshotTable[[#This Row],[SC Buyback Override]], SnapshotTable[[#This Row],[SC Current Ask]]), "")</f>
        <v/>
      </c>
      <c r="FK220" s="250" t="str">
        <f>IF(SnapshotTable[[#This Row],[SC Time Val]]&gt;0, SnapshotTable[[#This Row],[SC Time Val]] / SnapshotTable[[#This Row],[Last Price]],"")</f>
        <v/>
      </c>
      <c r="FL220" s="302" t="str">
        <f>IF(SnapshotTable[[#This Row],[SC Is Booked]], ((SnapshotTable[[#This Row],[Last Price]] -SnapshotTable[[#This Row],[SC Strike Price]]) / SnapshotTable[[#This Row],[Last Price]]) * -1, "")</f>
        <v/>
      </c>
      <c r="FM220" s="157"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33"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36" t="str">
        <f>IF(AND(ISNUMBER(SnapshotTable[[#This Row],[SC Simple ROO]]),SnapshotTable[[#This Row],[SC Simple ROO]] &gt; 0), SnapshotTable[[#This Row],[SC Premium]] + (SnapshotTable[[#This Row],[SC Qty]] * SnapshotTable[[#This Row],[SC Upside Potential]]), "")</f>
        <v/>
      </c>
      <c r="FX220" s="302" t="str" cm="1">
        <f t="array" ref="FX220">IF(ISNUMBER(SnapshotTable[[#This Row],[SC Max Dollars]]), annualize(SnapshotTable[[#This Row],[SC Term]],(SnapshotTable[[#This Row],[SC Max Dollars]]/SnapshotTable[[#This Row],[SC Basis]])),"")</f>
        <v/>
      </c>
      <c r="FY220" s="23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29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0</v>
      </c>
      <c r="GD220" s="40">
        <f>SnapshotTable[[#This Row],[Last Price]] * (1+ SellingPriceToConsiderBasedOnTargetPercentage)</f>
        <v>51.870000000000005</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1053</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31">
        <f>MAX(SnapshotTable[[#This Row],[Equity Basis Total]],SnapshotTable[[#This Row],[Equity Value]]) + (SnapshotTable[[#This Row],[SP Potential Spend]]- SnapshotTable[[#This Row],[SP Premium]] + SnapshotTable[[#This Row],[LP Premium]])+ (SnapshotTable[[#This Row],[LC Premium]] - SnapshotTable[[#This Row],[SC Premium]])</f>
        <v>0</v>
      </c>
      <c r="GW220" s="139" t="str">
        <f>IF(AND(SnapshotTable[[#This Row],[Exposure]] &lt;&gt; 0),SnapshotTable[[#This Row],[Exposure]] / SnapshotTable[[#Totals],[Exposure]], "")</f>
        <v/>
      </c>
      <c r="GX220" s="5"/>
      <c r="HE220" s="268"/>
      <c r="HF220" s="268"/>
      <c r="HK220" s="1"/>
      <c r="HL220" s="1"/>
      <c r="HM220" s="1"/>
      <c r="HN220" s="1"/>
      <c r="HO220" s="1"/>
      <c r="HP220" s="1"/>
    </row>
    <row r="221" spans="2:224" ht="12.75" hidden="1" customHeight="1" x14ac:dyDescent="0.25">
      <c r="B221" s="12" t="s">
        <v>151</v>
      </c>
      <c r="C221" s="422">
        <v>57.54</v>
      </c>
      <c r="D221" s="208"/>
      <c r="E221" s="39">
        <f>SnapshotTable[[#This Row],[Last Price]]*(1 -CrashDiscount)</f>
        <v>48.908999999999999</v>
      </c>
      <c r="F221" s="26" t="s">
        <v>150</v>
      </c>
      <c r="G221" s="26" t="s">
        <v>14</v>
      </c>
      <c r="H221" s="149"/>
      <c r="I221" s="194">
        <v>44728.333333333336</v>
      </c>
      <c r="J221" s="195">
        <v>44728.333333333336</v>
      </c>
      <c r="K221" s="196" t="s">
        <v>3</v>
      </c>
      <c r="L221" s="326"/>
      <c r="M221" s="140"/>
      <c r="N221" s="140"/>
      <c r="O221" s="140"/>
      <c r="P221" s="22"/>
      <c r="Q221" s="25"/>
      <c r="R221" s="4" t="str">
        <f>IF(SnapshotTable[[#This Row],[Equity Basis Total]] &gt; 0, SnapshotTable[[#This Row],[Equity Basis Total]] / SnapshotTable[[#This Row],[Equity Shares]], "")</f>
        <v/>
      </c>
      <c r="S221" s="269">
        <f>SnapshotTable[[#This Row],[Last Price]] * SnapshotTable[[#This Row],[Equity Shares]]</f>
        <v>0</v>
      </c>
      <c r="T221" s="269">
        <f>SnapshotTable[[#This Row],[Equity Value]] - SnapshotTable[[#This Row],[Equity Basis Total]]</f>
        <v>0</v>
      </c>
      <c r="U221" s="270" t="str">
        <f>IF(SnapshotTable[[#This Row],[Equity Basis Total]] &gt; 0, SnapshotTable[[#This Row],[Equity G/L]] / SnapshotTable[[#This Row],[Equity Basis Total]], "")</f>
        <v/>
      </c>
      <c r="V221" s="268"/>
      <c r="W221" s="26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7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0">
        <v>0.48</v>
      </c>
      <c r="AD221" s="151">
        <v>42979</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8.3420229405630868E-3</v>
      </c>
      <c r="AH221" s="151">
        <v>42957</v>
      </c>
      <c r="AI221" s="5"/>
      <c r="AJ221" s="138">
        <v>34.15</v>
      </c>
      <c r="AK221" s="152" t="str">
        <f>IF(ISNUMBER( SnapshotTable[[#This Row],[EBF Target]]),(SnapshotTable[[#This Row],[EBF Target]] - SnapshotTable[[#This Row],[Last Price]]) / SnapshotTable[[#This Row],[Last Price]], "")</f>
        <v/>
      </c>
      <c r="AL221" s="152"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2">
        <f>IF(AND(ISNUMBER( SnapshotTable[[#This Row],[Long Term Target]]), ISNUMBER(SnapshotTable[[#This Row],[Last Price]])),(SnapshotTable[[#This Row],[Long Term Target]] - SnapshotTable[[#This Row],[Last Price]]) / SnapshotTable[[#This Row],[Last Price]], "")</f>
        <v>-0.40649982620785541</v>
      </c>
      <c r="AP221" s="5"/>
      <c r="AQ221" s="38"/>
      <c r="AR221" s="5"/>
      <c r="AS221" s="38"/>
      <c r="AT221" s="146"/>
      <c r="AU221" s="187" t="str">
        <f>IF(OR(SnapshotTable[[#This Row],[LP No Fill]]="Y",SnapshotTable[[#This Row],[SP Is Filled]],SnapshotTable[[#This Row],[LC Not Filled]]="Y",SnapshotTable[[#This Row],[SC Is Filled]]),"Y","")</f>
        <v/>
      </c>
      <c r="AV221" s="219"/>
      <c r="AW221" s="225"/>
      <c r="AX221" s="220"/>
      <c r="AY221" s="219" t="str">
        <f>IF(SnapshotTable[[#This Row],[Implied Move]]&gt;0, SnapshotTable[[#This Row],[Last Price]]-SnapshotTable[[#This Row],[Implied Move]],"")</f>
        <v/>
      </c>
      <c r="AZ221" s="219" t="str">
        <f>IF(SnapshotTable[[#This Row],[Implied Move]]&gt;0, SnapshotTable[[#This Row],[Last Price]] + SnapshotTable[[#This Row],[Implied Move]],"")</f>
        <v/>
      </c>
      <c r="BA221" s="331"/>
      <c r="BB221" s="347"/>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51"/>
      <c r="BE221" s="5"/>
      <c r="BF221" s="14"/>
      <c r="BG221" s="13"/>
      <c r="BH221" s="13"/>
      <c r="BI221" s="5"/>
      <c r="BJ221" s="136">
        <f>IF(SnapshotTable[[#This Row],[LP Qty]] &gt; 0, SnapshotTable[[#This Row],[LP Qty]] * SnapshotTable[[#This Row],[LP Book Price]] * 100,0)</f>
        <v>0</v>
      </c>
      <c r="BK221" s="136">
        <f>IF(SnapshotTable[[#This Row],[LP Premium]] &gt; 0, SnapshotTable[[#This Row],[LP Qty]] * SnapshotTable[[#This Row],[LP Strike Price]] * 100,0)</f>
        <v>0</v>
      </c>
      <c r="BL221" s="154"/>
      <c r="BM221" s="385" t="str">
        <f>IF(SnapshotTable[[#This Row],[LP Premium]] &gt; 0,SnapshotTable[[#This Row],[LP Exp Date]]-MAX(SnapshotTable[[#This Row],[LP Book Date]], SnapshotTable[[#This Row],[LP Fill Date]]),"")</f>
        <v/>
      </c>
      <c r="BN221" s="385" t="str">
        <f>IF(ISNUMBER( SnapshotTable[[#This Row],[LP Term]]), SnapshotTable[[#This Row],[LP Exp Date]] - MockToday,"")</f>
        <v/>
      </c>
      <c r="BO221" s="163"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7"/>
      <c r="BU221" s="13"/>
      <c r="BV221" s="5"/>
      <c r="BW221" s="419" t="b">
        <f>AND(ISNUMBER(SnapshotTable[[#This Row],[SP Exp Date]]), ISNUMBER(SnapshotTable[[#This Row],[SP Strike Price]]), ISNUMBER(SnapshotTable[[#This Row],[SP Qty]]), ISNUMBER(SnapshotTable[[#This Row],[SP Book Date]]), ISNUMBER(SnapshotTable[[#This Row],[SP Book Price]]))</f>
        <v>0</v>
      </c>
      <c r="BX221" s="419" t="b">
        <f>AND(SnapshotTable[[#This Row],[SP Is Booked]], NOT(ISBLANK(SnapshotTable[[#This Row],[SP Fill Date]])))</f>
        <v>0</v>
      </c>
      <c r="BY221" s="33">
        <f>IF(SnapshotTable[[#This Row],[SP Is Booked]], SnapshotTable[[#This Row],[SP Qty]] * SnapshotTable[[#This Row],[SP Book Price]] * 100, 0)</f>
        <v>0</v>
      </c>
      <c r="BZ221" s="369"/>
      <c r="CA221" s="368">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3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44"/>
      <c r="CK221" s="31">
        <f>IF(ISNUMBER(SnapshotTable[[#This Row],[SP Potential Spend]]),IF(ISNUMBER(SnapshotTable[[#This Row],[SP POW]]), SnapshotTable[[#This Row],[SP POW]] * SnapshotTable[[#This Row],[SP Potential Spend]], SnapshotTable[[#This Row],[SP Potential Spend]]), "")</f>
        <v>0</v>
      </c>
      <c r="CL221" s="164">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8"/>
      <c r="CO221" s="369"/>
      <c r="CP221" s="4" t="str">
        <f>IF(SnapshotTable[[#This Row],[SP Is Filled]], btc_max_buyback_amount(SnapshotTable[[#This Row],[SP Fill Date]],SnapshotTable[[#This Row],[SP Exp Date]], SnapshotTable[[#This Row],[SP Book Price]]),"")</f>
        <v/>
      </c>
      <c r="CQ221" s="78"/>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5" t="str">
        <f>IF(SnapshotTable[[#This Row],[SP Is Filled]], btc_next_cutoff_date(SnapshotTable[[#This Row],[SP Fill Date]],SnapshotTable[[#This Row],[SP Exp Date]]),"")</f>
        <v/>
      </c>
      <c r="CT221" s="23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3"/>
      <c r="CV221" s="235"/>
      <c r="CW221" s="378"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294" t="str">
        <f>IF(ISNUMBER((SnapshotTable[[#This Row],[SP Total Value]])), SnapshotTable[[#This Row],[SP Gain Loss]] / SnapshotTable[[#This Row],[SP Premium]], "")</f>
        <v/>
      </c>
      <c r="DI221" s="406"/>
      <c r="DJ221" s="138"/>
      <c r="DK221" s="148"/>
      <c r="DL221" s="13"/>
      <c r="DM221" s="13"/>
      <c r="DO221" s="31">
        <f>IF(SnapshotTable[[#This Row],[LC Symbol Count]]=1, SnapshotTable[[#This Row],[LC Qty]] * SnapshotTable[[#This Row],[LC Book Price]] * 100, 0)</f>
        <v>0</v>
      </c>
      <c r="DP221" s="163" t="str">
        <f>IF(AND(SnapshotTable[[#This Row],[LC Exp Date]]&gt;0, SnapshotTable[[#This Row],[LC Strike Price]]&gt;0,SnapshotTable[[#This Row],[LC Qty]]&gt;0,SnapshotTable[[#This Row],[LC Book Date]]&gt;0,SnapshotTable[[#This Row],[LC Book Price]]&gt;0,SnapshotTable[[#This Row],[LC Fill Date]]=0),"Y","")</f>
        <v/>
      </c>
      <c r="DQ221" s="386" t="str">
        <f>IF(SnapshotTable[[#This Row],[LC Premium]] &gt; 0,SnapshotTable[[#This Row],[LC Exp Date]]-MAX(SnapshotTable[[#This Row],[LC Book Date]], SnapshotTable[[#This Row],[LC Fill Date]]),"")</f>
        <v/>
      </c>
      <c r="DR221" s="386" t="str">
        <f>IF(ISNUMBER(SnapshotTable[[#This Row],[LC Term]]), SnapshotTable[[#This Row],[LC Exp Date]] - MockToday, "")</f>
        <v/>
      </c>
      <c r="DS221" s="23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40" t="str">
        <f>IF(ISNUMBER(SnapshotTable[[#This Row],[LC Actual Gain Loss]]), SnapshotTable[[#This Row],[LC Actual Gain Loss]] / SnapshotTable[[#This Row],[LC Premium]],"")</f>
        <v/>
      </c>
      <c r="DX221" s="284" t="str">
        <f>IF(ISNUMBER(SnapshotTable[[#This Row],[LC Book Price]]),SnapshotTable[[#This Row],[LC Book Price]] * 1.5,"")</f>
        <v/>
      </c>
      <c r="DY221" s="265" t="str">
        <f>IF(SnapshotTable[[#This Row],[LC Premium]]&gt;0, SnapshotTable[[#This Row],[LC Next Target]] * SnapshotTable[[#This Row],[LC Qty]] * 100,"")</f>
        <v/>
      </c>
      <c r="DZ221" s="265" t="str">
        <f>IF(ISNUMBER(SnapshotTable[[#This Row],[LC Target Gross]]), SnapshotTable[[#This Row],[LC Target Gross]] - SnapshotTable[[#This Row],[LC Premium]], "")</f>
        <v/>
      </c>
      <c r="EA221" s="305" t="str">
        <f>IF(ISNUMBER(SnapshotTable[[#This Row],[LC Target Gain Loss]]), SnapshotTable[[#This Row],[LC Target Gain Loss]]/SnapshotTable[[#This Row],[LC Premium]], "")</f>
        <v/>
      </c>
      <c r="EB221" s="262"/>
      <c r="EC221" s="283" t="str">
        <f>IF(SnapshotTable[[#This Row],[LC Premium]]&gt;0, SnapshotTable[[#This Row],[LC Book Price]] * (1 - LC_StopLoss_Pct),"")</f>
        <v/>
      </c>
      <c r="ED221" s="284"/>
      <c r="EE221" s="28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4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7"/>
      <c r="EL221" s="138"/>
      <c r="EM221" s="148"/>
      <c r="EN221" s="147"/>
      <c r="EO221" s="147"/>
      <c r="EP221" s="138"/>
      <c r="EQ221" s="419" t="b">
        <f>AND(ISNUMBER(SnapshotTable[[#This Row],[SC Exp Date]]), ISNUMBER(SnapshotTable[[#This Row],[SC Strike Price]]), ISNUMBER(SnapshotTable[[#This Row],[SC Qty]]), ISNUMBER(SnapshotTable[[#This Row],[SC Book Date]]), ISNUMBER(SnapshotTable[[#This Row],[SC Book Price]]))</f>
        <v>0</v>
      </c>
      <c r="ER221" s="419" t="b">
        <f>AND(SnapshotTable[[#This Row],[SC Is Booked]], NOT(ISBLANK(SnapshotTable[[#This Row],[SC Fill Date]])))</f>
        <v>0</v>
      </c>
      <c r="ES221" s="370"/>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3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283"/>
      <c r="FA221" s="218"/>
      <c r="FB221" s="370"/>
      <c r="FC221" s="4">
        <f>IF(SnapshotTable[[#This Row],[SC Is Filled]], btc_max_buyback_amount(SnapshotTable[[#This Row],[SC Fill Date]],SnapshotTable[[#This Row],[SC Exp Date]], SnapshotTable[[#This Row],[SC Book Price]]),0)</f>
        <v>0</v>
      </c>
      <c r="FD221" s="5"/>
      <c r="FE221" s="144"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382">
        <f>IF(SnapshotTable[[#This Row],[SC Is Filled]], IF(ISNUMBER(SnapshotTable[[#This Row],[SC Current Ask]]), SnapshotTable[[#This Row],[SC Current Ask]], SnapshotTable[[#This Row],[SC Book Price]]) - SnapshotTable[[#This Row],[SC Intrinsic Value]], 0)</f>
        <v>0</v>
      </c>
      <c r="FI221" s="143"/>
      <c r="FJ221" s="32" t="str">
        <f>IF(SnapshotTable[[#This Row],[SC Is Filled]],100 * SnapshotTable[[#This Row],[SC Qty]] * IF(ISNUMBER(SnapshotTable[[#This Row],[SC Buyback Override]]), SnapshotTable[[#This Row],[SC Buyback Override]], SnapshotTable[[#This Row],[SC Current Ask]]), "")</f>
        <v/>
      </c>
      <c r="FK221" s="250" t="str">
        <f>IF(SnapshotTable[[#This Row],[SC Time Val]]&gt;0, SnapshotTable[[#This Row],[SC Time Val]] / SnapshotTable[[#This Row],[Last Price]],"")</f>
        <v/>
      </c>
      <c r="FL221" s="302" t="str">
        <f>IF(SnapshotTable[[#This Row],[SC Is Booked]], ((SnapshotTable[[#This Row],[Last Price]] -SnapshotTable[[#This Row],[SC Strike Price]]) / SnapshotTable[[#This Row],[Last Price]]) * -1, "")</f>
        <v/>
      </c>
      <c r="FM221" s="157"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33"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36" t="str">
        <f>IF(AND(ISNUMBER(SnapshotTable[[#This Row],[SC Simple ROO]]),SnapshotTable[[#This Row],[SC Simple ROO]] &gt; 0), SnapshotTable[[#This Row],[SC Premium]] + (SnapshotTable[[#This Row],[SC Qty]] * SnapshotTable[[#This Row],[SC Upside Potential]]), "")</f>
        <v/>
      </c>
      <c r="FX221" s="302" t="str" cm="1">
        <f t="array" ref="FX221">IF(ISNUMBER(SnapshotTable[[#This Row],[SC Max Dollars]]), annualize(SnapshotTable[[#This Row],[SC Term]],(SnapshotTable[[#This Row],[SC Max Dollars]]/SnapshotTable[[#This Row],[SC Basis]])),"")</f>
        <v/>
      </c>
      <c r="FY221" s="23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29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32.442499999999995</v>
      </c>
      <c r="GD221" s="40">
        <f>SnapshotTable[[#This Row],[Last Price]] * (1+ SellingPriceToConsiderBasedOnTargetPercentage)</f>
        <v>112.20299999999999</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734</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31">
        <f>MAX(SnapshotTable[[#This Row],[Equity Basis Total]],SnapshotTable[[#This Row],[Equity Value]]) + (SnapshotTable[[#This Row],[SP Potential Spend]]- SnapshotTable[[#This Row],[SP Premium]] + SnapshotTable[[#This Row],[LP Premium]])+ (SnapshotTable[[#This Row],[LC Premium]] - SnapshotTable[[#This Row],[SC Premium]])</f>
        <v>0</v>
      </c>
      <c r="GW221" s="139" t="str">
        <f>IF(AND(SnapshotTable[[#This Row],[Exposure]] &lt;&gt; 0),SnapshotTable[[#This Row],[Exposure]] / SnapshotTable[[#Totals],[Exposure]], "")</f>
        <v/>
      </c>
      <c r="GX221" s="5"/>
      <c r="HE221" s="268"/>
      <c r="HF221" s="268"/>
      <c r="HK221" s="1"/>
      <c r="HL221" s="1"/>
      <c r="HM221" s="1"/>
      <c r="HN221" s="1"/>
      <c r="HO221" s="1"/>
      <c r="HP221" s="1"/>
    </row>
    <row r="222" spans="2:224" ht="12.75" hidden="1" customHeight="1" x14ac:dyDescent="0.25">
      <c r="B222" s="12" t="s">
        <v>1091</v>
      </c>
      <c r="C222" s="422">
        <v>75.599999999999994</v>
      </c>
      <c r="D222" s="208"/>
      <c r="E222" s="39">
        <f>SnapshotTable[[#This Row],[Last Price]]*(1 -CrashDiscount)</f>
        <v>64.259999999999991</v>
      </c>
      <c r="F222" s="26" t="s">
        <v>5</v>
      </c>
      <c r="G222" s="26" t="s">
        <v>4</v>
      </c>
      <c r="H222" s="149"/>
      <c r="I222" s="194"/>
      <c r="J222" s="195"/>
      <c r="K222" s="196"/>
      <c r="L222" s="326"/>
      <c r="M222" s="140"/>
      <c r="N222" s="140"/>
      <c r="O222" s="140"/>
      <c r="P222" s="22"/>
      <c r="Q222" s="25"/>
      <c r="R222" s="4" t="str">
        <f>IF(SnapshotTable[[#This Row],[Equity Basis Total]] &gt; 0, SnapshotTable[[#This Row],[Equity Basis Total]] / SnapshotTable[[#This Row],[Equity Shares]], "")</f>
        <v/>
      </c>
      <c r="S222" s="269">
        <f>SnapshotTable[[#This Row],[Last Price]] * SnapshotTable[[#This Row],[Equity Shares]]</f>
        <v>0</v>
      </c>
      <c r="T222" s="269">
        <f>SnapshotTable[[#This Row],[Equity Value]] - SnapshotTable[[#This Row],[Equity Basis Total]]</f>
        <v>0</v>
      </c>
      <c r="U222" s="270" t="str">
        <f>IF(SnapshotTable[[#This Row],[Equity Basis Total]] &gt; 0, SnapshotTable[[#This Row],[Equity G/L]] / SnapshotTable[[#This Row],[Equity Basis Total]], "")</f>
        <v/>
      </c>
      <c r="V222" s="268"/>
      <c r="W222" s="26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7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0"/>
      <c r="AD222" s="151"/>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1"/>
      <c r="AI222" s="5"/>
      <c r="AJ222" s="138"/>
      <c r="AK222" s="152" t="str">
        <f>IF(ISNUMBER( SnapshotTable[[#This Row],[EBF Target]]),(SnapshotTable[[#This Row],[EBF Target]] - SnapshotTable[[#This Row],[Last Price]]) / SnapshotTable[[#This Row],[Last Price]], "")</f>
        <v/>
      </c>
      <c r="AL222" s="152"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2" t="str">
        <f>IF(AND(ISNUMBER( SnapshotTable[[#This Row],[Long Term Target]]), ISNUMBER(SnapshotTable[[#This Row],[Last Price]])),(SnapshotTable[[#This Row],[Long Term Target]] - SnapshotTable[[#This Row],[Last Price]]) / SnapshotTable[[#This Row],[Last Price]], "")</f>
        <v/>
      </c>
      <c r="AP222" s="5">
        <v>44</v>
      </c>
      <c r="AQ222" s="38" t="s">
        <v>38</v>
      </c>
      <c r="AR222" s="5">
        <v>44</v>
      </c>
      <c r="AS222" s="38" t="s">
        <v>26</v>
      </c>
      <c r="AT222" s="146" t="s">
        <v>826</v>
      </c>
      <c r="AU222" s="187" t="str">
        <f>IF(OR(SnapshotTable[[#This Row],[LP No Fill]]="Y",SnapshotTable[[#This Row],[SP Is Filled]],SnapshotTable[[#This Row],[LC Not Filled]]="Y",SnapshotTable[[#This Row],[SC Is Filled]]),"Y","")</f>
        <v/>
      </c>
      <c r="AV222" s="219"/>
      <c r="AW222" s="225"/>
      <c r="AX222" s="220"/>
      <c r="AY222" s="219" t="str">
        <f>IF(SnapshotTable[[#This Row],[Implied Move]]&gt;0, SnapshotTable[[#This Row],[Last Price]]-SnapshotTable[[#This Row],[Implied Move]],"")</f>
        <v/>
      </c>
      <c r="AZ222" s="219" t="str">
        <f>IF(SnapshotTable[[#This Row],[Implied Move]]&gt;0, SnapshotTable[[#This Row],[Last Price]] + SnapshotTable[[#This Row],[Implied Move]],"")</f>
        <v/>
      </c>
      <c r="BA222" s="331">
        <v>5.68</v>
      </c>
      <c r="BB222" s="347"/>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51"/>
      <c r="BE222" s="5"/>
      <c r="BF222" s="14"/>
      <c r="BG222" s="13"/>
      <c r="BH222" s="13"/>
      <c r="BI222" s="5"/>
      <c r="BJ222" s="136">
        <f>IF(SnapshotTable[[#This Row],[LP Qty]] &gt; 0, SnapshotTable[[#This Row],[LP Qty]] * SnapshotTable[[#This Row],[LP Book Price]] * 100,0)</f>
        <v>0</v>
      </c>
      <c r="BK222" s="136">
        <f>IF(SnapshotTable[[#This Row],[LP Premium]] &gt; 0, SnapshotTable[[#This Row],[LP Qty]] * SnapshotTable[[#This Row],[LP Strike Price]] * 100,0)</f>
        <v>0</v>
      </c>
      <c r="BL222" s="154"/>
      <c r="BM222" s="385" t="str">
        <f>IF(SnapshotTable[[#This Row],[LP Premium]] &gt; 0,SnapshotTable[[#This Row],[LP Exp Date]]-MAX(SnapshotTable[[#This Row],[LP Book Date]], SnapshotTable[[#This Row],[LP Fill Date]]),"")</f>
        <v/>
      </c>
      <c r="BN222" s="385" t="str">
        <f>IF(ISNUMBER( SnapshotTable[[#This Row],[LP Term]]), SnapshotTable[[#This Row],[LP Exp Date]] - MockToday,"")</f>
        <v/>
      </c>
      <c r="BO222" s="163"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7"/>
      <c r="BU222" s="13"/>
      <c r="BV222" s="5"/>
      <c r="BW222" s="419" t="b">
        <f>AND(ISNUMBER(SnapshotTable[[#This Row],[SP Exp Date]]), ISNUMBER(SnapshotTable[[#This Row],[SP Strike Price]]), ISNUMBER(SnapshotTable[[#This Row],[SP Qty]]), ISNUMBER(SnapshotTable[[#This Row],[SP Book Date]]), ISNUMBER(SnapshotTable[[#This Row],[SP Book Price]]))</f>
        <v>0</v>
      </c>
      <c r="BX222" s="419" t="b">
        <f>AND(SnapshotTable[[#This Row],[SP Is Booked]], NOT(ISBLANK(SnapshotTable[[#This Row],[SP Fill Date]])))</f>
        <v>0</v>
      </c>
      <c r="BY222" s="33">
        <f>IF(SnapshotTable[[#This Row],[SP Is Booked]], SnapshotTable[[#This Row],[SP Qty]] * SnapshotTable[[#This Row],[SP Book Price]] * 100, 0)</f>
        <v>0</v>
      </c>
      <c r="BZ222" s="369"/>
      <c r="CA222" s="368">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3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44"/>
      <c r="CK222" s="31">
        <f>IF(ISNUMBER(SnapshotTable[[#This Row],[SP Potential Spend]]),IF(ISNUMBER(SnapshotTable[[#This Row],[SP POW]]), SnapshotTable[[#This Row],[SP POW]] * SnapshotTable[[#This Row],[SP Potential Spend]], SnapshotTable[[#This Row],[SP Potential Spend]]), "")</f>
        <v>0</v>
      </c>
      <c r="CL222" s="164">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8"/>
      <c r="CO222" s="369"/>
      <c r="CP222" s="4" t="str">
        <f>IF(SnapshotTable[[#This Row],[SP Is Filled]], btc_max_buyback_amount(SnapshotTable[[#This Row],[SP Fill Date]],SnapshotTable[[#This Row],[SP Exp Date]], SnapshotTable[[#This Row],[SP Book Price]]),"")</f>
        <v/>
      </c>
      <c r="CQ222" s="78"/>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5" t="str">
        <f>IF(SnapshotTable[[#This Row],[SP Is Filled]], btc_next_cutoff_date(SnapshotTable[[#This Row],[SP Fill Date]],SnapshotTable[[#This Row],[SP Exp Date]]),"")</f>
        <v/>
      </c>
      <c r="CT222" s="23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3"/>
      <c r="CV222" s="235"/>
      <c r="CW222" s="378"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294" t="str">
        <f>IF(ISNUMBER((SnapshotTable[[#This Row],[SP Total Value]])), SnapshotTable[[#This Row],[SP Gain Loss]] / SnapshotTable[[#This Row],[SP Premium]], "")</f>
        <v/>
      </c>
      <c r="DI222" s="406"/>
      <c r="DJ222" s="138"/>
      <c r="DK222" s="148"/>
      <c r="DL222" s="13"/>
      <c r="DM222" s="13"/>
      <c r="DO222" s="31">
        <f>IF(SnapshotTable[[#This Row],[LC Symbol Count]]=1, SnapshotTable[[#This Row],[LC Qty]] * SnapshotTable[[#This Row],[LC Book Price]] * 100, 0)</f>
        <v>0</v>
      </c>
      <c r="DP222" s="163" t="str">
        <f>IF(AND(SnapshotTable[[#This Row],[LC Exp Date]]&gt;0, SnapshotTable[[#This Row],[LC Strike Price]]&gt;0,SnapshotTable[[#This Row],[LC Qty]]&gt;0,SnapshotTable[[#This Row],[LC Book Date]]&gt;0,SnapshotTable[[#This Row],[LC Book Price]]&gt;0,SnapshotTable[[#This Row],[LC Fill Date]]=0),"Y","")</f>
        <v/>
      </c>
      <c r="DQ222" s="386" t="str">
        <f>IF(SnapshotTable[[#This Row],[LC Premium]] &gt; 0,SnapshotTable[[#This Row],[LC Exp Date]]-MAX(SnapshotTable[[#This Row],[LC Book Date]], SnapshotTable[[#This Row],[LC Fill Date]]),"")</f>
        <v/>
      </c>
      <c r="DR222" s="386" t="str">
        <f>IF(ISNUMBER(SnapshotTable[[#This Row],[LC Term]]), SnapshotTable[[#This Row],[LC Exp Date]] - MockToday, "")</f>
        <v/>
      </c>
      <c r="DS222" s="23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40" t="str">
        <f>IF(ISNUMBER(SnapshotTable[[#This Row],[LC Actual Gain Loss]]), SnapshotTable[[#This Row],[LC Actual Gain Loss]] / SnapshotTable[[#This Row],[LC Premium]],"")</f>
        <v/>
      </c>
      <c r="DX222" s="284" t="str">
        <f>IF(ISNUMBER(SnapshotTable[[#This Row],[LC Book Price]]),SnapshotTable[[#This Row],[LC Book Price]] * 1.5,"")</f>
        <v/>
      </c>
      <c r="DY222" s="265" t="str">
        <f>IF(SnapshotTable[[#This Row],[LC Premium]]&gt;0, SnapshotTable[[#This Row],[LC Next Target]] * SnapshotTable[[#This Row],[LC Qty]] * 100,"")</f>
        <v/>
      </c>
      <c r="DZ222" s="265" t="str">
        <f>IF(ISNUMBER(SnapshotTable[[#This Row],[LC Target Gross]]), SnapshotTable[[#This Row],[LC Target Gross]] - SnapshotTable[[#This Row],[LC Premium]], "")</f>
        <v/>
      </c>
      <c r="EA222" s="305" t="str">
        <f>IF(ISNUMBER(SnapshotTable[[#This Row],[LC Target Gain Loss]]), SnapshotTable[[#This Row],[LC Target Gain Loss]]/SnapshotTable[[#This Row],[LC Premium]], "")</f>
        <v/>
      </c>
      <c r="EB222" s="262"/>
      <c r="EC222" s="283" t="str">
        <f>IF(SnapshotTable[[#This Row],[LC Premium]]&gt;0, SnapshotTable[[#This Row],[LC Book Price]] * (1 - LC_StopLoss_Pct),"")</f>
        <v/>
      </c>
      <c r="ED222" s="284"/>
      <c r="EE222" s="28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4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7"/>
      <c r="EL222" s="138"/>
      <c r="EM222" s="148"/>
      <c r="EN222" s="147"/>
      <c r="EO222" s="147"/>
      <c r="EP222" s="138"/>
      <c r="EQ222" s="419" t="b">
        <f>AND(ISNUMBER(SnapshotTable[[#This Row],[SC Exp Date]]), ISNUMBER(SnapshotTable[[#This Row],[SC Strike Price]]), ISNUMBER(SnapshotTable[[#This Row],[SC Qty]]), ISNUMBER(SnapshotTable[[#This Row],[SC Book Date]]), ISNUMBER(SnapshotTable[[#This Row],[SC Book Price]]))</f>
        <v>0</v>
      </c>
      <c r="ER222" s="419" t="b">
        <f>AND(SnapshotTable[[#This Row],[SC Is Booked]], NOT(ISBLANK(SnapshotTable[[#This Row],[SC Fill Date]])))</f>
        <v>0</v>
      </c>
      <c r="ES222" s="370"/>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3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283"/>
      <c r="FA222" s="218"/>
      <c r="FB222" s="370"/>
      <c r="FC222" s="4">
        <f>IF(SnapshotTable[[#This Row],[SC Is Filled]], btc_max_buyback_amount(SnapshotTable[[#This Row],[SC Fill Date]],SnapshotTable[[#This Row],[SC Exp Date]], SnapshotTable[[#This Row],[SC Book Price]]),0)</f>
        <v>0</v>
      </c>
      <c r="FD222" s="5"/>
      <c r="FE222" s="144"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382">
        <f>IF(SnapshotTable[[#This Row],[SC Is Filled]], IF(ISNUMBER(SnapshotTable[[#This Row],[SC Current Ask]]), SnapshotTable[[#This Row],[SC Current Ask]], SnapshotTable[[#This Row],[SC Book Price]]) - SnapshotTable[[#This Row],[SC Intrinsic Value]], 0)</f>
        <v>0</v>
      </c>
      <c r="FI222" s="143"/>
      <c r="FJ222" s="32" t="str">
        <f>IF(SnapshotTable[[#This Row],[SC Is Filled]],100 * SnapshotTable[[#This Row],[SC Qty]] * IF(ISNUMBER(SnapshotTable[[#This Row],[SC Buyback Override]]), SnapshotTable[[#This Row],[SC Buyback Override]], SnapshotTable[[#This Row],[SC Current Ask]]), "")</f>
        <v/>
      </c>
      <c r="FK222" s="250" t="str">
        <f>IF(SnapshotTable[[#This Row],[SC Time Val]]&gt;0, SnapshotTable[[#This Row],[SC Time Val]] / SnapshotTable[[#This Row],[Last Price]],"")</f>
        <v/>
      </c>
      <c r="FL222" s="302" t="str">
        <f>IF(SnapshotTable[[#This Row],[SC Is Booked]], ((SnapshotTable[[#This Row],[Last Price]] -SnapshotTable[[#This Row],[SC Strike Price]]) / SnapshotTable[[#This Row],[Last Price]]) * -1, "")</f>
        <v/>
      </c>
      <c r="FM222" s="157"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33"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36" t="str">
        <f>IF(AND(ISNUMBER(SnapshotTable[[#This Row],[SC Simple ROO]]),SnapshotTable[[#This Row],[SC Simple ROO]] &gt; 0), SnapshotTable[[#This Row],[SC Premium]] + (SnapshotTable[[#This Row],[SC Qty]] * SnapshotTable[[#This Row],[SC Upside Potential]]), "")</f>
        <v/>
      </c>
      <c r="FX222" s="302" t="str" cm="1">
        <f t="array" ref="FX222">IF(ISNUMBER(SnapshotTable[[#This Row],[SC Max Dollars]]), annualize(SnapshotTable[[#This Row],[SC Term]],(SnapshotTable[[#This Row],[SC Max Dollars]]/SnapshotTable[[#This Row],[SC Basis]])),"")</f>
        <v/>
      </c>
      <c r="FY222" s="23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29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147.41999999999999</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t="s">
        <v>1117</v>
      </c>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31">
        <f>MAX(SnapshotTable[[#This Row],[Equity Basis Total]],SnapshotTable[[#This Row],[Equity Value]]) + (SnapshotTable[[#This Row],[SP Potential Spend]]- SnapshotTable[[#This Row],[SP Premium]] + SnapshotTable[[#This Row],[LP Premium]])+ (SnapshotTable[[#This Row],[LC Premium]] - SnapshotTable[[#This Row],[SC Premium]])</f>
        <v>0</v>
      </c>
      <c r="GW222" s="139" t="str">
        <f>IF(AND(SnapshotTable[[#This Row],[Exposure]] &lt;&gt; 0),SnapshotTable[[#This Row],[Exposure]] / SnapshotTable[[#Totals],[Exposure]], "")</f>
        <v/>
      </c>
      <c r="GX222" s="5"/>
      <c r="HE222" s="268"/>
      <c r="HF222" s="268"/>
      <c r="HK222" s="1"/>
      <c r="HL222" s="1"/>
      <c r="HM222" s="1"/>
      <c r="HN222" s="1"/>
      <c r="HO222" s="1"/>
      <c r="HP222" s="1"/>
    </row>
    <row r="223" spans="2:224" ht="12.75" hidden="1" customHeight="1" x14ac:dyDescent="0.25">
      <c r="B223" s="12" t="s">
        <v>154</v>
      </c>
      <c r="C223" s="422">
        <v>19.079999999999998</v>
      </c>
      <c r="D223" s="208" t="s">
        <v>578</v>
      </c>
      <c r="E223" s="39">
        <f>SnapshotTable[[#This Row],[Last Price]]*(1 -CrashDiscount)</f>
        <v>16.217999999999996</v>
      </c>
      <c r="F223" s="26" t="s">
        <v>23</v>
      </c>
      <c r="G223" s="26" t="s">
        <v>14</v>
      </c>
      <c r="H223" s="149"/>
      <c r="I223" s="194">
        <v>44791.291666666664</v>
      </c>
      <c r="J223" s="195">
        <v>44791.291666666664</v>
      </c>
      <c r="K223" s="196"/>
      <c r="L223" s="326"/>
      <c r="M223" s="140"/>
      <c r="N223" s="140"/>
      <c r="O223" s="140"/>
      <c r="P223" s="22"/>
      <c r="Q223" s="25"/>
      <c r="R223" s="4" t="str">
        <f>IF(SnapshotTable[[#This Row],[Equity Basis Total]] &gt; 0, SnapshotTable[[#This Row],[Equity Basis Total]] / SnapshotTable[[#This Row],[Equity Shares]], "")</f>
        <v/>
      </c>
      <c r="S223" s="269">
        <f>SnapshotTable[[#This Row],[Last Price]] * SnapshotTable[[#This Row],[Equity Shares]]</f>
        <v>0</v>
      </c>
      <c r="T223" s="269">
        <f>SnapshotTable[[#This Row],[Equity Value]] - SnapshotTable[[#This Row],[Equity Basis Total]]</f>
        <v>0</v>
      </c>
      <c r="U223" s="270" t="str">
        <f>IF(SnapshotTable[[#This Row],[Equity Basis Total]] &gt; 0, SnapshotTable[[#This Row],[Equity G/L]] / SnapshotTable[[#This Row],[Equity Basis Total]], "")</f>
        <v/>
      </c>
      <c r="V223" s="268"/>
      <c r="W223" s="26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7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0">
        <v>2.68</v>
      </c>
      <c r="AD223" s="151">
        <v>43824</v>
      </c>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0.14046121593291408</v>
      </c>
      <c r="AH223" s="151">
        <v>43809</v>
      </c>
      <c r="AI223" s="5">
        <v>56</v>
      </c>
      <c r="AJ223" s="138">
        <v>20.88</v>
      </c>
      <c r="AK223" s="152">
        <f>IF(ISNUMBER( SnapshotTable[[#This Row],[EBF Target]]),(SnapshotTable[[#This Row],[EBF Target]] - SnapshotTable[[#This Row],[Last Price]]) / SnapshotTable[[#This Row],[Last Price]], "")</f>
        <v>1.9350104821802938</v>
      </c>
      <c r="AL223" s="152"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2">
        <f>IF(AND(ISNUMBER( SnapshotTable[[#This Row],[Long Term Target]]), ISNUMBER(SnapshotTable[[#This Row],[Last Price]])),(SnapshotTable[[#This Row],[Long Term Target]] - SnapshotTable[[#This Row],[Last Price]]) / SnapshotTable[[#This Row],[Last Price]], "")</f>
        <v>9.4339622641509482E-2</v>
      </c>
      <c r="AP223" s="5">
        <v>20</v>
      </c>
      <c r="AQ223" s="38" t="s">
        <v>38</v>
      </c>
      <c r="AR223" s="5">
        <v>20</v>
      </c>
      <c r="AS223" s="38" t="s">
        <v>26</v>
      </c>
      <c r="AT223" s="146" t="s">
        <v>538</v>
      </c>
      <c r="AU223" s="187" t="str">
        <f>IF(OR(SnapshotTable[[#This Row],[LP No Fill]]="Y",SnapshotTable[[#This Row],[SP Is Filled]],SnapshotTable[[#This Row],[LC Not Filled]]="Y",SnapshotTable[[#This Row],[SC Is Filled]]),"Y","")</f>
        <v/>
      </c>
      <c r="AV223" s="219"/>
      <c r="AW223" s="225"/>
      <c r="AX223" s="220"/>
      <c r="AY223" s="219" t="str">
        <f>IF(SnapshotTable[[#This Row],[Implied Move]]&gt;0, SnapshotTable[[#This Row],[Last Price]]-SnapshotTable[[#This Row],[Implied Move]],"")</f>
        <v/>
      </c>
      <c r="AZ223" s="219" t="str">
        <f>IF(SnapshotTable[[#This Row],[Implied Move]]&gt;0, SnapshotTable[[#This Row],[Last Price]] + SnapshotTable[[#This Row],[Implied Move]],"")</f>
        <v/>
      </c>
      <c r="BA223" s="331"/>
      <c r="BB223" s="347"/>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51"/>
      <c r="BE223" s="5"/>
      <c r="BF223" s="14"/>
      <c r="BG223" s="13"/>
      <c r="BH223" s="13"/>
      <c r="BI223" s="5"/>
      <c r="BJ223" s="136">
        <f>IF(SnapshotTable[[#This Row],[LP Qty]] &gt; 0, SnapshotTable[[#This Row],[LP Qty]] * SnapshotTable[[#This Row],[LP Book Price]] * 100,0)</f>
        <v>0</v>
      </c>
      <c r="BK223" s="136">
        <f>IF(SnapshotTable[[#This Row],[LP Premium]] &gt; 0, SnapshotTable[[#This Row],[LP Qty]] * SnapshotTable[[#This Row],[LP Strike Price]] * 100,0)</f>
        <v>0</v>
      </c>
      <c r="BL223" s="154"/>
      <c r="BM223" s="385" t="str">
        <f>IF(SnapshotTable[[#This Row],[LP Premium]] &gt; 0,SnapshotTable[[#This Row],[LP Exp Date]]-MAX(SnapshotTable[[#This Row],[LP Book Date]], SnapshotTable[[#This Row],[LP Fill Date]]),"")</f>
        <v/>
      </c>
      <c r="BN223" s="385" t="str">
        <f>IF(ISNUMBER( SnapshotTable[[#This Row],[LP Term]]), SnapshotTable[[#This Row],[LP Exp Date]] - MockToday,"")</f>
        <v/>
      </c>
      <c r="BO223" s="163"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7"/>
      <c r="BU223" s="13"/>
      <c r="BV223" s="5"/>
      <c r="BW223" s="419" t="b">
        <f>AND(ISNUMBER(SnapshotTable[[#This Row],[SP Exp Date]]), ISNUMBER(SnapshotTable[[#This Row],[SP Strike Price]]), ISNUMBER(SnapshotTable[[#This Row],[SP Qty]]), ISNUMBER(SnapshotTable[[#This Row],[SP Book Date]]), ISNUMBER(SnapshotTable[[#This Row],[SP Book Price]]))</f>
        <v>0</v>
      </c>
      <c r="BX223" s="419" t="b">
        <f>AND(SnapshotTable[[#This Row],[SP Is Booked]], NOT(ISBLANK(SnapshotTable[[#This Row],[SP Fill Date]])))</f>
        <v>0</v>
      </c>
      <c r="BY223" s="33">
        <f>IF(SnapshotTable[[#This Row],[SP Is Booked]], SnapshotTable[[#This Row],[SP Qty]] * SnapshotTable[[#This Row],[SP Book Price]] * 100, 0)</f>
        <v>0</v>
      </c>
      <c r="BZ223" s="369"/>
      <c r="CA223" s="368">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3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44"/>
      <c r="CK223" s="31">
        <f>IF(ISNUMBER(SnapshotTable[[#This Row],[SP Potential Spend]]),IF(ISNUMBER(SnapshotTable[[#This Row],[SP POW]]), SnapshotTable[[#This Row],[SP POW]] * SnapshotTable[[#This Row],[SP Potential Spend]], SnapshotTable[[#This Row],[SP Potential Spend]]), "")</f>
        <v>0</v>
      </c>
      <c r="CL223" s="164">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78"/>
      <c r="CO223" s="369"/>
      <c r="CP223" s="4" t="str">
        <f>IF(SnapshotTable[[#This Row],[SP Is Filled]], btc_max_buyback_amount(SnapshotTable[[#This Row],[SP Fill Date]],SnapshotTable[[#This Row],[SP Exp Date]], SnapshotTable[[#This Row],[SP Book Price]]),"")</f>
        <v/>
      </c>
      <c r="CQ223" s="78"/>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5" t="str">
        <f>IF(SnapshotTable[[#This Row],[SP Is Filled]], btc_next_cutoff_date(SnapshotTable[[#This Row],[SP Fill Date]],SnapshotTable[[#This Row],[SP Exp Date]]),"")</f>
        <v/>
      </c>
      <c r="CT223" s="23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43"/>
      <c r="CV223" s="235"/>
      <c r="CW223" s="378"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294" t="str">
        <f>IF(ISNUMBER((SnapshotTable[[#This Row],[SP Total Value]])), SnapshotTable[[#This Row],[SP Gain Loss]] / SnapshotTable[[#This Row],[SP Premium]], "")</f>
        <v/>
      </c>
      <c r="DI223" s="406"/>
      <c r="DJ223" s="138"/>
      <c r="DK223" s="148"/>
      <c r="DL223" s="13"/>
      <c r="DM223" s="13"/>
      <c r="DO223" s="31">
        <f>IF(SnapshotTable[[#This Row],[LC Symbol Count]]=1, SnapshotTable[[#This Row],[LC Qty]] * SnapshotTable[[#This Row],[LC Book Price]] * 100, 0)</f>
        <v>0</v>
      </c>
      <c r="DP223" s="163" t="str">
        <f>IF(AND(SnapshotTable[[#This Row],[LC Exp Date]]&gt;0, SnapshotTable[[#This Row],[LC Strike Price]]&gt;0,SnapshotTable[[#This Row],[LC Qty]]&gt;0,SnapshotTable[[#This Row],[LC Book Date]]&gt;0,SnapshotTable[[#This Row],[LC Book Price]]&gt;0,SnapshotTable[[#This Row],[LC Fill Date]]=0),"Y","")</f>
        <v/>
      </c>
      <c r="DQ223" s="386" t="str">
        <f>IF(SnapshotTable[[#This Row],[LC Premium]] &gt; 0,SnapshotTable[[#This Row],[LC Exp Date]]-MAX(SnapshotTable[[#This Row],[LC Book Date]], SnapshotTable[[#This Row],[LC Fill Date]]),"")</f>
        <v/>
      </c>
      <c r="DR223" s="386" t="str">
        <f>IF(ISNUMBER(SnapshotTable[[#This Row],[LC Term]]), SnapshotTable[[#This Row],[LC Exp Date]] - MockToday, "")</f>
        <v/>
      </c>
      <c r="DS223" s="23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40" t="str">
        <f>IF(ISNUMBER(SnapshotTable[[#This Row],[LC Actual Gain Loss]]), SnapshotTable[[#This Row],[LC Actual Gain Loss]] / SnapshotTable[[#This Row],[LC Premium]],"")</f>
        <v/>
      </c>
      <c r="DX223" s="284" t="str">
        <f>IF(ISNUMBER(SnapshotTable[[#This Row],[LC Book Price]]),SnapshotTable[[#This Row],[LC Book Price]] * 1.5,"")</f>
        <v/>
      </c>
      <c r="DY223" s="265" t="str">
        <f>IF(SnapshotTable[[#This Row],[LC Premium]]&gt;0, SnapshotTable[[#This Row],[LC Next Target]] * SnapshotTable[[#This Row],[LC Qty]] * 100,"")</f>
        <v/>
      </c>
      <c r="DZ223" s="265" t="str">
        <f>IF(ISNUMBER(SnapshotTable[[#This Row],[LC Target Gross]]), SnapshotTable[[#This Row],[LC Target Gross]] - SnapshotTable[[#This Row],[LC Premium]], "")</f>
        <v/>
      </c>
      <c r="EA223" s="305" t="str">
        <f>IF(ISNUMBER(SnapshotTable[[#This Row],[LC Target Gain Loss]]), SnapshotTable[[#This Row],[LC Target Gain Loss]]/SnapshotTable[[#This Row],[LC Premium]], "")</f>
        <v/>
      </c>
      <c r="EB223" s="262"/>
      <c r="EC223" s="283" t="str">
        <f>IF(SnapshotTable[[#This Row],[LC Premium]]&gt;0, SnapshotTable[[#This Row],[LC Book Price]] * (1 - LC_StopLoss_Pct),"")</f>
        <v/>
      </c>
      <c r="ED223" s="284"/>
      <c r="EE223" s="28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4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7"/>
      <c r="EL223" s="138"/>
      <c r="EM223" s="148"/>
      <c r="EN223" s="147"/>
      <c r="EO223" s="147"/>
      <c r="EP223" s="138"/>
      <c r="EQ223" s="419" t="b">
        <f>AND(ISNUMBER(SnapshotTable[[#This Row],[SC Exp Date]]), ISNUMBER(SnapshotTable[[#This Row],[SC Strike Price]]), ISNUMBER(SnapshotTable[[#This Row],[SC Qty]]), ISNUMBER(SnapshotTable[[#This Row],[SC Book Date]]), ISNUMBER(SnapshotTable[[#This Row],[SC Book Price]]))</f>
        <v>0</v>
      </c>
      <c r="ER223" s="419" t="b">
        <f>AND(SnapshotTable[[#This Row],[SC Is Booked]], NOT(ISBLANK(SnapshotTable[[#This Row],[SC Fill Date]])))</f>
        <v>0</v>
      </c>
      <c r="ES223" s="370"/>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3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283"/>
      <c r="FA223" s="218"/>
      <c r="FB223" s="370"/>
      <c r="FC223" s="4">
        <f>IF(SnapshotTable[[#This Row],[SC Is Filled]], btc_max_buyback_amount(SnapshotTable[[#This Row],[SC Fill Date]],SnapshotTable[[#This Row],[SC Exp Date]], SnapshotTable[[#This Row],[SC Book Price]]),0)</f>
        <v>0</v>
      </c>
      <c r="FD223" s="5"/>
      <c r="FE223" s="144"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382">
        <f>IF(SnapshotTable[[#This Row],[SC Is Filled]], IF(ISNUMBER(SnapshotTable[[#This Row],[SC Current Ask]]), SnapshotTable[[#This Row],[SC Current Ask]], SnapshotTable[[#This Row],[SC Book Price]]) - SnapshotTable[[#This Row],[SC Intrinsic Value]], 0)</f>
        <v>0</v>
      </c>
      <c r="FI223" s="143"/>
      <c r="FJ223" s="32" t="str">
        <f>IF(SnapshotTable[[#This Row],[SC Is Filled]],100 * SnapshotTable[[#This Row],[SC Qty]] * IF(ISNUMBER(SnapshotTable[[#This Row],[SC Buyback Override]]), SnapshotTable[[#This Row],[SC Buyback Override]], SnapshotTable[[#This Row],[SC Current Ask]]), "")</f>
        <v/>
      </c>
      <c r="FK223" s="250" t="str">
        <f>IF(SnapshotTable[[#This Row],[SC Time Val]]&gt;0, SnapshotTable[[#This Row],[SC Time Val]] / SnapshotTable[[#This Row],[Last Price]],"")</f>
        <v/>
      </c>
      <c r="FL223" s="302" t="str">
        <f>IF(SnapshotTable[[#This Row],[SC Is Booked]], ((SnapshotTable[[#This Row],[Last Price]] -SnapshotTable[[#This Row],[SC Strike Price]]) / SnapshotTable[[#This Row],[Last Price]]) * -1, "")</f>
        <v/>
      </c>
      <c r="FM223" s="157" t="str">
        <f>IF(SnapshotTable[[#This Row],[SC Is Booked]],  (SnapshotTable[[#This Row],[SC Qty]] * 100 * SnapshotTable[[#This Row],[SC Strike Price]]) - SnapshotTable[[#This Row],[SC Current Ask]], "")</f>
        <v/>
      </c>
      <c r="FN2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31"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33"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36" t="str">
        <f>IF(AND(ISNUMBER(SnapshotTable[[#This Row],[SC Simple ROO]]),SnapshotTable[[#This Row],[SC Simple ROO]] &gt; 0), SnapshotTable[[#This Row],[SC Premium]] + (SnapshotTable[[#This Row],[SC Qty]] * SnapshotTable[[#This Row],[SC Upside Potential]]), "")</f>
        <v/>
      </c>
      <c r="FX223" s="302" t="str" cm="1">
        <f t="array" ref="FX223">IF(ISNUMBER(SnapshotTable[[#This Row],[SC Max Dollars]]), annualize(SnapshotTable[[#This Row],[SC Term]],(SnapshotTable[[#This Row],[SC Max Dollars]]/SnapshotTable[[#This Row],[SC Basis]])),"")</f>
        <v/>
      </c>
      <c r="FY223" s="23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294" t="str">
        <f>IFERROR( IF(ISNUMBER((SnapshotTable[[#This Row],[SC Current Value]])), SnapshotTable[[#This Row],[SC Gain Loss]] / SnapshotTable[[#This Row],[SC Premium]], ""), "")</f>
        <v/>
      </c>
      <c r="GB223" s="42">
        <f>SnapshotTable[[#This Row],[Equity Shares]] * SaleSharesToConsiderPercentage</f>
        <v>0</v>
      </c>
      <c r="GC223" s="40">
        <f>SnapshotTable[[#This Row],[Long Term Target]] * SellingPriceToConsiderBasedOnTargetPercentage</f>
        <v>19.835999999999999</v>
      </c>
      <c r="GD223" s="40">
        <f>SnapshotTable[[#This Row],[Last Price]] * (1+ SellingPriceToConsiderBasedOnTargetPercentage)</f>
        <v>37.205999999999996</v>
      </c>
      <c r="GE223" s="41"/>
      <c r="GF223" s="40"/>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27" t="str">
        <f>IF(SnapshotTable[[#This Row],[Sale G/L]]&gt;0, SnapshotTable[[#This Row],[Sale G/L]] / SnapshotTable[[#This Row],[Sale Basis]], IF(ISNUMBER(SnapshotTable[[#This Row],[SC Exercise P&amp;L (TAX)]]), SnapshotTable[[#This Row],[SC Exercise P&amp;L (TAX)]] / SnapshotTable[[#This Row],[SC Basis]], ""))</f>
        <v/>
      </c>
      <c r="GK223" s="27" t="s">
        <v>735</v>
      </c>
      <c r="GL223" s="43"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43" t="str">
        <f>IF(AND(SnapshotTable[[#This Row],[LC Exp Date]]&gt;0,SnapshotTable[[#This Row],[LC Strike Price]]&gt;0), [1]!ToOptionSymbol(SnapshotTable[[#This Row],[Symbol]], SnapshotTable[[#This Row],[LC Strike Price]],SnapshotTable[[#This Row],[LC Exp Date]],0), "")</f>
        <v/>
      </c>
      <c r="GQ223" s="30" t="str">
        <f>IF(LEN(SnapshotTable[[#This Row],[LC Symbol]])&gt;0, 1, "")</f>
        <v/>
      </c>
      <c r="GR223" s="43" t="str">
        <f>IF(AND(SnapshotTable[[#This Row],[SC Exp Date]]&gt;0,SnapshotTable[[#This Row],[SC Strike Price]]&gt;0), [1]!ToOptionSymbol(SnapshotTable[[#This Row],[Symbol]], SnapshotTable[[#This Row],[SC Strike Price]],SnapshotTable[[#This Row],[SC Exp Date]],0), "")</f>
        <v/>
      </c>
      <c r="GS223" s="30" t="str">
        <f>IF(LEN(SnapshotTable[[#This Row],[SC Symbol]])&gt;0, 1, "")</f>
        <v/>
      </c>
      <c r="GT223" s="29"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31">
        <f>MAX(SnapshotTable[[#This Row],[Equity Basis Total]],SnapshotTable[[#This Row],[Equity Value]]) + (SnapshotTable[[#This Row],[SP Potential Spend]]- SnapshotTable[[#This Row],[SP Premium]] + SnapshotTable[[#This Row],[LP Premium]])+ (SnapshotTable[[#This Row],[LC Premium]] - SnapshotTable[[#This Row],[SC Premium]])</f>
        <v>0</v>
      </c>
      <c r="GW223" s="139" t="str">
        <f>IF(AND(SnapshotTable[[#This Row],[Exposure]] &lt;&gt; 0),SnapshotTable[[#This Row],[Exposure]] / SnapshotTable[[#Totals],[Exposure]], "")</f>
        <v/>
      </c>
      <c r="GX223" s="5"/>
      <c r="HE223" s="268"/>
      <c r="HF223" s="268"/>
      <c r="HK223" s="1"/>
      <c r="HL223" s="1"/>
      <c r="HM223" s="1"/>
      <c r="HN223" s="1"/>
      <c r="HO223" s="1"/>
      <c r="HP223" s="1"/>
    </row>
    <row r="224" spans="2:224" ht="12.75" hidden="1" customHeight="1" x14ac:dyDescent="0.25">
      <c r="B224" s="12" t="s">
        <v>497</v>
      </c>
      <c r="C224" s="422">
        <v>47.89</v>
      </c>
      <c r="D224" s="208" t="s">
        <v>578</v>
      </c>
      <c r="E224" s="39">
        <f>SnapshotTable[[#This Row],[Last Price]]*(1 -CrashDiscount)</f>
        <v>40.706499999999998</v>
      </c>
      <c r="F224" s="26" t="s">
        <v>970</v>
      </c>
      <c r="G224" s="26" t="s">
        <v>872</v>
      </c>
      <c r="H224" s="149"/>
      <c r="I224" s="194">
        <v>44959</v>
      </c>
      <c r="J224" s="195">
        <v>44959</v>
      </c>
      <c r="K224" s="196"/>
      <c r="L224" s="326"/>
      <c r="M224" s="140"/>
      <c r="N224" s="140"/>
      <c r="O224" s="140"/>
      <c r="P224" s="22"/>
      <c r="Q224" s="25"/>
      <c r="R224" s="4" t="str">
        <f>IF(SnapshotTable[[#This Row],[Equity Basis Total]] &gt; 0, SnapshotTable[[#This Row],[Equity Basis Total]] / SnapshotTable[[#This Row],[Equity Shares]], "")</f>
        <v/>
      </c>
      <c r="S224" s="269">
        <f>SnapshotTable[[#This Row],[Last Price]] * SnapshotTable[[#This Row],[Equity Shares]]</f>
        <v>0</v>
      </c>
      <c r="T224" s="269">
        <f>SnapshotTable[[#This Row],[Equity Value]] - SnapshotTable[[#This Row],[Equity Basis Total]]</f>
        <v>0</v>
      </c>
      <c r="U224" s="270" t="str">
        <f>IF(SnapshotTable[[#This Row],[Equity Basis Total]] &gt; 0, SnapshotTable[[#This Row],[Equity G/L]] / SnapshotTable[[#This Row],[Equity Basis Total]], "")</f>
        <v/>
      </c>
      <c r="V224" s="268">
        <v>10.5</v>
      </c>
      <c r="W224" s="268">
        <v>9.0299999999999994</v>
      </c>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7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0"/>
      <c r="AD224" s="151"/>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1"/>
      <c r="AI224" s="5"/>
      <c r="AJ224" s="138">
        <v>23.21</v>
      </c>
      <c r="AK224" s="152" t="str">
        <f>IF(ISNUMBER( SnapshotTable[[#This Row],[EBF Target]]),(SnapshotTable[[#This Row],[EBF Target]] - SnapshotTable[[#This Row],[Last Price]]) / SnapshotTable[[#This Row],[Last Price]], "")</f>
        <v/>
      </c>
      <c r="AL224" s="152"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2">
        <f>IF(AND(ISNUMBER( SnapshotTable[[#This Row],[Long Term Target]]), ISNUMBER(SnapshotTable[[#This Row],[Last Price]])),(SnapshotTable[[#This Row],[Long Term Target]] - SnapshotTable[[#This Row],[Last Price]]) / SnapshotTable[[#This Row],[Last Price]], "")</f>
        <v>-0.51534767174775531</v>
      </c>
      <c r="AP224" s="5">
        <v>10.5</v>
      </c>
      <c r="AQ224" s="38" t="s">
        <v>89</v>
      </c>
      <c r="AR224" s="5">
        <v>9.0299999999999994</v>
      </c>
      <c r="AS224" s="38" t="s">
        <v>32</v>
      </c>
      <c r="AT224" s="146"/>
      <c r="AU224" s="187" t="str">
        <f>IF(OR(SnapshotTable[[#This Row],[LP No Fill]]="Y",SnapshotTable[[#This Row],[SP Is Filled]],SnapshotTable[[#This Row],[LC Not Filled]]="Y",SnapshotTable[[#This Row],[SC Is Filled]]),"Y","")</f>
        <v/>
      </c>
      <c r="AV224" s="219"/>
      <c r="AW224" s="225"/>
      <c r="AX224" s="220"/>
      <c r="AY224" s="219" t="str">
        <f>IF(SnapshotTable[[#This Row],[Implied Move]]&gt;0, SnapshotTable[[#This Row],[Last Price]]-SnapshotTable[[#This Row],[Implied Move]],"")</f>
        <v/>
      </c>
      <c r="AZ224" s="219" t="str">
        <f>IF(SnapshotTable[[#This Row],[Implied Move]]&gt;0, SnapshotTable[[#This Row],[Last Price]] + SnapshotTable[[#This Row],[Implied Move]],"")</f>
        <v/>
      </c>
      <c r="BA224" s="331">
        <v>9.33</v>
      </c>
      <c r="BB224" s="347"/>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51"/>
      <c r="BE224" s="188"/>
      <c r="BF224" s="189"/>
      <c r="BG224" s="190"/>
      <c r="BH224" s="190"/>
      <c r="BI224" s="5"/>
      <c r="BJ224" s="153">
        <f>IF(SnapshotTable[[#This Row],[LP Qty]] &gt; 0, SnapshotTable[[#This Row],[LP Qty]] * SnapshotTable[[#This Row],[LP Book Price]] * 100,0)</f>
        <v>0</v>
      </c>
      <c r="BK224" s="136">
        <f>IF(SnapshotTable[[#This Row],[LP Premium]] &gt; 0, SnapshotTable[[#This Row],[LP Qty]] * SnapshotTable[[#This Row],[LP Strike Price]] * 100,0)</f>
        <v>0</v>
      </c>
      <c r="BL224" s="154"/>
      <c r="BM224" s="385" t="str">
        <f>IF(SnapshotTable[[#This Row],[LP Premium]] &gt; 0,SnapshotTable[[#This Row],[LP Exp Date]]-MAX(SnapshotTable[[#This Row],[LP Book Date]], SnapshotTable[[#This Row],[LP Fill Date]]),"")</f>
        <v/>
      </c>
      <c r="BN224" s="385" t="str">
        <f>IF(ISNUMBER( SnapshotTable[[#This Row],[LP Term]]), SnapshotTable[[#This Row],[LP Exp Date]] - MockToday,"")</f>
        <v/>
      </c>
      <c r="BO224" s="163"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7"/>
      <c r="BU224" s="13"/>
      <c r="BV224" s="5"/>
      <c r="BW224" s="419" t="b">
        <f>AND(ISNUMBER(SnapshotTable[[#This Row],[SP Exp Date]]), ISNUMBER(SnapshotTable[[#This Row],[SP Strike Price]]), ISNUMBER(SnapshotTable[[#This Row],[SP Qty]]), ISNUMBER(SnapshotTable[[#This Row],[SP Book Date]]), ISNUMBER(SnapshotTable[[#This Row],[SP Book Price]]))</f>
        <v>0</v>
      </c>
      <c r="BX224" s="419" t="b">
        <f>AND(SnapshotTable[[#This Row],[SP Is Booked]], NOT(ISBLANK(SnapshotTable[[#This Row],[SP Fill Date]])))</f>
        <v>0</v>
      </c>
      <c r="BY224" s="33">
        <f>IF(SnapshotTable[[#This Row],[SP Is Booked]], SnapshotTable[[#This Row],[SP Qty]] * SnapshotTable[[#This Row],[SP Book Price]] * 100, 0)</f>
        <v>0</v>
      </c>
      <c r="BZ224" s="369"/>
      <c r="CA224" s="368">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3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44"/>
      <c r="CK224" s="31">
        <f>IF(ISNUMBER(SnapshotTable[[#This Row],[SP Potential Spend]]),IF(ISNUMBER(SnapshotTable[[#This Row],[SP POW]]), SnapshotTable[[#This Row],[SP POW]] * SnapshotTable[[#This Row],[SP Potential Spend]], SnapshotTable[[#This Row],[SP Potential Spend]]), "")</f>
        <v>0</v>
      </c>
      <c r="CL224" s="164">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154"/>
      <c r="CO224" s="369"/>
      <c r="CP224" s="4" t="str">
        <f>IF(SnapshotTable[[#This Row],[SP Is Filled]], btc_max_buyback_amount(SnapshotTable[[#This Row],[SP Fill Date]],SnapshotTable[[#This Row],[SP Exp Date]], SnapshotTable[[#This Row],[SP Book Price]]),"")</f>
        <v/>
      </c>
      <c r="CQ224" s="78"/>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5" t="str">
        <f>IF(SnapshotTable[[#This Row],[SP Is Filled]], btc_next_cutoff_date(SnapshotTable[[#This Row],[SP Fill Date]],SnapshotTable[[#This Row],[SP Exp Date]]),"")</f>
        <v/>
      </c>
      <c r="CT224" s="23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56"/>
      <c r="CV224" s="235"/>
      <c r="CW224" s="378"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294" t="str">
        <f>IF(ISNUMBER((SnapshotTable[[#This Row],[SP Total Value]])), SnapshotTable[[#This Row],[SP Gain Loss]] / SnapshotTable[[#This Row],[SP Premium]], "")</f>
        <v/>
      </c>
      <c r="DI224" s="406"/>
      <c r="DJ224" s="138"/>
      <c r="DK224" s="148"/>
      <c r="DL224" s="147"/>
      <c r="DM224" s="147"/>
      <c r="DO224" s="31">
        <f>IF(SnapshotTable[[#This Row],[LC Symbol Count]]=1, SnapshotTable[[#This Row],[LC Qty]] * SnapshotTable[[#This Row],[LC Book Price]] * 100, 0)</f>
        <v>0</v>
      </c>
      <c r="DP224" s="163" t="str">
        <f>IF(AND(SnapshotTable[[#This Row],[LC Exp Date]]&gt;0, SnapshotTable[[#This Row],[LC Strike Price]]&gt;0,SnapshotTable[[#This Row],[LC Qty]]&gt;0,SnapshotTable[[#This Row],[LC Book Date]]&gt;0,SnapshotTable[[#This Row],[LC Book Price]]&gt;0,SnapshotTable[[#This Row],[LC Fill Date]]=0),"Y","")</f>
        <v/>
      </c>
      <c r="DQ224" s="386" t="str">
        <f>IF(SnapshotTable[[#This Row],[LC Premium]] &gt; 0,SnapshotTable[[#This Row],[LC Exp Date]]-MAX(SnapshotTable[[#This Row],[LC Book Date]], SnapshotTable[[#This Row],[LC Fill Date]]),"")</f>
        <v/>
      </c>
      <c r="DR224" s="386" t="str">
        <f>IF(ISNUMBER(SnapshotTable[[#This Row],[LC Term]]), SnapshotTable[[#This Row],[LC Exp Date]] - MockToday, "")</f>
        <v/>
      </c>
      <c r="DS224" s="23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40" t="str">
        <f>IF(ISNUMBER(SnapshotTable[[#This Row],[LC Actual Gain Loss]]), SnapshotTable[[#This Row],[LC Actual Gain Loss]] / SnapshotTable[[#This Row],[LC Premium]],"")</f>
        <v/>
      </c>
      <c r="DX224" s="284" t="str">
        <f>IF(ISNUMBER(SnapshotTable[[#This Row],[LC Book Price]]),SnapshotTable[[#This Row],[LC Book Price]] * 1.5,"")</f>
        <v/>
      </c>
      <c r="DY224" s="265" t="str">
        <f>IF(SnapshotTable[[#This Row],[LC Premium]]&gt;0, SnapshotTable[[#This Row],[LC Next Target]] * SnapshotTable[[#This Row],[LC Qty]] * 100,"")</f>
        <v/>
      </c>
      <c r="DZ224" s="265" t="str">
        <f>IF(ISNUMBER(SnapshotTable[[#This Row],[LC Target Gross]]), SnapshotTable[[#This Row],[LC Target Gross]] - SnapshotTable[[#This Row],[LC Premium]], "")</f>
        <v/>
      </c>
      <c r="EA224" s="305" t="str">
        <f>IF(ISNUMBER(SnapshotTable[[#This Row],[LC Target Gain Loss]]), SnapshotTable[[#This Row],[LC Target Gain Loss]]/SnapshotTable[[#This Row],[LC Premium]], "")</f>
        <v/>
      </c>
      <c r="EB224" s="262"/>
      <c r="EC224" s="283" t="str">
        <f>IF(SnapshotTable[[#This Row],[LC Premium]]&gt;0, SnapshotTable[[#This Row],[LC Book Price]] * (1 - LC_StopLoss_Pct),"")</f>
        <v/>
      </c>
      <c r="ED224" s="284"/>
      <c r="EE224" s="28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4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7"/>
      <c r="EL224" s="138"/>
      <c r="EM224" s="148"/>
      <c r="EN224" s="147"/>
      <c r="EO224" s="147"/>
      <c r="EP224" s="138"/>
      <c r="EQ224" s="419" t="b">
        <f>AND(ISNUMBER(SnapshotTable[[#This Row],[SC Exp Date]]), ISNUMBER(SnapshotTable[[#This Row],[SC Strike Price]]), ISNUMBER(SnapshotTable[[#This Row],[SC Qty]]), ISNUMBER(SnapshotTable[[#This Row],[SC Book Date]]), ISNUMBER(SnapshotTable[[#This Row],[SC Book Price]]))</f>
        <v>0</v>
      </c>
      <c r="ER224" s="419" t="b">
        <f>AND(SnapshotTable[[#This Row],[SC Is Booked]], NOT(ISBLANK(SnapshotTable[[#This Row],[SC Fill Date]])))</f>
        <v>0</v>
      </c>
      <c r="ES224" s="370"/>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3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283"/>
      <c r="FA224" s="218"/>
      <c r="FB224" s="370"/>
      <c r="FC224" s="4">
        <f>IF(SnapshotTable[[#This Row],[SC Is Filled]], btc_max_buyback_amount(SnapshotTable[[#This Row],[SC Fill Date]],SnapshotTable[[#This Row],[SC Exp Date]], SnapshotTable[[#This Row],[SC Book Price]]),0)</f>
        <v>0</v>
      </c>
      <c r="FD224" s="5"/>
      <c r="FE224" s="144"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382">
        <f>IF(SnapshotTable[[#This Row],[SC Is Filled]], IF(ISNUMBER(SnapshotTable[[#This Row],[SC Current Ask]]), SnapshotTable[[#This Row],[SC Current Ask]], SnapshotTable[[#This Row],[SC Book Price]]) - SnapshotTable[[#This Row],[SC Intrinsic Value]], 0)</f>
        <v>0</v>
      </c>
      <c r="FI224" s="143"/>
      <c r="FJ224" s="32" t="str">
        <f>IF(SnapshotTable[[#This Row],[SC Is Filled]],100 * SnapshotTable[[#This Row],[SC Qty]] * IF(ISNUMBER(SnapshotTable[[#This Row],[SC Buyback Override]]), SnapshotTable[[#This Row],[SC Buyback Override]], SnapshotTable[[#This Row],[SC Current Ask]]), "")</f>
        <v/>
      </c>
      <c r="FK224" s="250" t="str">
        <f>IF(SnapshotTable[[#This Row],[SC Time Val]]&gt;0, SnapshotTable[[#This Row],[SC Time Val]] / SnapshotTable[[#This Row],[Last Price]],"")</f>
        <v/>
      </c>
      <c r="FL224" s="302" t="str">
        <f>IF(SnapshotTable[[#This Row],[SC Is Booked]], ((SnapshotTable[[#This Row],[Last Price]] -SnapshotTable[[#This Row],[SC Strike Price]]) / SnapshotTable[[#This Row],[Last Price]]) * -1, "")</f>
        <v/>
      </c>
      <c r="FM224" s="157" t="str">
        <f>IF(SnapshotTable[[#This Row],[SC Is Booked]],  (SnapshotTable[[#This Row],[SC Qty]] * 100 * SnapshotTable[[#This Row],[SC Strike Price]]) - SnapshotTable[[#This Row],[SC Current Ask]], "")</f>
        <v/>
      </c>
      <c r="FN22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157"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33"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36" t="str">
        <f>IF(AND(ISNUMBER(SnapshotTable[[#This Row],[SC Simple ROO]]),SnapshotTable[[#This Row],[SC Simple ROO]] &gt; 0), SnapshotTable[[#This Row],[SC Premium]] + (SnapshotTable[[#This Row],[SC Qty]] * SnapshotTable[[#This Row],[SC Upside Potential]]), "")</f>
        <v/>
      </c>
      <c r="FX224" s="302" t="str" cm="1">
        <f t="array" ref="FX224">IF(ISNUMBER(SnapshotTable[[#This Row],[SC Max Dollars]]), annualize(SnapshotTable[[#This Row],[SC Term]],(SnapshotTable[[#This Row],[SC Max Dollars]]/SnapshotTable[[#This Row],[SC Basis]])),"")</f>
        <v/>
      </c>
      <c r="FY224" s="23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294" t="str">
        <f>IFERROR( IF(ISNUMBER((SnapshotTable[[#This Row],[SC Current Value]])), SnapshotTable[[#This Row],[SC Gain Loss]] / SnapshotTable[[#This Row],[SC Premium]], ""), "")</f>
        <v/>
      </c>
      <c r="GB224" s="191">
        <f>SnapshotTable[[#This Row],[Equity Shares]] * SaleSharesToConsiderPercentage</f>
        <v>0</v>
      </c>
      <c r="GC224" s="192">
        <f>SnapshotTable[[#This Row],[Long Term Target]] * SellingPriceToConsiderBasedOnTargetPercentage</f>
        <v>22.049499999999998</v>
      </c>
      <c r="GD224" s="192">
        <f>SnapshotTable[[#This Row],[Last Price]] * (1+ SellingPriceToConsiderBasedOnTargetPercentage)</f>
        <v>93.385499999999993</v>
      </c>
      <c r="GE224" s="193"/>
      <c r="GF224" s="192"/>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158" t="str">
        <f>IF(SnapshotTable[[#This Row],[Sale G/L]]&gt;0, SnapshotTable[[#This Row],[Sale G/L]] / SnapshotTable[[#This Row],[Sale Basis]], IF(ISNUMBER(SnapshotTable[[#This Row],[SC Exercise P&amp;L (TAX)]]), SnapshotTable[[#This Row],[SC Exercise P&amp;L (TAX)]] / SnapshotTable[[#This Row],[SC Basis]], ""))</f>
        <v/>
      </c>
      <c r="GK224" s="158" t="s">
        <v>1018</v>
      </c>
      <c r="GL224" s="159"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159" t="str">
        <f>IF(AND(SnapshotTable[[#This Row],[LC Exp Date]]&gt;0,SnapshotTable[[#This Row],[LC Strike Price]]&gt;0), [1]!ToOptionSymbol(SnapshotTable[[#This Row],[Symbol]], SnapshotTable[[#This Row],[LC Strike Price]],SnapshotTable[[#This Row],[LC Exp Date]],0), "")</f>
        <v/>
      </c>
      <c r="GQ224" s="160" t="str">
        <f>IF(LEN(SnapshotTable[[#This Row],[LC Symbol]])&gt;0, 1, "")</f>
        <v/>
      </c>
      <c r="GR224" s="159" t="str">
        <f>IF(AND(SnapshotTable[[#This Row],[SC Exp Date]]&gt;0,SnapshotTable[[#This Row],[SC Strike Price]]&gt;0), [1]!ToOptionSymbol(SnapshotTable[[#This Row],[Symbol]], SnapshotTable[[#This Row],[SC Strike Price]],SnapshotTable[[#This Row],[SC Exp Date]],0), "")</f>
        <v/>
      </c>
      <c r="GS224" s="160" t="str">
        <f>IF(LEN(SnapshotTable[[#This Row],[SC Symbol]])&gt;0, 1, "")</f>
        <v/>
      </c>
      <c r="GT224" s="161"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31">
        <f>MAX(SnapshotTable[[#This Row],[Equity Basis Total]],SnapshotTable[[#This Row],[Equity Value]]) + (SnapshotTable[[#This Row],[SP Potential Spend]]- SnapshotTable[[#This Row],[SP Premium]] + SnapshotTable[[#This Row],[LP Premium]])+ (SnapshotTable[[#This Row],[LC Premium]] - SnapshotTable[[#This Row],[SC Premium]])</f>
        <v>0</v>
      </c>
      <c r="GW224" s="139" t="str">
        <f>IF(AND(SnapshotTable[[#This Row],[Exposure]] &lt;&gt; 0),SnapshotTable[[#This Row],[Exposure]] / SnapshotTable[[#Totals],[Exposure]], "")</f>
        <v/>
      </c>
      <c r="GX224" s="5"/>
      <c r="HE224" s="268"/>
      <c r="HF224" s="268"/>
      <c r="HK224" s="1"/>
      <c r="HL224" s="1"/>
      <c r="HM224" s="1"/>
      <c r="HN224" s="1"/>
      <c r="HO224" s="1"/>
      <c r="HP224" s="1"/>
    </row>
    <row r="225" spans="2:224" ht="12.75" hidden="1" customHeight="1" x14ac:dyDescent="0.25">
      <c r="B225" s="12" t="s">
        <v>1009</v>
      </c>
      <c r="C225" s="422">
        <v>26.44</v>
      </c>
      <c r="D225" s="208"/>
      <c r="E225" s="39">
        <f>SnapshotTable[[#This Row],[Last Price]]*(1 -CrashDiscount)</f>
        <v>22.474</v>
      </c>
      <c r="F225" s="26"/>
      <c r="G225" s="26"/>
      <c r="H225" s="149"/>
      <c r="I225" s="194">
        <v>44770.267361111109</v>
      </c>
      <c r="J225" s="195">
        <v>44770.267361111109</v>
      </c>
      <c r="K225" s="196"/>
      <c r="L225" s="326"/>
      <c r="M225" s="140"/>
      <c r="N225" s="140"/>
      <c r="O225" s="140"/>
      <c r="P225" s="22"/>
      <c r="Q225" s="25"/>
      <c r="R225" s="4" t="str">
        <f>IF(SnapshotTable[[#This Row],[Equity Basis Total]] &gt; 0, SnapshotTable[[#This Row],[Equity Basis Total]] / SnapshotTable[[#This Row],[Equity Shares]], "")</f>
        <v/>
      </c>
      <c r="S225" s="269">
        <f>SnapshotTable[[#This Row],[Last Price]] * SnapshotTable[[#This Row],[Equity Shares]]</f>
        <v>0</v>
      </c>
      <c r="T225" s="269">
        <f>SnapshotTable[[#This Row],[Equity Value]] - SnapshotTable[[#This Row],[Equity Basis Total]]</f>
        <v>0</v>
      </c>
      <c r="U225" s="270" t="str">
        <f>IF(SnapshotTable[[#This Row],[Equity Basis Total]] &gt; 0, SnapshotTable[[#This Row],[Equity G/L]] / SnapshotTable[[#This Row],[Equity Basis Total]], "")</f>
        <v/>
      </c>
      <c r="V225" s="268"/>
      <c r="W225" s="26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7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0"/>
      <c r="AD225" s="151"/>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1"/>
      <c r="AI225" s="5"/>
      <c r="AJ225" s="138"/>
      <c r="AK225" s="152" t="str">
        <f>IF(ISNUMBER( SnapshotTable[[#This Row],[EBF Target]]),(SnapshotTable[[#This Row],[EBF Target]] - SnapshotTable[[#This Row],[Last Price]]) / SnapshotTable[[#This Row],[Last Price]], "")</f>
        <v/>
      </c>
      <c r="AL225" s="152"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2" t="str">
        <f>IF(AND(ISNUMBER( SnapshotTable[[#This Row],[Long Term Target]]), ISNUMBER(SnapshotTable[[#This Row],[Last Price]])),(SnapshotTable[[#This Row],[Long Term Target]] - SnapshotTable[[#This Row],[Last Price]]) / SnapshotTable[[#This Row],[Last Price]], "")</f>
        <v/>
      </c>
      <c r="AP225" s="5">
        <v>52.5</v>
      </c>
      <c r="AQ225" s="38" t="s">
        <v>110</v>
      </c>
      <c r="AR225" s="5">
        <v>52.5</v>
      </c>
      <c r="AS225" s="38" t="s">
        <v>45</v>
      </c>
      <c r="AT225" s="146" t="s">
        <v>532</v>
      </c>
      <c r="AU225" s="187" t="str">
        <f>IF(OR(SnapshotTable[[#This Row],[LP No Fill]]="Y",SnapshotTable[[#This Row],[SP Is Filled]],SnapshotTable[[#This Row],[LC Not Filled]]="Y",SnapshotTable[[#This Row],[SC Is Filled]]),"Y","")</f>
        <v/>
      </c>
      <c r="AV225" s="219"/>
      <c r="AW225" s="225"/>
      <c r="AX225" s="220"/>
      <c r="AY225" s="219" t="str">
        <f>IF(SnapshotTable[[#This Row],[Implied Move]]&gt;0, SnapshotTable[[#This Row],[Last Price]]-SnapshotTable[[#This Row],[Implied Move]],"")</f>
        <v/>
      </c>
      <c r="AZ225" s="219" t="str">
        <f>IF(SnapshotTable[[#This Row],[Implied Move]]&gt;0, SnapshotTable[[#This Row],[Last Price]] + SnapshotTable[[#This Row],[Implied Move]],"")</f>
        <v/>
      </c>
      <c r="BA225" s="331">
        <v>1.48</v>
      </c>
      <c r="BB225" s="347"/>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51"/>
      <c r="BE225" s="5"/>
      <c r="BF225" s="14"/>
      <c r="BG225" s="13"/>
      <c r="BH225" s="13"/>
      <c r="BI225" s="5"/>
      <c r="BJ225" s="136">
        <f>IF(SnapshotTable[[#This Row],[LP Qty]] &gt; 0, SnapshotTable[[#This Row],[LP Qty]] * SnapshotTable[[#This Row],[LP Book Price]] * 100,0)</f>
        <v>0</v>
      </c>
      <c r="BK225" s="136">
        <f>IF(SnapshotTable[[#This Row],[LP Premium]] &gt; 0, SnapshotTable[[#This Row],[LP Qty]] * SnapshotTable[[#This Row],[LP Strike Price]] * 100,0)</f>
        <v>0</v>
      </c>
      <c r="BL225" s="154"/>
      <c r="BM225" s="385" t="str">
        <f>IF(SnapshotTable[[#This Row],[LP Premium]] &gt; 0,SnapshotTable[[#This Row],[LP Exp Date]]-MAX(SnapshotTable[[#This Row],[LP Book Date]], SnapshotTable[[#This Row],[LP Fill Date]]),"")</f>
        <v/>
      </c>
      <c r="BN225" s="385" t="str">
        <f>IF(ISNUMBER( SnapshotTable[[#This Row],[LP Term]]), SnapshotTable[[#This Row],[LP Exp Date]] - MockToday,"")</f>
        <v/>
      </c>
      <c r="BO225" s="163"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7"/>
      <c r="BU225" s="13"/>
      <c r="BV225" s="5"/>
      <c r="BW225" s="419" t="b">
        <f>AND(ISNUMBER(SnapshotTable[[#This Row],[SP Exp Date]]), ISNUMBER(SnapshotTable[[#This Row],[SP Strike Price]]), ISNUMBER(SnapshotTable[[#This Row],[SP Qty]]), ISNUMBER(SnapshotTable[[#This Row],[SP Book Date]]), ISNUMBER(SnapshotTable[[#This Row],[SP Book Price]]))</f>
        <v>0</v>
      </c>
      <c r="BX225" s="419" t="b">
        <f>AND(SnapshotTable[[#This Row],[SP Is Booked]], NOT(ISBLANK(SnapshotTable[[#This Row],[SP Fill Date]])))</f>
        <v>0</v>
      </c>
      <c r="BY225" s="33">
        <f>IF(SnapshotTable[[#This Row],[SP Is Booked]], SnapshotTable[[#This Row],[SP Qty]] * SnapshotTable[[#This Row],[SP Book Price]] * 100, 0)</f>
        <v>0</v>
      </c>
      <c r="BZ225" s="369"/>
      <c r="CA225" s="368">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3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44"/>
      <c r="CK225" s="31">
        <f>IF(ISNUMBER(SnapshotTable[[#This Row],[SP Potential Spend]]),IF(ISNUMBER(SnapshotTable[[#This Row],[SP POW]]), SnapshotTable[[#This Row],[SP POW]] * SnapshotTable[[#This Row],[SP Potential Spend]], SnapshotTable[[#This Row],[SP Potential Spend]]), "")</f>
        <v>0</v>
      </c>
      <c r="CL225" s="164">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218"/>
      <c r="CO225" s="369"/>
      <c r="CP225" s="4" t="str">
        <f>IF(SnapshotTable[[#This Row],[SP Is Filled]], btc_max_buyback_amount(SnapshotTable[[#This Row],[SP Fill Date]],SnapshotTable[[#This Row],[SP Exp Date]], SnapshotTable[[#This Row],[SP Book Price]]),"")</f>
        <v/>
      </c>
      <c r="CQ225" s="78"/>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5" t="str">
        <f>IF(SnapshotTable[[#This Row],[SP Is Filled]], btc_next_cutoff_date(SnapshotTable[[#This Row],[SP Fill Date]],SnapshotTable[[#This Row],[SP Exp Date]]),"")</f>
        <v/>
      </c>
      <c r="CT225" s="23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43"/>
      <c r="CV225" s="235"/>
      <c r="CW225" s="378"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294" t="str">
        <f>IF(ISNUMBER((SnapshotTable[[#This Row],[SP Total Value]])), SnapshotTable[[#This Row],[SP Gain Loss]] / SnapshotTable[[#This Row],[SP Premium]], "")</f>
        <v/>
      </c>
      <c r="DI225" s="406"/>
      <c r="DJ225" s="138"/>
      <c r="DK225" s="148"/>
      <c r="DL225" s="13"/>
      <c r="DM225" s="13"/>
      <c r="DO225" s="31">
        <f>IF(SnapshotTable[[#This Row],[LC Symbol Count]]=1, SnapshotTable[[#This Row],[LC Qty]] * SnapshotTable[[#This Row],[LC Book Price]] * 100, 0)</f>
        <v>0</v>
      </c>
      <c r="DP225" s="163" t="str">
        <f>IF(AND(SnapshotTable[[#This Row],[LC Exp Date]]&gt;0, SnapshotTable[[#This Row],[LC Strike Price]]&gt;0,SnapshotTable[[#This Row],[LC Qty]]&gt;0,SnapshotTable[[#This Row],[LC Book Date]]&gt;0,SnapshotTable[[#This Row],[LC Book Price]]&gt;0,SnapshotTable[[#This Row],[LC Fill Date]]=0),"Y","")</f>
        <v/>
      </c>
      <c r="DQ225" s="386" t="str">
        <f>IF(SnapshotTable[[#This Row],[LC Premium]] &gt; 0,SnapshotTable[[#This Row],[LC Exp Date]]-MAX(SnapshotTable[[#This Row],[LC Book Date]], SnapshotTable[[#This Row],[LC Fill Date]]),"")</f>
        <v/>
      </c>
      <c r="DR225" s="386" t="str">
        <f>IF(ISNUMBER(SnapshotTable[[#This Row],[LC Term]]), SnapshotTable[[#This Row],[LC Exp Date]] - MockToday, "")</f>
        <v/>
      </c>
      <c r="DS225" s="23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40" t="str">
        <f>IF(ISNUMBER(SnapshotTable[[#This Row],[LC Actual Gain Loss]]), SnapshotTable[[#This Row],[LC Actual Gain Loss]] / SnapshotTable[[#This Row],[LC Premium]],"")</f>
        <v/>
      </c>
      <c r="DX225" s="284" t="str">
        <f>IF(ISNUMBER(SnapshotTable[[#This Row],[LC Book Price]]),SnapshotTable[[#This Row],[LC Book Price]] * 1.5,"")</f>
        <v/>
      </c>
      <c r="DY225" s="265" t="str">
        <f>IF(SnapshotTable[[#This Row],[LC Premium]]&gt;0, SnapshotTable[[#This Row],[LC Next Target]] * SnapshotTable[[#This Row],[LC Qty]] * 100,"")</f>
        <v/>
      </c>
      <c r="DZ225" s="265" t="str">
        <f>IF(ISNUMBER(SnapshotTable[[#This Row],[LC Target Gross]]), SnapshotTable[[#This Row],[LC Target Gross]] - SnapshotTable[[#This Row],[LC Premium]], "")</f>
        <v/>
      </c>
      <c r="EA225" s="305" t="str">
        <f>IF(ISNUMBER(SnapshotTable[[#This Row],[LC Target Gain Loss]]), SnapshotTable[[#This Row],[LC Target Gain Loss]]/SnapshotTable[[#This Row],[LC Premium]], "")</f>
        <v/>
      </c>
      <c r="EB225" s="262"/>
      <c r="EC225" s="283" t="str">
        <f>IF(SnapshotTable[[#This Row],[LC Premium]]&gt;0, SnapshotTable[[#This Row],[LC Book Price]] * (1 - LC_StopLoss_Pct),"")</f>
        <v/>
      </c>
      <c r="ED225" s="284"/>
      <c r="EE225" s="28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4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7"/>
      <c r="EL225" s="138"/>
      <c r="EM225" s="148"/>
      <c r="EN225" s="147"/>
      <c r="EO225" s="147"/>
      <c r="EP225" s="138"/>
      <c r="EQ225" s="419" t="b">
        <f>AND(ISNUMBER(SnapshotTable[[#This Row],[SC Exp Date]]), ISNUMBER(SnapshotTable[[#This Row],[SC Strike Price]]), ISNUMBER(SnapshotTable[[#This Row],[SC Qty]]), ISNUMBER(SnapshotTable[[#This Row],[SC Book Date]]), ISNUMBER(SnapshotTable[[#This Row],[SC Book Price]]))</f>
        <v>0</v>
      </c>
      <c r="ER225" s="419" t="b">
        <f>AND(SnapshotTable[[#This Row],[SC Is Booked]], NOT(ISBLANK(SnapshotTable[[#This Row],[SC Fill Date]])))</f>
        <v>0</v>
      </c>
      <c r="ES225" s="370"/>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3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283"/>
      <c r="FA225" s="218"/>
      <c r="FB225" s="370"/>
      <c r="FC225" s="4">
        <f>IF(SnapshotTable[[#This Row],[SC Is Filled]], btc_max_buyback_amount(SnapshotTable[[#This Row],[SC Fill Date]],SnapshotTable[[#This Row],[SC Exp Date]], SnapshotTable[[#This Row],[SC Book Price]]),0)</f>
        <v>0</v>
      </c>
      <c r="FD225" s="5"/>
      <c r="FE225" s="144"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382">
        <f>IF(SnapshotTable[[#This Row],[SC Is Filled]], IF(ISNUMBER(SnapshotTable[[#This Row],[SC Current Ask]]), SnapshotTable[[#This Row],[SC Current Ask]], SnapshotTable[[#This Row],[SC Book Price]]) - SnapshotTable[[#This Row],[SC Intrinsic Value]], 0)</f>
        <v>0</v>
      </c>
      <c r="FI225" s="143"/>
      <c r="FJ225" s="32" t="str">
        <f>IF(SnapshotTable[[#This Row],[SC Is Filled]],100 * SnapshotTable[[#This Row],[SC Qty]] * IF(ISNUMBER(SnapshotTable[[#This Row],[SC Buyback Override]]), SnapshotTable[[#This Row],[SC Buyback Override]], SnapshotTable[[#This Row],[SC Current Ask]]), "")</f>
        <v/>
      </c>
      <c r="FK225" s="250" t="str">
        <f>IF(SnapshotTable[[#This Row],[SC Time Val]]&gt;0, SnapshotTable[[#This Row],[SC Time Val]] / SnapshotTable[[#This Row],[Last Price]],"")</f>
        <v/>
      </c>
      <c r="FL225" s="302" t="str">
        <f>IF(SnapshotTable[[#This Row],[SC Is Booked]], ((SnapshotTable[[#This Row],[Last Price]] -SnapshotTable[[#This Row],[SC Strike Price]]) / SnapshotTable[[#This Row],[Last Price]]) * -1, "")</f>
        <v/>
      </c>
      <c r="FM225" s="157" t="str">
        <f>IF(SnapshotTable[[#This Row],[SC Is Booked]],  (SnapshotTable[[#This Row],[SC Qty]] * 100 * SnapshotTable[[#This Row],[SC Strike Price]]) - SnapshotTable[[#This Row],[SC Current Ask]], "")</f>
        <v/>
      </c>
      <c r="FN2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31"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33"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36" t="str">
        <f>IF(AND(ISNUMBER(SnapshotTable[[#This Row],[SC Simple ROO]]),SnapshotTable[[#This Row],[SC Simple ROO]] &gt; 0), SnapshotTable[[#This Row],[SC Premium]] + (SnapshotTable[[#This Row],[SC Qty]] * SnapshotTable[[#This Row],[SC Upside Potential]]), "")</f>
        <v/>
      </c>
      <c r="FX225" s="302" t="str" cm="1">
        <f t="array" ref="FX225">IF(ISNUMBER(SnapshotTable[[#This Row],[SC Max Dollars]]), annualize(SnapshotTable[[#This Row],[SC Term]],(SnapshotTable[[#This Row],[SC Max Dollars]]/SnapshotTable[[#This Row],[SC Basis]])),"")</f>
        <v/>
      </c>
      <c r="FY225" s="23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294" t="str">
        <f>IFERROR( IF(ISNUMBER((SnapshotTable[[#This Row],[SC Current Value]])), SnapshotTable[[#This Row],[SC Gain Loss]] / SnapshotTable[[#This Row],[SC Premium]], ""), "")</f>
        <v/>
      </c>
      <c r="GB225" s="42">
        <f>SnapshotTable[[#This Row],[Equity Shares]] * SaleSharesToConsiderPercentage</f>
        <v>0</v>
      </c>
      <c r="GC225" s="40">
        <f>SnapshotTable[[#This Row],[Long Term Target]] * SellingPriceToConsiderBasedOnTargetPercentage</f>
        <v>0</v>
      </c>
      <c r="GD225" s="40">
        <f>SnapshotTable[[#This Row],[Last Price]] * (1+ SellingPriceToConsiderBasedOnTargetPercentage)</f>
        <v>51.558</v>
      </c>
      <c r="GE225" s="41"/>
      <c r="GF225" s="40"/>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27" t="str">
        <f>IF(SnapshotTable[[#This Row],[Sale G/L]]&gt;0, SnapshotTable[[#This Row],[Sale G/L]] / SnapshotTable[[#This Row],[Sale Basis]], IF(ISNUMBER(SnapshotTable[[#This Row],[SC Exercise P&amp;L (TAX)]]), SnapshotTable[[#This Row],[SC Exercise P&amp;L (TAX)]] / SnapshotTable[[#This Row],[SC Basis]], ""))</f>
        <v/>
      </c>
      <c r="GK225" s="27"/>
      <c r="GL225" s="43"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43" t="str">
        <f>IF(AND(SnapshotTable[[#This Row],[LC Exp Date]]&gt;0,SnapshotTable[[#This Row],[LC Strike Price]]&gt;0), [1]!ToOptionSymbol(SnapshotTable[[#This Row],[Symbol]], SnapshotTable[[#This Row],[LC Strike Price]],SnapshotTable[[#This Row],[LC Exp Date]],0), "")</f>
        <v/>
      </c>
      <c r="GQ225" s="30" t="str">
        <f>IF(LEN(SnapshotTable[[#This Row],[LC Symbol]])&gt;0, 1, "")</f>
        <v/>
      </c>
      <c r="GR225" s="43" t="str">
        <f>IF(AND(SnapshotTable[[#This Row],[SC Exp Date]]&gt;0,SnapshotTable[[#This Row],[SC Strike Price]]&gt;0), [1]!ToOptionSymbol(SnapshotTable[[#This Row],[Symbol]], SnapshotTable[[#This Row],[SC Strike Price]],SnapshotTable[[#This Row],[SC Exp Date]],0), "")</f>
        <v/>
      </c>
      <c r="GS225" s="30" t="str">
        <f>IF(LEN(SnapshotTable[[#This Row],[SC Symbol]])&gt;0, 1, "")</f>
        <v/>
      </c>
      <c r="GT225" s="29"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31">
        <f>MAX(SnapshotTable[[#This Row],[Equity Basis Total]],SnapshotTable[[#This Row],[Equity Value]]) + (SnapshotTable[[#This Row],[SP Potential Spend]]- SnapshotTable[[#This Row],[SP Premium]] + SnapshotTable[[#This Row],[LP Premium]])+ (SnapshotTable[[#This Row],[LC Premium]] - SnapshotTable[[#This Row],[SC Premium]])</f>
        <v>0</v>
      </c>
      <c r="GW225" s="139" t="str">
        <f>IF(AND(SnapshotTable[[#This Row],[Exposure]] &lt;&gt; 0),SnapshotTable[[#This Row],[Exposure]] / SnapshotTable[[#Totals],[Exposure]], "")</f>
        <v/>
      </c>
      <c r="GX225" s="5"/>
      <c r="HE225" s="268"/>
      <c r="HF225" s="268"/>
      <c r="HK225" s="1"/>
      <c r="HL225" s="1"/>
      <c r="HM225" s="1"/>
      <c r="HN225" s="1"/>
      <c r="HO225" s="1"/>
      <c r="HP225" s="1"/>
    </row>
    <row r="226" spans="2:224" ht="12.75" hidden="1" customHeight="1" x14ac:dyDescent="0.25">
      <c r="B226" s="12" t="s">
        <v>498</v>
      </c>
      <c r="C226" s="422">
        <v>253.68</v>
      </c>
      <c r="D226" s="208"/>
      <c r="E226" s="39">
        <f>SnapshotTable[[#This Row],[Last Price]]*(1 -CrashDiscount)</f>
        <v>215.62800000000001</v>
      </c>
      <c r="F226" s="26" t="s">
        <v>5</v>
      </c>
      <c r="G226" s="26" t="s">
        <v>4</v>
      </c>
      <c r="H226" s="149"/>
      <c r="I226" s="194">
        <v>44770.267361111109</v>
      </c>
      <c r="J226" s="195">
        <v>44770.267361111109</v>
      </c>
      <c r="K226" s="196"/>
      <c r="L226" s="326"/>
      <c r="M226" s="140"/>
      <c r="N226" s="140"/>
      <c r="O226" s="140"/>
      <c r="P226" s="22"/>
      <c r="Q226" s="25"/>
      <c r="R226" s="4" t="str">
        <f>IF(SnapshotTable[[#This Row],[Equity Basis Total]] &gt; 0, SnapshotTable[[#This Row],[Equity Basis Total]] / SnapshotTable[[#This Row],[Equity Shares]], "")</f>
        <v/>
      </c>
      <c r="S226" s="269">
        <f>SnapshotTable[[#This Row],[Last Price]] * SnapshotTable[[#This Row],[Equity Shares]]</f>
        <v>0</v>
      </c>
      <c r="T226" s="269">
        <f>SnapshotTable[[#This Row],[Equity Value]] - SnapshotTable[[#This Row],[Equity Basis Total]]</f>
        <v>0</v>
      </c>
      <c r="U226" s="270" t="str">
        <f>IF(SnapshotTable[[#This Row],[Equity Basis Total]] &gt; 0, SnapshotTable[[#This Row],[Equity G/L]] / SnapshotTable[[#This Row],[Equity Basis Total]], "")</f>
        <v/>
      </c>
      <c r="V226" s="268"/>
      <c r="W226" s="268"/>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7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0"/>
      <c r="AD226" s="151"/>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1"/>
      <c r="AI226" s="5"/>
      <c r="AJ226" s="138" t="s">
        <v>164</v>
      </c>
      <c r="AK226" s="152" t="str">
        <f>IF(ISNUMBER( SnapshotTable[[#This Row],[EBF Target]]),(SnapshotTable[[#This Row],[EBF Target]] - SnapshotTable[[#This Row],[Last Price]]) / SnapshotTable[[#This Row],[Last Price]], "")</f>
        <v/>
      </c>
      <c r="AL226" s="152"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2" t="str">
        <f>IF(AND(ISNUMBER( SnapshotTable[[#This Row],[Long Term Target]]), ISNUMBER(SnapshotTable[[#This Row],[Last Price]])),(SnapshotTable[[#This Row],[Long Term Target]] - SnapshotTable[[#This Row],[Last Price]]) / SnapshotTable[[#This Row],[Last Price]], "")</f>
        <v/>
      </c>
      <c r="AP226" s="5"/>
      <c r="AQ226" s="38"/>
      <c r="AR226" s="5"/>
      <c r="AS226" s="38"/>
      <c r="AT226" s="146"/>
      <c r="AU226" s="187" t="str">
        <f>IF(OR(SnapshotTable[[#This Row],[LP No Fill]]="Y",SnapshotTable[[#This Row],[SP Is Filled]],SnapshotTable[[#This Row],[LC Not Filled]]="Y",SnapshotTable[[#This Row],[SC Is Filled]]),"Y","")</f>
        <v/>
      </c>
      <c r="AV226" s="219"/>
      <c r="AW226" s="225"/>
      <c r="AX226" s="220"/>
      <c r="AY226" s="219" t="str">
        <f>IF(SnapshotTable[[#This Row],[Implied Move]]&gt;0, SnapshotTable[[#This Row],[Last Price]]-SnapshotTable[[#This Row],[Implied Move]],"")</f>
        <v/>
      </c>
      <c r="AZ226" s="219" t="str">
        <f>IF(SnapshotTable[[#This Row],[Implied Move]]&gt;0, SnapshotTable[[#This Row],[Last Price]] + SnapshotTable[[#This Row],[Implied Move]],"")</f>
        <v/>
      </c>
      <c r="BA226" s="331"/>
      <c r="BB226" s="347"/>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51"/>
      <c r="BE226" s="5"/>
      <c r="BF226" s="14"/>
      <c r="BG226" s="13"/>
      <c r="BH226" s="13"/>
      <c r="BI226" s="5"/>
      <c r="BJ226" s="136">
        <f>IF(SnapshotTable[[#This Row],[LP Qty]] &gt; 0, SnapshotTable[[#This Row],[LP Qty]] * SnapshotTable[[#This Row],[LP Book Price]] * 100,0)</f>
        <v>0</v>
      </c>
      <c r="BK226" s="136">
        <f>IF(SnapshotTable[[#This Row],[LP Premium]] &gt; 0, SnapshotTable[[#This Row],[LP Qty]] * SnapshotTable[[#This Row],[LP Strike Price]] * 100,0)</f>
        <v>0</v>
      </c>
      <c r="BL226" s="154"/>
      <c r="BM226" s="385" t="str">
        <f>IF(SnapshotTable[[#This Row],[LP Premium]] &gt; 0,SnapshotTable[[#This Row],[LP Exp Date]]-MAX(SnapshotTable[[#This Row],[LP Book Date]], SnapshotTable[[#This Row],[LP Fill Date]]),"")</f>
        <v/>
      </c>
      <c r="BN226" s="385" t="str">
        <f>IF(ISNUMBER( SnapshotTable[[#This Row],[LP Term]]), SnapshotTable[[#This Row],[LP Exp Date]] - MockToday,"")</f>
        <v/>
      </c>
      <c r="BO226" s="163"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7"/>
      <c r="BU226" s="13"/>
      <c r="BV226" s="5"/>
      <c r="BW226" s="419" t="b">
        <f>AND(ISNUMBER(SnapshotTable[[#This Row],[SP Exp Date]]), ISNUMBER(SnapshotTable[[#This Row],[SP Strike Price]]), ISNUMBER(SnapshotTable[[#This Row],[SP Qty]]), ISNUMBER(SnapshotTable[[#This Row],[SP Book Date]]), ISNUMBER(SnapshotTable[[#This Row],[SP Book Price]]))</f>
        <v>0</v>
      </c>
      <c r="BX226" s="419" t="b">
        <f>AND(SnapshotTable[[#This Row],[SP Is Booked]], NOT(ISBLANK(SnapshotTable[[#This Row],[SP Fill Date]])))</f>
        <v>0</v>
      </c>
      <c r="BY226" s="33">
        <f>IF(SnapshotTable[[#This Row],[SP Is Booked]], SnapshotTable[[#This Row],[SP Qty]] * SnapshotTable[[#This Row],[SP Book Price]] * 100, 0)</f>
        <v>0</v>
      </c>
      <c r="BZ226" s="369"/>
      <c r="CA226" s="368">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3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44"/>
      <c r="CK226" s="31">
        <f>IF(ISNUMBER(SnapshotTable[[#This Row],[SP Potential Spend]]),IF(ISNUMBER(SnapshotTable[[#This Row],[SP POW]]), SnapshotTable[[#This Row],[SP POW]] * SnapshotTable[[#This Row],[SP Potential Spend]], SnapshotTable[[#This Row],[SP Potential Spend]]), "")</f>
        <v>0</v>
      </c>
      <c r="CL226" s="164">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78"/>
      <c r="CO226" s="369"/>
      <c r="CP226" s="4" t="str">
        <f>IF(SnapshotTable[[#This Row],[SP Is Filled]], btc_max_buyback_amount(SnapshotTable[[#This Row],[SP Fill Date]],SnapshotTable[[#This Row],[SP Exp Date]], SnapshotTable[[#This Row],[SP Book Price]]),"")</f>
        <v/>
      </c>
      <c r="CQ226" s="78"/>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5" t="str">
        <f>IF(SnapshotTable[[#This Row],[SP Is Filled]], btc_next_cutoff_date(SnapshotTable[[#This Row],[SP Fill Date]],SnapshotTable[[#This Row],[SP Exp Date]]),"")</f>
        <v/>
      </c>
      <c r="CT226" s="23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43"/>
      <c r="CV226" s="235"/>
      <c r="CW226" s="378"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294" t="str">
        <f>IF(ISNUMBER((SnapshotTable[[#This Row],[SP Total Value]])), SnapshotTable[[#This Row],[SP Gain Loss]] / SnapshotTable[[#This Row],[SP Premium]], "")</f>
        <v/>
      </c>
      <c r="DI226" s="406"/>
      <c r="DJ226" s="138"/>
      <c r="DK226" s="148"/>
      <c r="DL226" s="13"/>
      <c r="DM226" s="13"/>
      <c r="DO226" s="31">
        <f>IF(SnapshotTable[[#This Row],[LC Symbol Count]]=1, SnapshotTable[[#This Row],[LC Qty]] * SnapshotTable[[#This Row],[LC Book Price]] * 100, 0)</f>
        <v>0</v>
      </c>
      <c r="DP226" s="163" t="str">
        <f>IF(AND(SnapshotTable[[#This Row],[LC Exp Date]]&gt;0, SnapshotTable[[#This Row],[LC Strike Price]]&gt;0,SnapshotTable[[#This Row],[LC Qty]]&gt;0,SnapshotTable[[#This Row],[LC Book Date]]&gt;0,SnapshotTable[[#This Row],[LC Book Price]]&gt;0,SnapshotTable[[#This Row],[LC Fill Date]]=0),"Y","")</f>
        <v/>
      </c>
      <c r="DQ226" s="386" t="str">
        <f>IF(SnapshotTable[[#This Row],[LC Premium]] &gt; 0,SnapshotTable[[#This Row],[LC Exp Date]]-MAX(SnapshotTable[[#This Row],[LC Book Date]], SnapshotTable[[#This Row],[LC Fill Date]]),"")</f>
        <v/>
      </c>
      <c r="DR226" s="386" t="str">
        <f>IF(ISNUMBER(SnapshotTable[[#This Row],[LC Term]]), SnapshotTable[[#This Row],[LC Exp Date]] - MockToday, "")</f>
        <v/>
      </c>
      <c r="DS226" s="23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40" t="str">
        <f>IF(ISNUMBER(SnapshotTable[[#This Row],[LC Actual Gain Loss]]), SnapshotTable[[#This Row],[LC Actual Gain Loss]] / SnapshotTable[[#This Row],[LC Premium]],"")</f>
        <v/>
      </c>
      <c r="DX226" s="284" t="str">
        <f>IF(ISNUMBER(SnapshotTable[[#This Row],[LC Book Price]]),SnapshotTable[[#This Row],[LC Book Price]] * 1.5,"")</f>
        <v/>
      </c>
      <c r="DY226" s="265" t="str">
        <f>IF(SnapshotTable[[#This Row],[LC Premium]]&gt;0, SnapshotTable[[#This Row],[LC Next Target]] * SnapshotTable[[#This Row],[LC Qty]] * 100,"")</f>
        <v/>
      </c>
      <c r="DZ226" s="265" t="str">
        <f>IF(ISNUMBER(SnapshotTable[[#This Row],[LC Target Gross]]), SnapshotTable[[#This Row],[LC Target Gross]] - SnapshotTable[[#This Row],[LC Premium]], "")</f>
        <v/>
      </c>
      <c r="EA226" s="305" t="str">
        <f>IF(ISNUMBER(SnapshotTable[[#This Row],[LC Target Gain Loss]]), SnapshotTable[[#This Row],[LC Target Gain Loss]]/SnapshotTable[[#This Row],[LC Premium]], "")</f>
        <v/>
      </c>
      <c r="EB226" s="262"/>
      <c r="EC226" s="283" t="str">
        <f>IF(SnapshotTable[[#This Row],[LC Premium]]&gt;0, SnapshotTable[[#This Row],[LC Book Price]] * (1 - LC_StopLoss_Pct),"")</f>
        <v/>
      </c>
      <c r="ED226" s="284"/>
      <c r="EE226" s="28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4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7"/>
      <c r="EL226" s="138"/>
      <c r="EM226" s="148"/>
      <c r="EN226" s="147"/>
      <c r="EO226" s="147"/>
      <c r="EP226" s="138"/>
      <c r="EQ226" s="419" t="b">
        <f>AND(ISNUMBER(SnapshotTable[[#This Row],[SC Exp Date]]), ISNUMBER(SnapshotTable[[#This Row],[SC Strike Price]]), ISNUMBER(SnapshotTable[[#This Row],[SC Qty]]), ISNUMBER(SnapshotTable[[#This Row],[SC Book Date]]), ISNUMBER(SnapshotTable[[#This Row],[SC Book Price]]))</f>
        <v>0</v>
      </c>
      <c r="ER226" s="419" t="b">
        <f>AND(SnapshotTable[[#This Row],[SC Is Booked]], NOT(ISBLANK(SnapshotTable[[#This Row],[SC Fill Date]])))</f>
        <v>0</v>
      </c>
      <c r="ES226" s="370"/>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3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283"/>
      <c r="FA226" s="218"/>
      <c r="FB226" s="370"/>
      <c r="FC226" s="4">
        <f>IF(SnapshotTable[[#This Row],[SC Is Filled]], btc_max_buyback_amount(SnapshotTable[[#This Row],[SC Fill Date]],SnapshotTable[[#This Row],[SC Exp Date]], SnapshotTable[[#This Row],[SC Book Price]]),0)</f>
        <v>0</v>
      </c>
      <c r="FD226" s="5"/>
      <c r="FE226" s="144"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382">
        <f>IF(SnapshotTable[[#This Row],[SC Is Filled]], IF(ISNUMBER(SnapshotTable[[#This Row],[SC Current Ask]]), SnapshotTable[[#This Row],[SC Current Ask]], SnapshotTable[[#This Row],[SC Book Price]]) - SnapshotTable[[#This Row],[SC Intrinsic Value]], 0)</f>
        <v>0</v>
      </c>
      <c r="FI226" s="143"/>
      <c r="FJ226" s="32" t="str">
        <f>IF(SnapshotTable[[#This Row],[SC Is Filled]],100 * SnapshotTable[[#This Row],[SC Qty]] * IF(ISNUMBER(SnapshotTable[[#This Row],[SC Buyback Override]]), SnapshotTable[[#This Row],[SC Buyback Override]], SnapshotTable[[#This Row],[SC Current Ask]]), "")</f>
        <v/>
      </c>
      <c r="FK226" s="250" t="str">
        <f>IF(SnapshotTable[[#This Row],[SC Time Val]]&gt;0, SnapshotTable[[#This Row],[SC Time Val]] / SnapshotTable[[#This Row],[Last Price]],"")</f>
        <v/>
      </c>
      <c r="FL226" s="302" t="str">
        <f>IF(SnapshotTable[[#This Row],[SC Is Booked]], ((SnapshotTable[[#This Row],[Last Price]] -SnapshotTable[[#This Row],[SC Strike Price]]) / SnapshotTable[[#This Row],[Last Price]]) * -1, "")</f>
        <v/>
      </c>
      <c r="FM226" s="157" t="str">
        <f>IF(SnapshotTable[[#This Row],[SC Is Booked]],  (SnapshotTable[[#This Row],[SC Qty]] * 100 * SnapshotTable[[#This Row],[SC Strike Price]]) - SnapshotTable[[#This Row],[SC Current Ask]], "")</f>
        <v/>
      </c>
      <c r="FN2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31"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33"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36" t="str">
        <f>IF(AND(ISNUMBER(SnapshotTable[[#This Row],[SC Simple ROO]]),SnapshotTable[[#This Row],[SC Simple ROO]] &gt; 0), SnapshotTable[[#This Row],[SC Premium]] + (SnapshotTable[[#This Row],[SC Qty]] * SnapshotTable[[#This Row],[SC Upside Potential]]), "")</f>
        <v/>
      </c>
      <c r="FX226" s="302" t="str" cm="1">
        <f t="array" ref="FX226">IF(ISNUMBER(SnapshotTable[[#This Row],[SC Max Dollars]]), annualize(SnapshotTable[[#This Row],[SC Term]],(SnapshotTable[[#This Row],[SC Max Dollars]]/SnapshotTable[[#This Row],[SC Basis]])),"")</f>
        <v/>
      </c>
      <c r="FY226" s="23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294" t="str">
        <f>IFERROR( IF(ISNUMBER((SnapshotTable[[#This Row],[SC Current Value]])), SnapshotTable[[#This Row],[SC Gain Loss]] / SnapshotTable[[#This Row],[SC Premium]], ""), "")</f>
        <v/>
      </c>
      <c r="GB226" s="42">
        <f>SnapshotTable[[#This Row],[Equity Shares]] * SaleSharesToConsiderPercentage</f>
        <v>0</v>
      </c>
      <c r="GC226" s="40" t="e">
        <f>SnapshotTable[[#This Row],[Long Term Target]] * SellingPriceToConsiderBasedOnTargetPercentage</f>
        <v>#VALUE!</v>
      </c>
      <c r="GD226" s="40">
        <f>SnapshotTable[[#This Row],[Last Price]] * (1+ SellingPriceToConsiderBasedOnTargetPercentage)</f>
        <v>494.67599999999999</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27" t="str">
        <f>IF(SnapshotTable[[#This Row],[Sale G/L]]&gt;0, SnapshotTable[[#This Row],[Sale G/L]] / SnapshotTable[[#This Row],[Sale Basis]], IF(ISNUMBER(SnapshotTable[[#This Row],[SC Exercise P&amp;L (TAX)]]), SnapshotTable[[#This Row],[SC Exercise P&amp;L (TAX)]] / SnapshotTable[[#This Row],[SC Basis]], ""))</f>
        <v/>
      </c>
      <c r="GK226" s="27" t="s">
        <v>736</v>
      </c>
      <c r="GL226" s="43"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43" t="str">
        <f>IF(AND(SnapshotTable[[#This Row],[LC Exp Date]]&gt;0,SnapshotTable[[#This Row],[LC Strike Price]]&gt;0), [1]!ToOptionSymbol(SnapshotTable[[#This Row],[Symbol]], SnapshotTable[[#This Row],[LC Strike Price]],SnapshotTable[[#This Row],[LC Exp Date]],0), "")</f>
        <v/>
      </c>
      <c r="GQ226" s="30" t="str">
        <f>IF(LEN(SnapshotTable[[#This Row],[LC Symbol]])&gt;0, 1, "")</f>
        <v/>
      </c>
      <c r="GR226" s="43" t="str">
        <f>IF(AND(SnapshotTable[[#This Row],[SC Exp Date]]&gt;0,SnapshotTable[[#This Row],[SC Strike Price]]&gt;0), [1]!ToOptionSymbol(SnapshotTable[[#This Row],[Symbol]], SnapshotTable[[#This Row],[SC Strike Price]],SnapshotTable[[#This Row],[SC Exp Date]],0), "")</f>
        <v/>
      </c>
      <c r="GS226" s="30" t="str">
        <f>IF(LEN(SnapshotTable[[#This Row],[SC Symbol]])&gt;0, 1, "")</f>
        <v/>
      </c>
      <c r="GT226" s="29"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31">
        <f>MAX(SnapshotTable[[#This Row],[Equity Basis Total]],SnapshotTable[[#This Row],[Equity Value]]) + (SnapshotTable[[#This Row],[SP Potential Spend]]- SnapshotTable[[#This Row],[SP Premium]] + SnapshotTable[[#This Row],[LP Premium]])+ (SnapshotTable[[#This Row],[LC Premium]] - SnapshotTable[[#This Row],[SC Premium]])</f>
        <v>0</v>
      </c>
      <c r="GW226" s="139" t="str">
        <f>IF(AND(SnapshotTable[[#This Row],[Exposure]] &lt;&gt; 0),SnapshotTable[[#This Row],[Exposure]] / SnapshotTable[[#Totals],[Exposure]], "")</f>
        <v/>
      </c>
      <c r="HE226" s="268"/>
      <c r="HF226" s="268"/>
      <c r="HK226" s="1"/>
      <c r="HL226" s="1"/>
      <c r="HM226" s="1"/>
      <c r="HN226" s="1"/>
      <c r="HO226" s="1"/>
      <c r="HP226" s="1"/>
    </row>
    <row r="227" spans="2:224" ht="12.75" hidden="1" customHeight="1" x14ac:dyDescent="0.25">
      <c r="B227" s="12" t="s">
        <v>1279</v>
      </c>
      <c r="C227" s="422">
        <v>5.17</v>
      </c>
      <c r="D227" s="208"/>
      <c r="E227" s="39">
        <f>SnapshotTable[[#This Row],[Last Price]]*(1 -CrashDiscount)</f>
        <v>4.3944999999999999</v>
      </c>
      <c r="F227" s="325" t="s">
        <v>1280</v>
      </c>
      <c r="G227" s="325" t="s">
        <v>41</v>
      </c>
      <c r="H227" s="149"/>
      <c r="I227" s="194"/>
      <c r="J227" s="195"/>
      <c r="K227" s="196"/>
      <c r="L227" s="326"/>
      <c r="M227" s="140"/>
      <c r="N227" s="140"/>
      <c r="O227" s="140"/>
      <c r="P227" s="22">
        <v>1000</v>
      </c>
      <c r="Q227" s="25">
        <v>11620</v>
      </c>
      <c r="R227" s="4">
        <f>IF(SnapshotTable[[#This Row],[Equity Basis Total]] &gt; 0, SnapshotTable[[#This Row],[Equity Basis Total]] / SnapshotTable[[#This Row],[Equity Shares]], "")</f>
        <v>11.62</v>
      </c>
      <c r="S227" s="269">
        <f>SnapshotTable[[#This Row],[Last Price]] * SnapshotTable[[#This Row],[Equity Shares]]</f>
        <v>5170</v>
      </c>
      <c r="T227" s="269">
        <f>SnapshotTable[[#This Row],[Equity Value]] - SnapshotTable[[#This Row],[Equity Basis Total]]</f>
        <v>-6450</v>
      </c>
      <c r="U227" s="270">
        <f>IF(SnapshotTable[[#This Row],[Equity Basis Total]] &gt; 0, SnapshotTable[[#This Row],[Equity G/L]] / SnapshotTable[[#This Row],[Equity Basis Total]], "")</f>
        <v>-0.55507745266781416</v>
      </c>
      <c r="V227" s="268"/>
      <c r="W227" s="26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7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0"/>
      <c r="AD227" s="151"/>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1"/>
      <c r="AI227" s="5"/>
      <c r="AJ227" s="138"/>
      <c r="AK227" s="152" t="str">
        <f>IF(ISNUMBER( SnapshotTable[[#This Row],[EBF Target]]),(SnapshotTable[[#This Row],[EBF Target]] - SnapshotTable[[#This Row],[Last Price]]) / SnapshotTable[[#This Row],[Last Price]], "")</f>
        <v/>
      </c>
      <c r="AL227" s="152"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2" t="str">
        <f>IF(AND(ISNUMBER( SnapshotTable[[#This Row],[Long Term Target]]), ISNUMBER(SnapshotTable[[#This Row],[Last Price]])),(SnapshotTable[[#This Row],[Long Term Target]] - SnapshotTable[[#This Row],[Last Price]]) / SnapshotTable[[#This Row],[Last Price]], "")</f>
        <v/>
      </c>
      <c r="AP227" s="5"/>
      <c r="AQ227" s="38"/>
      <c r="AR227" s="5"/>
      <c r="AS227" s="38"/>
      <c r="AT227" s="146"/>
      <c r="AU227" s="187" t="str">
        <f>IF(OR(SnapshotTable[[#This Row],[LP No Fill]]="Y",SnapshotTable[[#This Row],[SP Is Filled]],SnapshotTable[[#This Row],[LC Not Filled]]="Y",SnapshotTable[[#This Row],[SC Is Filled]]),"Y","")</f>
        <v>Y</v>
      </c>
      <c r="AV227" s="219"/>
      <c r="AW227" s="225"/>
      <c r="AX227" s="220"/>
      <c r="AY227" s="219" t="str">
        <f>IF(SnapshotTable[[#This Row],[Implied Move]]&gt;0, SnapshotTable[[#This Row],[Last Price]]-SnapshotTable[[#This Row],[Implied Move]],"")</f>
        <v/>
      </c>
      <c r="AZ227" s="219" t="str">
        <f>IF(SnapshotTable[[#This Row],[Implied Move]]&gt;0, SnapshotTable[[#This Row],[Last Price]] + SnapshotTable[[#This Row],[Implied Move]],"")</f>
        <v/>
      </c>
      <c r="BA227" s="331">
        <v>10.98</v>
      </c>
      <c r="BB227" s="347"/>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51"/>
      <c r="BE227" s="5"/>
      <c r="BF227" s="14"/>
      <c r="BG227" s="13"/>
      <c r="BH227" s="13"/>
      <c r="BI227" s="5"/>
      <c r="BJ227" s="136">
        <f>IF(SnapshotTable[[#This Row],[LP Qty]] &gt; 0, SnapshotTable[[#This Row],[LP Qty]] * SnapshotTable[[#This Row],[LP Book Price]] * 100,0)</f>
        <v>0</v>
      </c>
      <c r="BK227" s="136">
        <f>IF(SnapshotTable[[#This Row],[LP Premium]] &gt; 0, SnapshotTable[[#This Row],[LP Qty]] * SnapshotTable[[#This Row],[LP Strike Price]] * 100,0)</f>
        <v>0</v>
      </c>
      <c r="BL227" s="154"/>
      <c r="BM227" s="385" t="str">
        <f>IF(SnapshotTable[[#This Row],[LP Premium]] &gt; 0,SnapshotTable[[#This Row],[LP Exp Date]]-MAX(SnapshotTable[[#This Row],[LP Book Date]], SnapshotTable[[#This Row],[LP Fill Date]]),"")</f>
        <v/>
      </c>
      <c r="BN227" s="385" t="str">
        <f>IF(ISNUMBER( SnapshotTable[[#This Row],[LP Term]]), SnapshotTable[[#This Row],[LP Exp Date]] - MockToday,"")</f>
        <v/>
      </c>
      <c r="BO227" s="163"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7.5</v>
      </c>
      <c r="BS227" s="36">
        <v>10</v>
      </c>
      <c r="BT227" s="147">
        <v>46176</v>
      </c>
      <c r="BU227" s="13">
        <v>46176</v>
      </c>
      <c r="BV227" s="5">
        <v>0.65</v>
      </c>
      <c r="BW227" s="419" t="b">
        <f>AND(ISNUMBER(SnapshotTable[[#This Row],[SP Exp Date]]), ISNUMBER(SnapshotTable[[#This Row],[SP Strike Price]]), ISNUMBER(SnapshotTable[[#This Row],[SP Qty]]), ISNUMBER(SnapshotTable[[#This Row],[SP Book Date]]), ISNUMBER(SnapshotTable[[#This Row],[SP Book Price]]))</f>
        <v>1</v>
      </c>
      <c r="BX227" s="419" t="b">
        <f>AND(SnapshotTable[[#This Row],[SP Is Booked]], NOT(ISBLANK(SnapshotTable[[#This Row],[SP Fill Date]])))</f>
        <v>1</v>
      </c>
      <c r="BY227" s="33">
        <f>IF(SnapshotTable[[#This Row],[SP Is Booked]], SnapshotTable[[#This Row],[SP Qty]] * SnapshotTable[[#This Row],[SP Book Price]] * 100, 0)</f>
        <v>650</v>
      </c>
      <c r="BZ227" s="369">
        <v>0.22</v>
      </c>
      <c r="CA227" s="368">
        <f>SnapshotTable[[#This Row],[LP Qty]]</f>
        <v>0</v>
      </c>
      <c r="CB227" s="4">
        <f>IF(SnapshotTable[[#This Row],[SP Is Booked]], SnapshotTable[[#This Row],[SP Strike Price]] - SnapshotTable[[#This Row],[SP Book Price]], "")</f>
        <v>6.85</v>
      </c>
      <c r="CC227" s="19">
        <f>IF(SnapshotTable[[#This Row],[SP Is Booked]],SnapshotTable[[#This Row],[SP Exp Date]]-MAX(SnapshotTable[[#This Row],[SP Book Date]], SnapshotTable[[#This Row],[SP Fill Date]]),"")</f>
        <v>44</v>
      </c>
      <c r="CD227" s="7">
        <f>IF(SnapshotTable[[#This Row],[SP Is Booked]], SnapshotTable[[#This Row],[SP Book Price]]/SnapshotTable[[#This Row],[SP Strike Price]], "")</f>
        <v>8.666666666666667E-2</v>
      </c>
      <c r="CE227" s="7">
        <f>IF(ISNUMBER(SnapshotTable[[#This Row],[SP ROO Term]]),SnapshotTable[[#This Row],[SP ROO Term]]*(365/SnapshotTable[[#This Row],[SP Term]]),"")</f>
        <v>0.71893939393939388</v>
      </c>
      <c r="CF227" s="236">
        <f>SnapshotTable[[#This Row],[LP Strike Price]] * SnapshotTable[[#This Row],[LP Qty]] * 100</f>
        <v>0</v>
      </c>
      <c r="CG227" s="31">
        <f>IF(ISNUMBER(SnapshotTable[[#This Row],[SP Premium]]), (SnapshotTable[[#This Row],[SP Qty]] * SnapshotTable[[#This Row],[SP Strike Price]]* 100) - SnapshotTable[[#This Row],[LP Protection]], 0)</f>
        <v>7500</v>
      </c>
      <c r="CH227" s="7">
        <f>IF(ISNUMBER(SnapshotTable[[#This Row],[SP Break Even]]),-1 * (SnapshotTable[[#This Row],[SP Break Even]] - SnapshotTable[[#This Row],[Last Price]]) / SnapshotTable[[#This Row],[Last Price]], "")</f>
        <v>-0.32495164410058019</v>
      </c>
      <c r="CI227" s="31">
        <f>IF(AND(ISNUMBER((SnapshotTable[[#This Row],[SP Potential Spend]])), SnapshotTable[[#This Row],[SP Strike Price]] &gt; SnapshotTable[[#This Row],[Last Price]], SnapshotTable[[#This Row],[SP Is Filled]]), SnapshotTable[[#This Row],[SP Potential Spend]] -  SnapshotTable[[#This Row],[LP Max Value]], 0)</f>
        <v>7500</v>
      </c>
      <c r="CJ227" s="244"/>
      <c r="CK227" s="31">
        <f>IF(ISNUMBER(SnapshotTable[[#This Row],[SP Potential Spend]]),IF(ISNUMBER(SnapshotTable[[#This Row],[SP POW]]), SnapshotTable[[#This Row],[SP POW]] * SnapshotTable[[#This Row],[SP Potential Spend]], SnapshotTable[[#This Row],[SP Potential Spend]]), "")</f>
        <v>7500</v>
      </c>
      <c r="CL227" s="164"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-1680</v>
      </c>
      <c r="CN227" s="78">
        <v>0.75</v>
      </c>
      <c r="CO227" s="369">
        <v>0.24</v>
      </c>
      <c r="CP227" s="4" t="e">
        <f ca="1">IF(SnapshotTable[[#This Row],[SP Is Filled]], btc_max_buyback_amount(SnapshotTable[[#This Row],[SP Fill Date]],SnapshotTable[[#This Row],[SP Exp Date]], SnapshotTable[[#This Row],[SP Book Price]]),"")</f>
        <v>#NAME?</v>
      </c>
      <c r="CQ227" s="78"/>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5" t="e">
        <f ca="1">IF(SnapshotTable[[#This Row],[SP Is Filled]], btc_next_cutoff_date(SnapshotTable[[#This Row],[SP Fill Date]],SnapshotTable[[#This Row],[SP Exp Date]]),"")</f>
        <v>#NAME?</v>
      </c>
      <c r="CT227" s="23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3">
        <v>46220</v>
      </c>
      <c r="CV227" s="235"/>
      <c r="CW227" s="378">
        <f ca="1">IF(ISNUMBER( SnapshotTable[[#This Row],[SP Term]]), SnapshotTable[[#This Row],[SP Exp Date]] - MockToday,"")</f>
        <v>-13</v>
      </c>
      <c r="CX227" s="31" t="e">
        <f ca="1">IF(SnapshotTable[[#This Row],[SP Is Filled]],SnapshotTable[[#This Row],[SP Buyback Price to Use]] * 100 * SnapshotTable[[#This Row],[SP Qty]], "")</f>
        <v>#NAME?</v>
      </c>
      <c r="CY227" s="4">
        <f>IF(ISNUMBER(SnapshotTable[[#This Row],[SP Strike Price]]), SnapshotTable[[#This Row],[SP Strike Price]] * (1 - SP_MaxLoss_StrikePct), "")</f>
        <v>7.2749999999999995</v>
      </c>
      <c r="CZ227" s="31">
        <f>IF(ISNUMBER(SnapshotTable[[#This Row],[SP Strike  Stop Per Share]]),SnapshotTable[[#This Row],[SP Premium]] - ((SnapshotTable[[#This Row],[SP Strike Price]]-SnapshotTable[[#This Row],[SP Strike  Stop Per Share]]) *(SnapshotTable[[#This Row],[SP Qty]] * 100)),"")</f>
        <v>424.99999999999943</v>
      </c>
      <c r="DA227" s="4">
        <f>IF(AND(ISNUMBER(SnapshotTable[[#This Row],[SP Premium]]),SnapshotTable[[#This Row],[SP Premium]]&gt;0), SnapshotTable[[#This Row],[SP Book Price]] * (1 + SP_MaxLoss_OptionPct), "")</f>
        <v>0.97500000000000009</v>
      </c>
      <c r="DB227" s="31">
        <f>IF(ISNUMBER(SnapshotTable[[#This Row],[SP Option  Stop Contract]]),(SnapshotTable[[#This Row],[SP Option  Stop Contract]] *(SnapshotTable[[#This Row],[SP Qty]] * 100) - SnapshotTable[[#This Row],[SP Premium]]),"")</f>
        <v>325.00000000000011</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-750</v>
      </c>
      <c r="DG227" s="31">
        <f>IF(ISNUMBER((SnapshotTable[[#This Row],[SP Total Value]])), SnapshotTable[[#This Row],[SP Premium]] + SnapshotTable[[#This Row],[SP Total Value]], "")</f>
        <v>-100</v>
      </c>
      <c r="DH227" s="294">
        <f>IF(ISNUMBER((SnapshotTable[[#This Row],[SP Total Value]])), SnapshotTable[[#This Row],[SP Gain Loss]] / SnapshotTable[[#This Row],[SP Premium]], "")</f>
        <v>-0.15384615384615385</v>
      </c>
      <c r="DI227" s="406"/>
      <c r="DJ227" s="138"/>
      <c r="DK227" s="148"/>
      <c r="DL227" s="13"/>
      <c r="DM227" s="13"/>
      <c r="DO227" s="31">
        <f>IF(SnapshotTable[[#This Row],[LC Symbol Count]]=1, SnapshotTable[[#This Row],[LC Qty]] * SnapshotTable[[#This Row],[LC Book Price]] * 100, 0)</f>
        <v>0</v>
      </c>
      <c r="DP227" s="163" t="str">
        <f>IF(AND(SnapshotTable[[#This Row],[LC Exp Date]]&gt;0, SnapshotTable[[#This Row],[LC Strike Price]]&gt;0,SnapshotTable[[#This Row],[LC Qty]]&gt;0,SnapshotTable[[#This Row],[LC Book Date]]&gt;0,SnapshotTable[[#This Row],[LC Book Price]]&gt;0,SnapshotTable[[#This Row],[LC Fill Date]]=0),"Y","")</f>
        <v/>
      </c>
      <c r="DQ227" s="386" t="str">
        <f>IF(SnapshotTable[[#This Row],[LC Premium]] &gt; 0,SnapshotTable[[#This Row],[LC Exp Date]]-MAX(SnapshotTable[[#This Row],[LC Book Date]], SnapshotTable[[#This Row],[LC Fill Date]]),"")</f>
        <v/>
      </c>
      <c r="DR227" s="386" t="str">
        <f>IF(ISNUMBER(SnapshotTable[[#This Row],[LC Term]]), SnapshotTable[[#This Row],[LC Exp Date]] - MockToday, "")</f>
        <v/>
      </c>
      <c r="DS227" s="23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40" t="str">
        <f>IF(ISNUMBER(SnapshotTable[[#This Row],[LC Actual Gain Loss]]), SnapshotTable[[#This Row],[LC Actual Gain Loss]] / SnapshotTable[[#This Row],[LC Premium]],"")</f>
        <v/>
      </c>
      <c r="DX227" s="284" t="str">
        <f>IF(ISNUMBER(SnapshotTable[[#This Row],[LC Book Price]]),SnapshotTable[[#This Row],[LC Book Price]] * 1.5,"")</f>
        <v/>
      </c>
      <c r="DY227" s="265" t="str">
        <f>IF(SnapshotTable[[#This Row],[LC Premium]]&gt;0, SnapshotTable[[#This Row],[LC Next Target]] * SnapshotTable[[#This Row],[LC Qty]] * 100,"")</f>
        <v/>
      </c>
      <c r="DZ227" s="265" t="str">
        <f>IF(ISNUMBER(SnapshotTable[[#This Row],[LC Target Gross]]), SnapshotTable[[#This Row],[LC Target Gross]] - SnapshotTable[[#This Row],[LC Premium]], "")</f>
        <v/>
      </c>
      <c r="EA227" s="305" t="str">
        <f>IF(ISNUMBER(SnapshotTable[[#This Row],[LC Target Gain Loss]]), SnapshotTable[[#This Row],[LC Target Gain Loss]]/SnapshotTable[[#This Row],[LC Premium]], "")</f>
        <v/>
      </c>
      <c r="EB227" s="262"/>
      <c r="EC227" s="283" t="str">
        <f>IF(SnapshotTable[[#This Row],[LC Premium]]&gt;0, SnapshotTable[[#This Row],[LC Book Price]] * (1 - LC_StopLoss_Pct),"")</f>
        <v/>
      </c>
      <c r="ED227" s="284"/>
      <c r="EE227" s="28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4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10</v>
      </c>
      <c r="EK227" s="147"/>
      <c r="EL227" s="138"/>
      <c r="EM227" s="148"/>
      <c r="EN227" s="147"/>
      <c r="EO227" s="147"/>
      <c r="EP227" s="138"/>
      <c r="EQ227" s="419" t="b">
        <f>AND(ISNUMBER(SnapshotTable[[#This Row],[SC Exp Date]]), ISNUMBER(SnapshotTable[[#This Row],[SC Strike Price]]), ISNUMBER(SnapshotTable[[#This Row],[SC Qty]]), ISNUMBER(SnapshotTable[[#This Row],[SC Book Date]]), ISNUMBER(SnapshotTable[[#This Row],[SC Book Price]]))</f>
        <v>0</v>
      </c>
      <c r="ER227" s="419" t="b">
        <f>AND(SnapshotTable[[#This Row],[SC Is Booked]], NOT(ISBLANK(SnapshotTable[[#This Row],[SC Fill Date]])))</f>
        <v>0</v>
      </c>
      <c r="ES227" s="370"/>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3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283"/>
      <c r="FA227" s="218"/>
      <c r="FB227" s="370"/>
      <c r="FC227" s="4">
        <f>IF(SnapshotTable[[#This Row],[SC Is Filled]], btc_max_buyback_amount(SnapshotTable[[#This Row],[SC Fill Date]],SnapshotTable[[#This Row],[SC Exp Date]], SnapshotTable[[#This Row],[SC Book Price]]),0)</f>
        <v>0</v>
      </c>
      <c r="FD227" s="5"/>
      <c r="FE227" s="144"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382">
        <f>IF(SnapshotTable[[#This Row],[SC Is Filled]], IF(ISNUMBER(SnapshotTable[[#This Row],[SC Current Ask]]), SnapshotTable[[#This Row],[SC Current Ask]], SnapshotTable[[#This Row],[SC Book Price]]) - SnapshotTable[[#This Row],[SC Intrinsic Value]], 0)</f>
        <v>0</v>
      </c>
      <c r="FI227" s="143"/>
      <c r="FJ227" s="32" t="str">
        <f>IF(SnapshotTable[[#This Row],[SC Is Filled]],100 * SnapshotTable[[#This Row],[SC Qty]] * IF(ISNUMBER(SnapshotTable[[#This Row],[SC Buyback Override]]), SnapshotTable[[#This Row],[SC Buyback Override]], SnapshotTable[[#This Row],[SC Current Ask]]), "")</f>
        <v/>
      </c>
      <c r="FK227" s="250" t="str">
        <f>IF(SnapshotTable[[#This Row],[SC Time Val]]&gt;0, SnapshotTable[[#This Row],[SC Time Val]] / SnapshotTable[[#This Row],[Last Price]],"")</f>
        <v/>
      </c>
      <c r="FL227" s="302" t="str">
        <f>IF(SnapshotTable[[#This Row],[SC Is Booked]], ((SnapshotTable[[#This Row],[Last Price]] -SnapshotTable[[#This Row],[SC Strike Price]]) / SnapshotTable[[#This Row],[Last Price]]) * -1, "")</f>
        <v/>
      </c>
      <c r="FM227" s="157"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33"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36" t="str">
        <f>IF(AND(ISNUMBER(SnapshotTable[[#This Row],[SC Simple ROO]]),SnapshotTable[[#This Row],[SC Simple ROO]] &gt; 0), SnapshotTable[[#This Row],[SC Premium]] + (SnapshotTable[[#This Row],[SC Qty]] * SnapshotTable[[#This Row],[SC Upside Potential]]), "")</f>
        <v/>
      </c>
      <c r="FX227" s="302" t="str" cm="1">
        <f t="array" ref="FX227">IF(ISNUMBER(SnapshotTable[[#This Row],[SC Max Dollars]]), annualize(SnapshotTable[[#This Row],[SC Term]],(SnapshotTable[[#This Row],[SC Max Dollars]]/SnapshotTable[[#This Row],[SC Basis]])),"")</f>
        <v/>
      </c>
      <c r="FY227" s="23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294" t="str">
        <f>IFERROR( IF(ISNUMBER((SnapshotTable[[#This Row],[SC Current Value]])), SnapshotTable[[#This Row],[SC Gain Loss]] / SnapshotTable[[#This Row],[SC Premium]], ""), "")</f>
        <v/>
      </c>
      <c r="GB227" s="42">
        <f>SnapshotTable[[#This Row],[Equity Shares]] * SaleSharesToConsiderPercentage</f>
        <v>200</v>
      </c>
      <c r="GC227" s="40">
        <f>SnapshotTable[[#This Row],[Long Term Target]] * SellingPriceToConsiderBasedOnTargetPercentage</f>
        <v>0</v>
      </c>
      <c r="GD227" s="40">
        <f>SnapshotTable[[#This Row],[Last Price]] * (1+ SellingPriceToConsiderBasedOnTargetPercentage)</f>
        <v>10.0815</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UAMY260717P00007500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31">
        <f>MAX(SnapshotTable[[#This Row],[Equity Basis Total]],SnapshotTable[[#This Row],[Equity Value]]) + (SnapshotTable[[#This Row],[SP Potential Spend]]- SnapshotTable[[#This Row],[SP Premium]] + SnapshotTable[[#This Row],[LP Premium]])+ (SnapshotTable[[#This Row],[LC Premium]] - SnapshotTable[[#This Row],[SC Premium]])</f>
        <v>18470</v>
      </c>
      <c r="GW227" s="139">
        <f ca="1">IF(AND(SnapshotTable[[#This Row],[Exposure]] &lt;&gt; 0),SnapshotTable[[#This Row],[Exposure]] / SnapshotTable[[#Totals],[Exposure]], "")</f>
        <v>8.6939183428779723E-2</v>
      </c>
      <c r="GX227" s="5"/>
      <c r="HE227" s="268"/>
      <c r="HF227" s="268"/>
      <c r="HK227" s="1"/>
      <c r="HL227" s="1"/>
      <c r="HM227" s="1"/>
      <c r="HN227" s="1"/>
      <c r="HO227" s="1"/>
      <c r="HP227" s="1"/>
    </row>
    <row r="228" spans="2:224" ht="12.75" hidden="1" customHeight="1" x14ac:dyDescent="0.25">
      <c r="B228" s="12" t="s">
        <v>1277</v>
      </c>
      <c r="C228" s="422">
        <v>11.3</v>
      </c>
      <c r="D228" s="208"/>
      <c r="E228" s="39">
        <f>SnapshotTable[[#This Row],[Last Price]]*(1 -CrashDiscount)</f>
        <v>9.6050000000000004</v>
      </c>
      <c r="F228" s="325" t="s">
        <v>1029</v>
      </c>
      <c r="G228" s="325" t="s">
        <v>822</v>
      </c>
      <c r="H228" s="149"/>
      <c r="I228" s="194"/>
      <c r="J228" s="195"/>
      <c r="K228" s="196"/>
      <c r="L228" s="326"/>
      <c r="M228" s="140"/>
      <c r="N228" s="140"/>
      <c r="O228" s="140"/>
      <c r="P228" s="22"/>
      <c r="Q228" s="25"/>
      <c r="R228" s="4" t="str">
        <f>IF(SnapshotTable[[#This Row],[Equity Basis Total]] &gt; 0, SnapshotTable[[#This Row],[Equity Basis Total]] / SnapshotTable[[#This Row],[Equity Shares]], "")</f>
        <v/>
      </c>
      <c r="S228" s="269">
        <f>SnapshotTable[[#This Row],[Last Price]] * SnapshotTable[[#This Row],[Equity Shares]]</f>
        <v>0</v>
      </c>
      <c r="T228" s="269">
        <f>SnapshotTable[[#This Row],[Equity Value]] - SnapshotTable[[#This Row],[Equity Basis Total]]</f>
        <v>0</v>
      </c>
      <c r="U228" s="270" t="str">
        <f>IF(SnapshotTable[[#This Row],[Equity Basis Total]] &gt; 0, SnapshotTable[[#This Row],[Equity G/L]] / SnapshotTable[[#This Row],[Equity Basis Total]], "")</f>
        <v/>
      </c>
      <c r="V228" s="268"/>
      <c r="W228" s="26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7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0"/>
      <c r="AD228" s="151"/>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0</v>
      </c>
      <c r="AH228" s="151"/>
      <c r="AI228" s="5"/>
      <c r="AJ228" s="138"/>
      <c r="AK228" s="152" t="str">
        <f>IF(ISNUMBER( SnapshotTable[[#This Row],[EBF Target]]),(SnapshotTable[[#This Row],[EBF Target]] - SnapshotTable[[#This Row],[Last Price]]) / SnapshotTable[[#This Row],[Last Price]], "")</f>
        <v/>
      </c>
      <c r="AL228" s="152"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2" t="str">
        <f>IF(AND(ISNUMBER( SnapshotTable[[#This Row],[Long Term Target]]), ISNUMBER(SnapshotTable[[#This Row],[Last Price]])),(SnapshotTable[[#This Row],[Long Term Target]] - SnapshotTable[[#This Row],[Last Price]]) / SnapshotTable[[#This Row],[Last Price]], "")</f>
        <v/>
      </c>
      <c r="AP228" s="5"/>
      <c r="AQ228" s="38"/>
      <c r="AR228" s="5"/>
      <c r="AS228" s="38"/>
      <c r="AT228" s="146"/>
      <c r="AU228" s="187" t="str">
        <f>IF(OR(SnapshotTable[[#This Row],[LP No Fill]]="Y",SnapshotTable[[#This Row],[SP Is Filled]],SnapshotTable[[#This Row],[LC Not Filled]]="Y",SnapshotTable[[#This Row],[SC Is Filled]]),"Y","")</f>
        <v>Y</v>
      </c>
      <c r="AV228" s="219"/>
      <c r="AW228" s="225"/>
      <c r="AX228" s="220"/>
      <c r="AY228" s="219" t="str">
        <f>IF(SnapshotTable[[#This Row],[Implied Move]]&gt;0, SnapshotTable[[#This Row],[Last Price]]-SnapshotTable[[#This Row],[Implied Move]],"")</f>
        <v/>
      </c>
      <c r="AZ228" s="219" t="str">
        <f>IF(SnapshotTable[[#This Row],[Implied Move]]&gt;0, SnapshotTable[[#This Row],[Last Price]] + SnapshotTable[[#This Row],[Implied Move]],"")</f>
        <v/>
      </c>
      <c r="BA228" s="331">
        <v>14.95</v>
      </c>
      <c r="BB228" s="347"/>
      <c r="BC22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8" s="351"/>
      <c r="BE228" s="5"/>
      <c r="BF228" s="14"/>
      <c r="BG228" s="13"/>
      <c r="BH228" s="13"/>
      <c r="BI228" s="5"/>
      <c r="BJ228" s="136">
        <f>IF(SnapshotTable[[#This Row],[LP Qty]] &gt; 0, SnapshotTable[[#This Row],[LP Qty]] * SnapshotTable[[#This Row],[LP Book Price]] * 100,0)</f>
        <v>0</v>
      </c>
      <c r="BK228" s="136">
        <f>IF(SnapshotTable[[#This Row],[LP Premium]] &gt; 0, SnapshotTable[[#This Row],[LP Qty]] * SnapshotTable[[#This Row],[LP Strike Price]] * 100,0)</f>
        <v>0</v>
      </c>
      <c r="BL228" s="154"/>
      <c r="BM228" s="385" t="str">
        <f>IF(SnapshotTable[[#This Row],[LP Premium]] &gt; 0,SnapshotTable[[#This Row],[LP Exp Date]]-MAX(SnapshotTable[[#This Row],[LP Book Date]], SnapshotTable[[#This Row],[LP Fill Date]]),"")</f>
        <v/>
      </c>
      <c r="BN228" s="385" t="str">
        <f>IF(ISNUMBER( SnapshotTable[[#This Row],[LP Term]]), SnapshotTable[[#This Row],[LP Exp Date]] - MockToday,"")</f>
        <v/>
      </c>
      <c r="BO228" s="163"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v>46220</v>
      </c>
      <c r="BR228" s="5">
        <v>17</v>
      </c>
      <c r="BS228" s="36">
        <v>10</v>
      </c>
      <c r="BT228" s="147">
        <v>46191</v>
      </c>
      <c r="BU228" s="13">
        <v>46191</v>
      </c>
      <c r="BV228" s="5">
        <v>1.07</v>
      </c>
      <c r="BW228" s="419" t="b">
        <f>AND(ISNUMBER(SnapshotTable[[#This Row],[SP Exp Date]]), ISNUMBER(SnapshotTable[[#This Row],[SP Strike Price]]), ISNUMBER(SnapshotTable[[#This Row],[SP Qty]]), ISNUMBER(SnapshotTable[[#This Row],[SP Book Date]]), ISNUMBER(SnapshotTable[[#This Row],[SP Book Price]]))</f>
        <v>1</v>
      </c>
      <c r="BX228" s="419" t="b">
        <f>AND(SnapshotTable[[#This Row],[SP Is Booked]], NOT(ISBLANK(SnapshotTable[[#This Row],[SP Fill Date]])))</f>
        <v>1</v>
      </c>
      <c r="BY228" s="33">
        <f>IF(SnapshotTable[[#This Row],[SP Is Booked]], SnapshotTable[[#This Row],[SP Qty]] * SnapshotTable[[#This Row],[SP Book Price]] * 100, 0)</f>
        <v>1070</v>
      </c>
      <c r="BZ228" s="369">
        <v>0.48</v>
      </c>
      <c r="CA228" s="368">
        <f>SnapshotTable[[#This Row],[LP Qty]]</f>
        <v>0</v>
      </c>
      <c r="CB228" s="4">
        <f>IF(SnapshotTable[[#This Row],[SP Is Booked]], SnapshotTable[[#This Row],[SP Strike Price]] - SnapshotTable[[#This Row],[SP Book Price]], "")</f>
        <v>15.93</v>
      </c>
      <c r="CC228" s="19">
        <f>IF(SnapshotTable[[#This Row],[SP Is Booked]],SnapshotTable[[#This Row],[SP Exp Date]]-MAX(SnapshotTable[[#This Row],[SP Book Date]], SnapshotTable[[#This Row],[SP Fill Date]]),"")</f>
        <v>29</v>
      </c>
      <c r="CD228" s="7">
        <f>IF(SnapshotTable[[#This Row],[SP Is Booked]], SnapshotTable[[#This Row],[SP Book Price]]/SnapshotTable[[#This Row],[SP Strike Price]], "")</f>
        <v>6.2941176470588237E-2</v>
      </c>
      <c r="CE228" s="7">
        <f>IF(ISNUMBER(SnapshotTable[[#This Row],[SP ROO Term]]),SnapshotTable[[#This Row],[SP ROO Term]]*(365/SnapshotTable[[#This Row],[SP Term]]),"")</f>
        <v>0.79219066937119675</v>
      </c>
      <c r="CF228" s="236">
        <f>SnapshotTable[[#This Row],[LP Strike Price]] * SnapshotTable[[#This Row],[LP Qty]] * 100</f>
        <v>0</v>
      </c>
      <c r="CG228" s="31">
        <f>IF(ISNUMBER(SnapshotTable[[#This Row],[SP Premium]]), (SnapshotTable[[#This Row],[SP Qty]] * SnapshotTable[[#This Row],[SP Strike Price]]* 100) - SnapshotTable[[#This Row],[LP Protection]], 0)</f>
        <v>17000</v>
      </c>
      <c r="CH228" s="7">
        <f>IF(ISNUMBER(SnapshotTable[[#This Row],[SP Break Even]]),-1 * (SnapshotTable[[#This Row],[SP Break Even]] - SnapshotTable[[#This Row],[Last Price]]) / SnapshotTable[[#This Row],[Last Price]], "")</f>
        <v>-0.40973451327433619</v>
      </c>
      <c r="CI228" s="31">
        <f>IF(AND(ISNUMBER((SnapshotTable[[#This Row],[SP Potential Spend]])), SnapshotTable[[#This Row],[SP Strike Price]] &gt; SnapshotTable[[#This Row],[Last Price]], SnapshotTable[[#This Row],[SP Is Filled]]), SnapshotTable[[#This Row],[SP Potential Spend]] -  SnapshotTable[[#This Row],[LP Max Value]], 0)</f>
        <v>17000</v>
      </c>
      <c r="CJ228" s="244"/>
      <c r="CK228" s="31">
        <f>IF(ISNUMBER(SnapshotTable[[#This Row],[SP Potential Spend]]),IF(ISNUMBER(SnapshotTable[[#This Row],[SP POW]]), SnapshotTable[[#This Row],[SP POW]] * SnapshotTable[[#This Row],[SP Potential Spend]], SnapshotTable[[#This Row],[SP Potential Spend]]), "")</f>
        <v>17000</v>
      </c>
      <c r="CL228" s="164" t="str">
        <f>IF(NOT(SnapshotTable[[#This Row],[SP Is Filled]]),(SnapshotTable[[#This Row],[SP Qty]] * SnapshotTable[[#This Row],[SP Strike Price]] * 100) - SnapshotTable[[#This Row],[LP Max Value]],"")</f>
        <v/>
      </c>
      <c r="CM228" s="31">
        <f>IF(SnapshotTable[[#This Row],[SP Actual Spend]]&lt;&gt;0, ((SnapshotTable[[#This Row],[SP Strike Price]]-SnapshotTable[[#This Row],[Last Price]]) *(SnapshotTable[[#This Row],[SP Qty]]*100) - SnapshotTable[[#This Row],[SP Premium]]) * - 1, "")</f>
        <v>-4629.9999999999991</v>
      </c>
      <c r="CN228" s="78">
        <v>2.19</v>
      </c>
      <c r="CO228" s="369">
        <v>0.48</v>
      </c>
      <c r="CP228" s="4" t="e">
        <f ca="1">IF(SnapshotTable[[#This Row],[SP Is Filled]], btc_max_buyback_amount(SnapshotTable[[#This Row],[SP Fill Date]],SnapshotTable[[#This Row],[SP Exp Date]], SnapshotTable[[#This Row],[SP Book Price]]),"")</f>
        <v>#NAME?</v>
      </c>
      <c r="CQ228" s="78"/>
      <c r="CR22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8" s="155" t="e">
        <f ca="1">IF(SnapshotTable[[#This Row],[SP Is Filled]], btc_next_cutoff_date(SnapshotTable[[#This Row],[SP Fill Date]],SnapshotTable[[#This Row],[SP Exp Date]]),"")</f>
        <v>#NAME?</v>
      </c>
      <c r="CT228" s="235" t="e" cm="1">
        <f t="array" aca="1" ref="CT228" ca="1">IF(SnapshotTable[[#This Row],[SP Is Filled]], btc_should_buy_back(SnapshotTable[[#This Row],[SP Fill Date]], SnapshotTable[[#This Row],[SP Exp Date]], SnapshotTable[[#This Row],[SP Book Price]], SnapshotTable[[#This Row],[SP Current Ask]], MockToday, SnapshotTable[[#This Row],[SP Buyback Override]]),"")</f>
        <v>#NAME?</v>
      </c>
      <c r="CU228" s="143">
        <v>46220</v>
      </c>
      <c r="CV228" s="235"/>
      <c r="CW228" s="378">
        <f ca="1">IF(ISNUMBER( SnapshotTable[[#This Row],[SP Term]]), SnapshotTable[[#This Row],[SP Exp Date]] - MockToday,"")</f>
        <v>-13</v>
      </c>
      <c r="CX228" s="31" t="e">
        <f ca="1">IF(SnapshotTable[[#This Row],[SP Is Filled]],SnapshotTable[[#This Row],[SP Buyback Price to Use]] * 100 * SnapshotTable[[#This Row],[SP Qty]], "")</f>
        <v>#NAME?</v>
      </c>
      <c r="CY228" s="4">
        <f>IF(ISNUMBER(SnapshotTable[[#This Row],[SP Strike Price]]), SnapshotTable[[#This Row],[SP Strike Price]] * (1 - SP_MaxLoss_StrikePct), "")</f>
        <v>16.489999999999998</v>
      </c>
      <c r="CZ228" s="31">
        <f>IF(ISNUMBER(SnapshotTable[[#This Row],[SP Strike  Stop Per Share]]),SnapshotTable[[#This Row],[SP Premium]] - ((SnapshotTable[[#This Row],[SP Strike Price]]-SnapshotTable[[#This Row],[SP Strike  Stop Per Share]]) *(SnapshotTable[[#This Row],[SP Qty]] * 100)),"")</f>
        <v>559.99999999999841</v>
      </c>
      <c r="DA228" s="4">
        <f>IF(AND(ISNUMBER(SnapshotTable[[#This Row],[SP Premium]]),SnapshotTable[[#This Row],[SP Premium]]&gt;0), SnapshotTable[[#This Row],[SP Book Price]] * (1 + SP_MaxLoss_OptionPct), "")</f>
        <v>1.605</v>
      </c>
      <c r="DB228" s="31">
        <f>IF(ISNUMBER(SnapshotTable[[#This Row],[SP Option  Stop Contract]]),(SnapshotTable[[#This Row],[SP Option  Stop Contract]] *(SnapshotTable[[#This Row],[SP Qty]] * 100) - SnapshotTable[[#This Row],[SP Premium]]),"")</f>
        <v>535</v>
      </c>
      <c r="DC228" s="4"/>
      <c r="DD228" s="4"/>
      <c r="DE228" s="4" t="str">
        <f>IF(AND(SnapshotTable[[#This Row],[SP Qty]]&gt;0, SnapshotTable[[#This Row],[SP Stop To Use]]&gt;0),SnapshotTable[[#This Row],[SP Premium]] - ( SnapshotTable[[#This Row],[SP Qty]] * SnapshotTable[[#This Row],[SP Stop To Use]] * 100), "")</f>
        <v/>
      </c>
      <c r="DF228" s="31">
        <f>IF(AND(SnapshotTable[[#This Row],[SP Qty]]&gt;0,SnapshotTable[[#This Row],[SP Current Ask]]&gt;0), SnapshotTable[[#This Row],[SP Qty]] * SnapshotTable[[#This Row],[SP Current Ask]] * -100, "")</f>
        <v>-2190</v>
      </c>
      <c r="DG228" s="31">
        <f>IF(ISNUMBER((SnapshotTable[[#This Row],[SP Total Value]])), SnapshotTable[[#This Row],[SP Premium]] + SnapshotTable[[#This Row],[SP Total Value]], "")</f>
        <v>-1120</v>
      </c>
      <c r="DH228" s="294">
        <f>IF(ISNUMBER((SnapshotTable[[#This Row],[SP Total Value]])), SnapshotTable[[#This Row],[SP Gain Loss]] / SnapshotTable[[#This Row],[SP Premium]], "")</f>
        <v>-1.0467289719626167</v>
      </c>
      <c r="DI228" s="406"/>
      <c r="DJ228" s="138"/>
      <c r="DK228" s="148"/>
      <c r="DL228" s="147"/>
      <c r="DM228" s="13"/>
      <c r="DO228" s="31">
        <f>IF(SnapshotTable[[#This Row],[LC Symbol Count]]=1, SnapshotTable[[#This Row],[LC Qty]] * SnapshotTable[[#This Row],[LC Book Price]] * 100, 0)</f>
        <v>0</v>
      </c>
      <c r="DP228" s="163" t="str">
        <f>IF(AND(SnapshotTable[[#This Row],[LC Exp Date]]&gt;0, SnapshotTable[[#This Row],[LC Strike Price]]&gt;0,SnapshotTable[[#This Row],[LC Qty]]&gt;0,SnapshotTable[[#This Row],[LC Book Date]]&gt;0,SnapshotTable[[#This Row],[LC Book Price]]&gt;0,SnapshotTable[[#This Row],[LC Fill Date]]=0),"Y","")</f>
        <v/>
      </c>
      <c r="DQ228" s="386" t="str">
        <f>IF(SnapshotTable[[#This Row],[LC Premium]] &gt; 0,SnapshotTable[[#This Row],[LC Exp Date]]-MAX(SnapshotTable[[#This Row],[LC Book Date]], SnapshotTable[[#This Row],[LC Fill Date]]),"")</f>
        <v/>
      </c>
      <c r="DR228" s="386" t="str">
        <f>IF(ISNUMBER(SnapshotTable[[#This Row],[LC Term]]), SnapshotTable[[#This Row],[LC Exp Date]] - MockToday, "")</f>
        <v/>
      </c>
      <c r="DS228" s="23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40" t="str">
        <f>IF(ISNUMBER(SnapshotTable[[#This Row],[LC Actual Gain Loss]]), SnapshotTable[[#This Row],[LC Actual Gain Loss]] / SnapshotTable[[#This Row],[LC Premium]],"")</f>
        <v/>
      </c>
      <c r="DX228" s="284" t="str">
        <f>IF(ISNUMBER(SnapshotTable[[#This Row],[LC Book Price]]),SnapshotTable[[#This Row],[LC Book Price]] * 1.5,"")</f>
        <v/>
      </c>
      <c r="DY228" s="265" t="str">
        <f>IF(SnapshotTable[[#This Row],[LC Premium]]&gt;0, SnapshotTable[[#This Row],[LC Next Target]] * SnapshotTable[[#This Row],[LC Qty]] * 100,"")</f>
        <v/>
      </c>
      <c r="DZ228" s="265" t="str">
        <f>IF(ISNUMBER(SnapshotTable[[#This Row],[LC Target Gross]]), SnapshotTable[[#This Row],[LC Target Gross]] - SnapshotTable[[#This Row],[LC Premium]], "")</f>
        <v/>
      </c>
      <c r="EA228" s="305" t="str">
        <f>IF(ISNUMBER(SnapshotTable[[#This Row],[LC Target Gain Loss]]), SnapshotTable[[#This Row],[LC Target Gain Loss]]/SnapshotTable[[#This Row],[LC Premium]], "")</f>
        <v/>
      </c>
      <c r="EB228" s="262"/>
      <c r="EC228" s="283" t="str">
        <f>IF(SnapshotTable[[#This Row],[LC Premium]]&gt;0, SnapshotTable[[#This Row],[LC Book Price]] * (1 - LC_StopLoss_Pct),"")</f>
        <v/>
      </c>
      <c r="ED228" s="284"/>
      <c r="EE228" s="28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4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7"/>
      <c r="EL228" s="138"/>
      <c r="EM228" s="148"/>
      <c r="EN228" s="147"/>
      <c r="EO228" s="147"/>
      <c r="EP228" s="138"/>
      <c r="EQ228" s="419" t="b">
        <f>AND(ISNUMBER(SnapshotTable[[#This Row],[SC Exp Date]]), ISNUMBER(SnapshotTable[[#This Row],[SC Strike Price]]), ISNUMBER(SnapshotTable[[#This Row],[SC Qty]]), ISNUMBER(SnapshotTable[[#This Row],[SC Book Date]]), ISNUMBER(SnapshotTable[[#This Row],[SC Book Price]]))</f>
        <v>0</v>
      </c>
      <c r="ER228" s="419" t="b">
        <f>AND(SnapshotTable[[#This Row],[SC Is Booked]], NOT(ISBLANK(SnapshotTable[[#This Row],[SC Fill Date]])))</f>
        <v>0</v>
      </c>
      <c r="ES228" s="370"/>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3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283"/>
      <c r="FA228" s="218"/>
      <c r="FB228" s="370"/>
      <c r="FC228" s="4">
        <f>IF(SnapshotTable[[#This Row],[SC Is Filled]], btc_max_buyback_amount(SnapshotTable[[#This Row],[SC Fill Date]],SnapshotTable[[#This Row],[SC Exp Date]], SnapshotTable[[#This Row],[SC Book Price]]),0)</f>
        <v>0</v>
      </c>
      <c r="FD228" s="5"/>
      <c r="FE228" s="144"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382">
        <f>IF(SnapshotTable[[#This Row],[SC Is Filled]], IF(ISNUMBER(SnapshotTable[[#This Row],[SC Current Ask]]), SnapshotTable[[#This Row],[SC Current Ask]], SnapshotTable[[#This Row],[SC Book Price]]) - SnapshotTable[[#This Row],[SC Intrinsic Value]], 0)</f>
        <v>0</v>
      </c>
      <c r="FI228" s="143"/>
      <c r="FJ228" s="32" t="str">
        <f>IF(SnapshotTable[[#This Row],[SC Is Filled]],100 * SnapshotTable[[#This Row],[SC Qty]] * IF(ISNUMBER(SnapshotTable[[#This Row],[SC Buyback Override]]), SnapshotTable[[#This Row],[SC Buyback Override]], SnapshotTable[[#This Row],[SC Current Ask]]), "")</f>
        <v/>
      </c>
      <c r="FK228" s="250" t="str">
        <f>IF(SnapshotTable[[#This Row],[SC Time Val]]&gt;0, SnapshotTable[[#This Row],[SC Time Val]] / SnapshotTable[[#This Row],[Last Price]],"")</f>
        <v/>
      </c>
      <c r="FL228" s="302" t="str">
        <f>IF(SnapshotTable[[#This Row],[SC Is Booked]], ((SnapshotTable[[#This Row],[Last Price]] -SnapshotTable[[#This Row],[SC Strike Price]]) / SnapshotTable[[#This Row],[Last Price]]) * -1, "")</f>
        <v/>
      </c>
      <c r="FM228" s="157"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33"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36" t="str">
        <f>IF(AND(ISNUMBER(SnapshotTable[[#This Row],[SC Simple ROO]]),SnapshotTable[[#This Row],[SC Simple ROO]] &gt; 0), SnapshotTable[[#This Row],[SC Premium]] + (SnapshotTable[[#This Row],[SC Qty]] * SnapshotTable[[#This Row],[SC Upside Potential]]), "")</f>
        <v/>
      </c>
      <c r="FX228" s="302" t="str" cm="1">
        <f t="array" ref="FX228">IF(ISNUMBER(SnapshotTable[[#This Row],[SC Max Dollars]]), annualize(SnapshotTable[[#This Row],[SC Term]],(SnapshotTable[[#This Row],[SC Max Dollars]]/SnapshotTable[[#This Row],[SC Basis]])),"")</f>
        <v/>
      </c>
      <c r="FY228" s="23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29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0</v>
      </c>
      <c r="GD228" s="40">
        <f>SnapshotTable[[#This Row],[Last Price]] * (1+ SellingPriceToConsiderBasedOnTargetPercentage)</f>
        <v>22.035</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UUUU260717P00017000</v>
      </c>
      <c r="GO228" s="30">
        <f>IF(LEN(SnapshotTable[[#This Row],[SP Symbol]])&gt;0, 1, "")</f>
        <v>1</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Y</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28" s="231">
        <f>MAX(SnapshotTable[[#This Row],[Equity Basis Total]],SnapshotTable[[#This Row],[Equity Value]]) + (SnapshotTable[[#This Row],[SP Potential Spend]]- SnapshotTable[[#This Row],[SP Premium]] + SnapshotTable[[#This Row],[LP Premium]])+ (SnapshotTable[[#This Row],[LC Premium]] - SnapshotTable[[#This Row],[SC Premium]])</f>
        <v>15930</v>
      </c>
      <c r="GW228" s="139">
        <f ca="1">IF(AND(SnapshotTable[[#This Row],[Exposure]] &lt;&gt; 0),SnapshotTable[[#This Row],[Exposure]] / SnapshotTable[[#Totals],[Exposure]], "")</f>
        <v>7.4983280564183061E-2</v>
      </c>
      <c r="GX228" s="5"/>
      <c r="HE228" s="268"/>
      <c r="HF228" s="268"/>
      <c r="HK228" s="1"/>
      <c r="HL228" s="1"/>
      <c r="HM228" s="1"/>
      <c r="HN228" s="1"/>
      <c r="HO228" s="1"/>
      <c r="HP228" s="1"/>
    </row>
    <row r="229" spans="2:224" ht="12.75" hidden="1" customHeight="1" x14ac:dyDescent="0.25">
      <c r="B229" s="12" t="s">
        <v>1278</v>
      </c>
      <c r="C229" s="422">
        <v>11.3</v>
      </c>
      <c r="D229" s="208"/>
      <c r="E229" s="39">
        <f>SnapshotTable[[#This Row],[Last Price]]*(1 -CrashDiscount)</f>
        <v>9.6050000000000004</v>
      </c>
      <c r="F229" s="325" t="s">
        <v>1029</v>
      </c>
      <c r="G229" s="325" t="s">
        <v>822</v>
      </c>
      <c r="H229" s="149"/>
      <c r="I229" s="194"/>
      <c r="J229" s="195"/>
      <c r="K229" s="196"/>
      <c r="L229" s="326"/>
      <c r="M229" s="140"/>
      <c r="N229" s="140"/>
      <c r="O229" s="140"/>
      <c r="P229" s="22"/>
      <c r="Q229" s="25"/>
      <c r="R229" s="4" t="str">
        <f>IF(SnapshotTable[[#This Row],[Equity Basis Total]] &gt; 0, SnapshotTable[[#This Row],[Equity Basis Total]] / SnapshotTable[[#This Row],[Equity Shares]], "")</f>
        <v/>
      </c>
      <c r="S229" s="269">
        <f>SnapshotTable[[#This Row],[Last Price]] * SnapshotTable[[#This Row],[Equity Shares]]</f>
        <v>0</v>
      </c>
      <c r="T229" s="269">
        <f>SnapshotTable[[#This Row],[Equity Value]] - SnapshotTable[[#This Row],[Equity Basis Total]]</f>
        <v>0</v>
      </c>
      <c r="U229" s="270" t="str">
        <f>IF(SnapshotTable[[#This Row],[Equity Basis Total]] &gt; 0, SnapshotTable[[#This Row],[Equity G/L]] / SnapshotTable[[#This Row],[Equity Basis Total]], "")</f>
        <v/>
      </c>
      <c r="V229" s="268"/>
      <c r="W229" s="26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7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0"/>
      <c r="AD229" s="151"/>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1"/>
      <c r="AI229" s="5"/>
      <c r="AJ229" s="138"/>
      <c r="AK229" s="152" t="str">
        <f>IF(ISNUMBER( SnapshotTable[[#This Row],[EBF Target]]),(SnapshotTable[[#This Row],[EBF Target]] - SnapshotTable[[#This Row],[Last Price]]) / SnapshotTable[[#This Row],[Last Price]], "")</f>
        <v/>
      </c>
      <c r="AL229" s="152"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2" t="str">
        <f>IF(AND(ISNUMBER( SnapshotTable[[#This Row],[Long Term Target]]), ISNUMBER(SnapshotTable[[#This Row],[Last Price]])),(SnapshotTable[[#This Row],[Long Term Target]] - SnapshotTable[[#This Row],[Last Price]]) / SnapshotTable[[#This Row],[Last Price]], "")</f>
        <v/>
      </c>
      <c r="AP229" s="5"/>
      <c r="AQ229" s="38"/>
      <c r="AR229" s="5"/>
      <c r="AS229" s="38"/>
      <c r="AT229" s="146"/>
      <c r="AU229" s="187" t="str">
        <f>IF(OR(SnapshotTable[[#This Row],[LP No Fill]]="Y",SnapshotTable[[#This Row],[SP Is Filled]],SnapshotTable[[#This Row],[LC Not Filled]]="Y",SnapshotTable[[#This Row],[SC Is Filled]]),"Y","")</f>
        <v>Y</v>
      </c>
      <c r="AV229" s="219"/>
      <c r="AW229" s="225"/>
      <c r="AX229" s="220"/>
      <c r="AY229" s="219" t="str">
        <f>IF(SnapshotTable[[#This Row],[Implied Move]]&gt;0, SnapshotTable[[#This Row],[Last Price]]-SnapshotTable[[#This Row],[Implied Move]],"")</f>
        <v/>
      </c>
      <c r="AZ229" s="219" t="str">
        <f>IF(SnapshotTable[[#This Row],[Implied Move]]&gt;0, SnapshotTable[[#This Row],[Last Price]] + SnapshotTable[[#This Row],[Implied Move]],"")</f>
        <v/>
      </c>
      <c r="BA229" s="331">
        <v>14.95</v>
      </c>
      <c r="BB229" s="347"/>
      <c r="BC22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9" s="351"/>
      <c r="BE229" s="5"/>
      <c r="BF229" s="14"/>
      <c r="BG229" s="13"/>
      <c r="BH229" s="13"/>
      <c r="BI229" s="5"/>
      <c r="BJ229" s="136">
        <f>IF(SnapshotTable[[#This Row],[LP Qty]] &gt; 0, SnapshotTable[[#This Row],[LP Qty]] * SnapshotTable[[#This Row],[LP Book Price]] * 100,0)</f>
        <v>0</v>
      </c>
      <c r="BK229" s="136">
        <f>IF(SnapshotTable[[#This Row],[LP Premium]] &gt; 0, SnapshotTable[[#This Row],[LP Qty]] * SnapshotTable[[#This Row],[LP Strike Price]] * 100,0)</f>
        <v>0</v>
      </c>
      <c r="BL229" s="154"/>
      <c r="BM229" s="385" t="str">
        <f>IF(SnapshotTable[[#This Row],[LP Premium]] &gt; 0,SnapshotTable[[#This Row],[LP Exp Date]]-MAX(SnapshotTable[[#This Row],[LP Book Date]], SnapshotTable[[#This Row],[LP Fill Date]]),"")</f>
        <v/>
      </c>
      <c r="BN229" s="385" t="str">
        <f>IF(ISNUMBER( SnapshotTable[[#This Row],[LP Term]]), SnapshotTable[[#This Row],[LP Exp Date]] - MockToday,"")</f>
        <v/>
      </c>
      <c r="BO229" s="163"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v>46220</v>
      </c>
      <c r="BR229" s="5">
        <v>16</v>
      </c>
      <c r="BS229" s="36">
        <v>10</v>
      </c>
      <c r="BT229" s="147">
        <v>46169</v>
      </c>
      <c r="BU229" s="13">
        <v>46169</v>
      </c>
      <c r="BV229" s="5">
        <v>1.1399999999999999</v>
      </c>
      <c r="BW229" s="419" t="b">
        <f>AND(ISNUMBER(SnapshotTable[[#This Row],[SP Exp Date]]), ISNUMBER(SnapshotTable[[#This Row],[SP Strike Price]]), ISNUMBER(SnapshotTable[[#This Row],[SP Qty]]), ISNUMBER(SnapshotTable[[#This Row],[SP Book Date]]), ISNUMBER(SnapshotTable[[#This Row],[SP Book Price]]))</f>
        <v>1</v>
      </c>
      <c r="BX229" s="419" t="b">
        <f>AND(SnapshotTable[[#This Row],[SP Is Booked]], NOT(ISBLANK(SnapshotTable[[#This Row],[SP Fill Date]])))</f>
        <v>1</v>
      </c>
      <c r="BY229" s="33">
        <f>IF(SnapshotTable[[#This Row],[SP Is Booked]], SnapshotTable[[#This Row],[SP Qty]] * SnapshotTable[[#This Row],[SP Book Price]] * 100, 0)</f>
        <v>1139.9999999999998</v>
      </c>
      <c r="BZ229" s="369">
        <v>0.25</v>
      </c>
      <c r="CA229" s="368">
        <f>SnapshotTable[[#This Row],[LP Qty]]</f>
        <v>0</v>
      </c>
      <c r="CB229" s="4">
        <f>IF(SnapshotTable[[#This Row],[SP Is Booked]], SnapshotTable[[#This Row],[SP Strike Price]] - SnapshotTable[[#This Row],[SP Book Price]], "")</f>
        <v>14.86</v>
      </c>
      <c r="CC229" s="19">
        <f>IF(SnapshotTable[[#This Row],[SP Is Booked]],SnapshotTable[[#This Row],[SP Exp Date]]-MAX(SnapshotTable[[#This Row],[SP Book Date]], SnapshotTable[[#This Row],[SP Fill Date]]),"")</f>
        <v>51</v>
      </c>
      <c r="CD229" s="7">
        <f>IF(SnapshotTable[[#This Row],[SP Is Booked]], SnapshotTable[[#This Row],[SP Book Price]]/SnapshotTable[[#This Row],[SP Strike Price]], "")</f>
        <v>7.1249999999999994E-2</v>
      </c>
      <c r="CE229" s="7">
        <f>IF(ISNUMBER(SnapshotTable[[#This Row],[SP ROO Term]]),SnapshotTable[[#This Row],[SP ROO Term]]*(365/SnapshotTable[[#This Row],[SP Term]]),"")</f>
        <v>0.50992647058823526</v>
      </c>
      <c r="CF229" s="236">
        <f>SnapshotTable[[#This Row],[LP Strike Price]] * SnapshotTable[[#This Row],[LP Qty]] * 100</f>
        <v>0</v>
      </c>
      <c r="CG229" s="31">
        <f>IF(ISNUMBER(SnapshotTable[[#This Row],[SP Premium]]), (SnapshotTable[[#This Row],[SP Qty]] * SnapshotTable[[#This Row],[SP Strike Price]]* 100) - SnapshotTable[[#This Row],[LP Protection]], 0)</f>
        <v>16000</v>
      </c>
      <c r="CH229" s="7">
        <f>IF(ISNUMBER(SnapshotTable[[#This Row],[SP Break Even]]),-1 * (SnapshotTable[[#This Row],[SP Break Even]] - SnapshotTable[[#This Row],[Last Price]]) / SnapshotTable[[#This Row],[Last Price]], "")</f>
        <v>-0.31504424778761048</v>
      </c>
      <c r="CI229" s="31">
        <f>IF(AND(ISNUMBER((SnapshotTable[[#This Row],[SP Potential Spend]])), SnapshotTable[[#This Row],[SP Strike Price]] &gt; SnapshotTable[[#This Row],[Last Price]], SnapshotTable[[#This Row],[SP Is Filled]]), SnapshotTable[[#This Row],[SP Potential Spend]] -  SnapshotTable[[#This Row],[LP Max Value]], 0)</f>
        <v>16000</v>
      </c>
      <c r="CJ229" s="244"/>
      <c r="CK229" s="31">
        <f>IF(ISNUMBER(SnapshotTable[[#This Row],[SP Potential Spend]]),IF(ISNUMBER(SnapshotTable[[#This Row],[SP POW]]), SnapshotTable[[#This Row],[SP POW]] * SnapshotTable[[#This Row],[SP Potential Spend]], SnapshotTable[[#This Row],[SP Potential Spend]]), "")</f>
        <v>16000</v>
      </c>
      <c r="CL229" s="164" t="str">
        <f>IF(NOT(SnapshotTable[[#This Row],[SP Is Filled]]),(SnapshotTable[[#This Row],[SP Qty]] * SnapshotTable[[#This Row],[SP Strike Price]] * 100) - SnapshotTable[[#This Row],[LP Max Value]],"")</f>
        <v/>
      </c>
      <c r="CM229" s="31">
        <f>IF(SnapshotTable[[#This Row],[SP Actual Spend]]&lt;&gt;0, ((SnapshotTable[[#This Row],[SP Strike Price]]-SnapshotTable[[#This Row],[Last Price]]) *(SnapshotTable[[#This Row],[SP Qty]]*100) - SnapshotTable[[#This Row],[SP Premium]]) * - 1, "")</f>
        <v>-3559.9999999999991</v>
      </c>
      <c r="CN229" s="78">
        <v>1.1200000000000001</v>
      </c>
      <c r="CO229" s="369">
        <v>0.27</v>
      </c>
      <c r="CP229" s="4" t="e">
        <f ca="1">IF(SnapshotTable[[#This Row],[SP Is Filled]], btc_max_buyback_amount(SnapshotTable[[#This Row],[SP Fill Date]],SnapshotTable[[#This Row],[SP Exp Date]], SnapshotTable[[#This Row],[SP Book Price]]),"")</f>
        <v>#NAME?</v>
      </c>
      <c r="CQ229" s="78"/>
      <c r="CR22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9" s="155" t="e">
        <f ca="1">IF(SnapshotTable[[#This Row],[SP Is Filled]], btc_next_cutoff_date(SnapshotTable[[#This Row],[SP Fill Date]],SnapshotTable[[#This Row],[SP Exp Date]]),"")</f>
        <v>#NAME?</v>
      </c>
      <c r="CT229" s="235" t="e" cm="1">
        <f t="array" aca="1" ref="CT229" ca="1">IF(SnapshotTable[[#This Row],[SP Is Filled]], btc_should_buy_back(SnapshotTable[[#This Row],[SP Fill Date]], SnapshotTable[[#This Row],[SP Exp Date]], SnapshotTable[[#This Row],[SP Book Price]], SnapshotTable[[#This Row],[SP Current Ask]], MockToday, SnapshotTable[[#This Row],[SP Buyback Override]]),"")</f>
        <v>#NAME?</v>
      </c>
      <c r="CU229" s="143">
        <v>46220</v>
      </c>
      <c r="CV229" s="235"/>
      <c r="CW229" s="378">
        <f ca="1">IF(ISNUMBER( SnapshotTable[[#This Row],[SP Term]]), SnapshotTable[[#This Row],[SP Exp Date]] - MockToday,"")</f>
        <v>-13</v>
      </c>
      <c r="CX229" s="31" t="e">
        <f ca="1">IF(SnapshotTable[[#This Row],[SP Is Filled]],SnapshotTable[[#This Row],[SP Buyback Price to Use]] * 100 * SnapshotTable[[#This Row],[SP Qty]], "")</f>
        <v>#NAME?</v>
      </c>
      <c r="CY229" s="4">
        <f>IF(ISNUMBER(SnapshotTable[[#This Row],[SP Strike Price]]), SnapshotTable[[#This Row],[SP Strike Price]] * (1 - SP_MaxLoss_StrikePct), "")</f>
        <v>15.52</v>
      </c>
      <c r="CZ229" s="31">
        <f>IF(ISNUMBER(SnapshotTable[[#This Row],[SP Strike  Stop Per Share]]),SnapshotTable[[#This Row],[SP Premium]] - ((SnapshotTable[[#This Row],[SP Strike Price]]-SnapshotTable[[#This Row],[SP Strike  Stop Per Share]]) *(SnapshotTable[[#This Row],[SP Qty]] * 100)),"")</f>
        <v>659.99999999999932</v>
      </c>
      <c r="DA229" s="4">
        <f>IF(AND(ISNUMBER(SnapshotTable[[#This Row],[SP Premium]]),SnapshotTable[[#This Row],[SP Premium]]&gt;0), SnapshotTable[[#This Row],[SP Book Price]] * (1 + SP_MaxLoss_OptionPct), "")</f>
        <v>1.71</v>
      </c>
      <c r="DB229" s="31">
        <f>IF(ISNUMBER(SnapshotTable[[#This Row],[SP Option  Stop Contract]]),(SnapshotTable[[#This Row],[SP Option  Stop Contract]] *(SnapshotTable[[#This Row],[SP Qty]] * 100) - SnapshotTable[[#This Row],[SP Premium]]),"")</f>
        <v>570.00000000000023</v>
      </c>
      <c r="DC229" s="4"/>
      <c r="DD229" s="4"/>
      <c r="DE229" s="4" t="str">
        <f>IF(AND(SnapshotTable[[#This Row],[SP Qty]]&gt;0, SnapshotTable[[#This Row],[SP Stop To Use]]&gt;0),SnapshotTable[[#This Row],[SP Premium]] - ( SnapshotTable[[#This Row],[SP Qty]] * SnapshotTable[[#This Row],[SP Stop To Use]] * 100), "")</f>
        <v/>
      </c>
      <c r="DF229" s="31">
        <f>IF(AND(SnapshotTable[[#This Row],[SP Qty]]&gt;0,SnapshotTable[[#This Row],[SP Current Ask]]&gt;0), SnapshotTable[[#This Row],[SP Qty]] * SnapshotTable[[#This Row],[SP Current Ask]] * -100, "")</f>
        <v>-1120</v>
      </c>
      <c r="DG229" s="31">
        <f>IF(ISNUMBER((SnapshotTable[[#This Row],[SP Total Value]])), SnapshotTable[[#This Row],[SP Premium]] + SnapshotTable[[#This Row],[SP Total Value]], "")</f>
        <v>19.999999999999773</v>
      </c>
      <c r="DH229" s="294">
        <f>IF(ISNUMBER((SnapshotTable[[#This Row],[SP Total Value]])), SnapshotTable[[#This Row],[SP Gain Loss]] / SnapshotTable[[#This Row],[SP Premium]], "")</f>
        <v>1.7543859649122612E-2</v>
      </c>
      <c r="DI229" s="406"/>
      <c r="DJ229" s="138"/>
      <c r="DK229" s="148"/>
      <c r="DL229" s="147"/>
      <c r="DM229" s="13"/>
      <c r="DO229" s="31">
        <f>IF(SnapshotTable[[#This Row],[LC Symbol Count]]=1, SnapshotTable[[#This Row],[LC Qty]] * SnapshotTable[[#This Row],[LC Book Price]] * 100, 0)</f>
        <v>0</v>
      </c>
      <c r="DP229" s="163" t="str">
        <f>IF(AND(SnapshotTable[[#This Row],[LC Exp Date]]&gt;0, SnapshotTable[[#This Row],[LC Strike Price]]&gt;0,SnapshotTable[[#This Row],[LC Qty]]&gt;0,SnapshotTable[[#This Row],[LC Book Date]]&gt;0,SnapshotTable[[#This Row],[LC Book Price]]&gt;0,SnapshotTable[[#This Row],[LC Fill Date]]=0),"Y","")</f>
        <v/>
      </c>
      <c r="DQ229" s="386" t="str">
        <f>IF(SnapshotTable[[#This Row],[LC Premium]] &gt; 0,SnapshotTable[[#This Row],[LC Exp Date]]-MAX(SnapshotTable[[#This Row],[LC Book Date]], SnapshotTable[[#This Row],[LC Fill Date]]),"")</f>
        <v/>
      </c>
      <c r="DR229" s="386" t="str">
        <f>IF(ISNUMBER(SnapshotTable[[#This Row],[LC Term]]), SnapshotTable[[#This Row],[LC Exp Date]] - MockToday, "")</f>
        <v/>
      </c>
      <c r="DS229" s="23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40" t="str">
        <f>IF(ISNUMBER(SnapshotTable[[#This Row],[LC Actual Gain Loss]]), SnapshotTable[[#This Row],[LC Actual Gain Loss]] / SnapshotTable[[#This Row],[LC Premium]],"")</f>
        <v/>
      </c>
      <c r="DX229" s="284" t="str">
        <f>IF(ISNUMBER(SnapshotTable[[#This Row],[LC Book Price]]),SnapshotTable[[#This Row],[LC Book Price]] * 1.5,"")</f>
        <v/>
      </c>
      <c r="DY229" s="265" t="str">
        <f>IF(SnapshotTable[[#This Row],[LC Premium]]&gt;0, SnapshotTable[[#This Row],[LC Next Target]] * SnapshotTable[[#This Row],[LC Qty]] * 100,"")</f>
        <v/>
      </c>
      <c r="DZ229" s="265" t="str">
        <f>IF(ISNUMBER(SnapshotTable[[#This Row],[LC Target Gross]]), SnapshotTable[[#This Row],[LC Target Gross]] - SnapshotTable[[#This Row],[LC Premium]], "")</f>
        <v/>
      </c>
      <c r="EA229" s="305" t="str">
        <f>IF(ISNUMBER(SnapshotTable[[#This Row],[LC Target Gain Loss]]), SnapshotTable[[#This Row],[LC Target Gain Loss]]/SnapshotTable[[#This Row],[LC Premium]], "")</f>
        <v/>
      </c>
      <c r="EB229" s="262"/>
      <c r="EC229" s="283" t="str">
        <f>IF(SnapshotTable[[#This Row],[LC Premium]]&gt;0, SnapshotTable[[#This Row],[LC Book Price]] * (1 - LC_StopLoss_Pct),"")</f>
        <v/>
      </c>
      <c r="ED229" s="284"/>
      <c r="EE229" s="28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4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7"/>
      <c r="EL229" s="138"/>
      <c r="EM229" s="148"/>
      <c r="EN229" s="147"/>
      <c r="EO229" s="147"/>
      <c r="EP229" s="138"/>
      <c r="EQ229" s="419" t="b">
        <f>AND(ISNUMBER(SnapshotTable[[#This Row],[SC Exp Date]]), ISNUMBER(SnapshotTable[[#This Row],[SC Strike Price]]), ISNUMBER(SnapshotTable[[#This Row],[SC Qty]]), ISNUMBER(SnapshotTable[[#This Row],[SC Book Date]]), ISNUMBER(SnapshotTable[[#This Row],[SC Book Price]]))</f>
        <v>0</v>
      </c>
      <c r="ER229" s="419" t="b">
        <f>AND(SnapshotTable[[#This Row],[SC Is Booked]], NOT(ISBLANK(SnapshotTable[[#This Row],[SC Fill Date]])))</f>
        <v>0</v>
      </c>
      <c r="ES229" s="370"/>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3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283"/>
      <c r="FA229" s="218"/>
      <c r="FB229" s="370"/>
      <c r="FC229" s="4">
        <f>IF(SnapshotTable[[#This Row],[SC Is Filled]], btc_max_buyback_amount(SnapshotTable[[#This Row],[SC Fill Date]],SnapshotTable[[#This Row],[SC Exp Date]], SnapshotTable[[#This Row],[SC Book Price]]),0)</f>
        <v>0</v>
      </c>
      <c r="FD229" s="5"/>
      <c r="FE229" s="144"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382">
        <f>IF(SnapshotTable[[#This Row],[SC Is Filled]], IF(ISNUMBER(SnapshotTable[[#This Row],[SC Current Ask]]), SnapshotTable[[#This Row],[SC Current Ask]], SnapshotTable[[#This Row],[SC Book Price]]) - SnapshotTable[[#This Row],[SC Intrinsic Value]], 0)</f>
        <v>0</v>
      </c>
      <c r="FI229" s="143"/>
      <c r="FJ229" s="32" t="str">
        <f>IF(SnapshotTable[[#This Row],[SC Is Filled]],100 * SnapshotTable[[#This Row],[SC Qty]] * IF(ISNUMBER(SnapshotTable[[#This Row],[SC Buyback Override]]), SnapshotTable[[#This Row],[SC Buyback Override]], SnapshotTable[[#This Row],[SC Current Ask]]), "")</f>
        <v/>
      </c>
      <c r="FK229" s="250" t="str">
        <f>IF(SnapshotTable[[#This Row],[SC Time Val]]&gt;0, SnapshotTable[[#This Row],[SC Time Val]] / SnapshotTable[[#This Row],[Last Price]],"")</f>
        <v/>
      </c>
      <c r="FL229" s="302" t="str">
        <f>IF(SnapshotTable[[#This Row],[SC Is Booked]], ((SnapshotTable[[#This Row],[Last Price]] -SnapshotTable[[#This Row],[SC Strike Price]]) / SnapshotTable[[#This Row],[Last Price]]) * -1, "")</f>
        <v/>
      </c>
      <c r="FM229" s="157" t="str">
        <f>IF(SnapshotTable[[#This Row],[SC Is Booked]],  (SnapshotTable[[#This Row],[SC Qty]] * 100 * SnapshotTable[[#This Row],[SC Strike Price]]) - SnapshotTable[[#This Row],[SC Current Ask]], "")</f>
        <v/>
      </c>
      <c r="FN2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31"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33"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36" t="str">
        <f>IF(AND(ISNUMBER(SnapshotTable[[#This Row],[SC Simple ROO]]),SnapshotTable[[#This Row],[SC Simple ROO]] &gt; 0), SnapshotTable[[#This Row],[SC Premium]] + (SnapshotTable[[#This Row],[SC Qty]] * SnapshotTable[[#This Row],[SC Upside Potential]]), "")</f>
        <v/>
      </c>
      <c r="FX229" s="302" t="str" cm="1">
        <f t="array" ref="FX229">IF(ISNUMBER(SnapshotTable[[#This Row],[SC Max Dollars]]), annualize(SnapshotTable[[#This Row],[SC Term]],(SnapshotTable[[#This Row],[SC Max Dollars]]/SnapshotTable[[#This Row],[SC Basis]])),"")</f>
        <v/>
      </c>
      <c r="FY229" s="236" t="str">
        <f>IF(AND(SnapshotTable[[#This Row],[SC Qty]]&gt;0,SnapshotTable[[#This Row],[SC Current Ask]]&gt;0), SnapshotTable[[#This Row],[SC Qty]] * SnapshotTable[[#This Row],[SC Current Ask]] * -100, "")</f>
        <v/>
      </c>
      <c r="FZ229" s="31" t="str">
        <f>IF(ISNUMBER((SnapshotTable[[#This Row],[SC Current Value]])), SnapshotTable[[#This Row],[SC Premium]] + SnapshotTable[[#This Row],[SC Current Value]], "")</f>
        <v/>
      </c>
      <c r="GA229" s="294" t="str">
        <f>IFERROR( IF(ISNUMBER((SnapshotTable[[#This Row],[SC Current Value]])), SnapshotTable[[#This Row],[SC Gain Loss]] / SnapshotTable[[#This Row],[SC Premium]], ""), "")</f>
        <v/>
      </c>
      <c r="GB229" s="42">
        <f>SnapshotTable[[#This Row],[Equity Shares]] * SaleSharesToConsiderPercentage</f>
        <v>0</v>
      </c>
      <c r="GC229" s="40">
        <f>SnapshotTable[[#This Row],[Long Term Target]] * SellingPriceToConsiderBasedOnTargetPercentage</f>
        <v>0</v>
      </c>
      <c r="GD229" s="40">
        <f>SnapshotTable[[#This Row],[Last Price]] * (1+ SellingPriceToConsiderBasedOnTargetPercentage)</f>
        <v>22.035</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27" t="str">
        <f>IF(SnapshotTable[[#This Row],[Sale G/L]]&gt;0, SnapshotTable[[#This Row],[Sale G/L]] / SnapshotTable[[#This Row],[Sale Basis]], IF(ISNUMBER(SnapshotTable[[#This Row],[SC Exercise P&amp;L (TAX)]]), SnapshotTable[[#This Row],[SC Exercise P&amp;L (TAX)]] / SnapshotTable[[#This Row],[SC Basis]], ""))</f>
        <v/>
      </c>
      <c r="GK229" s="27"/>
      <c r="GL229" s="43"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UUUU260717P00016000</v>
      </c>
      <c r="GO229" s="30">
        <f>IF(LEN(SnapshotTable[[#This Row],[SP Symbol]])&gt;0, 1, "")</f>
        <v>1</v>
      </c>
      <c r="GP229" s="43" t="str">
        <f>IF(AND(SnapshotTable[[#This Row],[LC Exp Date]]&gt;0,SnapshotTable[[#This Row],[LC Strike Price]]&gt;0), [1]!ToOptionSymbol(SnapshotTable[[#This Row],[Symbol]], SnapshotTable[[#This Row],[LC Strike Price]],SnapshotTable[[#This Row],[LC Exp Date]],0), "")</f>
        <v/>
      </c>
      <c r="GQ229" s="30" t="str">
        <f>IF(LEN(SnapshotTable[[#This Row],[LC Symbol]])&gt;0, 1, "")</f>
        <v/>
      </c>
      <c r="GR229" s="43" t="str">
        <f>IF(AND(SnapshotTable[[#This Row],[SC Exp Date]]&gt;0,SnapshotTable[[#This Row],[SC Strike Price]]&gt;0), [1]!ToOptionSymbol(SnapshotTable[[#This Row],[Symbol]], SnapshotTable[[#This Row],[SC Strike Price]],SnapshotTable[[#This Row],[SC Exp Date]],0), "")</f>
        <v/>
      </c>
      <c r="GS229" s="30" t="str">
        <f>IF(LEN(SnapshotTable[[#This Row],[SC Symbol]])&gt;0, 1, "")</f>
        <v/>
      </c>
      <c r="GT229" s="29" t="str">
        <f>IF(COUNT(SnapshotTable[[#This Row],[LP Symbol Count]],SnapshotTable[[#This Row],[SP Symbol Count]],SnapshotTable[[#This Row],[LC Symbol Count]],SnapshotTable[[#This Row],[SC Symbol Count]])&gt;0, "Y", "")</f>
        <v>Y</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29" s="231">
        <f>MAX(SnapshotTable[[#This Row],[Equity Basis Total]],SnapshotTable[[#This Row],[Equity Value]]) + (SnapshotTable[[#This Row],[SP Potential Spend]]- SnapshotTable[[#This Row],[SP Premium]] + SnapshotTable[[#This Row],[LP Premium]])+ (SnapshotTable[[#This Row],[LC Premium]] - SnapshotTable[[#This Row],[SC Premium]])</f>
        <v>14860</v>
      </c>
      <c r="GW229" s="139">
        <f ca="1">IF(AND(SnapshotTable[[#This Row],[Exposure]] &lt;&gt; 0),SnapshotTable[[#This Row],[Exposure]] / SnapshotTable[[#Totals],[Exposure]], "")</f>
        <v>6.9946738806262412E-2</v>
      </c>
      <c r="HE229" s="268"/>
      <c r="HF229" s="268"/>
      <c r="HK229" s="1"/>
      <c r="HL229" s="1"/>
      <c r="HM229" s="1"/>
      <c r="HN229" s="1"/>
      <c r="HO229" s="1"/>
      <c r="HP229" s="1"/>
    </row>
    <row r="230" spans="2:224" ht="12.75" hidden="1" customHeight="1" x14ac:dyDescent="0.25">
      <c r="B230" s="12" t="s">
        <v>939</v>
      </c>
      <c r="C230" s="422">
        <v>41.13</v>
      </c>
      <c r="D230" s="208" t="s">
        <v>885</v>
      </c>
      <c r="E230" s="39">
        <f>SnapshotTable[[#This Row],[Last Price]]*(1 -CrashDiscount)</f>
        <v>34.960500000000003</v>
      </c>
      <c r="F230" s="26" t="s">
        <v>613</v>
      </c>
      <c r="G230" s="26" t="s">
        <v>9</v>
      </c>
      <c r="H230" s="149"/>
      <c r="I230" s="194">
        <v>44777.666666666664</v>
      </c>
      <c r="J230" s="195">
        <v>44777.666666666664</v>
      </c>
      <c r="K230" s="196"/>
      <c r="L230" s="326"/>
      <c r="M230" s="140"/>
      <c r="N230" s="140"/>
      <c r="O230" s="140"/>
      <c r="P230" s="22"/>
      <c r="Q230" s="25"/>
      <c r="R230" s="4" t="str">
        <f>IF(SnapshotTable[[#This Row],[Equity Basis Total]] &gt; 0, SnapshotTable[[#This Row],[Equity Basis Total]] / SnapshotTable[[#This Row],[Equity Shares]], "")</f>
        <v/>
      </c>
      <c r="S230" s="269">
        <f>SnapshotTable[[#This Row],[Last Price]] * SnapshotTable[[#This Row],[Equity Shares]]</f>
        <v>0</v>
      </c>
      <c r="T230" s="269">
        <f>SnapshotTable[[#This Row],[Equity Value]] - SnapshotTable[[#This Row],[Equity Basis Total]]</f>
        <v>0</v>
      </c>
      <c r="U230" s="270" t="str">
        <f>IF(SnapshotTable[[#This Row],[Equity Basis Total]] &gt; 0, SnapshotTable[[#This Row],[Equity G/L]] / SnapshotTable[[#This Row],[Equity Basis Total]], "")</f>
        <v/>
      </c>
      <c r="V230" s="268"/>
      <c r="W230" s="26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7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0"/>
      <c r="AD230" s="151"/>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1"/>
      <c r="AI230" s="5"/>
      <c r="AJ230" s="138" t="s">
        <v>164</v>
      </c>
      <c r="AK230" s="152" t="str">
        <f>IF(ISNUMBER( SnapshotTable[[#This Row],[EBF Target]]),(SnapshotTable[[#This Row],[EBF Target]] - SnapshotTable[[#This Row],[Last Price]]) / SnapshotTable[[#This Row],[Last Price]], "")</f>
        <v/>
      </c>
      <c r="AL230" s="152"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2" t="str">
        <f>IF(AND(ISNUMBER( SnapshotTable[[#This Row],[Long Term Target]]), ISNUMBER(SnapshotTable[[#This Row],[Last Price]])),(SnapshotTable[[#This Row],[Long Term Target]] - SnapshotTable[[#This Row],[Last Price]]) / SnapshotTable[[#This Row],[Last Price]], "")</f>
        <v/>
      </c>
      <c r="AP230" s="5">
        <v>25</v>
      </c>
      <c r="AQ230" s="38" t="s">
        <v>38</v>
      </c>
      <c r="AR230" s="5">
        <v>25</v>
      </c>
      <c r="AS230" s="38" t="s">
        <v>26</v>
      </c>
      <c r="AT230" s="146" t="s">
        <v>538</v>
      </c>
      <c r="AU230" s="187" t="str">
        <f>IF(OR(SnapshotTable[[#This Row],[LP No Fill]]="Y",SnapshotTable[[#This Row],[SP Is Filled]],SnapshotTable[[#This Row],[LC Not Filled]]="Y",SnapshotTable[[#This Row],[SC Is Filled]]),"Y","")</f>
        <v/>
      </c>
      <c r="AV230" s="219"/>
      <c r="AW230" s="225"/>
      <c r="AX230" s="220"/>
      <c r="AY230" s="219" t="str">
        <f>IF(SnapshotTable[[#This Row],[Implied Move]]&gt;0, SnapshotTable[[#This Row],[Last Price]]-SnapshotTable[[#This Row],[Implied Move]],"")</f>
        <v/>
      </c>
      <c r="AZ230" s="219" t="str">
        <f>IF(SnapshotTable[[#This Row],[Implied Move]]&gt;0, SnapshotTable[[#This Row],[Last Price]] + SnapshotTable[[#This Row],[Implied Move]],"")</f>
        <v/>
      </c>
      <c r="BA230" s="331"/>
      <c r="BB230" s="347"/>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51"/>
      <c r="BE230" s="5"/>
      <c r="BF230" s="14"/>
      <c r="BG230" s="13"/>
      <c r="BH230" s="13"/>
      <c r="BI230" s="5"/>
      <c r="BJ230" s="136">
        <f>IF(SnapshotTable[[#This Row],[LP Qty]] &gt; 0, SnapshotTable[[#This Row],[LP Qty]] * SnapshotTable[[#This Row],[LP Book Price]] * 100,0)</f>
        <v>0</v>
      </c>
      <c r="BK230" s="136">
        <f>IF(SnapshotTable[[#This Row],[LP Premium]] &gt; 0, SnapshotTable[[#This Row],[LP Qty]] * SnapshotTable[[#This Row],[LP Strike Price]] * 100,0)</f>
        <v>0</v>
      </c>
      <c r="BL230" s="154"/>
      <c r="BM230" s="385" t="str">
        <f>IF(SnapshotTable[[#This Row],[LP Premium]] &gt; 0,SnapshotTable[[#This Row],[LP Exp Date]]-MAX(SnapshotTable[[#This Row],[LP Book Date]], SnapshotTable[[#This Row],[LP Fill Date]]),"")</f>
        <v/>
      </c>
      <c r="BN230" s="385" t="str">
        <f>IF(ISNUMBER( SnapshotTable[[#This Row],[LP Term]]), SnapshotTable[[#This Row],[LP Exp Date]] - MockToday,"")</f>
        <v/>
      </c>
      <c r="BO230" s="163"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7"/>
      <c r="BU230" s="13"/>
      <c r="BV230" s="5"/>
      <c r="BW230" s="419" t="b">
        <f>AND(ISNUMBER(SnapshotTable[[#This Row],[SP Exp Date]]), ISNUMBER(SnapshotTable[[#This Row],[SP Strike Price]]), ISNUMBER(SnapshotTable[[#This Row],[SP Qty]]), ISNUMBER(SnapshotTable[[#This Row],[SP Book Date]]), ISNUMBER(SnapshotTable[[#This Row],[SP Book Price]]))</f>
        <v>0</v>
      </c>
      <c r="BX230" s="419" t="b">
        <f>AND(SnapshotTable[[#This Row],[SP Is Booked]], NOT(ISBLANK(SnapshotTable[[#This Row],[SP Fill Date]])))</f>
        <v>0</v>
      </c>
      <c r="BY230" s="33">
        <f>IF(SnapshotTable[[#This Row],[SP Is Booked]], SnapshotTable[[#This Row],[SP Qty]] * SnapshotTable[[#This Row],[SP Book Price]] * 100, 0)</f>
        <v>0</v>
      </c>
      <c r="BZ230" s="369"/>
      <c r="CA230" s="368">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3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44"/>
      <c r="CK230" s="31">
        <f>IF(ISNUMBER(SnapshotTable[[#This Row],[SP Potential Spend]]),IF(ISNUMBER(SnapshotTable[[#This Row],[SP POW]]), SnapshotTable[[#This Row],[SP POW]] * SnapshotTable[[#This Row],[SP Potential Spend]], SnapshotTable[[#This Row],[SP Potential Spend]]), "")</f>
        <v>0</v>
      </c>
      <c r="CL230" s="164">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78"/>
      <c r="CO230" s="369"/>
      <c r="CP230" s="4" t="str">
        <f>IF(SnapshotTable[[#This Row],[SP Is Filled]], btc_max_buyback_amount(SnapshotTable[[#This Row],[SP Fill Date]],SnapshotTable[[#This Row],[SP Exp Date]], SnapshotTable[[#This Row],[SP Book Price]]),"")</f>
        <v/>
      </c>
      <c r="CQ230" s="78"/>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5" t="str">
        <f>IF(SnapshotTable[[#This Row],[SP Is Filled]], btc_next_cutoff_date(SnapshotTable[[#This Row],[SP Fill Date]],SnapshotTable[[#This Row],[SP Exp Date]]),"")</f>
        <v/>
      </c>
      <c r="CT230" s="23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43"/>
      <c r="CV230" s="235"/>
      <c r="CW230" s="378"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4"/>
      <c r="DD230" s="4"/>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294" t="str">
        <f>IF(ISNUMBER((SnapshotTable[[#This Row],[SP Total Value]])), SnapshotTable[[#This Row],[SP Gain Loss]] / SnapshotTable[[#This Row],[SP Premium]], "")</f>
        <v/>
      </c>
      <c r="DI230" s="406"/>
      <c r="DJ230" s="138"/>
      <c r="DK230" s="148"/>
      <c r="DL230" s="13"/>
      <c r="DM230" s="13"/>
      <c r="DO230" s="31">
        <f>IF(SnapshotTable[[#This Row],[LC Symbol Count]]=1, SnapshotTable[[#This Row],[LC Qty]] * SnapshotTable[[#This Row],[LC Book Price]] * 100, 0)</f>
        <v>0</v>
      </c>
      <c r="DP230" s="163" t="str">
        <f>IF(AND(SnapshotTable[[#This Row],[LC Exp Date]]&gt;0, SnapshotTable[[#This Row],[LC Strike Price]]&gt;0,SnapshotTable[[#This Row],[LC Qty]]&gt;0,SnapshotTable[[#This Row],[LC Book Date]]&gt;0,SnapshotTable[[#This Row],[LC Book Price]]&gt;0,SnapshotTable[[#This Row],[LC Fill Date]]=0),"Y","")</f>
        <v/>
      </c>
      <c r="DQ230" s="386" t="str">
        <f>IF(SnapshotTable[[#This Row],[LC Premium]] &gt; 0,SnapshotTable[[#This Row],[LC Exp Date]]-MAX(SnapshotTable[[#This Row],[LC Book Date]], SnapshotTable[[#This Row],[LC Fill Date]]),"")</f>
        <v/>
      </c>
      <c r="DR230" s="386" t="str">
        <f>IF(ISNUMBER(SnapshotTable[[#This Row],[LC Term]]), SnapshotTable[[#This Row],[LC Exp Date]] - MockToday, "")</f>
        <v/>
      </c>
      <c r="DS230" s="23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40" t="str">
        <f>IF(ISNUMBER(SnapshotTable[[#This Row],[LC Actual Gain Loss]]), SnapshotTable[[#This Row],[LC Actual Gain Loss]] / SnapshotTable[[#This Row],[LC Premium]],"")</f>
        <v/>
      </c>
      <c r="DX230" s="284" t="str">
        <f>IF(ISNUMBER(SnapshotTable[[#This Row],[LC Book Price]]),SnapshotTable[[#This Row],[LC Book Price]] * 1.5,"")</f>
        <v/>
      </c>
      <c r="DY230" s="265" t="str">
        <f>IF(SnapshotTable[[#This Row],[LC Premium]]&gt;0, SnapshotTable[[#This Row],[LC Next Target]] * SnapshotTable[[#This Row],[LC Qty]] * 100,"")</f>
        <v/>
      </c>
      <c r="DZ230" s="265" t="str">
        <f>IF(ISNUMBER(SnapshotTable[[#This Row],[LC Target Gross]]), SnapshotTable[[#This Row],[LC Target Gross]] - SnapshotTable[[#This Row],[LC Premium]], "")</f>
        <v/>
      </c>
      <c r="EA230" s="305" t="str">
        <f>IF(ISNUMBER(SnapshotTable[[#This Row],[LC Target Gain Loss]]), SnapshotTable[[#This Row],[LC Target Gain Loss]]/SnapshotTable[[#This Row],[LC Premium]], "")</f>
        <v/>
      </c>
      <c r="EB230" s="262"/>
      <c r="EC230" s="283" t="str">
        <f>IF(SnapshotTable[[#This Row],[LC Premium]]&gt;0, SnapshotTable[[#This Row],[LC Book Price]] * (1 - LC_StopLoss_Pct),"")</f>
        <v/>
      </c>
      <c r="ED230" s="284"/>
      <c r="EE230" s="28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4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7"/>
      <c r="EL230" s="138"/>
      <c r="EM230" s="148"/>
      <c r="EN230" s="147"/>
      <c r="EO230" s="147"/>
      <c r="EP230" s="138"/>
      <c r="EQ230" s="419" t="b">
        <f>AND(ISNUMBER(SnapshotTable[[#This Row],[SC Exp Date]]), ISNUMBER(SnapshotTable[[#This Row],[SC Strike Price]]), ISNUMBER(SnapshotTable[[#This Row],[SC Qty]]), ISNUMBER(SnapshotTable[[#This Row],[SC Book Date]]), ISNUMBER(SnapshotTable[[#This Row],[SC Book Price]]))</f>
        <v>0</v>
      </c>
      <c r="ER230" s="419" t="b">
        <f>AND(SnapshotTable[[#This Row],[SC Is Booked]], NOT(ISBLANK(SnapshotTable[[#This Row],[SC Fill Date]])))</f>
        <v>0</v>
      </c>
      <c r="ES230" s="370"/>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3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283"/>
      <c r="FA230" s="218"/>
      <c r="FB230" s="370"/>
      <c r="FC230" s="4">
        <f>IF(SnapshotTable[[#This Row],[SC Is Filled]], btc_max_buyback_amount(SnapshotTable[[#This Row],[SC Fill Date]],SnapshotTable[[#This Row],[SC Exp Date]], SnapshotTable[[#This Row],[SC Book Price]]),0)</f>
        <v>0</v>
      </c>
      <c r="FD230" s="5"/>
      <c r="FE230" s="144"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382">
        <f>IF(SnapshotTable[[#This Row],[SC Is Filled]], IF(ISNUMBER(SnapshotTable[[#This Row],[SC Current Ask]]), SnapshotTable[[#This Row],[SC Current Ask]], SnapshotTable[[#This Row],[SC Book Price]]) - SnapshotTable[[#This Row],[SC Intrinsic Value]], 0)</f>
        <v>0</v>
      </c>
      <c r="FI230" s="143"/>
      <c r="FJ230" s="32" t="str">
        <f>IF(SnapshotTable[[#This Row],[SC Is Filled]],100 * SnapshotTable[[#This Row],[SC Qty]] * IF(ISNUMBER(SnapshotTable[[#This Row],[SC Buyback Override]]), SnapshotTable[[#This Row],[SC Buyback Override]], SnapshotTable[[#This Row],[SC Current Ask]]), "")</f>
        <v/>
      </c>
      <c r="FK230" s="250" t="str">
        <f>IF(SnapshotTable[[#This Row],[SC Time Val]]&gt;0, SnapshotTable[[#This Row],[SC Time Val]] / SnapshotTable[[#This Row],[Last Price]],"")</f>
        <v/>
      </c>
      <c r="FL230" s="302" t="str">
        <f>IF(SnapshotTable[[#This Row],[SC Is Booked]], ((SnapshotTable[[#This Row],[Last Price]] -SnapshotTable[[#This Row],[SC Strike Price]]) / SnapshotTable[[#This Row],[Last Price]]) * -1, "")</f>
        <v/>
      </c>
      <c r="FM230" s="157" t="str">
        <f>IF(SnapshotTable[[#This Row],[SC Is Booked]],  (SnapshotTable[[#This Row],[SC Qty]] * 100 * SnapshotTable[[#This Row],[SC Strike Price]]) - SnapshotTable[[#This Row],[SC Current Ask]], "")</f>
        <v/>
      </c>
      <c r="FN2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31"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33"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36" t="str">
        <f>IF(AND(ISNUMBER(SnapshotTable[[#This Row],[SC Simple ROO]]),SnapshotTable[[#This Row],[SC Simple ROO]] &gt; 0), SnapshotTable[[#This Row],[SC Premium]] + (SnapshotTable[[#This Row],[SC Qty]] * SnapshotTable[[#This Row],[SC Upside Potential]]), "")</f>
        <v/>
      </c>
      <c r="FX230" s="302" t="str" cm="1">
        <f t="array" ref="FX230">IF(ISNUMBER(SnapshotTable[[#This Row],[SC Max Dollars]]), annualize(SnapshotTable[[#This Row],[SC Term]],(SnapshotTable[[#This Row],[SC Max Dollars]]/SnapshotTable[[#This Row],[SC Basis]])),"")</f>
        <v/>
      </c>
      <c r="FY230" s="236" t="str">
        <f>IF(AND(SnapshotTable[[#This Row],[SC Qty]]&gt;0,SnapshotTable[[#This Row],[SC Current Ask]]&gt;0), SnapshotTable[[#This Row],[SC Qty]] * SnapshotTable[[#This Row],[SC Current Ask]] * -100, "")</f>
        <v/>
      </c>
      <c r="FZ230" s="31" t="str">
        <f>IF(ISNUMBER((SnapshotTable[[#This Row],[SC Current Value]])), SnapshotTable[[#This Row],[SC Premium]] + SnapshotTable[[#This Row],[SC Current Value]], "")</f>
        <v/>
      </c>
      <c r="GA230" s="294" t="str">
        <f>IFERROR( IF(ISNUMBER((SnapshotTable[[#This Row],[SC Current Value]])), SnapshotTable[[#This Row],[SC Gain Loss]] / SnapshotTable[[#This Row],[SC Premium]], ""), "")</f>
        <v/>
      </c>
      <c r="GB230" s="42">
        <f>SnapshotTable[[#This Row],[Equity Shares]] * SaleSharesToConsiderPercentage</f>
        <v>0</v>
      </c>
      <c r="GC230" s="40" t="e">
        <f>SnapshotTable[[#This Row],[Long Term Target]] * SellingPriceToConsiderBasedOnTargetPercentage</f>
        <v>#VALUE!</v>
      </c>
      <c r="GD230" s="40">
        <f>SnapshotTable[[#This Row],[Last Price]] * (1+ SellingPriceToConsiderBasedOnTargetPercentage)</f>
        <v>80.203500000000005</v>
      </c>
      <c r="GE230" s="41"/>
      <c r="GF230" s="40"/>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27" t="str">
        <f>IF(SnapshotTable[[#This Row],[Sale G/L]]&gt;0, SnapshotTable[[#This Row],[Sale G/L]] / SnapshotTable[[#This Row],[Sale Basis]], IF(ISNUMBER(SnapshotTable[[#This Row],[SC Exercise P&amp;L (TAX)]]), SnapshotTable[[#This Row],[SC Exercise P&amp;L (TAX)]] / SnapshotTable[[#This Row],[SC Basis]], ""))</f>
        <v/>
      </c>
      <c r="GK230" s="27"/>
      <c r="GL230" s="43"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43" t="str">
        <f>IF(AND(SnapshotTable[[#This Row],[LC Exp Date]]&gt;0,SnapshotTable[[#This Row],[LC Strike Price]]&gt;0), [1]!ToOptionSymbol(SnapshotTable[[#This Row],[Symbol]], SnapshotTable[[#This Row],[LC Strike Price]],SnapshotTable[[#This Row],[LC Exp Date]],0), "")</f>
        <v/>
      </c>
      <c r="GQ230" s="30" t="str">
        <f>IF(LEN(SnapshotTable[[#This Row],[LC Symbol]])&gt;0, 1, "")</f>
        <v/>
      </c>
      <c r="GR230" s="43" t="str">
        <f>IF(AND(SnapshotTable[[#This Row],[SC Exp Date]]&gt;0,SnapshotTable[[#This Row],[SC Strike Price]]&gt;0), [1]!ToOptionSymbol(SnapshotTable[[#This Row],[Symbol]], SnapshotTable[[#This Row],[SC Strike Price]],SnapshotTable[[#This Row],[SC Exp Date]],0), "")</f>
        <v/>
      </c>
      <c r="GS230" s="30" t="str">
        <f>IF(LEN(SnapshotTable[[#This Row],[SC Symbol]])&gt;0, 1, "")</f>
        <v/>
      </c>
      <c r="GT230" s="29"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31">
        <f>MAX(SnapshotTable[[#This Row],[Equity Basis Total]],SnapshotTable[[#This Row],[Equity Value]]) + (SnapshotTable[[#This Row],[SP Potential Spend]]- SnapshotTable[[#This Row],[SP Premium]] + SnapshotTable[[#This Row],[LP Premium]])+ (SnapshotTable[[#This Row],[LC Premium]] - SnapshotTable[[#This Row],[SC Premium]])</f>
        <v>0</v>
      </c>
      <c r="GW230" s="139" t="str">
        <f>IF(AND(SnapshotTable[[#This Row],[Exposure]] &lt;&gt; 0),SnapshotTable[[#This Row],[Exposure]] / SnapshotTable[[#Totals],[Exposure]], "")</f>
        <v/>
      </c>
      <c r="GX230" s="5"/>
      <c r="HE230" s="268"/>
      <c r="HF230" s="268"/>
      <c r="HK230" s="1"/>
      <c r="HL230" s="1"/>
      <c r="HM230" s="1"/>
      <c r="HN230" s="1"/>
      <c r="HO230" s="1"/>
      <c r="HP230" s="1"/>
    </row>
    <row r="231" spans="2:224" ht="12.75" hidden="1" customHeight="1" x14ac:dyDescent="0.25">
      <c r="B231" s="12" t="s">
        <v>1013</v>
      </c>
      <c r="C231" s="422">
        <v>6.78</v>
      </c>
      <c r="D231" s="208" t="s">
        <v>578</v>
      </c>
      <c r="E231" s="39">
        <f>SnapshotTable[[#This Row],[Last Price]]*(1 -CrashDiscount)</f>
        <v>5.7629999999999999</v>
      </c>
      <c r="F231" s="26" t="s">
        <v>905</v>
      </c>
      <c r="G231" s="26" t="s">
        <v>610</v>
      </c>
      <c r="H231" s="149"/>
      <c r="I231" s="194">
        <v>44776.670138888891</v>
      </c>
      <c r="J231" s="195">
        <v>44776.670138888891</v>
      </c>
      <c r="K231" s="196" t="s">
        <v>3</v>
      </c>
      <c r="L231" s="326"/>
      <c r="M231" s="140"/>
      <c r="N231" s="140"/>
      <c r="O231" s="140"/>
      <c r="P231" s="22"/>
      <c r="Q231" s="25"/>
      <c r="R231" s="4" t="str">
        <f>IF(SnapshotTable[[#This Row],[Equity Basis Total]] &gt; 0, SnapshotTable[[#This Row],[Equity Basis Total]] / SnapshotTable[[#This Row],[Equity Shares]], "")</f>
        <v/>
      </c>
      <c r="S231" s="269">
        <f>SnapshotTable[[#This Row],[Last Price]] * SnapshotTable[[#This Row],[Equity Shares]]</f>
        <v>0</v>
      </c>
      <c r="T231" s="269">
        <f>SnapshotTable[[#This Row],[Equity Value]] - SnapshotTable[[#This Row],[Equity Basis Total]]</f>
        <v>0</v>
      </c>
      <c r="U231" s="270" t="str">
        <f>IF(SnapshotTable[[#This Row],[Equity Basis Total]] &gt; 0, SnapshotTable[[#This Row],[Equity G/L]] / SnapshotTable[[#This Row],[Equity Basis Total]], "")</f>
        <v/>
      </c>
      <c r="V231" s="268">
        <v>57</v>
      </c>
      <c r="W231" s="268">
        <v>35</v>
      </c>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7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0"/>
      <c r="AD231" s="151"/>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1"/>
      <c r="AI231" s="5"/>
      <c r="AJ231" s="138">
        <v>23.33</v>
      </c>
      <c r="AK231" s="152" t="str">
        <f>IF(ISNUMBER( SnapshotTable[[#This Row],[EBF Target]]),(SnapshotTable[[#This Row],[EBF Target]] - SnapshotTable[[#This Row],[Last Price]]) / SnapshotTable[[#This Row],[Last Price]], "")</f>
        <v/>
      </c>
      <c r="AL231" s="152"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2">
        <f>IF(AND(ISNUMBER( SnapshotTable[[#This Row],[Long Term Target]]), ISNUMBER(SnapshotTable[[#This Row],[Last Price]])),(SnapshotTable[[#This Row],[Long Term Target]] - SnapshotTable[[#This Row],[Last Price]]) / SnapshotTable[[#This Row],[Last Price]], "")</f>
        <v>2.441002949852507</v>
      </c>
      <c r="AP231" s="5">
        <v>25</v>
      </c>
      <c r="AQ231" s="38" t="s">
        <v>89</v>
      </c>
      <c r="AR231" s="5">
        <v>19.850000000000001</v>
      </c>
      <c r="AS231" s="38" t="s">
        <v>32</v>
      </c>
      <c r="AT231" s="146"/>
      <c r="AU231" s="187" t="str">
        <f>IF(OR(SnapshotTable[[#This Row],[LP No Fill]]="Y",SnapshotTable[[#This Row],[SP Is Filled]],SnapshotTable[[#This Row],[LC Not Filled]]="Y",SnapshotTable[[#This Row],[SC Is Filled]]),"Y","")</f>
        <v/>
      </c>
      <c r="AV231" s="219"/>
      <c r="AW231" s="225"/>
      <c r="AX231" s="220"/>
      <c r="AY231" s="219" t="str">
        <f>IF(SnapshotTable[[#This Row],[Implied Move]]&gt;0, SnapshotTable[[#This Row],[Last Price]]-SnapshotTable[[#This Row],[Implied Move]],"")</f>
        <v/>
      </c>
      <c r="AZ231" s="219" t="str">
        <f>IF(SnapshotTable[[#This Row],[Implied Move]]&gt;0, SnapshotTable[[#This Row],[Last Price]] + SnapshotTable[[#This Row],[Implied Move]],"")</f>
        <v/>
      </c>
      <c r="BA231" s="331">
        <v>21.92</v>
      </c>
      <c r="BB231" s="347"/>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51"/>
      <c r="BE231" s="5"/>
      <c r="BF231" s="14"/>
      <c r="BG231" s="13"/>
      <c r="BH231" s="13"/>
      <c r="BI231" s="5"/>
      <c r="BJ231" s="136">
        <f>IF(SnapshotTable[[#This Row],[LP Qty]] &gt; 0, SnapshotTable[[#This Row],[LP Qty]] * SnapshotTable[[#This Row],[LP Book Price]] * 100,0)</f>
        <v>0</v>
      </c>
      <c r="BK231" s="136">
        <f>IF(SnapshotTable[[#This Row],[LP Premium]] &gt; 0, SnapshotTable[[#This Row],[LP Qty]] * SnapshotTable[[#This Row],[LP Strike Price]] * 100,0)</f>
        <v>0</v>
      </c>
      <c r="BL231" s="154"/>
      <c r="BM231" s="385" t="str">
        <f>IF(SnapshotTable[[#This Row],[LP Premium]] &gt; 0,SnapshotTable[[#This Row],[LP Exp Date]]-MAX(SnapshotTable[[#This Row],[LP Book Date]], SnapshotTable[[#This Row],[LP Fill Date]]),"")</f>
        <v/>
      </c>
      <c r="BN231" s="385" t="str">
        <f>IF(ISNUMBER( SnapshotTable[[#This Row],[LP Term]]), SnapshotTable[[#This Row],[LP Exp Date]] - MockToday,"")</f>
        <v/>
      </c>
      <c r="BO231" s="163"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7"/>
      <c r="BU231" s="13"/>
      <c r="BV231" s="5"/>
      <c r="BW231" s="419" t="b">
        <f>AND(ISNUMBER(SnapshotTable[[#This Row],[SP Exp Date]]), ISNUMBER(SnapshotTable[[#This Row],[SP Strike Price]]), ISNUMBER(SnapshotTable[[#This Row],[SP Qty]]), ISNUMBER(SnapshotTable[[#This Row],[SP Book Date]]), ISNUMBER(SnapshotTable[[#This Row],[SP Book Price]]))</f>
        <v>0</v>
      </c>
      <c r="BX231" s="419" t="b">
        <f>AND(SnapshotTable[[#This Row],[SP Is Booked]], NOT(ISBLANK(SnapshotTable[[#This Row],[SP Fill Date]])))</f>
        <v>0</v>
      </c>
      <c r="BY231" s="33">
        <f>IF(SnapshotTable[[#This Row],[SP Is Booked]], SnapshotTable[[#This Row],[SP Qty]] * SnapshotTable[[#This Row],[SP Book Price]] * 100, 0)</f>
        <v>0</v>
      </c>
      <c r="BZ231" s="369"/>
      <c r="CA231" s="368">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3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44"/>
      <c r="CK231" s="31">
        <f>IF(ISNUMBER(SnapshotTable[[#This Row],[SP Potential Spend]]),IF(ISNUMBER(SnapshotTable[[#This Row],[SP POW]]), SnapshotTable[[#This Row],[SP POW]] * SnapshotTable[[#This Row],[SP Potential Spend]], SnapshotTable[[#This Row],[SP Potential Spend]]), "")</f>
        <v>0</v>
      </c>
      <c r="CL231" s="164">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8"/>
      <c r="CO231" s="369"/>
      <c r="CP231" s="4" t="str">
        <f>IF(SnapshotTable[[#This Row],[SP Is Filled]], btc_max_buyback_amount(SnapshotTable[[#This Row],[SP Fill Date]],SnapshotTable[[#This Row],[SP Exp Date]], SnapshotTable[[#This Row],[SP Book Price]]),"")</f>
        <v/>
      </c>
      <c r="CQ231" s="78"/>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5" t="str">
        <f>IF(SnapshotTable[[#This Row],[SP Is Filled]], btc_next_cutoff_date(SnapshotTable[[#This Row],[SP Fill Date]],SnapshotTable[[#This Row],[SP Exp Date]]),"")</f>
        <v/>
      </c>
      <c r="CT231" s="23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3"/>
      <c r="CV231" s="235"/>
      <c r="CW231" s="378"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294" t="str">
        <f>IF(ISNUMBER((SnapshotTable[[#This Row],[SP Total Value]])), SnapshotTable[[#This Row],[SP Gain Loss]] / SnapshotTable[[#This Row],[SP Premium]], "")</f>
        <v/>
      </c>
      <c r="DI231" s="406"/>
      <c r="DJ231" s="138"/>
      <c r="DK231" s="148"/>
      <c r="DL231" s="13"/>
      <c r="DM231" s="13"/>
      <c r="DO231" s="31">
        <f>IF(SnapshotTable[[#This Row],[LC Symbol Count]]=1, SnapshotTable[[#This Row],[LC Qty]] * SnapshotTable[[#This Row],[LC Book Price]] * 100, 0)</f>
        <v>0</v>
      </c>
      <c r="DP231" s="163" t="str">
        <f>IF(AND(SnapshotTable[[#This Row],[LC Exp Date]]&gt;0, SnapshotTable[[#This Row],[LC Strike Price]]&gt;0,SnapshotTable[[#This Row],[LC Qty]]&gt;0,SnapshotTable[[#This Row],[LC Book Date]]&gt;0,SnapshotTable[[#This Row],[LC Book Price]]&gt;0,SnapshotTable[[#This Row],[LC Fill Date]]=0),"Y","")</f>
        <v/>
      </c>
      <c r="DQ231" s="386" t="str">
        <f>IF(SnapshotTable[[#This Row],[LC Premium]] &gt; 0,SnapshotTable[[#This Row],[LC Exp Date]]-MAX(SnapshotTable[[#This Row],[LC Book Date]], SnapshotTable[[#This Row],[LC Fill Date]]),"")</f>
        <v/>
      </c>
      <c r="DR231" s="386" t="str">
        <f>IF(ISNUMBER(SnapshotTable[[#This Row],[LC Term]]), SnapshotTable[[#This Row],[LC Exp Date]] - MockToday, "")</f>
        <v/>
      </c>
      <c r="DS231" s="23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40" t="str">
        <f>IF(ISNUMBER(SnapshotTable[[#This Row],[LC Actual Gain Loss]]), SnapshotTable[[#This Row],[LC Actual Gain Loss]] / SnapshotTable[[#This Row],[LC Premium]],"")</f>
        <v/>
      </c>
      <c r="DX231" s="284" t="str">
        <f>IF(ISNUMBER(SnapshotTable[[#This Row],[LC Book Price]]),SnapshotTable[[#This Row],[LC Book Price]] * 1.5,"")</f>
        <v/>
      </c>
      <c r="DY231" s="265" t="str">
        <f>IF(SnapshotTable[[#This Row],[LC Premium]]&gt;0, SnapshotTable[[#This Row],[LC Next Target]] * SnapshotTable[[#This Row],[LC Qty]] * 100,"")</f>
        <v/>
      </c>
      <c r="DZ231" s="265" t="str">
        <f>IF(ISNUMBER(SnapshotTable[[#This Row],[LC Target Gross]]), SnapshotTable[[#This Row],[LC Target Gross]] - SnapshotTable[[#This Row],[LC Premium]], "")</f>
        <v/>
      </c>
      <c r="EA231" s="305" t="str">
        <f>IF(ISNUMBER(SnapshotTable[[#This Row],[LC Target Gain Loss]]), SnapshotTable[[#This Row],[LC Target Gain Loss]]/SnapshotTable[[#This Row],[LC Premium]], "")</f>
        <v/>
      </c>
      <c r="EB231" s="262"/>
      <c r="EC231" s="283" t="str">
        <f>IF(SnapshotTable[[#This Row],[LC Premium]]&gt;0, SnapshotTable[[#This Row],[LC Book Price]] * (1 - LC_StopLoss_Pct),"")</f>
        <v/>
      </c>
      <c r="ED231" s="284"/>
      <c r="EE231" s="28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4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7"/>
      <c r="EL231" s="138"/>
      <c r="EM231" s="148"/>
      <c r="EN231" s="147"/>
      <c r="EO231" s="147"/>
      <c r="EP231" s="138"/>
      <c r="EQ231" s="419" t="b">
        <f>AND(ISNUMBER(SnapshotTable[[#This Row],[SC Exp Date]]), ISNUMBER(SnapshotTable[[#This Row],[SC Strike Price]]), ISNUMBER(SnapshotTable[[#This Row],[SC Qty]]), ISNUMBER(SnapshotTable[[#This Row],[SC Book Date]]), ISNUMBER(SnapshotTable[[#This Row],[SC Book Price]]))</f>
        <v>0</v>
      </c>
      <c r="ER231" s="419" t="b">
        <f>AND(SnapshotTable[[#This Row],[SC Is Booked]], NOT(ISBLANK(SnapshotTable[[#This Row],[SC Fill Date]])))</f>
        <v>0</v>
      </c>
      <c r="ES231" s="370"/>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3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283"/>
      <c r="FA231" s="218"/>
      <c r="FB231" s="370"/>
      <c r="FC231" s="4">
        <f>IF(SnapshotTable[[#This Row],[SC Is Filled]], btc_max_buyback_amount(SnapshotTable[[#This Row],[SC Fill Date]],SnapshotTable[[#This Row],[SC Exp Date]], SnapshotTable[[#This Row],[SC Book Price]]),0)</f>
        <v>0</v>
      </c>
      <c r="FD231" s="5"/>
      <c r="FE231" s="144"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382">
        <f>IF(SnapshotTable[[#This Row],[SC Is Filled]], IF(ISNUMBER(SnapshotTable[[#This Row],[SC Current Ask]]), SnapshotTable[[#This Row],[SC Current Ask]], SnapshotTable[[#This Row],[SC Book Price]]) - SnapshotTable[[#This Row],[SC Intrinsic Value]], 0)</f>
        <v>0</v>
      </c>
      <c r="FI231" s="143"/>
      <c r="FJ231" s="32" t="str">
        <f>IF(SnapshotTable[[#This Row],[SC Is Filled]],100 * SnapshotTable[[#This Row],[SC Qty]] * IF(ISNUMBER(SnapshotTable[[#This Row],[SC Buyback Override]]), SnapshotTable[[#This Row],[SC Buyback Override]], SnapshotTable[[#This Row],[SC Current Ask]]), "")</f>
        <v/>
      </c>
      <c r="FK231" s="250" t="str">
        <f>IF(SnapshotTable[[#This Row],[SC Time Val]]&gt;0, SnapshotTable[[#This Row],[SC Time Val]] / SnapshotTable[[#This Row],[Last Price]],"")</f>
        <v/>
      </c>
      <c r="FL231" s="302" t="str">
        <f>IF(SnapshotTable[[#This Row],[SC Is Booked]], ((SnapshotTable[[#This Row],[Last Price]] -SnapshotTable[[#This Row],[SC Strike Price]]) / SnapshotTable[[#This Row],[Last Price]]) * -1, "")</f>
        <v/>
      </c>
      <c r="FM231" s="157"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33"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36" t="str">
        <f>IF(AND(ISNUMBER(SnapshotTable[[#This Row],[SC Simple ROO]]),SnapshotTable[[#This Row],[SC Simple ROO]] &gt; 0), SnapshotTable[[#This Row],[SC Premium]] + (SnapshotTable[[#This Row],[SC Qty]] * SnapshotTable[[#This Row],[SC Upside Potential]]), "")</f>
        <v/>
      </c>
      <c r="FX231" s="302" t="str" cm="1">
        <f t="array" ref="FX231">IF(ISNUMBER(SnapshotTable[[#This Row],[SC Max Dollars]]), annualize(SnapshotTable[[#This Row],[SC Term]],(SnapshotTable[[#This Row],[SC Max Dollars]]/SnapshotTable[[#This Row],[SC Basis]])),"")</f>
        <v/>
      </c>
      <c r="FY231" s="23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29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22.163499999999999</v>
      </c>
      <c r="GD231" s="40">
        <f>SnapshotTable[[#This Row],[Last Price]] * (1+ SellingPriceToConsiderBasedOnTargetPercentage)</f>
        <v>13.221</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1019</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31">
        <f>MAX(SnapshotTable[[#This Row],[Equity Basis Total]],SnapshotTable[[#This Row],[Equity Value]]) + (SnapshotTable[[#This Row],[SP Potential Spend]]- SnapshotTable[[#This Row],[SP Premium]] + SnapshotTable[[#This Row],[LP Premium]])+ (SnapshotTable[[#This Row],[LC Premium]] - SnapshotTable[[#This Row],[SC Premium]])</f>
        <v>0</v>
      </c>
      <c r="GW231" s="139" t="str">
        <f>IF(AND(SnapshotTable[[#This Row],[Exposure]] &lt;&gt; 0),SnapshotTable[[#This Row],[Exposure]] / SnapshotTable[[#Totals],[Exposure]], "")</f>
        <v/>
      </c>
      <c r="HE231" s="268"/>
      <c r="HF231" s="268"/>
      <c r="HK231" s="1"/>
      <c r="HL231" s="1"/>
      <c r="HM231" s="1"/>
      <c r="HN231" s="1"/>
      <c r="HO231" s="1"/>
      <c r="HP231" s="1"/>
    </row>
    <row r="232" spans="2:224" ht="12.75" hidden="1" customHeight="1" x14ac:dyDescent="0.25">
      <c r="B232" s="12" t="s">
        <v>235</v>
      </c>
      <c r="C232" s="422">
        <v>143.69</v>
      </c>
      <c r="D232" s="208"/>
      <c r="E232" s="39">
        <f>SnapshotTable[[#This Row],[Last Price]]*(1 -CrashDiscount)</f>
        <v>122.1365</v>
      </c>
      <c r="F232" s="26" t="s">
        <v>234</v>
      </c>
      <c r="G232" s="26" t="s">
        <v>17</v>
      </c>
      <c r="H232" s="149"/>
      <c r="I232" s="194">
        <v>44775.270833333336</v>
      </c>
      <c r="J232" s="195">
        <v>44775.270833333336</v>
      </c>
      <c r="K232" s="196"/>
      <c r="L232" s="326"/>
      <c r="M232" s="140"/>
      <c r="N232" s="140"/>
      <c r="O232" s="140"/>
      <c r="P232" s="22"/>
      <c r="Q232" s="25"/>
      <c r="R232" s="4" t="str">
        <f>IF(SnapshotTable[[#This Row],[Equity Basis Total]] &gt; 0, SnapshotTable[[#This Row],[Equity Basis Total]] / SnapshotTable[[#This Row],[Equity Shares]], "")</f>
        <v/>
      </c>
      <c r="S232" s="269">
        <f>SnapshotTable[[#This Row],[Last Price]] * SnapshotTable[[#This Row],[Equity Shares]]</f>
        <v>0</v>
      </c>
      <c r="T232" s="269">
        <f>SnapshotTable[[#This Row],[Equity Value]] - SnapshotTable[[#This Row],[Equity Basis Total]]</f>
        <v>0</v>
      </c>
      <c r="U232" s="270" t="str">
        <f>IF(SnapshotTable[[#This Row],[Equity Basis Total]] &gt; 0, SnapshotTable[[#This Row],[Equity G/L]] / SnapshotTable[[#This Row],[Equity Basis Total]], "")</f>
        <v/>
      </c>
      <c r="V232" s="268"/>
      <c r="W232" s="26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7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0">
        <v>1</v>
      </c>
      <c r="AD232" s="151">
        <v>42359</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6.9594265432528363E-3</v>
      </c>
      <c r="AH232" s="151">
        <v>42243</v>
      </c>
      <c r="AI232" s="5"/>
      <c r="AJ232" s="138">
        <v>117.75</v>
      </c>
      <c r="AK232" s="152" t="str">
        <f>IF(ISNUMBER( SnapshotTable[[#This Row],[EBF Target]]),(SnapshotTable[[#This Row],[EBF Target]] - SnapshotTable[[#This Row],[Last Price]]) / SnapshotTable[[#This Row],[Last Price]], "")</f>
        <v/>
      </c>
      <c r="AL232" s="152"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2">
        <f>IF(AND(ISNUMBER( SnapshotTable[[#This Row],[Long Term Target]]), ISNUMBER(SnapshotTable[[#This Row],[Last Price]])),(SnapshotTable[[#This Row],[Long Term Target]] - SnapshotTable[[#This Row],[Last Price]]) / SnapshotTable[[#This Row],[Last Price]], "")</f>
        <v>-0.18052752453197854</v>
      </c>
      <c r="AP232" s="5"/>
      <c r="AQ232" s="38"/>
      <c r="AR232" s="5"/>
      <c r="AS232" s="38"/>
      <c r="AT232" s="146"/>
      <c r="AU232" s="187" t="str">
        <f>IF(OR(SnapshotTable[[#This Row],[LP No Fill]]="Y",SnapshotTable[[#This Row],[SP Is Filled]],SnapshotTable[[#This Row],[LC Not Filled]]="Y",SnapshotTable[[#This Row],[SC Is Filled]]),"Y","")</f>
        <v/>
      </c>
      <c r="AV232" s="219"/>
      <c r="AW232" s="225"/>
      <c r="AX232" s="220"/>
      <c r="AY232" s="219" t="str">
        <f>IF(SnapshotTable[[#This Row],[Implied Move]]&gt;0, SnapshotTable[[#This Row],[Last Price]]-SnapshotTable[[#This Row],[Implied Move]],"")</f>
        <v/>
      </c>
      <c r="AZ232" s="219" t="str">
        <f>IF(SnapshotTable[[#This Row],[Implied Move]]&gt;0, SnapshotTable[[#This Row],[Last Price]] + SnapshotTable[[#This Row],[Implied Move]],"")</f>
        <v/>
      </c>
      <c r="BA232" s="331"/>
      <c r="BB232" s="347"/>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51"/>
      <c r="BE232" s="5"/>
      <c r="BF232" s="14"/>
      <c r="BG232" s="13"/>
      <c r="BH232" s="13"/>
      <c r="BI232" s="5"/>
      <c r="BJ232" s="136">
        <f>IF(SnapshotTable[[#This Row],[LP Qty]] &gt; 0, SnapshotTable[[#This Row],[LP Qty]] * SnapshotTable[[#This Row],[LP Book Price]] * 100,0)</f>
        <v>0</v>
      </c>
      <c r="BK232" s="136">
        <f>IF(SnapshotTable[[#This Row],[LP Premium]] &gt; 0, SnapshotTable[[#This Row],[LP Qty]] * SnapshotTable[[#This Row],[LP Strike Price]] * 100,0)</f>
        <v>0</v>
      </c>
      <c r="BL232" s="154"/>
      <c r="BM232" s="385" t="str">
        <f>IF(SnapshotTable[[#This Row],[LP Premium]] &gt; 0,SnapshotTable[[#This Row],[LP Exp Date]]-MAX(SnapshotTable[[#This Row],[LP Book Date]], SnapshotTable[[#This Row],[LP Fill Date]]),"")</f>
        <v/>
      </c>
      <c r="BN232" s="385" t="str">
        <f>IF(ISNUMBER( SnapshotTable[[#This Row],[LP Term]]), SnapshotTable[[#This Row],[LP Exp Date]] - MockToday,"")</f>
        <v/>
      </c>
      <c r="BO232" s="163"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7"/>
      <c r="BU232" s="13"/>
      <c r="BV232" s="5"/>
      <c r="BW232" s="419" t="b">
        <f>AND(ISNUMBER(SnapshotTable[[#This Row],[SP Exp Date]]), ISNUMBER(SnapshotTable[[#This Row],[SP Strike Price]]), ISNUMBER(SnapshotTable[[#This Row],[SP Qty]]), ISNUMBER(SnapshotTable[[#This Row],[SP Book Date]]), ISNUMBER(SnapshotTable[[#This Row],[SP Book Price]]))</f>
        <v>0</v>
      </c>
      <c r="BX232" s="419" t="b">
        <f>AND(SnapshotTable[[#This Row],[SP Is Booked]], NOT(ISBLANK(SnapshotTable[[#This Row],[SP Fill Date]])))</f>
        <v>0</v>
      </c>
      <c r="BY232" s="33">
        <f>IF(SnapshotTable[[#This Row],[SP Is Booked]], SnapshotTable[[#This Row],[SP Qty]] * SnapshotTable[[#This Row],[SP Book Price]] * 100, 0)</f>
        <v>0</v>
      </c>
      <c r="BZ232" s="369"/>
      <c r="CA232" s="368">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3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44"/>
      <c r="CK232" s="31">
        <f>IF(ISNUMBER(SnapshotTable[[#This Row],[SP Potential Spend]]),IF(ISNUMBER(SnapshotTable[[#This Row],[SP POW]]), SnapshotTable[[#This Row],[SP POW]] * SnapshotTable[[#This Row],[SP Potential Spend]], SnapshotTable[[#This Row],[SP Potential Spend]]), "")</f>
        <v>0</v>
      </c>
      <c r="CL232" s="164">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8"/>
      <c r="CO232" s="369"/>
      <c r="CP232" s="4" t="str">
        <f>IF(SnapshotTable[[#This Row],[SP Is Filled]], btc_max_buyback_amount(SnapshotTable[[#This Row],[SP Fill Date]],SnapshotTable[[#This Row],[SP Exp Date]], SnapshotTable[[#This Row],[SP Book Price]]),"")</f>
        <v/>
      </c>
      <c r="CQ232" s="78"/>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5" t="str">
        <f>IF(SnapshotTable[[#This Row],[SP Is Filled]], btc_next_cutoff_date(SnapshotTable[[#This Row],[SP Fill Date]],SnapshotTable[[#This Row],[SP Exp Date]]),"")</f>
        <v/>
      </c>
      <c r="CT232" s="23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3"/>
      <c r="CV232" s="235"/>
      <c r="CW232" s="378"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294" t="str">
        <f>IF(ISNUMBER((SnapshotTable[[#This Row],[SP Total Value]])), SnapshotTable[[#This Row],[SP Gain Loss]] / SnapshotTable[[#This Row],[SP Premium]], "")</f>
        <v/>
      </c>
      <c r="DI232" s="406"/>
      <c r="DJ232" s="138"/>
      <c r="DK232" s="148"/>
      <c r="DL232" s="13"/>
      <c r="DM232" s="13"/>
      <c r="DO232" s="31">
        <f>IF(SnapshotTable[[#This Row],[LC Symbol Count]]=1, SnapshotTable[[#This Row],[LC Qty]] * SnapshotTable[[#This Row],[LC Book Price]] * 100, 0)</f>
        <v>0</v>
      </c>
      <c r="DP232" s="163" t="str">
        <f>IF(AND(SnapshotTable[[#This Row],[LC Exp Date]]&gt;0, SnapshotTable[[#This Row],[LC Strike Price]]&gt;0,SnapshotTable[[#This Row],[LC Qty]]&gt;0,SnapshotTable[[#This Row],[LC Book Date]]&gt;0,SnapshotTable[[#This Row],[LC Book Price]]&gt;0,SnapshotTable[[#This Row],[LC Fill Date]]=0),"Y","")</f>
        <v/>
      </c>
      <c r="DQ232" s="386" t="str">
        <f>IF(SnapshotTable[[#This Row],[LC Premium]] &gt; 0,SnapshotTable[[#This Row],[LC Exp Date]]-MAX(SnapshotTable[[#This Row],[LC Book Date]], SnapshotTable[[#This Row],[LC Fill Date]]),"")</f>
        <v/>
      </c>
      <c r="DR232" s="386" t="str">
        <f>IF(ISNUMBER(SnapshotTable[[#This Row],[LC Term]]), SnapshotTable[[#This Row],[LC Exp Date]] - MockToday, "")</f>
        <v/>
      </c>
      <c r="DS232" s="23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40" t="str">
        <f>IF(ISNUMBER(SnapshotTable[[#This Row],[LC Actual Gain Loss]]), SnapshotTable[[#This Row],[LC Actual Gain Loss]] / SnapshotTable[[#This Row],[LC Premium]],"")</f>
        <v/>
      </c>
      <c r="DX232" s="284" t="str">
        <f>IF(ISNUMBER(SnapshotTable[[#This Row],[LC Book Price]]),SnapshotTable[[#This Row],[LC Book Price]] * 1.5,"")</f>
        <v/>
      </c>
      <c r="DY232" s="265" t="str">
        <f>IF(SnapshotTable[[#This Row],[LC Premium]]&gt;0, SnapshotTable[[#This Row],[LC Next Target]] * SnapshotTable[[#This Row],[LC Qty]] * 100,"")</f>
        <v/>
      </c>
      <c r="DZ232" s="265" t="str">
        <f>IF(ISNUMBER(SnapshotTable[[#This Row],[LC Target Gross]]), SnapshotTable[[#This Row],[LC Target Gross]] - SnapshotTable[[#This Row],[LC Premium]], "")</f>
        <v/>
      </c>
      <c r="EA232" s="305" t="str">
        <f>IF(ISNUMBER(SnapshotTable[[#This Row],[LC Target Gain Loss]]), SnapshotTable[[#This Row],[LC Target Gain Loss]]/SnapshotTable[[#This Row],[LC Premium]], "")</f>
        <v/>
      </c>
      <c r="EB232" s="262"/>
      <c r="EC232" s="283" t="str">
        <f>IF(SnapshotTable[[#This Row],[LC Premium]]&gt;0, SnapshotTable[[#This Row],[LC Book Price]] * (1 - LC_StopLoss_Pct),"")</f>
        <v/>
      </c>
      <c r="ED232" s="284"/>
      <c r="EE232" s="28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4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7"/>
      <c r="EL232" s="138"/>
      <c r="EM232" s="148"/>
      <c r="EN232" s="147"/>
      <c r="EO232" s="147"/>
      <c r="EP232" s="138"/>
      <c r="EQ232" s="419" t="b">
        <f>AND(ISNUMBER(SnapshotTable[[#This Row],[SC Exp Date]]), ISNUMBER(SnapshotTable[[#This Row],[SC Strike Price]]), ISNUMBER(SnapshotTable[[#This Row],[SC Qty]]), ISNUMBER(SnapshotTable[[#This Row],[SC Book Date]]), ISNUMBER(SnapshotTable[[#This Row],[SC Book Price]]))</f>
        <v>0</v>
      </c>
      <c r="ER232" s="419" t="b">
        <f>AND(SnapshotTable[[#This Row],[SC Is Booked]], NOT(ISBLANK(SnapshotTable[[#This Row],[SC Fill Date]])))</f>
        <v>0</v>
      </c>
      <c r="ES232" s="370"/>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3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283"/>
      <c r="FA232" s="218"/>
      <c r="FB232" s="370"/>
      <c r="FC232" s="4">
        <f>IF(SnapshotTable[[#This Row],[SC Is Filled]], btc_max_buyback_amount(SnapshotTable[[#This Row],[SC Fill Date]],SnapshotTable[[#This Row],[SC Exp Date]], SnapshotTable[[#This Row],[SC Book Price]]),0)</f>
        <v>0</v>
      </c>
      <c r="FD232" s="5"/>
      <c r="FE232" s="144"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382">
        <f>IF(SnapshotTable[[#This Row],[SC Is Filled]], IF(ISNUMBER(SnapshotTable[[#This Row],[SC Current Ask]]), SnapshotTable[[#This Row],[SC Current Ask]], SnapshotTable[[#This Row],[SC Book Price]]) - SnapshotTable[[#This Row],[SC Intrinsic Value]], 0)</f>
        <v>0</v>
      </c>
      <c r="FI232" s="143"/>
      <c r="FJ232" s="32" t="str">
        <f>IF(SnapshotTable[[#This Row],[SC Is Filled]],100 * SnapshotTable[[#This Row],[SC Qty]] * IF(ISNUMBER(SnapshotTable[[#This Row],[SC Buyback Override]]), SnapshotTable[[#This Row],[SC Buyback Override]], SnapshotTable[[#This Row],[SC Current Ask]]), "")</f>
        <v/>
      </c>
      <c r="FK232" s="250" t="str">
        <f>IF(SnapshotTable[[#This Row],[SC Time Val]]&gt;0, SnapshotTable[[#This Row],[SC Time Val]] / SnapshotTable[[#This Row],[Last Price]],"")</f>
        <v/>
      </c>
      <c r="FL232" s="302" t="str">
        <f>IF(SnapshotTable[[#This Row],[SC Is Booked]], ((SnapshotTable[[#This Row],[Last Price]] -SnapshotTable[[#This Row],[SC Strike Price]]) / SnapshotTable[[#This Row],[Last Price]]) * -1, "")</f>
        <v/>
      </c>
      <c r="FM232" s="157"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33"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36" t="str">
        <f>IF(AND(ISNUMBER(SnapshotTable[[#This Row],[SC Simple ROO]]),SnapshotTable[[#This Row],[SC Simple ROO]] &gt; 0), SnapshotTable[[#This Row],[SC Premium]] + (SnapshotTable[[#This Row],[SC Qty]] * SnapshotTable[[#This Row],[SC Upside Potential]]), "")</f>
        <v/>
      </c>
      <c r="FX232" s="302" t="str" cm="1">
        <f t="array" ref="FX232">IF(ISNUMBER(SnapshotTable[[#This Row],[SC Max Dollars]]), annualize(SnapshotTable[[#This Row],[SC Term]],(SnapshotTable[[#This Row],[SC Max Dollars]]/SnapshotTable[[#This Row],[SC Basis]])),"")</f>
        <v/>
      </c>
      <c r="FY232" s="23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29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111.8625</v>
      </c>
      <c r="GD232" s="40">
        <f>SnapshotTable[[#This Row],[Last Price]] * (1+ SellingPriceToConsiderBasedOnTargetPercentage)</f>
        <v>280.19549999999998</v>
      </c>
      <c r="GE232" s="41"/>
      <c r="GF232" s="40">
        <v>108.18</v>
      </c>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737</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31">
        <f>MAX(SnapshotTable[[#This Row],[Equity Basis Total]],SnapshotTable[[#This Row],[Equity Value]]) + (SnapshotTable[[#This Row],[SP Potential Spend]]- SnapshotTable[[#This Row],[SP Premium]] + SnapshotTable[[#This Row],[LP Premium]])+ (SnapshotTable[[#This Row],[LC Premium]] - SnapshotTable[[#This Row],[SC Premium]])</f>
        <v>0</v>
      </c>
      <c r="GW232" s="139" t="str">
        <f>IF(AND(SnapshotTable[[#This Row],[Exposure]] &lt;&gt; 0),SnapshotTable[[#This Row],[Exposure]] / SnapshotTable[[#Totals],[Exposure]], "")</f>
        <v/>
      </c>
      <c r="GX232" s="5"/>
      <c r="HE232" s="268"/>
      <c r="HF232" s="268"/>
      <c r="HK232" s="1"/>
      <c r="HL232" s="1"/>
      <c r="HM232" s="1"/>
      <c r="HN232" s="1"/>
      <c r="HO232" s="1"/>
      <c r="HP232" s="1"/>
    </row>
    <row r="233" spans="2:224" ht="12.75" hidden="1" customHeight="1" x14ac:dyDescent="0.25">
      <c r="B233" s="12" t="s">
        <v>909</v>
      </c>
      <c r="C233" s="422">
        <v>82.15</v>
      </c>
      <c r="D233" s="208"/>
      <c r="E233" s="39">
        <f>SnapshotTable[[#This Row],[Last Price]]*(1 -CrashDiscount)</f>
        <v>69.827500000000001</v>
      </c>
      <c r="F233" s="26" t="s">
        <v>910</v>
      </c>
      <c r="G233" s="26" t="s">
        <v>610</v>
      </c>
      <c r="H233" s="149"/>
      <c r="I233" s="194">
        <v>44727.6875</v>
      </c>
      <c r="J233" s="195">
        <v>44727.6875</v>
      </c>
      <c r="K233" s="196"/>
      <c r="L233" s="326"/>
      <c r="M233" s="140"/>
      <c r="N233" s="140"/>
      <c r="O233" s="140"/>
      <c r="P233" s="22"/>
      <c r="Q233" s="25"/>
      <c r="R233" s="4" t="str">
        <f>IF(SnapshotTable[[#This Row],[Equity Basis Total]] &gt; 0, SnapshotTable[[#This Row],[Equity Basis Total]] / SnapshotTable[[#This Row],[Equity Shares]], "")</f>
        <v/>
      </c>
      <c r="S233" s="269">
        <f>SnapshotTable[[#This Row],[Last Price]] * SnapshotTable[[#This Row],[Equity Shares]]</f>
        <v>0</v>
      </c>
      <c r="T233" s="269">
        <f>SnapshotTable[[#This Row],[Equity Value]] - SnapshotTable[[#This Row],[Equity Basis Total]]</f>
        <v>0</v>
      </c>
      <c r="U233" s="270" t="str">
        <f>IF(SnapshotTable[[#This Row],[Equity Basis Total]] &gt; 0, SnapshotTable[[#This Row],[Equity G/L]] / SnapshotTable[[#This Row],[Equity Basis Total]], "")</f>
        <v/>
      </c>
      <c r="V233" s="268"/>
      <c r="W233" s="26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7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0"/>
      <c r="AD233" s="151"/>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0</v>
      </c>
      <c r="AH233" s="151"/>
      <c r="AI233" s="5"/>
      <c r="AJ233" s="138">
        <v>87.53</v>
      </c>
      <c r="AK233" s="152" t="str">
        <f>IF(ISNUMBER( SnapshotTable[[#This Row],[EBF Target]]),(SnapshotTable[[#This Row],[EBF Target]] - SnapshotTable[[#This Row],[Last Price]]) / SnapshotTable[[#This Row],[Last Price]], "")</f>
        <v/>
      </c>
      <c r="AL233" s="152"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2">
        <f>IF(AND(ISNUMBER( SnapshotTable[[#This Row],[Long Term Target]]), ISNUMBER(SnapshotTable[[#This Row],[Last Price]])),(SnapshotTable[[#This Row],[Long Term Target]] - SnapshotTable[[#This Row],[Last Price]]) / SnapshotTable[[#This Row],[Last Price]], "")</f>
        <v>6.5489957395009069E-2</v>
      </c>
      <c r="AP233" s="5">
        <v>75</v>
      </c>
      <c r="AQ233" s="38" t="s">
        <v>38</v>
      </c>
      <c r="AR233" s="5">
        <v>75</v>
      </c>
      <c r="AS233" s="38" t="s">
        <v>26</v>
      </c>
      <c r="AT233" s="146" t="s">
        <v>538</v>
      </c>
      <c r="AU233" s="187" t="str">
        <f>IF(OR(SnapshotTable[[#This Row],[LP No Fill]]="Y",SnapshotTable[[#This Row],[SP Is Filled]],SnapshotTable[[#This Row],[LC Not Filled]]="Y",SnapshotTable[[#This Row],[SC Is Filled]]),"Y","")</f>
        <v/>
      </c>
      <c r="AV233" s="219"/>
      <c r="AW233" s="225"/>
      <c r="AX233" s="220"/>
      <c r="AY233" s="219" t="str">
        <f>IF(SnapshotTable[[#This Row],[Implied Move]]&gt;0, SnapshotTable[[#This Row],[Last Price]]-SnapshotTable[[#This Row],[Implied Move]],"")</f>
        <v/>
      </c>
      <c r="AZ233" s="219" t="str">
        <f>IF(SnapshotTable[[#This Row],[Implied Move]]&gt;0, SnapshotTable[[#This Row],[Last Price]] + SnapshotTable[[#This Row],[Implied Move]],"")</f>
        <v/>
      </c>
      <c r="BA233" s="331"/>
      <c r="BB233" s="347"/>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51"/>
      <c r="BE233" s="138"/>
      <c r="BF233" s="166"/>
      <c r="BG233" s="167"/>
      <c r="BH233" s="167"/>
      <c r="BI233" s="221"/>
      <c r="BJ233" s="153">
        <f>IF(SnapshotTable[[#This Row],[LP Qty]] &gt; 0, SnapshotTable[[#This Row],[LP Qty]] * SnapshotTable[[#This Row],[LP Book Price]] * 100,0)</f>
        <v>0</v>
      </c>
      <c r="BK233" s="136">
        <f>IF(SnapshotTable[[#This Row],[LP Premium]] &gt; 0, SnapshotTable[[#This Row],[LP Qty]] * SnapshotTable[[#This Row],[LP Strike Price]] * 100,0)</f>
        <v>0</v>
      </c>
      <c r="BL233" s="154"/>
      <c r="BM233" s="385" t="str">
        <f>IF(SnapshotTable[[#This Row],[LP Premium]] &gt; 0,SnapshotTable[[#This Row],[LP Exp Date]]-MAX(SnapshotTable[[#This Row],[LP Book Date]], SnapshotTable[[#This Row],[LP Fill Date]]),"")</f>
        <v/>
      </c>
      <c r="BN233" s="385" t="str">
        <f>IF(ISNUMBER( SnapshotTable[[#This Row],[LP Term]]), SnapshotTable[[#This Row],[LP Exp Date]] - MockToday,"")</f>
        <v/>
      </c>
      <c r="BO233" s="163"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7"/>
      <c r="BU233" s="13"/>
      <c r="BV233" s="5"/>
      <c r="BW233" s="419" t="b">
        <f>AND(ISNUMBER(SnapshotTable[[#This Row],[SP Exp Date]]), ISNUMBER(SnapshotTable[[#This Row],[SP Strike Price]]), ISNUMBER(SnapshotTable[[#This Row],[SP Qty]]), ISNUMBER(SnapshotTable[[#This Row],[SP Book Date]]), ISNUMBER(SnapshotTable[[#This Row],[SP Book Price]]))</f>
        <v>0</v>
      </c>
      <c r="BX233" s="419" t="b">
        <f>AND(SnapshotTable[[#This Row],[SP Is Booked]], NOT(ISBLANK(SnapshotTable[[#This Row],[SP Fill Date]])))</f>
        <v>0</v>
      </c>
      <c r="BY233" s="33">
        <f>IF(SnapshotTable[[#This Row],[SP Is Booked]], SnapshotTable[[#This Row],[SP Qty]] * SnapshotTable[[#This Row],[SP Book Price]] * 100, 0)</f>
        <v>0</v>
      </c>
      <c r="BZ233" s="369"/>
      <c r="CA233" s="368">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3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44"/>
      <c r="CK233" s="31">
        <f>IF(ISNUMBER(SnapshotTable[[#This Row],[SP Potential Spend]]),IF(ISNUMBER(SnapshotTable[[#This Row],[SP POW]]), SnapshotTable[[#This Row],[SP POW]] * SnapshotTable[[#This Row],[SP Potential Spend]], SnapshotTable[[#This Row],[SP Potential Spend]]), "")</f>
        <v>0</v>
      </c>
      <c r="CL233" s="164">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227"/>
      <c r="CO233" s="369"/>
      <c r="CP233" s="4" t="str">
        <f>IF(SnapshotTable[[#This Row],[SP Is Filled]], btc_max_buyback_amount(SnapshotTable[[#This Row],[SP Fill Date]],SnapshotTable[[#This Row],[SP Exp Date]], SnapshotTable[[#This Row],[SP Book Price]]),"")</f>
        <v/>
      </c>
      <c r="CQ233" s="78"/>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5" t="str">
        <f>IF(SnapshotTable[[#This Row],[SP Is Filled]], btc_next_cutoff_date(SnapshotTable[[#This Row],[SP Fill Date]],SnapshotTable[[#This Row],[SP Exp Date]]),"")</f>
        <v/>
      </c>
      <c r="CT233" s="23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56"/>
      <c r="CV233" s="235"/>
      <c r="CW233" s="378"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294" t="str">
        <f>IF(ISNUMBER((SnapshotTable[[#This Row],[SP Total Value]])), SnapshotTable[[#This Row],[SP Gain Loss]] / SnapshotTable[[#This Row],[SP Premium]], "")</f>
        <v/>
      </c>
      <c r="DI233" s="406"/>
      <c r="DJ233" s="138"/>
      <c r="DK233" s="148"/>
      <c r="DL233" s="147"/>
      <c r="DM233" s="147"/>
      <c r="DO233" s="31">
        <f>IF(SnapshotTable[[#This Row],[LC Symbol Count]]=1, SnapshotTable[[#This Row],[LC Qty]] * SnapshotTable[[#This Row],[LC Book Price]] * 100, 0)</f>
        <v>0</v>
      </c>
      <c r="DP233" s="289" t="str">
        <f>IF(AND(SnapshotTable[[#This Row],[LC Exp Date]]&gt;0, SnapshotTable[[#This Row],[LC Strike Price]]&gt;0,SnapshotTable[[#This Row],[LC Qty]]&gt;0,SnapshotTable[[#This Row],[LC Book Date]]&gt;0,SnapshotTable[[#This Row],[LC Book Price]]&gt;0,SnapshotTable[[#This Row],[LC Fill Date]]=0),"Y","")</f>
        <v/>
      </c>
      <c r="DQ233" s="386" t="str">
        <f>IF(SnapshotTable[[#This Row],[LC Premium]] &gt; 0,SnapshotTable[[#This Row],[LC Exp Date]]-MAX(SnapshotTable[[#This Row],[LC Book Date]], SnapshotTable[[#This Row],[LC Fill Date]]),"")</f>
        <v/>
      </c>
      <c r="DR233" s="386" t="str">
        <f>IF(ISNUMBER(SnapshotTable[[#This Row],[LC Term]]), SnapshotTable[[#This Row],[LC Exp Date]] - MockToday, "")</f>
        <v/>
      </c>
      <c r="DS233" s="23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40" t="str">
        <f>IF(ISNUMBER(SnapshotTable[[#This Row],[LC Actual Gain Loss]]), SnapshotTable[[#This Row],[LC Actual Gain Loss]] / SnapshotTable[[#This Row],[LC Premium]],"")</f>
        <v/>
      </c>
      <c r="DX233" s="284" t="str">
        <f>IF(ISNUMBER(SnapshotTable[[#This Row],[LC Book Price]]),SnapshotTable[[#This Row],[LC Book Price]] * 1.5,"")</f>
        <v/>
      </c>
      <c r="DY233" s="265" t="str">
        <f>IF(SnapshotTable[[#This Row],[LC Premium]]&gt;0, SnapshotTable[[#This Row],[LC Next Target]] * SnapshotTable[[#This Row],[LC Qty]] * 100,"")</f>
        <v/>
      </c>
      <c r="DZ233" s="265" t="str">
        <f>IF(ISNUMBER(SnapshotTable[[#This Row],[LC Target Gross]]), SnapshotTable[[#This Row],[LC Target Gross]] - SnapshotTable[[#This Row],[LC Premium]], "")</f>
        <v/>
      </c>
      <c r="EA233" s="305" t="str">
        <f>IF(ISNUMBER(SnapshotTable[[#This Row],[LC Target Gain Loss]]), SnapshotTable[[#This Row],[LC Target Gain Loss]]/SnapshotTable[[#This Row],[LC Premium]], "")</f>
        <v/>
      </c>
      <c r="EB233" s="262"/>
      <c r="EC233" s="283" t="str">
        <f>IF(SnapshotTable[[#This Row],[LC Premium]]&gt;0, SnapshotTable[[#This Row],[LC Book Price]] * (1 - LC_StopLoss_Pct),"")</f>
        <v/>
      </c>
      <c r="ED233" s="284"/>
      <c r="EE233" s="28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4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7"/>
      <c r="EL233" s="138"/>
      <c r="EM233" s="148"/>
      <c r="EN233" s="147"/>
      <c r="EO233" s="147"/>
      <c r="EP233" s="138"/>
      <c r="EQ233" s="419" t="b">
        <f>AND(ISNUMBER(SnapshotTable[[#This Row],[SC Exp Date]]), ISNUMBER(SnapshotTable[[#This Row],[SC Strike Price]]), ISNUMBER(SnapshotTable[[#This Row],[SC Qty]]), ISNUMBER(SnapshotTable[[#This Row],[SC Book Date]]), ISNUMBER(SnapshotTable[[#This Row],[SC Book Price]]))</f>
        <v>0</v>
      </c>
      <c r="ER233" s="419" t="b">
        <f>AND(SnapshotTable[[#This Row],[SC Is Booked]], NOT(ISBLANK(SnapshotTable[[#This Row],[SC Fill Date]])))</f>
        <v>0</v>
      </c>
      <c r="ES233" s="370"/>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3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283"/>
      <c r="FA233" s="218"/>
      <c r="FB233" s="370"/>
      <c r="FC233" s="4">
        <f>IF(SnapshotTable[[#This Row],[SC Is Filled]], btc_max_buyback_amount(SnapshotTable[[#This Row],[SC Fill Date]],SnapshotTable[[#This Row],[SC Exp Date]], SnapshotTable[[#This Row],[SC Book Price]]),0)</f>
        <v>0</v>
      </c>
      <c r="FD233" s="5"/>
      <c r="FE233" s="144"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382">
        <f>IF(SnapshotTable[[#This Row],[SC Is Filled]], IF(ISNUMBER(SnapshotTable[[#This Row],[SC Current Ask]]), SnapshotTable[[#This Row],[SC Current Ask]], SnapshotTable[[#This Row],[SC Book Price]]) - SnapshotTable[[#This Row],[SC Intrinsic Value]], 0)</f>
        <v>0</v>
      </c>
      <c r="FI233" s="143"/>
      <c r="FJ233" s="32" t="str">
        <f>IF(SnapshotTable[[#This Row],[SC Is Filled]],100 * SnapshotTable[[#This Row],[SC Qty]] * IF(ISNUMBER(SnapshotTable[[#This Row],[SC Buyback Override]]), SnapshotTable[[#This Row],[SC Buyback Override]], SnapshotTable[[#This Row],[SC Current Ask]]), "")</f>
        <v/>
      </c>
      <c r="FK233" s="250" t="str">
        <f>IF(SnapshotTable[[#This Row],[SC Time Val]]&gt;0, SnapshotTable[[#This Row],[SC Time Val]] / SnapshotTable[[#This Row],[Last Price]],"")</f>
        <v/>
      </c>
      <c r="FL233" s="302" t="str">
        <f>IF(SnapshotTable[[#This Row],[SC Is Booked]], ((SnapshotTable[[#This Row],[Last Price]] -SnapshotTable[[#This Row],[SC Strike Price]]) / SnapshotTable[[#This Row],[Last Price]]) * -1, "")</f>
        <v/>
      </c>
      <c r="FM233" s="157" t="str">
        <f>IF(SnapshotTable[[#This Row],[SC Is Booked]],  (SnapshotTable[[#This Row],[SC Qty]] * 100 * SnapshotTable[[#This Row],[SC Strike Price]]) - SnapshotTable[[#This Row],[SC Current Ask]], "")</f>
        <v/>
      </c>
      <c r="FN23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157"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33"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36" t="str">
        <f>IF(AND(ISNUMBER(SnapshotTable[[#This Row],[SC Simple ROO]]),SnapshotTable[[#This Row],[SC Simple ROO]] &gt; 0), SnapshotTable[[#This Row],[SC Premium]] + (SnapshotTable[[#This Row],[SC Qty]] * SnapshotTable[[#This Row],[SC Upside Potential]]), "")</f>
        <v/>
      </c>
      <c r="FX233" s="302" t="str" cm="1">
        <f t="array" ref="FX233">IF(ISNUMBER(SnapshotTable[[#This Row],[SC Max Dollars]]), annualize(SnapshotTable[[#This Row],[SC Term]],(SnapshotTable[[#This Row],[SC Max Dollars]]/SnapshotTable[[#This Row],[SC Basis]])),"")</f>
        <v/>
      </c>
      <c r="FY233" s="236" t="str">
        <f>IF(AND(SnapshotTable[[#This Row],[SC Qty]]&gt;0,SnapshotTable[[#This Row],[SC Current Ask]]&gt;0), SnapshotTable[[#This Row],[SC Qty]] * SnapshotTable[[#This Row],[SC Current Ask]] * -100, "")</f>
        <v/>
      </c>
      <c r="FZ233" s="235" t="str">
        <f>IF(ISNUMBER((SnapshotTable[[#This Row],[SC Current Value]])), SnapshotTable[[#This Row],[SC Premium]] + SnapshotTable[[#This Row],[SC Current Value]], "")</f>
        <v/>
      </c>
      <c r="GA233" s="294" t="str">
        <f>IFERROR( IF(ISNUMBER((SnapshotTable[[#This Row],[SC Current Value]])), SnapshotTable[[#This Row],[SC Gain Loss]] / SnapshotTable[[#This Row],[SC Premium]], ""), "")</f>
        <v/>
      </c>
      <c r="GB233" s="42">
        <f>SnapshotTable[[#This Row],[Equity Shares]] * SaleSharesToConsiderPercentage</f>
        <v>0</v>
      </c>
      <c r="GC233" s="40">
        <f>SnapshotTable[[#This Row],[Long Term Target]] * SellingPriceToConsiderBasedOnTargetPercentage</f>
        <v>83.153499999999994</v>
      </c>
      <c r="GD233" s="40">
        <f>SnapshotTable[[#This Row],[Last Price]] * (1+ SellingPriceToConsiderBasedOnTargetPercentage)</f>
        <v>160.1925</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158" t="str">
        <f>IF(SnapshotTable[[#This Row],[Sale G/L]]&gt;0, SnapshotTable[[#This Row],[Sale G/L]] / SnapshotTable[[#This Row],[Sale Basis]], IF(ISNUMBER(SnapshotTable[[#This Row],[SC Exercise P&amp;L (TAX)]]), SnapshotTable[[#This Row],[SC Exercise P&amp;L (TAX)]] / SnapshotTable[[#This Row],[SC Basis]], ""))</f>
        <v/>
      </c>
      <c r="GK233" s="158"/>
      <c r="GL233" s="159"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159" t="str">
        <f>IF(AND(SnapshotTable[[#This Row],[LC Exp Date]]&gt;0,SnapshotTable[[#This Row],[LC Strike Price]]&gt;0), [1]!ToOptionSymbol(SnapshotTable[[#This Row],[Symbol]], SnapshotTable[[#This Row],[LC Strike Price]],SnapshotTable[[#This Row],[LC Exp Date]],0), "")</f>
        <v/>
      </c>
      <c r="GQ233" s="160" t="str">
        <f>IF(LEN(SnapshotTable[[#This Row],[LC Symbol]])&gt;0, 1, "")</f>
        <v/>
      </c>
      <c r="GR233" s="159" t="str">
        <f>IF(AND(SnapshotTable[[#This Row],[SC Exp Date]]&gt;0,SnapshotTable[[#This Row],[SC Strike Price]]&gt;0), [1]!ToOptionSymbol(SnapshotTable[[#This Row],[Symbol]], SnapshotTable[[#This Row],[SC Strike Price]],SnapshotTable[[#This Row],[SC Exp Date]],0), "")</f>
        <v/>
      </c>
      <c r="GS233" s="160" t="str">
        <f>IF(LEN(SnapshotTable[[#This Row],[SC Symbol]])&gt;0, 1, "")</f>
        <v/>
      </c>
      <c r="GT233" s="161"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31">
        <f>MAX(SnapshotTable[[#This Row],[Equity Basis Total]],SnapshotTable[[#This Row],[Equity Value]]) + (SnapshotTable[[#This Row],[SP Potential Spend]]- SnapshotTable[[#This Row],[SP Premium]] + SnapshotTable[[#This Row],[LP Premium]])+ (SnapshotTable[[#This Row],[LC Premium]] - SnapshotTable[[#This Row],[SC Premium]])</f>
        <v>0</v>
      </c>
      <c r="GW233" s="139" t="str">
        <f>IF(AND(SnapshotTable[[#This Row],[Exposure]] &lt;&gt; 0),SnapshotTable[[#This Row],[Exposure]] / SnapshotTable[[#Totals],[Exposure]], "")</f>
        <v/>
      </c>
      <c r="GX233" s="5"/>
      <c r="HE233" s="268"/>
      <c r="HF233" s="268"/>
      <c r="HK233" s="1"/>
      <c r="HL233" s="1"/>
      <c r="HM233" s="1"/>
      <c r="HN233" s="1"/>
      <c r="HO233" s="1"/>
      <c r="HP233" s="1"/>
    </row>
    <row r="234" spans="2:224" ht="12.75" hidden="1" customHeight="1" x14ac:dyDescent="0.25">
      <c r="B234" s="12" t="s">
        <v>1239</v>
      </c>
      <c r="C234" s="422">
        <v>174.28</v>
      </c>
      <c r="D234" s="208"/>
      <c r="E234" s="39">
        <f>SnapshotTable[[#This Row],[Last Price]]*(1 -CrashDiscount)</f>
        <v>148.13800000000001</v>
      </c>
      <c r="F234" s="325" t="s">
        <v>1029</v>
      </c>
      <c r="G234" s="325" t="s">
        <v>822</v>
      </c>
      <c r="H234" s="149"/>
      <c r="I234" s="194"/>
      <c r="J234" s="195"/>
      <c r="K234" s="196"/>
      <c r="L234" s="326"/>
      <c r="M234" s="140"/>
      <c r="N234" s="140"/>
      <c r="O234" s="140"/>
      <c r="P234" s="22"/>
      <c r="Q234" s="25"/>
      <c r="R234" s="4" t="str">
        <f>IF(SnapshotTable[[#This Row],[Equity Basis Total]] &gt; 0, SnapshotTable[[#This Row],[Equity Basis Total]] / SnapshotTable[[#This Row],[Equity Shares]], "")</f>
        <v/>
      </c>
      <c r="S234" s="269">
        <f>SnapshotTable[[#This Row],[Last Price]] * SnapshotTable[[#This Row],[Equity Shares]]</f>
        <v>0</v>
      </c>
      <c r="T234" s="269">
        <f>SnapshotTable[[#This Row],[Equity Value]] - SnapshotTable[[#This Row],[Equity Basis Total]]</f>
        <v>0</v>
      </c>
      <c r="U234" s="270" t="str">
        <f>IF(SnapshotTable[[#This Row],[Equity Basis Total]] &gt; 0, SnapshotTable[[#This Row],[Equity G/L]] / SnapshotTable[[#This Row],[Equity Basis Total]], "")</f>
        <v/>
      </c>
      <c r="V234" s="268"/>
      <c r="W234" s="26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7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0"/>
      <c r="AD234" s="151"/>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0</v>
      </c>
      <c r="AH234" s="151"/>
      <c r="AI234" s="5"/>
      <c r="AJ234" s="138"/>
      <c r="AK234" s="152" t="str">
        <f>IF(ISNUMBER( SnapshotTable[[#This Row],[EBF Target]]),(SnapshotTable[[#This Row],[EBF Target]] - SnapshotTable[[#This Row],[Last Price]]) / SnapshotTable[[#This Row],[Last Price]], "")</f>
        <v/>
      </c>
      <c r="AL234" s="152"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2" t="str">
        <f>IF(AND(ISNUMBER( SnapshotTable[[#This Row],[Long Term Target]]), ISNUMBER(SnapshotTable[[#This Row],[Last Price]])),(SnapshotTable[[#This Row],[Long Term Target]] - SnapshotTable[[#This Row],[Last Price]]) / SnapshotTable[[#This Row],[Last Price]], "")</f>
        <v/>
      </c>
      <c r="AP234" s="5"/>
      <c r="AQ234" s="38"/>
      <c r="AR234" s="5"/>
      <c r="AS234" s="38"/>
      <c r="AT234" s="146"/>
      <c r="AU234" s="187" t="str">
        <f>IF(OR(SnapshotTable[[#This Row],[LP No Fill]]="Y",SnapshotTable[[#This Row],[SP Is Filled]],SnapshotTable[[#This Row],[LC Not Filled]]="Y",SnapshotTable[[#This Row],[SC Is Filled]]),"Y","")</f>
        <v/>
      </c>
      <c r="AV234" s="219"/>
      <c r="AW234" s="225"/>
      <c r="AX234" s="220"/>
      <c r="AY234" s="219" t="str">
        <f>IF(SnapshotTable[[#This Row],[Implied Move]]&gt;0, SnapshotTable[[#This Row],[Last Price]]-SnapshotTable[[#This Row],[Implied Move]],"")</f>
        <v/>
      </c>
      <c r="AZ234" s="219" t="str">
        <f>IF(SnapshotTable[[#This Row],[Implied Move]]&gt;0, SnapshotTable[[#This Row],[Last Price]] + SnapshotTable[[#This Row],[Implied Move]],"")</f>
        <v/>
      </c>
      <c r="BA234" s="331">
        <v>256.83999999999997</v>
      </c>
      <c r="BB234" s="347"/>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51"/>
      <c r="BE234" s="5"/>
      <c r="BF234" s="14"/>
      <c r="BG234" s="13"/>
      <c r="BH234" s="13"/>
      <c r="BI234" s="5"/>
      <c r="BJ234" s="136">
        <f>IF(SnapshotTable[[#This Row],[LP Qty]] &gt; 0, SnapshotTable[[#This Row],[LP Qty]] * SnapshotTable[[#This Row],[LP Book Price]] * 100,0)</f>
        <v>0</v>
      </c>
      <c r="BK234" s="136">
        <f>IF(SnapshotTable[[#This Row],[LP Premium]] &gt; 0, SnapshotTable[[#This Row],[LP Qty]] * SnapshotTable[[#This Row],[LP Strike Price]] * 100,0)</f>
        <v>0</v>
      </c>
      <c r="BL234" s="154"/>
      <c r="BM234" s="385" t="str">
        <f>IF(SnapshotTable[[#This Row],[LP Premium]] &gt; 0,SnapshotTable[[#This Row],[LP Exp Date]]-MAX(SnapshotTable[[#This Row],[LP Book Date]], SnapshotTable[[#This Row],[LP Fill Date]]),"")</f>
        <v/>
      </c>
      <c r="BN234" s="385" t="str">
        <f>IF(ISNUMBER( SnapshotTable[[#This Row],[LP Term]]), SnapshotTable[[#This Row],[LP Exp Date]] - MockToday,"")</f>
        <v/>
      </c>
      <c r="BO234" s="163"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7"/>
      <c r="BU234" s="13"/>
      <c r="BV234" s="5"/>
      <c r="BW234" s="419" t="b">
        <f>AND(ISNUMBER(SnapshotTable[[#This Row],[SP Exp Date]]), ISNUMBER(SnapshotTable[[#This Row],[SP Strike Price]]), ISNUMBER(SnapshotTable[[#This Row],[SP Qty]]), ISNUMBER(SnapshotTable[[#This Row],[SP Book Date]]), ISNUMBER(SnapshotTable[[#This Row],[SP Book Price]]))</f>
        <v>0</v>
      </c>
      <c r="BX234" s="419" t="b">
        <f>AND(SnapshotTable[[#This Row],[SP Is Booked]], NOT(ISBLANK(SnapshotTable[[#This Row],[SP Fill Date]])))</f>
        <v>0</v>
      </c>
      <c r="BY234" s="33">
        <f>IF(SnapshotTable[[#This Row],[SP Is Booked]], SnapshotTable[[#This Row],[SP Qty]] * SnapshotTable[[#This Row],[SP Book Price]] * 100, 0)</f>
        <v>0</v>
      </c>
      <c r="BZ234" s="369"/>
      <c r="CA234" s="368">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3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44"/>
      <c r="CK234" s="31">
        <f>IF(ISNUMBER(SnapshotTable[[#This Row],[SP Potential Spend]]),IF(ISNUMBER(SnapshotTable[[#This Row],[SP POW]]), SnapshotTable[[#This Row],[SP POW]] * SnapshotTable[[#This Row],[SP Potential Spend]], SnapshotTable[[#This Row],[SP Potential Spend]]), "")</f>
        <v>0</v>
      </c>
      <c r="CL234" s="164">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8"/>
      <c r="CO234" s="369"/>
      <c r="CP234" s="4" t="str">
        <f>IF(SnapshotTable[[#This Row],[SP Is Filled]], btc_max_buyback_amount(SnapshotTable[[#This Row],[SP Fill Date]],SnapshotTable[[#This Row],[SP Exp Date]], SnapshotTable[[#This Row],[SP Book Price]]),"")</f>
        <v/>
      </c>
      <c r="CQ234" s="78"/>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5" t="str">
        <f>IF(SnapshotTable[[#This Row],[SP Is Filled]], btc_next_cutoff_date(SnapshotTable[[#This Row],[SP Fill Date]],SnapshotTable[[#This Row],[SP Exp Date]]),"")</f>
        <v/>
      </c>
      <c r="CT234" s="23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56"/>
      <c r="CV234" s="235"/>
      <c r="CW234" s="378"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294" t="str">
        <f>IF(ISNUMBER((SnapshotTable[[#This Row],[SP Total Value]])), SnapshotTable[[#This Row],[SP Gain Loss]] / SnapshotTable[[#This Row],[SP Premium]], "")</f>
        <v/>
      </c>
      <c r="DI234" s="406"/>
      <c r="DJ234" s="138"/>
      <c r="DK234" s="148"/>
      <c r="DL234" s="13"/>
      <c r="DM234" s="13"/>
      <c r="DO234" s="31">
        <f>IF(SnapshotTable[[#This Row],[LC Symbol Count]]=1, SnapshotTable[[#This Row],[LC Qty]] * SnapshotTable[[#This Row],[LC Book Price]] * 100, 0)</f>
        <v>0</v>
      </c>
      <c r="DP234" s="163" t="str">
        <f>IF(AND(SnapshotTable[[#This Row],[LC Exp Date]]&gt;0, SnapshotTable[[#This Row],[LC Strike Price]]&gt;0,SnapshotTable[[#This Row],[LC Qty]]&gt;0,SnapshotTable[[#This Row],[LC Book Date]]&gt;0,SnapshotTable[[#This Row],[LC Book Price]]&gt;0,SnapshotTable[[#This Row],[LC Fill Date]]=0),"Y","")</f>
        <v/>
      </c>
      <c r="DQ234" s="386" t="str">
        <f>IF(SnapshotTable[[#This Row],[LC Premium]] &gt; 0,SnapshotTable[[#This Row],[LC Exp Date]]-MAX(SnapshotTable[[#This Row],[LC Book Date]], SnapshotTable[[#This Row],[LC Fill Date]]),"")</f>
        <v/>
      </c>
      <c r="DR234" s="386" t="str">
        <f>IF(ISNUMBER(SnapshotTable[[#This Row],[LC Term]]), SnapshotTable[[#This Row],[LC Exp Date]] - MockToday, "")</f>
        <v/>
      </c>
      <c r="DS234" s="23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40" t="str">
        <f>IF(ISNUMBER(SnapshotTable[[#This Row],[LC Actual Gain Loss]]), SnapshotTable[[#This Row],[LC Actual Gain Loss]] / SnapshotTable[[#This Row],[LC Premium]],"")</f>
        <v/>
      </c>
      <c r="DX234" s="284" t="str">
        <f>IF(ISNUMBER(SnapshotTable[[#This Row],[LC Book Price]]),SnapshotTable[[#This Row],[LC Book Price]] * 1.5,"")</f>
        <v/>
      </c>
      <c r="DY234" s="265" t="str">
        <f>IF(SnapshotTable[[#This Row],[LC Premium]]&gt;0, SnapshotTable[[#This Row],[LC Next Target]] * SnapshotTable[[#This Row],[LC Qty]] * 100,"")</f>
        <v/>
      </c>
      <c r="DZ234" s="265" t="str">
        <f>IF(ISNUMBER(SnapshotTable[[#This Row],[LC Target Gross]]), SnapshotTable[[#This Row],[LC Target Gross]] - SnapshotTable[[#This Row],[LC Premium]], "")</f>
        <v/>
      </c>
      <c r="EA234" s="305" t="str">
        <f>IF(ISNUMBER(SnapshotTable[[#This Row],[LC Target Gain Loss]]), SnapshotTable[[#This Row],[LC Target Gain Loss]]/SnapshotTable[[#This Row],[LC Premium]], "")</f>
        <v/>
      </c>
      <c r="EB234" s="262"/>
      <c r="EC234" s="283" t="str">
        <f>IF(SnapshotTable[[#This Row],[LC Premium]]&gt;0, SnapshotTable[[#This Row],[LC Book Price]] * (1 - LC_StopLoss_Pct),"")</f>
        <v/>
      </c>
      <c r="ED234" s="284"/>
      <c r="EE234" s="28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4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7"/>
      <c r="EL234" s="138"/>
      <c r="EM234" s="148"/>
      <c r="EN234" s="147"/>
      <c r="EO234" s="147"/>
      <c r="EP234" s="138"/>
      <c r="EQ234" s="419" t="b">
        <f>AND(ISNUMBER(SnapshotTable[[#This Row],[SC Exp Date]]), ISNUMBER(SnapshotTable[[#This Row],[SC Strike Price]]), ISNUMBER(SnapshotTable[[#This Row],[SC Qty]]), ISNUMBER(SnapshotTable[[#This Row],[SC Book Date]]), ISNUMBER(SnapshotTable[[#This Row],[SC Book Price]]))</f>
        <v>0</v>
      </c>
      <c r="ER234" s="419" t="b">
        <f>AND(SnapshotTable[[#This Row],[SC Is Booked]], NOT(ISBLANK(SnapshotTable[[#This Row],[SC Fill Date]])))</f>
        <v>0</v>
      </c>
      <c r="ES234" s="370"/>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3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283"/>
      <c r="FA234" s="218"/>
      <c r="FB234" s="370"/>
      <c r="FC234" s="4">
        <f>IF(SnapshotTable[[#This Row],[SC Is Filled]], btc_max_buyback_amount(SnapshotTable[[#This Row],[SC Fill Date]],SnapshotTable[[#This Row],[SC Exp Date]], SnapshotTable[[#This Row],[SC Book Price]]),0)</f>
        <v>0</v>
      </c>
      <c r="FD234" s="5"/>
      <c r="FE234" s="144"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382">
        <f>IF(SnapshotTable[[#This Row],[SC Is Filled]], IF(ISNUMBER(SnapshotTable[[#This Row],[SC Current Ask]]), SnapshotTable[[#This Row],[SC Current Ask]], SnapshotTable[[#This Row],[SC Book Price]]) - SnapshotTable[[#This Row],[SC Intrinsic Value]], 0)</f>
        <v>0</v>
      </c>
      <c r="FI234" s="143"/>
      <c r="FJ234" s="32" t="str">
        <f>IF(SnapshotTable[[#This Row],[SC Is Filled]],100 * SnapshotTable[[#This Row],[SC Qty]] * IF(ISNUMBER(SnapshotTable[[#This Row],[SC Buyback Override]]), SnapshotTable[[#This Row],[SC Buyback Override]], SnapshotTable[[#This Row],[SC Current Ask]]), "")</f>
        <v/>
      </c>
      <c r="FK234" s="250" t="str">
        <f>IF(SnapshotTable[[#This Row],[SC Time Val]]&gt;0, SnapshotTable[[#This Row],[SC Time Val]] / SnapshotTable[[#This Row],[Last Price]],"")</f>
        <v/>
      </c>
      <c r="FL234" s="302" t="str">
        <f>IF(SnapshotTable[[#This Row],[SC Is Booked]], ((SnapshotTable[[#This Row],[Last Price]] -SnapshotTable[[#This Row],[SC Strike Price]]) / SnapshotTable[[#This Row],[Last Price]]) * -1, "")</f>
        <v/>
      </c>
      <c r="FM234" s="157"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33"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36" t="str">
        <f>IF(AND(ISNUMBER(SnapshotTable[[#This Row],[SC Simple ROO]]),SnapshotTable[[#This Row],[SC Simple ROO]] &gt; 0), SnapshotTable[[#This Row],[SC Premium]] + (SnapshotTable[[#This Row],[SC Qty]] * SnapshotTable[[#This Row],[SC Upside Potential]]), "")</f>
        <v/>
      </c>
      <c r="FX234" s="302" t="str" cm="1">
        <f t="array" ref="FX234">IF(ISNUMBER(SnapshotTable[[#This Row],[SC Max Dollars]]), annualize(SnapshotTable[[#This Row],[SC Term]],(SnapshotTable[[#This Row],[SC Max Dollars]]/SnapshotTable[[#This Row],[SC Basis]])),"")</f>
        <v/>
      </c>
      <c r="FY234" s="23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29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0</v>
      </c>
      <c r="GD234" s="40">
        <f>SnapshotTable[[#This Row],[Last Price]] * (1+ SellingPriceToConsiderBasedOnTargetPercentage)</f>
        <v>339.846</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31">
        <f>MAX(SnapshotTable[[#This Row],[Equity Basis Total]],SnapshotTable[[#This Row],[Equity Value]]) + (SnapshotTable[[#This Row],[SP Potential Spend]]- SnapshotTable[[#This Row],[SP Premium]] + SnapshotTable[[#This Row],[LP Premium]])+ (SnapshotTable[[#This Row],[LC Premium]] - SnapshotTable[[#This Row],[SC Premium]])</f>
        <v>0</v>
      </c>
      <c r="GW234" s="139" t="str">
        <f>IF(AND(SnapshotTable[[#This Row],[Exposure]] &lt;&gt; 0),SnapshotTable[[#This Row],[Exposure]] / SnapshotTable[[#Totals],[Exposure]], "")</f>
        <v/>
      </c>
      <c r="GX234" s="2"/>
      <c r="HE234" s="268"/>
      <c r="HF234" s="268"/>
      <c r="HK234" s="1"/>
      <c r="HL234" s="1"/>
      <c r="HM234" s="1"/>
      <c r="HN234" s="1"/>
      <c r="HO234" s="1"/>
      <c r="HP234" s="1"/>
    </row>
    <row r="235" spans="2:224" ht="12.75" hidden="1" customHeight="1" x14ac:dyDescent="0.25">
      <c r="B235" s="12" t="s">
        <v>1275</v>
      </c>
      <c r="C235" s="422">
        <v>5.24</v>
      </c>
      <c r="D235" s="208"/>
      <c r="E235" s="39">
        <f>SnapshotTable[[#This Row],[Last Price]]*(1 -CrashDiscount)</f>
        <v>4.4539999999999997</v>
      </c>
      <c r="F235" s="325" t="s">
        <v>1276</v>
      </c>
      <c r="G235" s="325" t="s">
        <v>872</v>
      </c>
      <c r="H235" s="149"/>
      <c r="I235" s="194"/>
      <c r="J235" s="195"/>
      <c r="K235" s="196"/>
      <c r="L235" s="326"/>
      <c r="M235" s="140"/>
      <c r="N235" s="140"/>
      <c r="O235" s="140"/>
      <c r="P235" s="22">
        <v>1000</v>
      </c>
      <c r="Q235" s="25">
        <v>6097</v>
      </c>
      <c r="R235" s="4">
        <f>IF(SnapshotTable[[#This Row],[Equity Basis Total]] &gt; 0, SnapshotTable[[#This Row],[Equity Basis Total]] / SnapshotTable[[#This Row],[Equity Shares]], "")</f>
        <v>6.0970000000000004</v>
      </c>
      <c r="S235" s="269">
        <f>SnapshotTable[[#This Row],[Last Price]] * SnapshotTable[[#This Row],[Equity Shares]]</f>
        <v>5240</v>
      </c>
      <c r="T235" s="269">
        <f>SnapshotTable[[#This Row],[Equity Value]] - SnapshotTable[[#This Row],[Equity Basis Total]]</f>
        <v>-857</v>
      </c>
      <c r="U235" s="270">
        <f>IF(SnapshotTable[[#This Row],[Equity Basis Total]] &gt; 0, SnapshotTable[[#This Row],[Equity G/L]] / SnapshotTable[[#This Row],[Equity Basis Total]], "")</f>
        <v>-0.14056093160570773</v>
      </c>
      <c r="V235" s="268">
        <v>8.5</v>
      </c>
      <c r="W235" s="268">
        <v>5.3</v>
      </c>
      <c r="X235" s="4">
        <f>IF(AND(ISNUMBER(SnapshotTable[[#This Row],[Equity Basis Per Share]]),ISNUMBER(SnapshotTable[[#This Row],[Equity Target]])),SnapshotTable[[#This Row],[Equity Target]]-SnapshotTable[[#This Row],[Equity Basis Per Share]],"")</f>
        <v>2.4029999999999996</v>
      </c>
      <c r="Y235" s="4">
        <f>IF(AND(ISNUMBER(SnapshotTable[[#This Row],[Equity Basis Per Share]]),ISNUMBER(SnapshotTable[[#This Row],[Equity Stop Loss]])),SnapshotTable[[#This Row],[Equity Stop Loss]]-SnapshotTable[[#This Row],[Equity Basis Per Share]],"")</f>
        <v>-0.7970000000000006</v>
      </c>
      <c r="Z235" s="275" t="str">
        <f>IFERROR( TEXT(SnapshotTable[[#This Row],[Equity Max Gain Per Share]] /ABS( SnapshotTable[[#This Row],[Equity Max Loss Per Share]]),"0.0 " ) &amp; " : 1", "")</f>
        <v>3.0  : 1</v>
      </c>
      <c r="AA235" s="31">
        <f>IF(ISNUMBER(SnapshotTable[[#This Row],[Equity Max Gain Per Share]]),SnapshotTable[[#This Row],[Equity Max Gain Per Share]] * SnapshotTable[[#This Row],[Equity Shares]],"")</f>
        <v>2402.9999999999995</v>
      </c>
      <c r="AB235" s="31">
        <f>IF(ISNUMBER(SnapshotTable[[#This Row],[Equity Max Loss Per Share]]),SnapshotTable[[#This Row],[Equity Max Loss Per Share]] * SnapshotTable[[#This Row],[Equity Shares]],"")</f>
        <v>-797.00000000000057</v>
      </c>
      <c r="AC235" s="150"/>
      <c r="AD235" s="151"/>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1"/>
      <c r="AI235" s="5"/>
      <c r="AJ235" s="138"/>
      <c r="AK235" s="152" t="str">
        <f>IF(ISNUMBER( SnapshotTable[[#This Row],[EBF Target]]),(SnapshotTable[[#This Row],[EBF Target]] - SnapshotTable[[#This Row],[Last Price]]) / SnapshotTable[[#This Row],[Last Price]], "")</f>
        <v/>
      </c>
      <c r="AL235" s="152"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2" t="str">
        <f>IF(AND(ISNUMBER( SnapshotTable[[#This Row],[Long Term Target]]), ISNUMBER(SnapshotTable[[#This Row],[Last Price]])),(SnapshotTable[[#This Row],[Long Term Target]] - SnapshotTable[[#This Row],[Last Price]]) / SnapshotTable[[#This Row],[Last Price]], "")</f>
        <v/>
      </c>
      <c r="AP235" s="5"/>
      <c r="AQ235" s="38"/>
      <c r="AR235" s="5"/>
      <c r="AS235" s="38"/>
      <c r="AT235" s="146"/>
      <c r="AU235" s="187" t="str">
        <f>IF(OR(SnapshotTable[[#This Row],[LP No Fill]]="Y",SnapshotTable[[#This Row],[SP Is Filled]],SnapshotTable[[#This Row],[LC Not Filled]]="Y",SnapshotTable[[#This Row],[SC Is Filled]]),"Y","")</f>
        <v>Y</v>
      </c>
      <c r="AV235" s="219"/>
      <c r="AW235" s="225"/>
      <c r="AX235" s="220"/>
      <c r="AY235" s="219" t="str">
        <f>IF(SnapshotTable[[#This Row],[Implied Move]]&gt;0, SnapshotTable[[#This Row],[Last Price]]-SnapshotTable[[#This Row],[Implied Move]],"")</f>
        <v/>
      </c>
      <c r="AZ235" s="219" t="str">
        <f>IF(SnapshotTable[[#This Row],[Implied Move]]&gt;0, SnapshotTable[[#This Row],[Last Price]] + SnapshotTable[[#This Row],[Implied Move]],"")</f>
        <v/>
      </c>
      <c r="BA235" s="331">
        <v>5.48</v>
      </c>
      <c r="BB235" s="347"/>
      <c r="BC23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35" s="351"/>
      <c r="BE235" s="5"/>
      <c r="BF235" s="14"/>
      <c r="BG235" s="13"/>
      <c r="BH235" s="13"/>
      <c r="BI235" s="5"/>
      <c r="BJ235" s="136">
        <f>IF(SnapshotTable[[#This Row],[LP Qty]] &gt; 0, SnapshotTable[[#This Row],[LP Qty]] * SnapshotTable[[#This Row],[LP Book Price]] * 100,0)</f>
        <v>0</v>
      </c>
      <c r="BK235" s="136">
        <f>IF(SnapshotTable[[#This Row],[LP Premium]] &gt; 0, SnapshotTable[[#This Row],[LP Qty]] * SnapshotTable[[#This Row],[LP Strike Price]] * 100,0)</f>
        <v>0</v>
      </c>
      <c r="BL235" s="154"/>
      <c r="BM235" s="385" t="str">
        <f>IF(SnapshotTable[[#This Row],[LP Premium]] &gt; 0,SnapshotTable[[#This Row],[LP Exp Date]]-MAX(SnapshotTable[[#This Row],[LP Book Date]], SnapshotTable[[#This Row],[LP Fill Date]]),"")</f>
        <v/>
      </c>
      <c r="BN235" s="385" t="str">
        <f>IF(ISNUMBER( SnapshotTable[[#This Row],[LP Term]]), SnapshotTable[[#This Row],[LP Exp Date]] - MockToday,"")</f>
        <v/>
      </c>
      <c r="BO235" s="163"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v>46220</v>
      </c>
      <c r="BR235" s="5">
        <v>6</v>
      </c>
      <c r="BS235" s="36">
        <v>10</v>
      </c>
      <c r="BT235" s="147">
        <v>46155</v>
      </c>
      <c r="BU235" s="13">
        <v>46155</v>
      </c>
      <c r="BV235" s="5">
        <v>0.62</v>
      </c>
      <c r="BW235" s="419" t="b">
        <f>AND(ISNUMBER(SnapshotTable[[#This Row],[SP Exp Date]]), ISNUMBER(SnapshotTable[[#This Row],[SP Strike Price]]), ISNUMBER(SnapshotTable[[#This Row],[SP Qty]]), ISNUMBER(SnapshotTable[[#This Row],[SP Book Date]]), ISNUMBER(SnapshotTable[[#This Row],[SP Book Price]]))</f>
        <v>1</v>
      </c>
      <c r="BX235" s="419" t="b">
        <f>AND(SnapshotTable[[#This Row],[SP Is Booked]], NOT(ISBLANK(SnapshotTable[[#This Row],[SP Fill Date]])))</f>
        <v>1</v>
      </c>
      <c r="BY235" s="33">
        <f>IF(SnapshotTable[[#This Row],[SP Is Booked]], SnapshotTable[[#This Row],[SP Qty]] * SnapshotTable[[#This Row],[SP Book Price]] * 100, 0)</f>
        <v>620</v>
      </c>
      <c r="BZ235" s="369">
        <v>0.42</v>
      </c>
      <c r="CA235" s="368">
        <f>SnapshotTable[[#This Row],[LP Qty]]</f>
        <v>0</v>
      </c>
      <c r="CB235" s="4">
        <f>IF(SnapshotTable[[#This Row],[SP Is Booked]], SnapshotTable[[#This Row],[SP Strike Price]] - SnapshotTable[[#This Row],[SP Book Price]], "")</f>
        <v>5.38</v>
      </c>
      <c r="CC235" s="19">
        <f>IF(SnapshotTable[[#This Row],[SP Is Booked]],SnapshotTable[[#This Row],[SP Exp Date]]-MAX(SnapshotTable[[#This Row],[SP Book Date]], SnapshotTable[[#This Row],[SP Fill Date]]),"")</f>
        <v>65</v>
      </c>
      <c r="CD235" s="7">
        <f>IF(SnapshotTable[[#This Row],[SP Is Booked]], SnapshotTable[[#This Row],[SP Book Price]]/SnapshotTable[[#This Row],[SP Strike Price]], "")</f>
        <v>0.10333333333333333</v>
      </c>
      <c r="CE235" s="7">
        <f>IF(ISNUMBER(SnapshotTable[[#This Row],[SP ROO Term]]),SnapshotTable[[#This Row],[SP ROO Term]]*(365/SnapshotTable[[#This Row],[SP Term]]),"")</f>
        <v>0.58025641025641017</v>
      </c>
      <c r="CF235" s="236">
        <f>SnapshotTable[[#This Row],[LP Strike Price]] * SnapshotTable[[#This Row],[LP Qty]] * 100</f>
        <v>0</v>
      </c>
      <c r="CG235" s="31">
        <f>IF(ISNUMBER(SnapshotTable[[#This Row],[SP Premium]]), (SnapshotTable[[#This Row],[SP Qty]] * SnapshotTable[[#This Row],[SP Strike Price]]* 100) - SnapshotTable[[#This Row],[LP Protection]], 0)</f>
        <v>6000</v>
      </c>
      <c r="CH235" s="7">
        <f>IF(ISNUMBER(SnapshotTable[[#This Row],[SP Break Even]]),-1 * (SnapshotTable[[#This Row],[SP Break Even]] - SnapshotTable[[#This Row],[Last Price]]) / SnapshotTable[[#This Row],[Last Price]], "")</f>
        <v>-2.6717557251908334E-2</v>
      </c>
      <c r="CI235" s="31">
        <f>IF(AND(ISNUMBER((SnapshotTable[[#This Row],[SP Potential Spend]])), SnapshotTable[[#This Row],[SP Strike Price]] &gt; SnapshotTable[[#This Row],[Last Price]], SnapshotTable[[#This Row],[SP Is Filled]]), SnapshotTable[[#This Row],[SP Potential Spend]] -  SnapshotTable[[#This Row],[LP Max Value]], 0)</f>
        <v>6000</v>
      </c>
      <c r="CJ235" s="244"/>
      <c r="CK235" s="31">
        <f>IF(ISNUMBER(SnapshotTable[[#This Row],[SP Potential Spend]]),IF(ISNUMBER(SnapshotTable[[#This Row],[SP POW]]), SnapshotTable[[#This Row],[SP POW]] * SnapshotTable[[#This Row],[SP Potential Spend]], SnapshotTable[[#This Row],[SP Potential Spend]]), "")</f>
        <v>6000</v>
      </c>
      <c r="CL235" s="164" t="str">
        <f>IF(NOT(SnapshotTable[[#This Row],[SP Is Filled]]),(SnapshotTable[[#This Row],[SP Qty]] * SnapshotTable[[#This Row],[SP Strike Price]] * 100) - SnapshotTable[[#This Row],[LP Max Value]],"")</f>
        <v/>
      </c>
      <c r="CM235" s="31">
        <f>IF(SnapshotTable[[#This Row],[SP Actual Spend]]&lt;&gt;0, ((SnapshotTable[[#This Row],[SP Strike Price]]-SnapshotTable[[#This Row],[Last Price]]) *(SnapshotTable[[#This Row],[SP Qty]]*100) - SnapshotTable[[#This Row],[SP Premium]]) * - 1, "")</f>
        <v>-139.99999999999977</v>
      </c>
      <c r="CN235" s="78">
        <v>0.4</v>
      </c>
      <c r="CO235" s="369">
        <v>0.28000000000000003</v>
      </c>
      <c r="CP235" s="4" t="e">
        <f ca="1">IF(SnapshotTable[[#This Row],[SP Is Filled]], btc_max_buyback_amount(SnapshotTable[[#This Row],[SP Fill Date]],SnapshotTable[[#This Row],[SP Exp Date]], SnapshotTable[[#This Row],[SP Book Price]]),"")</f>
        <v>#NAME?</v>
      </c>
      <c r="CQ235" s="78"/>
      <c r="CR23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35" s="155" t="e">
        <f ca="1">IF(SnapshotTable[[#This Row],[SP Is Filled]], btc_next_cutoff_date(SnapshotTable[[#This Row],[SP Fill Date]],SnapshotTable[[#This Row],[SP Exp Date]]),"")</f>
        <v>#NAME?</v>
      </c>
      <c r="CT235" s="235" t="e" cm="1">
        <f t="array" aca="1" ref="CT235" ca="1">IF(SnapshotTable[[#This Row],[SP Is Filled]], btc_should_buy_back(SnapshotTable[[#This Row],[SP Fill Date]], SnapshotTable[[#This Row],[SP Exp Date]], SnapshotTable[[#This Row],[SP Book Price]], SnapshotTable[[#This Row],[SP Current Ask]], MockToday, SnapshotTable[[#This Row],[SP Buyback Override]]),"")</f>
        <v>#NAME?</v>
      </c>
      <c r="CU235" s="143">
        <v>46220</v>
      </c>
      <c r="CV235" s="235"/>
      <c r="CW235" s="378">
        <f ca="1">IF(ISNUMBER( SnapshotTable[[#This Row],[SP Term]]), SnapshotTable[[#This Row],[SP Exp Date]] - MockToday,"")</f>
        <v>-13</v>
      </c>
      <c r="CX235" s="31" t="e">
        <f ca="1">IF(SnapshotTable[[#This Row],[SP Is Filled]],SnapshotTable[[#This Row],[SP Buyback Price to Use]] * 100 * SnapshotTable[[#This Row],[SP Qty]], "")</f>
        <v>#NAME?</v>
      </c>
      <c r="CY235" s="4">
        <f>IF(ISNUMBER(SnapshotTable[[#This Row],[SP Strike Price]]), SnapshotTable[[#This Row],[SP Strike Price]] * (1 - SP_MaxLoss_StrikePct), "")</f>
        <v>5.82</v>
      </c>
      <c r="CZ235" s="31">
        <f>IF(ISNUMBER(SnapshotTable[[#This Row],[SP Strike  Stop Per Share]]),SnapshotTable[[#This Row],[SP Premium]] - ((SnapshotTable[[#This Row],[SP Strike Price]]-SnapshotTable[[#This Row],[SP Strike  Stop Per Share]]) *(SnapshotTable[[#This Row],[SP Qty]] * 100)),"")</f>
        <v>440.00000000000028</v>
      </c>
      <c r="DA235" s="4">
        <f>IF(AND(ISNUMBER(SnapshotTable[[#This Row],[SP Premium]]),SnapshotTable[[#This Row],[SP Premium]]&gt;0), SnapshotTable[[#This Row],[SP Book Price]] * (1 + SP_MaxLoss_OptionPct), "")</f>
        <v>0.92999999999999994</v>
      </c>
      <c r="DB235" s="31">
        <f>IF(ISNUMBER(SnapshotTable[[#This Row],[SP Option  Stop Contract]]),(SnapshotTable[[#This Row],[SP Option  Stop Contract]] *(SnapshotTable[[#This Row],[SP Qty]] * 100) - SnapshotTable[[#This Row],[SP Premium]]),"")</f>
        <v>309.99999999999989</v>
      </c>
      <c r="DC235" s="4"/>
      <c r="DD235" s="4"/>
      <c r="DE235" s="4" t="str">
        <f>IF(AND(SnapshotTable[[#This Row],[SP Qty]]&gt;0, SnapshotTable[[#This Row],[SP Stop To Use]]&gt;0),SnapshotTable[[#This Row],[SP Premium]] - ( SnapshotTable[[#This Row],[SP Qty]] * SnapshotTable[[#This Row],[SP Stop To Use]] * 100), "")</f>
        <v/>
      </c>
      <c r="DF235" s="31">
        <f>IF(AND(SnapshotTable[[#This Row],[SP Qty]]&gt;0,SnapshotTable[[#This Row],[SP Current Ask]]&gt;0), SnapshotTable[[#This Row],[SP Qty]] * SnapshotTable[[#This Row],[SP Current Ask]] * -100, "")</f>
        <v>-400</v>
      </c>
      <c r="DG235" s="31">
        <f>IF(ISNUMBER((SnapshotTable[[#This Row],[SP Total Value]])), SnapshotTable[[#This Row],[SP Premium]] + SnapshotTable[[#This Row],[SP Total Value]], "")</f>
        <v>220</v>
      </c>
      <c r="DH235" s="294">
        <f>IF(ISNUMBER((SnapshotTable[[#This Row],[SP Total Value]])), SnapshotTable[[#This Row],[SP Gain Loss]] / SnapshotTable[[#This Row],[SP Premium]], "")</f>
        <v>0.35483870967741937</v>
      </c>
      <c r="DI235" s="406"/>
      <c r="DJ235" s="138"/>
      <c r="DK235" s="148"/>
      <c r="DL235" s="13"/>
      <c r="DM235" s="13"/>
      <c r="DO235" s="31">
        <f>IF(SnapshotTable[[#This Row],[LC Symbol Count]]=1, SnapshotTable[[#This Row],[LC Qty]] * SnapshotTable[[#This Row],[LC Book Price]] * 100, 0)</f>
        <v>0</v>
      </c>
      <c r="DP235" s="163" t="str">
        <f>IF(AND(SnapshotTable[[#This Row],[LC Exp Date]]&gt;0, SnapshotTable[[#This Row],[LC Strike Price]]&gt;0,SnapshotTable[[#This Row],[LC Qty]]&gt;0,SnapshotTable[[#This Row],[LC Book Date]]&gt;0,SnapshotTable[[#This Row],[LC Book Price]]&gt;0,SnapshotTable[[#This Row],[LC Fill Date]]=0),"Y","")</f>
        <v/>
      </c>
      <c r="DQ235" s="386" t="str">
        <f>IF(SnapshotTable[[#This Row],[LC Premium]] &gt; 0,SnapshotTable[[#This Row],[LC Exp Date]]-MAX(SnapshotTable[[#This Row],[LC Book Date]], SnapshotTable[[#This Row],[LC Fill Date]]),"")</f>
        <v/>
      </c>
      <c r="DR235" s="386" t="str">
        <f>IF(ISNUMBER(SnapshotTable[[#This Row],[LC Term]]), SnapshotTable[[#This Row],[LC Exp Date]] - MockToday, "")</f>
        <v/>
      </c>
      <c r="DS235" s="23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40" t="str">
        <f>IF(ISNUMBER(SnapshotTable[[#This Row],[LC Actual Gain Loss]]), SnapshotTable[[#This Row],[LC Actual Gain Loss]] / SnapshotTable[[#This Row],[LC Premium]],"")</f>
        <v/>
      </c>
      <c r="DX235" s="284" t="str">
        <f>IF(ISNUMBER(SnapshotTable[[#This Row],[LC Book Price]]),SnapshotTable[[#This Row],[LC Book Price]] * 1.5,"")</f>
        <v/>
      </c>
      <c r="DY235" s="265" t="str">
        <f>IF(SnapshotTable[[#This Row],[LC Premium]]&gt;0, SnapshotTable[[#This Row],[LC Next Target]] * SnapshotTable[[#This Row],[LC Qty]] * 100,"")</f>
        <v/>
      </c>
      <c r="DZ235" s="265" t="str">
        <f>IF(ISNUMBER(SnapshotTable[[#This Row],[LC Target Gross]]), SnapshotTable[[#This Row],[LC Target Gross]] - SnapshotTable[[#This Row],[LC Premium]], "")</f>
        <v/>
      </c>
      <c r="EA235" s="305" t="str">
        <f>IF(ISNUMBER(SnapshotTable[[#This Row],[LC Target Gain Loss]]), SnapshotTable[[#This Row],[LC Target Gain Loss]]/SnapshotTable[[#This Row],[LC Premium]], "")</f>
        <v/>
      </c>
      <c r="EB235" s="262"/>
      <c r="EC235" s="283" t="str">
        <f>IF(SnapshotTable[[#This Row],[LC Premium]]&gt;0, SnapshotTable[[#This Row],[LC Book Price]] * (1 - LC_StopLoss_Pct),"")</f>
        <v/>
      </c>
      <c r="ED235" s="284"/>
      <c r="EE235" s="28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4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10</v>
      </c>
      <c r="EK235" s="147"/>
      <c r="EL235" s="138"/>
      <c r="EM235" s="148"/>
      <c r="EN235" s="147"/>
      <c r="EO235" s="147"/>
      <c r="EP235" s="138"/>
      <c r="EQ235" s="419" t="b">
        <f>AND(ISNUMBER(SnapshotTable[[#This Row],[SC Exp Date]]), ISNUMBER(SnapshotTable[[#This Row],[SC Strike Price]]), ISNUMBER(SnapshotTable[[#This Row],[SC Qty]]), ISNUMBER(SnapshotTable[[#This Row],[SC Book Date]]), ISNUMBER(SnapshotTable[[#This Row],[SC Book Price]]))</f>
        <v>0</v>
      </c>
      <c r="ER235" s="419" t="b">
        <f>AND(SnapshotTable[[#This Row],[SC Is Booked]], NOT(ISBLANK(SnapshotTable[[#This Row],[SC Fill Date]])))</f>
        <v>0</v>
      </c>
      <c r="ES235" s="370"/>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3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283"/>
      <c r="FA235" s="218"/>
      <c r="FB235" s="370"/>
      <c r="FC235" s="4">
        <f>IF(SnapshotTable[[#This Row],[SC Is Filled]], btc_max_buyback_amount(SnapshotTable[[#This Row],[SC Fill Date]],SnapshotTable[[#This Row],[SC Exp Date]], SnapshotTable[[#This Row],[SC Book Price]]),0)</f>
        <v>0</v>
      </c>
      <c r="FD235" s="5"/>
      <c r="FE235" s="144"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382">
        <f>IF(SnapshotTable[[#This Row],[SC Is Filled]], IF(ISNUMBER(SnapshotTable[[#This Row],[SC Current Ask]]), SnapshotTable[[#This Row],[SC Current Ask]], SnapshotTable[[#This Row],[SC Book Price]]) - SnapshotTable[[#This Row],[SC Intrinsic Value]], 0)</f>
        <v>0</v>
      </c>
      <c r="FI235" s="143"/>
      <c r="FJ235" s="32" t="str">
        <f>IF(SnapshotTable[[#This Row],[SC Is Filled]],100 * SnapshotTable[[#This Row],[SC Qty]] * IF(ISNUMBER(SnapshotTable[[#This Row],[SC Buyback Override]]), SnapshotTable[[#This Row],[SC Buyback Override]], SnapshotTable[[#This Row],[SC Current Ask]]), "")</f>
        <v/>
      </c>
      <c r="FK235" s="250" t="str">
        <f>IF(SnapshotTable[[#This Row],[SC Time Val]]&gt;0, SnapshotTable[[#This Row],[SC Time Val]] / SnapshotTable[[#This Row],[Last Price]],"")</f>
        <v/>
      </c>
      <c r="FL235" s="302" t="str">
        <f>IF(SnapshotTable[[#This Row],[SC Is Booked]], ((SnapshotTable[[#This Row],[Last Price]] -SnapshotTable[[#This Row],[SC Strike Price]]) / SnapshotTable[[#This Row],[Last Price]]) * -1, "")</f>
        <v/>
      </c>
      <c r="FM235" s="157"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33"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36" t="str">
        <f>IF(AND(ISNUMBER(SnapshotTable[[#This Row],[SC Simple ROO]]),SnapshotTable[[#This Row],[SC Simple ROO]] &gt; 0), SnapshotTable[[#This Row],[SC Premium]] + (SnapshotTable[[#This Row],[SC Qty]] * SnapshotTable[[#This Row],[SC Upside Potential]]), "")</f>
        <v/>
      </c>
      <c r="FX235" s="302" t="str" cm="1">
        <f t="array" ref="FX235">IF(ISNUMBER(SnapshotTable[[#This Row],[SC Max Dollars]]), annualize(SnapshotTable[[#This Row],[SC Term]],(SnapshotTable[[#This Row],[SC Max Dollars]]/SnapshotTable[[#This Row],[SC Basis]])),"")</f>
        <v/>
      </c>
      <c r="FY235" s="23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294" t="str">
        <f>IFERROR( IF(ISNUMBER((SnapshotTable[[#This Row],[SC Current Value]])), SnapshotTable[[#This Row],[SC Gain Loss]] / SnapshotTable[[#This Row],[SC Premium]], ""), "")</f>
        <v/>
      </c>
      <c r="GB235" s="42">
        <f>SnapshotTable[[#This Row],[Equity Shares]] * SaleSharesToConsiderPercentage</f>
        <v>200</v>
      </c>
      <c r="GC235" s="40">
        <f>SnapshotTable[[#This Row],[Long Term Target]] * SellingPriceToConsiderBasedOnTargetPercentage</f>
        <v>0</v>
      </c>
      <c r="GD235" s="40">
        <f>SnapshotTable[[#This Row],[Last Price]] * (1+ SellingPriceToConsiderBasedOnTargetPercentage)</f>
        <v>10.218</v>
      </c>
      <c r="GE235" s="41"/>
      <c r="GF235" s="40"/>
      <c r="GG235" s="31">
        <f>SnapshotTable[[#This Row],[Booked Sale Shares]] * SnapshotTable[[#This Row],[Booked Sale Price]]</f>
        <v>0</v>
      </c>
      <c r="GH235" s="31">
        <f>IF(SnapshotTable[[#This Row],[Equity Basis Total]] &gt; 0, SnapshotTable[[#This Row],[Equity Basis Per Share]] * SnapshotTable[[#This Row],[Booked Sale Shares]], "")</f>
        <v>0</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EVLV260717P00006000</v>
      </c>
      <c r="GO235" s="30">
        <f>IF(LEN(SnapshotTable[[#This Row],[SP Symbol]])&gt;0, 1, "")</f>
        <v>1</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Y</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35" s="231">
        <f>MAX(SnapshotTable[[#This Row],[Equity Basis Total]],SnapshotTable[[#This Row],[Equity Value]]) + (SnapshotTable[[#This Row],[SP Potential Spend]]- SnapshotTable[[#This Row],[SP Premium]] + SnapshotTable[[#This Row],[LP Premium]])+ (SnapshotTable[[#This Row],[LC Premium]] - SnapshotTable[[#This Row],[SC Premium]])</f>
        <v>11477</v>
      </c>
      <c r="GW235" s="139">
        <f ca="1">IF(AND(SnapshotTable[[#This Row],[Exposure]] &lt;&gt; 0),SnapshotTable[[#This Row],[Exposure]] / SnapshotTable[[#Totals],[Exposure]], "")</f>
        <v>5.4022794164163779E-2</v>
      </c>
      <c r="GX235" s="5"/>
      <c r="HE235" s="268"/>
      <c r="HF235" s="268"/>
      <c r="HK235" s="1"/>
      <c r="HL235" s="1"/>
      <c r="HM235" s="1"/>
      <c r="HN235" s="1"/>
      <c r="HO235" s="1"/>
      <c r="HP235" s="1"/>
    </row>
    <row r="236" spans="2:224" ht="12.75" hidden="1" customHeight="1" x14ac:dyDescent="0.25">
      <c r="B236" s="12" t="s">
        <v>469</v>
      </c>
      <c r="C236" s="422">
        <v>829.7</v>
      </c>
      <c r="D236" s="208" t="s">
        <v>578</v>
      </c>
      <c r="E236" s="39">
        <f>SnapshotTable[[#This Row],[Last Price]]*(1 -CrashDiscount)</f>
        <v>705.245</v>
      </c>
      <c r="F236" s="26" t="s">
        <v>210</v>
      </c>
      <c r="G236" s="26" t="s">
        <v>9</v>
      </c>
      <c r="H236" s="149"/>
      <c r="I236" s="194">
        <v>44807</v>
      </c>
      <c r="J236" s="195">
        <v>44807</v>
      </c>
      <c r="K236" s="196" t="s">
        <v>3</v>
      </c>
      <c r="L236" s="326"/>
      <c r="M236" s="140"/>
      <c r="N236" s="140"/>
      <c r="O236" s="140">
        <v>4</v>
      </c>
      <c r="P236" s="22"/>
      <c r="Q236" s="25"/>
      <c r="R236" s="4" t="str">
        <f>IF(SnapshotTable[[#This Row],[Equity Basis Total]] &gt; 0, SnapshotTable[[#This Row],[Equity Basis Total]] / SnapshotTable[[#This Row],[Equity Shares]], "")</f>
        <v/>
      </c>
      <c r="S236" s="269">
        <f>SnapshotTable[[#This Row],[Last Price]] * SnapshotTable[[#This Row],[Equity Shares]]</f>
        <v>0</v>
      </c>
      <c r="T236" s="269">
        <f>SnapshotTable[[#This Row],[Equity Value]] - SnapshotTable[[#This Row],[Equity Basis Total]]</f>
        <v>0</v>
      </c>
      <c r="U236" s="270" t="str">
        <f>IF(SnapshotTable[[#This Row],[Equity Basis Total]] &gt; 0, SnapshotTable[[#This Row],[Equity G/L]] / SnapshotTable[[#This Row],[Equity Basis Total]], "")</f>
        <v/>
      </c>
      <c r="V236" s="268"/>
      <c r="W236" s="26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7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0"/>
      <c r="AD236" s="151"/>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0</v>
      </c>
      <c r="AH236" s="151"/>
      <c r="AI236" s="5">
        <v>140</v>
      </c>
      <c r="AJ236" s="138">
        <v>96</v>
      </c>
      <c r="AK236" s="152">
        <f>IF(ISNUMBER( SnapshotTable[[#This Row],[EBF Target]]),(SnapshotTable[[#This Row],[EBF Target]] - SnapshotTable[[#This Row],[Last Price]]) / SnapshotTable[[#This Row],[Last Price]], "")</f>
        <v>-0.8312643124020731</v>
      </c>
      <c r="AL236" s="152"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2">
        <f>IF(AND(ISNUMBER( SnapshotTable[[#This Row],[Long Term Target]]), ISNUMBER(SnapshotTable[[#This Row],[Last Price]])),(SnapshotTable[[#This Row],[Long Term Target]] - SnapshotTable[[#This Row],[Last Price]]) / SnapshotTable[[#This Row],[Last Price]], "")</f>
        <v>-0.88429552850427862</v>
      </c>
      <c r="AP236" s="5">
        <v>110</v>
      </c>
      <c r="AQ236" s="38" t="s">
        <v>89</v>
      </c>
      <c r="AR236" s="5">
        <v>81.11</v>
      </c>
      <c r="AS236" s="38" t="s">
        <v>32</v>
      </c>
      <c r="AT236" s="146" t="s">
        <v>813</v>
      </c>
      <c r="AU236" s="187" t="str">
        <f>IF(OR(SnapshotTable[[#This Row],[LP No Fill]]="Y",SnapshotTable[[#This Row],[SP Is Filled]],SnapshotTable[[#This Row],[LC Not Filled]]="Y",SnapshotTable[[#This Row],[SC Is Filled]]),"Y","")</f>
        <v/>
      </c>
      <c r="AV236" s="219"/>
      <c r="AW236" s="225"/>
      <c r="AX236" s="220"/>
      <c r="AY236" s="219" t="str">
        <f>IF(SnapshotTable[[#This Row],[Implied Move]]&gt;0, SnapshotTable[[#This Row],[Last Price]]-SnapshotTable[[#This Row],[Implied Move]],"")</f>
        <v/>
      </c>
      <c r="AZ236" s="219" t="str">
        <f>IF(SnapshotTable[[#This Row],[Implied Move]]&gt;0, SnapshotTable[[#This Row],[Last Price]] + SnapshotTable[[#This Row],[Implied Move]],"")</f>
        <v/>
      </c>
      <c r="BA236" s="331"/>
      <c r="BB236" s="347"/>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51"/>
      <c r="BE236" s="5"/>
      <c r="BF236" s="14"/>
      <c r="BG236" s="13"/>
      <c r="BH236" s="13"/>
      <c r="BI236" s="5"/>
      <c r="BJ236" s="136">
        <f>IF(SnapshotTable[[#This Row],[LP Qty]] &gt; 0, SnapshotTable[[#This Row],[LP Qty]] * SnapshotTable[[#This Row],[LP Book Price]] * 100,0)</f>
        <v>0</v>
      </c>
      <c r="BK236" s="136">
        <f>IF(SnapshotTable[[#This Row],[LP Premium]] &gt; 0, SnapshotTable[[#This Row],[LP Qty]] * SnapshotTable[[#This Row],[LP Strike Price]] * 100,0)</f>
        <v>0</v>
      </c>
      <c r="BL236" s="154"/>
      <c r="BM236" s="385" t="str">
        <f>IF(SnapshotTable[[#This Row],[LP Premium]] &gt; 0,SnapshotTable[[#This Row],[LP Exp Date]]-MAX(SnapshotTable[[#This Row],[LP Book Date]], SnapshotTable[[#This Row],[LP Fill Date]]),"")</f>
        <v/>
      </c>
      <c r="BN236" s="385" t="str">
        <f>IF(ISNUMBER( SnapshotTable[[#This Row],[LP Term]]), SnapshotTable[[#This Row],[LP Exp Date]] - MockToday,"")</f>
        <v/>
      </c>
      <c r="BO236" s="163"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7"/>
      <c r="BU236" s="13"/>
      <c r="BV236" s="5"/>
      <c r="BW236" s="419" t="b">
        <f>AND(ISNUMBER(SnapshotTable[[#This Row],[SP Exp Date]]), ISNUMBER(SnapshotTable[[#This Row],[SP Strike Price]]), ISNUMBER(SnapshotTable[[#This Row],[SP Qty]]), ISNUMBER(SnapshotTable[[#This Row],[SP Book Date]]), ISNUMBER(SnapshotTable[[#This Row],[SP Book Price]]))</f>
        <v>0</v>
      </c>
      <c r="BX236" s="419" t="b">
        <f>AND(SnapshotTable[[#This Row],[SP Is Booked]], NOT(ISBLANK(SnapshotTable[[#This Row],[SP Fill Date]])))</f>
        <v>0</v>
      </c>
      <c r="BY236" s="33">
        <f>IF(SnapshotTable[[#This Row],[SP Is Booked]], SnapshotTable[[#This Row],[SP Qty]] * SnapshotTable[[#This Row],[SP Book Price]] * 100, 0)</f>
        <v>0</v>
      </c>
      <c r="BZ236" s="369"/>
      <c r="CA236" s="368">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3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44"/>
      <c r="CK236" s="31">
        <f>IF(ISNUMBER(SnapshotTable[[#This Row],[SP Potential Spend]]),IF(ISNUMBER(SnapshotTable[[#This Row],[SP POW]]), SnapshotTable[[#This Row],[SP POW]] * SnapshotTable[[#This Row],[SP Potential Spend]], SnapshotTable[[#This Row],[SP Potential Spend]]), "")</f>
        <v>0</v>
      </c>
      <c r="CL236" s="164">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8"/>
      <c r="CO236" s="369"/>
      <c r="CP236" s="4" t="str">
        <f>IF(SnapshotTable[[#This Row],[SP Is Filled]], btc_max_buyback_amount(SnapshotTable[[#This Row],[SP Fill Date]],SnapshotTable[[#This Row],[SP Exp Date]], SnapshotTable[[#This Row],[SP Book Price]]),"")</f>
        <v/>
      </c>
      <c r="CQ236" s="78"/>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5" t="str">
        <f>IF(SnapshotTable[[#This Row],[SP Is Filled]], btc_next_cutoff_date(SnapshotTable[[#This Row],[SP Fill Date]],SnapshotTable[[#This Row],[SP Exp Date]]),"")</f>
        <v/>
      </c>
      <c r="CT236" s="23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3"/>
      <c r="CV236" s="235"/>
      <c r="CW236" s="378"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294" t="str">
        <f>IF(ISNUMBER((SnapshotTable[[#This Row],[SP Total Value]])), SnapshotTable[[#This Row],[SP Gain Loss]] / SnapshotTable[[#This Row],[SP Premium]], "")</f>
        <v/>
      </c>
      <c r="DI236" s="406"/>
      <c r="DJ236" s="138"/>
      <c r="DK236" s="148"/>
      <c r="DL236" s="13"/>
      <c r="DM236" s="13"/>
      <c r="DO236" s="31">
        <f>IF(SnapshotTable[[#This Row],[LC Symbol Count]]=1, SnapshotTable[[#This Row],[LC Qty]] * SnapshotTable[[#This Row],[LC Book Price]] * 100, 0)</f>
        <v>0</v>
      </c>
      <c r="DP236" s="163" t="str">
        <f>IF(AND(SnapshotTable[[#This Row],[LC Exp Date]]&gt;0, SnapshotTable[[#This Row],[LC Strike Price]]&gt;0,SnapshotTable[[#This Row],[LC Qty]]&gt;0,SnapshotTable[[#This Row],[LC Book Date]]&gt;0,SnapshotTable[[#This Row],[LC Book Price]]&gt;0,SnapshotTable[[#This Row],[LC Fill Date]]=0),"Y","")</f>
        <v/>
      </c>
      <c r="DQ236" s="386" t="str">
        <f>IF(SnapshotTable[[#This Row],[LC Premium]] &gt; 0,SnapshotTable[[#This Row],[LC Exp Date]]-MAX(SnapshotTable[[#This Row],[LC Book Date]], SnapshotTable[[#This Row],[LC Fill Date]]),"")</f>
        <v/>
      </c>
      <c r="DR236" s="386" t="str">
        <f>IF(ISNUMBER(SnapshotTable[[#This Row],[LC Term]]), SnapshotTable[[#This Row],[LC Exp Date]] - MockToday, "")</f>
        <v/>
      </c>
      <c r="DS236" s="23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40" t="str">
        <f>IF(ISNUMBER(SnapshotTable[[#This Row],[LC Actual Gain Loss]]), SnapshotTable[[#This Row],[LC Actual Gain Loss]] / SnapshotTable[[#This Row],[LC Premium]],"")</f>
        <v/>
      </c>
      <c r="DX236" s="284" t="str">
        <f>IF(ISNUMBER(SnapshotTable[[#This Row],[LC Book Price]]),SnapshotTable[[#This Row],[LC Book Price]] * 1.5,"")</f>
        <v/>
      </c>
      <c r="DY236" s="265" t="str">
        <f>IF(SnapshotTable[[#This Row],[LC Premium]]&gt;0, SnapshotTable[[#This Row],[LC Next Target]] * SnapshotTable[[#This Row],[LC Qty]] * 100,"")</f>
        <v/>
      </c>
      <c r="DZ236" s="265" t="str">
        <f>IF(ISNUMBER(SnapshotTable[[#This Row],[LC Target Gross]]), SnapshotTable[[#This Row],[LC Target Gross]] - SnapshotTable[[#This Row],[LC Premium]], "")</f>
        <v/>
      </c>
      <c r="EA236" s="305" t="str">
        <f>IF(ISNUMBER(SnapshotTable[[#This Row],[LC Target Gain Loss]]), SnapshotTable[[#This Row],[LC Target Gain Loss]]/SnapshotTable[[#This Row],[LC Premium]], "")</f>
        <v/>
      </c>
      <c r="EB236" s="262"/>
      <c r="EC236" s="283" t="str">
        <f>IF(SnapshotTable[[#This Row],[LC Premium]]&gt;0, SnapshotTable[[#This Row],[LC Book Price]] * (1 - LC_StopLoss_Pct),"")</f>
        <v/>
      </c>
      <c r="ED236" s="284"/>
      <c r="EE236" s="28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4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7"/>
      <c r="EL236" s="138"/>
      <c r="EM236" s="148"/>
      <c r="EN236" s="147"/>
      <c r="EO236" s="147"/>
      <c r="EP236" s="138"/>
      <c r="EQ236" s="419" t="b">
        <f>AND(ISNUMBER(SnapshotTable[[#This Row],[SC Exp Date]]), ISNUMBER(SnapshotTable[[#This Row],[SC Strike Price]]), ISNUMBER(SnapshotTable[[#This Row],[SC Qty]]), ISNUMBER(SnapshotTable[[#This Row],[SC Book Date]]), ISNUMBER(SnapshotTable[[#This Row],[SC Book Price]]))</f>
        <v>0</v>
      </c>
      <c r="ER236" s="419" t="b">
        <f>AND(SnapshotTable[[#This Row],[SC Is Booked]], NOT(ISBLANK(SnapshotTable[[#This Row],[SC Fill Date]])))</f>
        <v>0</v>
      </c>
      <c r="ES236" s="370"/>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3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283"/>
      <c r="FA236" s="218"/>
      <c r="FB236" s="370"/>
      <c r="FC236" s="4">
        <f>IF(SnapshotTable[[#This Row],[SC Is Filled]], btc_max_buyback_amount(SnapshotTable[[#This Row],[SC Fill Date]],SnapshotTable[[#This Row],[SC Exp Date]], SnapshotTable[[#This Row],[SC Book Price]]),0)</f>
        <v>0</v>
      </c>
      <c r="FD236" s="5"/>
      <c r="FE236" s="144"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382">
        <f>IF(SnapshotTable[[#This Row],[SC Is Filled]], IF(ISNUMBER(SnapshotTable[[#This Row],[SC Current Ask]]), SnapshotTable[[#This Row],[SC Current Ask]], SnapshotTable[[#This Row],[SC Book Price]]) - SnapshotTable[[#This Row],[SC Intrinsic Value]], 0)</f>
        <v>0</v>
      </c>
      <c r="FI236" s="143"/>
      <c r="FJ236" s="32" t="str">
        <f>IF(SnapshotTable[[#This Row],[SC Is Filled]],100 * SnapshotTable[[#This Row],[SC Qty]] * IF(ISNUMBER(SnapshotTable[[#This Row],[SC Buyback Override]]), SnapshotTable[[#This Row],[SC Buyback Override]], SnapshotTable[[#This Row],[SC Current Ask]]), "")</f>
        <v/>
      </c>
      <c r="FK236" s="250" t="str">
        <f>IF(SnapshotTable[[#This Row],[SC Time Val]]&gt;0, SnapshotTable[[#This Row],[SC Time Val]] / SnapshotTable[[#This Row],[Last Price]],"")</f>
        <v/>
      </c>
      <c r="FL236" s="302" t="str">
        <f>IF(SnapshotTable[[#This Row],[SC Is Booked]], ((SnapshotTable[[#This Row],[Last Price]] -SnapshotTable[[#This Row],[SC Strike Price]]) / SnapshotTable[[#This Row],[Last Price]]) * -1, "")</f>
        <v/>
      </c>
      <c r="FM236" s="157"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33"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36" t="str">
        <f>IF(AND(ISNUMBER(SnapshotTable[[#This Row],[SC Simple ROO]]),SnapshotTable[[#This Row],[SC Simple ROO]] &gt; 0), SnapshotTable[[#This Row],[SC Premium]] + (SnapshotTable[[#This Row],[SC Qty]] * SnapshotTable[[#This Row],[SC Upside Potential]]), "")</f>
        <v/>
      </c>
      <c r="FX236" s="302" t="str" cm="1">
        <f t="array" ref="FX236">IF(ISNUMBER(SnapshotTable[[#This Row],[SC Max Dollars]]), annualize(SnapshotTable[[#This Row],[SC Term]],(SnapshotTable[[#This Row],[SC Max Dollars]]/SnapshotTable[[#This Row],[SC Basis]])),"")</f>
        <v/>
      </c>
      <c r="FY236" s="23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29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91.199999999999989</v>
      </c>
      <c r="GD236" s="40">
        <f>SnapshotTable[[#This Row],[Last Price]] * (1+ SellingPriceToConsiderBasedOnTargetPercentage)</f>
        <v>1617.915</v>
      </c>
      <c r="GE236" s="41"/>
      <c r="GF236" s="40"/>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738</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31">
        <f>MAX(SnapshotTable[[#This Row],[Equity Basis Total]],SnapshotTable[[#This Row],[Equity Value]]) + (SnapshotTable[[#This Row],[SP Potential Spend]]- SnapshotTable[[#This Row],[SP Premium]] + SnapshotTable[[#This Row],[LP Premium]])+ (SnapshotTable[[#This Row],[LC Premium]] - SnapshotTable[[#This Row],[SC Premium]])</f>
        <v>0</v>
      </c>
      <c r="GW236" s="139" t="str">
        <f>IF(AND(SnapshotTable[[#This Row],[Exposure]] &lt;&gt; 0),SnapshotTable[[#This Row],[Exposure]] / SnapshotTable[[#Totals],[Exposure]], "")</f>
        <v/>
      </c>
      <c r="GX236" s="5"/>
      <c r="HE236" s="268"/>
      <c r="HF236" s="268"/>
      <c r="HK236" s="1"/>
      <c r="HL236" s="1"/>
      <c r="HM236" s="1"/>
      <c r="HN236" s="1"/>
      <c r="HO236" s="1"/>
      <c r="HP236" s="1"/>
    </row>
    <row r="237" spans="2:224" ht="12.75" hidden="1" customHeight="1" x14ac:dyDescent="0.25">
      <c r="B237" s="12" t="s">
        <v>815</v>
      </c>
      <c r="C237" s="422">
        <v>32.26</v>
      </c>
      <c r="D237" s="208" t="s">
        <v>1025</v>
      </c>
      <c r="E237" s="39">
        <f>SnapshotTable[[#This Row],[Last Price]]*(1 -CrashDiscount)</f>
        <v>27.420999999999996</v>
      </c>
      <c r="F237" s="26" t="s">
        <v>60</v>
      </c>
      <c r="G237" s="26" t="s">
        <v>14</v>
      </c>
      <c r="H237" s="149"/>
      <c r="I237" s="194">
        <v>45041.288194444445</v>
      </c>
      <c r="J237" s="195">
        <v>45041.288194444445</v>
      </c>
      <c r="K237" s="196"/>
      <c r="L237" s="326"/>
      <c r="M237" s="140"/>
      <c r="N237" s="140"/>
      <c r="O237" s="140"/>
      <c r="P237" s="22"/>
      <c r="Q237" s="25"/>
      <c r="R237" s="4" t="str">
        <f>IF(SnapshotTable[[#This Row],[Equity Basis Total]] &gt; 0, SnapshotTable[[#This Row],[Equity Basis Total]] / SnapshotTable[[#This Row],[Equity Shares]], "")</f>
        <v/>
      </c>
      <c r="S237" s="269">
        <f>SnapshotTable[[#This Row],[Last Price]] * SnapshotTable[[#This Row],[Equity Shares]]</f>
        <v>0</v>
      </c>
      <c r="T237" s="269">
        <f>SnapshotTable[[#This Row],[Equity Value]] - SnapshotTable[[#This Row],[Equity Basis Total]]</f>
        <v>0</v>
      </c>
      <c r="U237" s="270" t="str">
        <f>IF(SnapshotTable[[#This Row],[Equity Basis Total]] &gt; 0, SnapshotTable[[#This Row],[Equity G/L]] / SnapshotTable[[#This Row],[Equity Basis Total]], "")</f>
        <v/>
      </c>
      <c r="V237" s="268"/>
      <c r="W237" s="26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7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0"/>
      <c r="AD237" s="151"/>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1"/>
      <c r="AI237" s="5"/>
      <c r="AJ237" s="138">
        <v>5.78</v>
      </c>
      <c r="AK237" s="152" t="str">
        <f>IF(ISNUMBER( SnapshotTable[[#This Row],[EBF Target]]),(SnapshotTable[[#This Row],[EBF Target]] - SnapshotTable[[#This Row],[Last Price]]) / SnapshotTable[[#This Row],[Last Price]], "")</f>
        <v/>
      </c>
      <c r="AL237" s="152"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2">
        <f>IF(AND(ISNUMBER( SnapshotTable[[#This Row],[Long Term Target]]), ISNUMBER(SnapshotTable[[#This Row],[Last Price]])),(SnapshotTable[[#This Row],[Long Term Target]] - SnapshotTable[[#This Row],[Last Price]]) / SnapshotTable[[#This Row],[Last Price]], "")</f>
        <v>-0.82083075015499063</v>
      </c>
      <c r="AP237" s="5"/>
      <c r="AQ237" s="38"/>
      <c r="AR237" s="5"/>
      <c r="AS237" s="38"/>
      <c r="AT237" s="146"/>
      <c r="AU237" s="187" t="str">
        <f>IF(OR(SnapshotTable[[#This Row],[LP No Fill]]="Y",SnapshotTable[[#This Row],[SP Is Filled]],SnapshotTable[[#This Row],[LC Not Filled]]="Y",SnapshotTable[[#This Row],[SC Is Filled]]),"Y","")</f>
        <v/>
      </c>
      <c r="AV237" s="219"/>
      <c r="AW237" s="225"/>
      <c r="AX237" s="220"/>
      <c r="AY237" s="219" t="str">
        <f>IF(SnapshotTable[[#This Row],[Implied Move]]&gt;0, SnapshotTable[[#This Row],[Last Price]]-SnapshotTable[[#This Row],[Implied Move]],"")</f>
        <v/>
      </c>
      <c r="AZ237" s="219" t="str">
        <f>IF(SnapshotTable[[#This Row],[Implied Move]]&gt;0, SnapshotTable[[#This Row],[Last Price]] + SnapshotTable[[#This Row],[Implied Move]],"")</f>
        <v/>
      </c>
      <c r="BA237" s="331">
        <v>41.63</v>
      </c>
      <c r="BB237" s="347"/>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51"/>
      <c r="BE237" s="138"/>
      <c r="BF237" s="166"/>
      <c r="BG237" s="167"/>
      <c r="BH237" s="167"/>
      <c r="BI237" s="5"/>
      <c r="BJ237" s="153">
        <f>IF(SnapshotTable[[#This Row],[LP Qty]] &gt; 0, SnapshotTable[[#This Row],[LP Qty]] * SnapshotTable[[#This Row],[LP Book Price]] * 100,0)</f>
        <v>0</v>
      </c>
      <c r="BK237" s="136">
        <f>IF(SnapshotTable[[#This Row],[LP Premium]] &gt; 0, SnapshotTable[[#This Row],[LP Qty]] * SnapshotTable[[#This Row],[LP Strike Price]] * 100,0)</f>
        <v>0</v>
      </c>
      <c r="BL237" s="154"/>
      <c r="BM237" s="385" t="str">
        <f>IF(SnapshotTable[[#This Row],[LP Premium]] &gt; 0,SnapshotTable[[#This Row],[LP Exp Date]]-MAX(SnapshotTable[[#This Row],[LP Book Date]], SnapshotTable[[#This Row],[LP Fill Date]]),"")</f>
        <v/>
      </c>
      <c r="BN237" s="385" t="str">
        <f>IF(ISNUMBER( SnapshotTable[[#This Row],[LP Term]]), SnapshotTable[[#This Row],[LP Exp Date]] - MockToday,"")</f>
        <v/>
      </c>
      <c r="BO237" s="163"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7"/>
      <c r="BU237" s="13"/>
      <c r="BV237" s="5"/>
      <c r="BW237" s="419" t="b">
        <f>AND(ISNUMBER(SnapshotTable[[#This Row],[SP Exp Date]]), ISNUMBER(SnapshotTable[[#This Row],[SP Strike Price]]), ISNUMBER(SnapshotTable[[#This Row],[SP Qty]]), ISNUMBER(SnapshotTable[[#This Row],[SP Book Date]]), ISNUMBER(SnapshotTable[[#This Row],[SP Book Price]]))</f>
        <v>0</v>
      </c>
      <c r="BX237" s="419" t="b">
        <f>AND(SnapshotTable[[#This Row],[SP Is Booked]], NOT(ISBLANK(SnapshotTable[[#This Row],[SP Fill Date]])))</f>
        <v>0</v>
      </c>
      <c r="BY237" s="33">
        <f>IF(SnapshotTable[[#This Row],[SP Is Booked]], SnapshotTable[[#This Row],[SP Qty]] * SnapshotTable[[#This Row],[SP Book Price]] * 100, 0)</f>
        <v>0</v>
      </c>
      <c r="BZ237" s="369"/>
      <c r="CA237" s="368">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3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44"/>
      <c r="CK237" s="31">
        <f>IF(ISNUMBER(SnapshotTable[[#This Row],[SP Potential Spend]]),IF(ISNUMBER(SnapshotTable[[#This Row],[SP POW]]), SnapshotTable[[#This Row],[SP POW]] * SnapshotTable[[#This Row],[SP Potential Spend]], SnapshotTable[[#This Row],[SP Potential Spend]]), "")</f>
        <v>0</v>
      </c>
      <c r="CL237" s="164">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4"/>
      <c r="CO237" s="369"/>
      <c r="CP237" s="4" t="str">
        <f>IF(SnapshotTable[[#This Row],[SP Is Filled]], btc_max_buyback_amount(SnapshotTable[[#This Row],[SP Fill Date]],SnapshotTable[[#This Row],[SP Exp Date]], SnapshotTable[[#This Row],[SP Book Price]]),"")</f>
        <v/>
      </c>
      <c r="CQ237" s="78"/>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5" t="str">
        <f>IF(SnapshotTable[[#This Row],[SP Is Filled]], btc_next_cutoff_date(SnapshotTable[[#This Row],[SP Fill Date]],SnapshotTable[[#This Row],[SP Exp Date]]),"")</f>
        <v/>
      </c>
      <c r="CT237" s="23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6"/>
      <c r="CV237" s="235"/>
      <c r="CW237" s="378"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294" t="str">
        <f>IF(ISNUMBER((SnapshotTable[[#This Row],[SP Total Value]])), SnapshotTable[[#This Row],[SP Gain Loss]] / SnapshotTable[[#This Row],[SP Premium]], "")</f>
        <v/>
      </c>
      <c r="DI237" s="406"/>
      <c r="DJ237" s="138"/>
      <c r="DK237" s="148"/>
      <c r="DL237" s="147"/>
      <c r="DM237" s="147"/>
      <c r="DO237" s="31">
        <f>IF(SnapshotTable[[#This Row],[LC Symbol Count]]=1, SnapshotTable[[#This Row],[LC Qty]] * SnapshotTable[[#This Row],[LC Book Price]] * 100, 0)</f>
        <v>0</v>
      </c>
      <c r="DP237" s="163" t="str">
        <f>IF(AND(SnapshotTable[[#This Row],[LC Exp Date]]&gt;0, SnapshotTable[[#This Row],[LC Strike Price]]&gt;0,SnapshotTable[[#This Row],[LC Qty]]&gt;0,SnapshotTable[[#This Row],[LC Book Date]]&gt;0,SnapshotTable[[#This Row],[LC Book Price]]&gt;0,SnapshotTable[[#This Row],[LC Fill Date]]=0),"Y","")</f>
        <v/>
      </c>
      <c r="DQ237" s="386" t="str">
        <f>IF(SnapshotTable[[#This Row],[LC Premium]] &gt; 0,SnapshotTable[[#This Row],[LC Exp Date]]-MAX(SnapshotTable[[#This Row],[LC Book Date]], SnapshotTable[[#This Row],[LC Fill Date]]),"")</f>
        <v/>
      </c>
      <c r="DR237" s="386" t="str">
        <f>IF(ISNUMBER(SnapshotTable[[#This Row],[LC Term]]), SnapshotTable[[#This Row],[LC Exp Date]] - MockToday, "")</f>
        <v/>
      </c>
      <c r="DS237" s="23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40" t="str">
        <f>IF(ISNUMBER(SnapshotTable[[#This Row],[LC Actual Gain Loss]]), SnapshotTable[[#This Row],[LC Actual Gain Loss]] / SnapshotTable[[#This Row],[LC Premium]],"")</f>
        <v/>
      </c>
      <c r="DX237" s="284" t="str">
        <f>IF(ISNUMBER(SnapshotTable[[#This Row],[LC Book Price]]),SnapshotTable[[#This Row],[LC Book Price]] * 1.5,"")</f>
        <v/>
      </c>
      <c r="DY237" s="265" t="str">
        <f>IF(SnapshotTable[[#This Row],[LC Premium]]&gt;0, SnapshotTable[[#This Row],[LC Next Target]] * SnapshotTable[[#This Row],[LC Qty]] * 100,"")</f>
        <v/>
      </c>
      <c r="DZ237" s="265" t="str">
        <f>IF(ISNUMBER(SnapshotTable[[#This Row],[LC Target Gross]]), SnapshotTable[[#This Row],[LC Target Gross]] - SnapshotTable[[#This Row],[LC Premium]], "")</f>
        <v/>
      </c>
      <c r="EA237" s="305" t="str">
        <f>IF(ISNUMBER(SnapshotTable[[#This Row],[LC Target Gain Loss]]), SnapshotTable[[#This Row],[LC Target Gain Loss]]/SnapshotTable[[#This Row],[LC Premium]], "")</f>
        <v/>
      </c>
      <c r="EB237" s="262"/>
      <c r="EC237" s="283" t="str">
        <f>IF(SnapshotTable[[#This Row],[LC Premium]]&gt;0, SnapshotTable[[#This Row],[LC Book Price]] * (1 - LC_StopLoss_Pct),"")</f>
        <v/>
      </c>
      <c r="ED237" s="284"/>
      <c r="EE237" s="28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4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7"/>
      <c r="EL237" s="138"/>
      <c r="EM237" s="148"/>
      <c r="EN237" s="147"/>
      <c r="EO237" s="147"/>
      <c r="EP237" s="138"/>
      <c r="EQ237" s="419" t="b">
        <f>AND(ISNUMBER(SnapshotTable[[#This Row],[SC Exp Date]]), ISNUMBER(SnapshotTable[[#This Row],[SC Strike Price]]), ISNUMBER(SnapshotTable[[#This Row],[SC Qty]]), ISNUMBER(SnapshotTable[[#This Row],[SC Book Date]]), ISNUMBER(SnapshotTable[[#This Row],[SC Book Price]]))</f>
        <v>0</v>
      </c>
      <c r="ER237" s="419" t="b">
        <f>AND(SnapshotTable[[#This Row],[SC Is Booked]], NOT(ISBLANK(SnapshotTable[[#This Row],[SC Fill Date]])))</f>
        <v>0</v>
      </c>
      <c r="ES237" s="370"/>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3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283"/>
      <c r="FA237" s="218"/>
      <c r="FB237" s="370"/>
      <c r="FC237" s="4">
        <f>IF(SnapshotTable[[#This Row],[SC Is Filled]], btc_max_buyback_amount(SnapshotTable[[#This Row],[SC Fill Date]],SnapshotTable[[#This Row],[SC Exp Date]], SnapshotTable[[#This Row],[SC Book Price]]),0)</f>
        <v>0</v>
      </c>
      <c r="FD237" s="5"/>
      <c r="FE237" s="144"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382">
        <f>IF(SnapshotTable[[#This Row],[SC Is Filled]], IF(ISNUMBER(SnapshotTable[[#This Row],[SC Current Ask]]), SnapshotTable[[#This Row],[SC Current Ask]], SnapshotTable[[#This Row],[SC Book Price]]) - SnapshotTable[[#This Row],[SC Intrinsic Value]], 0)</f>
        <v>0</v>
      </c>
      <c r="FI237" s="143"/>
      <c r="FJ237" s="32" t="str">
        <f>IF(SnapshotTable[[#This Row],[SC Is Filled]],100 * SnapshotTable[[#This Row],[SC Qty]] * IF(ISNUMBER(SnapshotTable[[#This Row],[SC Buyback Override]]), SnapshotTable[[#This Row],[SC Buyback Override]], SnapshotTable[[#This Row],[SC Current Ask]]), "")</f>
        <v/>
      </c>
      <c r="FK237" s="250" t="str">
        <f>IF(SnapshotTable[[#This Row],[SC Time Val]]&gt;0, SnapshotTable[[#This Row],[SC Time Val]] / SnapshotTable[[#This Row],[Last Price]],"")</f>
        <v/>
      </c>
      <c r="FL237" s="302" t="str">
        <f>IF(SnapshotTable[[#This Row],[SC Is Booked]], ((SnapshotTable[[#This Row],[Last Price]] -SnapshotTable[[#This Row],[SC Strike Price]]) / SnapshotTable[[#This Row],[Last Price]]) * -1, "")</f>
        <v/>
      </c>
      <c r="FM237" s="157" t="str">
        <f>IF(SnapshotTable[[#This Row],[SC Is Booked]],  (SnapshotTable[[#This Row],[SC Qty]] * 100 * SnapshotTable[[#This Row],[SC Strike Price]]) - SnapshotTable[[#This Row],[SC Current Ask]], "")</f>
        <v/>
      </c>
      <c r="FN2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7"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33"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36" t="str">
        <f>IF(AND(ISNUMBER(SnapshotTable[[#This Row],[SC Simple ROO]]),SnapshotTable[[#This Row],[SC Simple ROO]] &gt; 0), SnapshotTable[[#This Row],[SC Premium]] + (SnapshotTable[[#This Row],[SC Qty]] * SnapshotTable[[#This Row],[SC Upside Potential]]), "")</f>
        <v/>
      </c>
      <c r="FX237" s="302" t="str" cm="1">
        <f t="array" ref="FX237">IF(ISNUMBER(SnapshotTable[[#This Row],[SC Max Dollars]]), annualize(SnapshotTable[[#This Row],[SC Term]],(SnapshotTable[[#This Row],[SC Max Dollars]]/SnapshotTable[[#This Row],[SC Basis]])),"")</f>
        <v/>
      </c>
      <c r="FY237" s="236" t="str">
        <f>IF(AND(SnapshotTable[[#This Row],[SC Qty]]&gt;0,SnapshotTable[[#This Row],[SC Current Ask]]&gt;0), SnapshotTable[[#This Row],[SC Qty]] * SnapshotTable[[#This Row],[SC Current Ask]] * -100, "")</f>
        <v/>
      </c>
      <c r="FZ237" s="31" t="str">
        <f>IF(ISNUMBER((SnapshotTable[[#This Row],[SC Current Value]])), SnapshotTable[[#This Row],[SC Premium]] + SnapshotTable[[#This Row],[SC Current Value]], "")</f>
        <v/>
      </c>
      <c r="GA237" s="29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5.4909999999999997</v>
      </c>
      <c r="GD237" s="40">
        <f>SnapshotTable[[#This Row],[Last Price]] * (1+ SellingPriceToConsiderBasedOnTargetPercentage)</f>
        <v>62.906999999999996</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8" t="str">
        <f>IF(SnapshotTable[[#This Row],[Sale G/L]]&gt;0, SnapshotTable[[#This Row],[Sale G/L]] / SnapshotTable[[#This Row],[Sale Basis]], IF(ISNUMBER(SnapshotTable[[#This Row],[SC Exercise P&amp;L (TAX)]]), SnapshotTable[[#This Row],[SC Exercise P&amp;L (TAX)]] / SnapshotTable[[#This Row],[SC Basis]], ""))</f>
        <v/>
      </c>
      <c r="GK237" s="158" t="s">
        <v>775</v>
      </c>
      <c r="GL237" s="159"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59" t="str">
        <f>IF(AND(SnapshotTable[[#This Row],[LC Exp Date]]&gt;0,SnapshotTable[[#This Row],[LC Strike Price]]&gt;0), [1]!ToOptionSymbol(SnapshotTable[[#This Row],[Symbol]], SnapshotTable[[#This Row],[LC Strike Price]],SnapshotTable[[#This Row],[LC Exp Date]],0), "")</f>
        <v/>
      </c>
      <c r="GQ237" s="160" t="str">
        <f>IF(LEN(SnapshotTable[[#This Row],[LC Symbol]])&gt;0, 1, "")</f>
        <v/>
      </c>
      <c r="GR237" s="159" t="str">
        <f>IF(AND(SnapshotTable[[#This Row],[SC Exp Date]]&gt;0,SnapshotTable[[#This Row],[SC Strike Price]]&gt;0), [1]!ToOptionSymbol(SnapshotTable[[#This Row],[Symbol]], SnapshotTable[[#This Row],[SC Strike Price]],SnapshotTable[[#This Row],[SC Exp Date]],0), "")</f>
        <v/>
      </c>
      <c r="GS237" s="160" t="str">
        <f>IF(LEN(SnapshotTable[[#This Row],[SC Symbol]])&gt;0, 1, "")</f>
        <v/>
      </c>
      <c r="GT237" s="161"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31">
        <f>MAX(SnapshotTable[[#This Row],[Equity Basis Total]],SnapshotTable[[#This Row],[Equity Value]]) + (SnapshotTable[[#This Row],[SP Potential Spend]]- SnapshotTable[[#This Row],[SP Premium]] + SnapshotTable[[#This Row],[LP Premium]])+ (SnapshotTable[[#This Row],[LC Premium]] - SnapshotTable[[#This Row],[SC Premium]])</f>
        <v>0</v>
      </c>
      <c r="GW237" s="139" t="str">
        <f>IF(AND(SnapshotTable[[#This Row],[Exposure]] &lt;&gt; 0),SnapshotTable[[#This Row],[Exposure]] / SnapshotTable[[#Totals],[Exposure]], "")</f>
        <v/>
      </c>
      <c r="GX237" s="5"/>
      <c r="HE237" s="268"/>
      <c r="HF237" s="268"/>
      <c r="HK237" s="1"/>
      <c r="HL237" s="1"/>
      <c r="HM237" s="1"/>
      <c r="HN237" s="1"/>
      <c r="HO237" s="1"/>
      <c r="HP237" s="1"/>
    </row>
    <row r="238" spans="2:224" ht="12.75" hidden="1" customHeight="1" x14ac:dyDescent="0.25">
      <c r="B238" s="12" t="s">
        <v>86</v>
      </c>
      <c r="C238" s="422">
        <v>1163.01</v>
      </c>
      <c r="D238" s="208"/>
      <c r="E238" s="39">
        <f>SnapshotTable[[#This Row],[Last Price]]*(1 -CrashDiscount)</f>
        <v>988.55849999999998</v>
      </c>
      <c r="F238" s="26" t="s">
        <v>85</v>
      </c>
      <c r="G238" s="26" t="s">
        <v>49</v>
      </c>
      <c r="H238" s="149"/>
      <c r="I238" s="194">
        <v>44866.267361111109</v>
      </c>
      <c r="J238" s="195">
        <v>44866.267361111109</v>
      </c>
      <c r="K238" s="196" t="s">
        <v>3</v>
      </c>
      <c r="L238" s="326" t="s">
        <v>84</v>
      </c>
      <c r="M238" s="140"/>
      <c r="N238" s="140"/>
      <c r="O238" s="140"/>
      <c r="P238" s="22"/>
      <c r="Q238" s="25"/>
      <c r="R238" s="4" t="str">
        <f>IF(SnapshotTable[[#This Row],[Equity Basis Total]] &gt; 0, SnapshotTable[[#This Row],[Equity Basis Total]] / SnapshotTable[[#This Row],[Equity Shares]], "")</f>
        <v/>
      </c>
      <c r="S238" s="269">
        <f>SnapshotTable[[#This Row],[Last Price]] * SnapshotTable[[#This Row],[Equity Shares]]</f>
        <v>0</v>
      </c>
      <c r="T238" s="269">
        <f>SnapshotTable[[#This Row],[Equity Value]] - SnapshotTable[[#This Row],[Equity Basis Total]]</f>
        <v>0</v>
      </c>
      <c r="U238" s="270" t="str">
        <f>IF(SnapshotTable[[#This Row],[Equity Basis Total]] &gt; 0, SnapshotTable[[#This Row],[Equity G/L]] / SnapshotTable[[#This Row],[Equity Basis Total]], "")</f>
        <v/>
      </c>
      <c r="V238" s="268"/>
      <c r="W238" s="26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7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0">
        <v>2.04</v>
      </c>
      <c r="AD238" s="151">
        <v>42623</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1.7540691825521707E-3</v>
      </c>
      <c r="AH238" s="151">
        <v>43599</v>
      </c>
      <c r="AI238" s="5"/>
      <c r="AJ238" s="138">
        <v>147.29</v>
      </c>
      <c r="AK238" s="152" t="str">
        <f>IF(ISNUMBER( SnapshotTable[[#This Row],[EBF Target]]),(SnapshotTable[[#This Row],[EBF Target]] - SnapshotTable[[#This Row],[Last Price]]) / SnapshotTable[[#This Row],[Last Price]], "")</f>
        <v/>
      </c>
      <c r="AL238" s="152"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2">
        <f>IF(AND(ISNUMBER( SnapshotTable[[#This Row],[Long Term Target]]), ISNUMBER(SnapshotTable[[#This Row],[Last Price]])),(SnapshotTable[[#This Row],[Long Term Target]] - SnapshotTable[[#This Row],[Last Price]]) / SnapshotTable[[#This Row],[Last Price]], "")</f>
        <v>-0.87335448534406412</v>
      </c>
      <c r="AP238" s="5">
        <v>335</v>
      </c>
      <c r="AQ238" s="38" t="s">
        <v>1062</v>
      </c>
      <c r="AR238" s="5">
        <v>320</v>
      </c>
      <c r="AS238" s="38" t="s">
        <v>26</v>
      </c>
      <c r="AT238" s="146" t="s">
        <v>538</v>
      </c>
      <c r="AU238" s="187" t="str">
        <f>IF(OR(SnapshotTable[[#This Row],[LP No Fill]]="Y",SnapshotTable[[#This Row],[SP Is Filled]],SnapshotTable[[#This Row],[LC Not Filled]]="Y",SnapshotTable[[#This Row],[SC Is Filled]]),"Y","")</f>
        <v/>
      </c>
      <c r="AV238" s="219"/>
      <c r="AW238" s="225"/>
      <c r="AX238" s="220"/>
      <c r="AY238" s="219" t="str">
        <f>IF(SnapshotTable[[#This Row],[Implied Move]]&gt;0, SnapshotTable[[#This Row],[Last Price]]-SnapshotTable[[#This Row],[Implied Move]],"")</f>
        <v/>
      </c>
      <c r="AZ238" s="219" t="str">
        <f>IF(SnapshotTable[[#This Row],[Implied Move]]&gt;0, SnapshotTable[[#This Row],[Last Price]] + SnapshotTable[[#This Row],[Implied Move]],"")</f>
        <v/>
      </c>
      <c r="BA238" s="331">
        <v>324.27999999999997</v>
      </c>
      <c r="BB238" s="347"/>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51"/>
      <c r="BE238" s="5"/>
      <c r="BF238" s="14"/>
      <c r="BG238" s="13"/>
      <c r="BH238" s="13"/>
      <c r="BI238" s="5"/>
      <c r="BJ238" s="136">
        <f>IF(SnapshotTable[[#This Row],[LP Qty]] &gt; 0, SnapshotTable[[#This Row],[LP Qty]] * SnapshotTable[[#This Row],[LP Book Price]] * 100,0)</f>
        <v>0</v>
      </c>
      <c r="BK238" s="136">
        <f>IF(SnapshotTable[[#This Row],[LP Premium]] &gt; 0, SnapshotTable[[#This Row],[LP Qty]] * SnapshotTable[[#This Row],[LP Strike Price]] * 100,0)</f>
        <v>0</v>
      </c>
      <c r="BL238" s="154"/>
      <c r="BM238" s="385" t="str">
        <f>IF(SnapshotTable[[#This Row],[LP Premium]] &gt; 0,SnapshotTable[[#This Row],[LP Exp Date]]-MAX(SnapshotTable[[#This Row],[LP Book Date]], SnapshotTable[[#This Row],[LP Fill Date]]),"")</f>
        <v/>
      </c>
      <c r="BN238" s="385" t="str">
        <f>IF(ISNUMBER( SnapshotTable[[#This Row],[LP Term]]), SnapshotTable[[#This Row],[LP Exp Date]] - MockToday,"")</f>
        <v/>
      </c>
      <c r="BO238" s="163"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7"/>
      <c r="BU238" s="13"/>
      <c r="BV238" s="5"/>
      <c r="BW238" s="419" t="b">
        <f>AND(ISNUMBER(SnapshotTable[[#This Row],[SP Exp Date]]), ISNUMBER(SnapshotTable[[#This Row],[SP Strike Price]]), ISNUMBER(SnapshotTable[[#This Row],[SP Qty]]), ISNUMBER(SnapshotTable[[#This Row],[SP Book Date]]), ISNUMBER(SnapshotTable[[#This Row],[SP Book Price]]))</f>
        <v>0</v>
      </c>
      <c r="BX238" s="419" t="b">
        <f>AND(SnapshotTable[[#This Row],[SP Is Booked]], NOT(ISBLANK(SnapshotTable[[#This Row],[SP Fill Date]])))</f>
        <v>0</v>
      </c>
      <c r="BY238" s="33">
        <f>IF(SnapshotTable[[#This Row],[SP Is Booked]], SnapshotTable[[#This Row],[SP Qty]] * SnapshotTable[[#This Row],[SP Book Price]] * 100, 0)</f>
        <v>0</v>
      </c>
      <c r="BZ238" s="369"/>
      <c r="CA238" s="368">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3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44"/>
      <c r="CK238" s="31">
        <f>IF(ISNUMBER(SnapshotTable[[#This Row],[SP Potential Spend]]),IF(ISNUMBER(SnapshotTable[[#This Row],[SP POW]]), SnapshotTable[[#This Row],[SP POW]] * SnapshotTable[[#This Row],[SP Potential Spend]], SnapshotTable[[#This Row],[SP Potential Spend]]), "")</f>
        <v>0</v>
      </c>
      <c r="CL238" s="164">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78"/>
      <c r="CO238" s="369"/>
      <c r="CP238" s="4" t="str">
        <f>IF(SnapshotTable[[#This Row],[SP Is Filled]], btc_max_buyback_amount(SnapshotTable[[#This Row],[SP Fill Date]],SnapshotTable[[#This Row],[SP Exp Date]], SnapshotTable[[#This Row],[SP Book Price]]),"")</f>
        <v/>
      </c>
      <c r="CQ238" s="78"/>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5" t="str">
        <f>IF(SnapshotTable[[#This Row],[SP Is Filled]], btc_next_cutoff_date(SnapshotTable[[#This Row],[SP Fill Date]],SnapshotTable[[#This Row],[SP Exp Date]]),"")</f>
        <v/>
      </c>
      <c r="CT238" s="23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3"/>
      <c r="CV238" s="235"/>
      <c r="CW238" s="378"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294" t="str">
        <f>IF(ISNUMBER((SnapshotTable[[#This Row],[SP Total Value]])), SnapshotTable[[#This Row],[SP Gain Loss]] / SnapshotTable[[#This Row],[SP Premium]], "")</f>
        <v/>
      </c>
      <c r="DI238" s="406"/>
      <c r="DJ238" s="138"/>
      <c r="DK238" s="148"/>
      <c r="DL238" s="13"/>
      <c r="DM238" s="13"/>
      <c r="DO238" s="31">
        <f>IF(SnapshotTable[[#This Row],[LC Symbol Count]]=1, SnapshotTable[[#This Row],[LC Qty]] * SnapshotTable[[#This Row],[LC Book Price]] * 100, 0)</f>
        <v>0</v>
      </c>
      <c r="DP238" s="163" t="str">
        <f>IF(AND(SnapshotTable[[#This Row],[LC Exp Date]]&gt;0, SnapshotTable[[#This Row],[LC Strike Price]]&gt;0,SnapshotTable[[#This Row],[LC Qty]]&gt;0,SnapshotTable[[#This Row],[LC Book Date]]&gt;0,SnapshotTable[[#This Row],[LC Book Price]]&gt;0,SnapshotTable[[#This Row],[LC Fill Date]]=0),"Y","")</f>
        <v/>
      </c>
      <c r="DQ238" s="386" t="str">
        <f>IF(SnapshotTable[[#This Row],[LC Premium]] &gt; 0,SnapshotTable[[#This Row],[LC Exp Date]]-MAX(SnapshotTable[[#This Row],[LC Book Date]], SnapshotTable[[#This Row],[LC Fill Date]]),"")</f>
        <v/>
      </c>
      <c r="DR238" s="386" t="str">
        <f>IF(ISNUMBER(SnapshotTable[[#This Row],[LC Term]]), SnapshotTable[[#This Row],[LC Exp Date]] - MockToday, "")</f>
        <v/>
      </c>
      <c r="DS238" s="23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40" t="str">
        <f>IF(ISNUMBER(SnapshotTable[[#This Row],[LC Actual Gain Loss]]), SnapshotTable[[#This Row],[LC Actual Gain Loss]] / SnapshotTable[[#This Row],[LC Premium]],"")</f>
        <v/>
      </c>
      <c r="DX238" s="284" t="str">
        <f>IF(ISNUMBER(SnapshotTable[[#This Row],[LC Book Price]]),SnapshotTable[[#This Row],[LC Book Price]] * 1.5,"")</f>
        <v/>
      </c>
      <c r="DY238" s="265" t="str">
        <f>IF(SnapshotTable[[#This Row],[LC Premium]]&gt;0, SnapshotTable[[#This Row],[LC Next Target]] * SnapshotTable[[#This Row],[LC Qty]] * 100,"")</f>
        <v/>
      </c>
      <c r="DZ238" s="265" t="str">
        <f>IF(ISNUMBER(SnapshotTable[[#This Row],[LC Target Gross]]), SnapshotTable[[#This Row],[LC Target Gross]] - SnapshotTable[[#This Row],[LC Premium]], "")</f>
        <v/>
      </c>
      <c r="EA238" s="305" t="str">
        <f>IF(ISNUMBER(SnapshotTable[[#This Row],[LC Target Gain Loss]]), SnapshotTable[[#This Row],[LC Target Gain Loss]]/SnapshotTable[[#This Row],[LC Premium]], "")</f>
        <v/>
      </c>
      <c r="EB238" s="262"/>
      <c r="EC238" s="283" t="str">
        <f>IF(SnapshotTable[[#This Row],[LC Premium]]&gt;0, SnapshotTable[[#This Row],[LC Book Price]] * (1 - LC_StopLoss_Pct),"")</f>
        <v/>
      </c>
      <c r="ED238" s="284"/>
      <c r="EE238" s="28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4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7"/>
      <c r="EL238" s="138"/>
      <c r="EM238" s="148"/>
      <c r="EN238" s="147"/>
      <c r="EO238" s="147"/>
      <c r="EP238" s="138"/>
      <c r="EQ238" s="419" t="b">
        <f>AND(ISNUMBER(SnapshotTable[[#This Row],[SC Exp Date]]), ISNUMBER(SnapshotTable[[#This Row],[SC Strike Price]]), ISNUMBER(SnapshotTable[[#This Row],[SC Qty]]), ISNUMBER(SnapshotTable[[#This Row],[SC Book Date]]), ISNUMBER(SnapshotTable[[#This Row],[SC Book Price]]))</f>
        <v>0</v>
      </c>
      <c r="ER238" s="419" t="b">
        <f>AND(SnapshotTable[[#This Row],[SC Is Booked]], NOT(ISBLANK(SnapshotTable[[#This Row],[SC Fill Date]])))</f>
        <v>0</v>
      </c>
      <c r="ES238" s="370"/>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3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283"/>
      <c r="FA238" s="218"/>
      <c r="FB238" s="370"/>
      <c r="FC238" s="4">
        <f>IF(SnapshotTable[[#This Row],[SC Is Filled]], btc_max_buyback_amount(SnapshotTable[[#This Row],[SC Fill Date]],SnapshotTable[[#This Row],[SC Exp Date]], SnapshotTable[[#This Row],[SC Book Price]]),0)</f>
        <v>0</v>
      </c>
      <c r="FD238" s="5"/>
      <c r="FE238" s="144"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382">
        <f>IF(SnapshotTable[[#This Row],[SC Is Filled]], IF(ISNUMBER(SnapshotTable[[#This Row],[SC Current Ask]]), SnapshotTable[[#This Row],[SC Current Ask]], SnapshotTable[[#This Row],[SC Book Price]]) - SnapshotTable[[#This Row],[SC Intrinsic Value]], 0)</f>
        <v>0</v>
      </c>
      <c r="FI238" s="143"/>
      <c r="FJ238" s="32" t="str">
        <f>IF(SnapshotTable[[#This Row],[SC Is Filled]],100 * SnapshotTable[[#This Row],[SC Qty]] * IF(ISNUMBER(SnapshotTable[[#This Row],[SC Buyback Override]]), SnapshotTable[[#This Row],[SC Buyback Override]], SnapshotTable[[#This Row],[SC Current Ask]]), "")</f>
        <v/>
      </c>
      <c r="FK238" s="250" t="str">
        <f>IF(SnapshotTable[[#This Row],[SC Time Val]]&gt;0, SnapshotTable[[#This Row],[SC Time Val]] / SnapshotTable[[#This Row],[Last Price]],"")</f>
        <v/>
      </c>
      <c r="FL238" s="302" t="str">
        <f>IF(SnapshotTable[[#This Row],[SC Is Booked]], ((SnapshotTable[[#This Row],[Last Price]] -SnapshotTable[[#This Row],[SC Strike Price]]) / SnapshotTable[[#This Row],[Last Price]]) * -1, "")</f>
        <v/>
      </c>
      <c r="FM238" s="157"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33"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36" t="str">
        <f>IF(AND(ISNUMBER(SnapshotTable[[#This Row],[SC Simple ROO]]),SnapshotTable[[#This Row],[SC Simple ROO]] &gt; 0), SnapshotTable[[#This Row],[SC Premium]] + (SnapshotTable[[#This Row],[SC Qty]] * SnapshotTable[[#This Row],[SC Upside Potential]]), "")</f>
        <v/>
      </c>
      <c r="FX238" s="302" t="str" cm="1">
        <f t="array" ref="FX238">IF(ISNUMBER(SnapshotTable[[#This Row],[SC Max Dollars]]), annualize(SnapshotTable[[#This Row],[SC Term]],(SnapshotTable[[#This Row],[SC Max Dollars]]/SnapshotTable[[#This Row],[SC Basis]])),"")</f>
        <v/>
      </c>
      <c r="FY238" s="23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29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139.9255</v>
      </c>
      <c r="GD238" s="40">
        <f>SnapshotTable[[#This Row],[Last Price]] * (1+ SellingPriceToConsiderBasedOnTargetPercentage)</f>
        <v>2267.8694999999998</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740</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31">
        <f>MAX(SnapshotTable[[#This Row],[Equity Basis Total]],SnapshotTable[[#This Row],[Equity Value]]) + (SnapshotTable[[#This Row],[SP Potential Spend]]- SnapshotTable[[#This Row],[SP Premium]] + SnapshotTable[[#This Row],[LP Premium]])+ (SnapshotTable[[#This Row],[LC Premium]] - SnapshotTable[[#This Row],[SC Premium]])</f>
        <v>0</v>
      </c>
      <c r="GW238" s="139" t="str">
        <f>IF(AND(SnapshotTable[[#This Row],[Exposure]] &lt;&gt; 0),SnapshotTable[[#This Row],[Exposure]] / SnapshotTable[[#Totals],[Exposure]], "")</f>
        <v/>
      </c>
      <c r="GX238" s="5"/>
      <c r="HE238" s="268"/>
      <c r="HF238" s="268"/>
      <c r="HK238" s="1"/>
      <c r="HL238" s="1"/>
      <c r="HM238" s="1"/>
      <c r="HN238" s="1"/>
      <c r="HO238" s="1"/>
      <c r="HP238" s="1"/>
    </row>
    <row r="239" spans="2:224" ht="12.75" hidden="1" customHeight="1" x14ac:dyDescent="0.25">
      <c r="B239" s="12" t="s">
        <v>253</v>
      </c>
      <c r="C239" s="422">
        <v>514.36</v>
      </c>
      <c r="D239" s="208"/>
      <c r="E239" s="39">
        <f>SnapshotTable[[#This Row],[Last Price]]*(1 -CrashDiscount)</f>
        <v>437.20600000000002</v>
      </c>
      <c r="F239" s="26" t="s">
        <v>135</v>
      </c>
      <c r="G239" s="26" t="s">
        <v>20</v>
      </c>
      <c r="H239" s="149"/>
      <c r="I239" s="194">
        <v>44852.3125</v>
      </c>
      <c r="J239" s="195">
        <v>44852.3125</v>
      </c>
      <c r="K239" s="196"/>
      <c r="L239" s="326"/>
      <c r="M239" s="140"/>
      <c r="N239" s="140"/>
      <c r="O239" s="140">
        <v>1</v>
      </c>
      <c r="P239" s="22"/>
      <c r="Q239" s="25"/>
      <c r="R239" s="4" t="str">
        <f>IF(SnapshotTable[[#This Row],[Equity Basis Total]] &gt; 0, SnapshotTable[[#This Row],[Equity Basis Total]] / SnapshotTable[[#This Row],[Equity Shares]], "")</f>
        <v/>
      </c>
      <c r="S239" s="269">
        <f>SnapshotTable[[#This Row],[Last Price]] * SnapshotTable[[#This Row],[Equity Shares]]</f>
        <v>0</v>
      </c>
      <c r="T239" s="269">
        <f>SnapshotTable[[#This Row],[Equity Value]] - SnapshotTable[[#This Row],[Equity Basis Total]]</f>
        <v>0</v>
      </c>
      <c r="U239" s="270" t="str">
        <f>IF(SnapshotTable[[#This Row],[Equity Basis Total]] &gt; 0, SnapshotTable[[#This Row],[Equity G/L]] / SnapshotTable[[#This Row],[Equity Basis Total]], "")</f>
        <v/>
      </c>
      <c r="V239" s="268"/>
      <c r="W239" s="26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7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0">
        <v>6.6</v>
      </c>
      <c r="AD239" s="151">
        <v>42637</v>
      </c>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1.2831479897348159E-2</v>
      </c>
      <c r="AH239" s="151">
        <v>43799</v>
      </c>
      <c r="AI239" s="5"/>
      <c r="AJ239" s="138">
        <v>434.12</v>
      </c>
      <c r="AK239" s="152" t="str">
        <f>IF(ISNUMBER( SnapshotTable[[#This Row],[EBF Target]]),(SnapshotTable[[#This Row],[EBF Target]] - SnapshotTable[[#This Row],[Last Price]]) / SnapshotTable[[#This Row],[Last Price]], "")</f>
        <v/>
      </c>
      <c r="AL239" s="152"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2">
        <f>IF(AND(ISNUMBER( SnapshotTable[[#This Row],[Long Term Target]]), ISNUMBER(SnapshotTable[[#This Row],[Last Price]])),(SnapshotTable[[#This Row],[Long Term Target]] - SnapshotTable[[#This Row],[Last Price]]) / SnapshotTable[[#This Row],[Last Price]], "")</f>
        <v>-0.15599968893382068</v>
      </c>
      <c r="AP239" s="5">
        <v>385</v>
      </c>
      <c r="AQ239" s="38" t="s">
        <v>38</v>
      </c>
      <c r="AR239" s="5">
        <v>385</v>
      </c>
      <c r="AS239" s="38" t="s">
        <v>26</v>
      </c>
      <c r="AT239" s="146" t="s">
        <v>538</v>
      </c>
      <c r="AU239" s="187" t="str">
        <f>IF(OR(SnapshotTable[[#This Row],[LP No Fill]]="Y",SnapshotTable[[#This Row],[SP Is Filled]],SnapshotTable[[#This Row],[LC Not Filled]]="Y",SnapshotTable[[#This Row],[SC Is Filled]]),"Y","")</f>
        <v/>
      </c>
      <c r="AV239" s="219"/>
      <c r="AW239" s="225"/>
      <c r="AX239" s="220"/>
      <c r="AY239" s="219" t="str">
        <f>IF(SnapshotTable[[#This Row],[Implied Move]]&gt;0, SnapshotTable[[#This Row],[Last Price]]-SnapshotTable[[#This Row],[Implied Move]],"")</f>
        <v/>
      </c>
      <c r="AZ239" s="219" t="str">
        <f>IF(SnapshotTable[[#This Row],[Implied Move]]&gt;0, SnapshotTable[[#This Row],[Last Price]] + SnapshotTable[[#This Row],[Implied Move]],"")</f>
        <v/>
      </c>
      <c r="BA239" s="331">
        <v>382.55</v>
      </c>
      <c r="BB239" s="347"/>
      <c r="BC2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9" s="351"/>
      <c r="BE239" s="5"/>
      <c r="BF239" s="14"/>
      <c r="BG239" s="13"/>
      <c r="BH239" s="13"/>
      <c r="BI239" s="5"/>
      <c r="BJ239" s="136">
        <f>IF(SnapshotTable[[#This Row],[LP Qty]] &gt; 0, SnapshotTable[[#This Row],[LP Qty]] * SnapshotTable[[#This Row],[LP Book Price]] * 100,0)</f>
        <v>0</v>
      </c>
      <c r="BK239" s="136">
        <f>IF(SnapshotTable[[#This Row],[LP Premium]] &gt; 0, SnapshotTable[[#This Row],[LP Qty]] * SnapshotTable[[#This Row],[LP Strike Price]] * 100,0)</f>
        <v>0</v>
      </c>
      <c r="BL239" s="154"/>
      <c r="BM239" s="385" t="str">
        <f>IF(SnapshotTable[[#This Row],[LP Premium]] &gt; 0,SnapshotTable[[#This Row],[LP Exp Date]]-MAX(SnapshotTable[[#This Row],[LP Book Date]], SnapshotTable[[#This Row],[LP Fill Date]]),"")</f>
        <v/>
      </c>
      <c r="BN239" s="385" t="str">
        <f>IF(ISNUMBER( SnapshotTable[[#This Row],[LP Term]]), SnapshotTable[[#This Row],[LP Exp Date]] - MockToday,"")</f>
        <v/>
      </c>
      <c r="BO239" s="163" t="str">
        <f>IF(AND(SnapshotTable[[#This Row],[LP Exp Date]]&gt;0, SnapshotTable[[#This Row],[LP Strike Price]]&gt;0,SnapshotTable[[#This Row],[LP Qty]]&gt;0,SnapshotTable[[#This Row],[LP Book Date]]&gt;0,SnapshotTable[[#This Row],[LP Book Price]]&gt;0,SnapshotTable[[#This Row],[LP Fill Date]]=0),"Y","")</f>
        <v/>
      </c>
      <c r="BP239" s="31" t="str">
        <f>IF(AND(SnapshotTable[[#This Row],[LP No Fill]]&lt;&gt;"Y",SnapshotTable[[#This Row],[LP Contract Value]]&gt;0, SnapshotTable[[#This Row],[LP Qty]]&gt;0), SnapshotTable[[#This Row],[LP Contract Value]]*SnapshotTable[[#This Row],[LP Qty]]*100,"")</f>
        <v/>
      </c>
      <c r="BQ239" s="13"/>
      <c r="BR239" s="5"/>
      <c r="BS239" s="36"/>
      <c r="BT239" s="147"/>
      <c r="BU239" s="13"/>
      <c r="BV239" s="5"/>
      <c r="BW239" s="419" t="b">
        <f>AND(ISNUMBER(SnapshotTable[[#This Row],[SP Exp Date]]), ISNUMBER(SnapshotTable[[#This Row],[SP Strike Price]]), ISNUMBER(SnapshotTable[[#This Row],[SP Qty]]), ISNUMBER(SnapshotTable[[#This Row],[SP Book Date]]), ISNUMBER(SnapshotTable[[#This Row],[SP Book Price]]))</f>
        <v>0</v>
      </c>
      <c r="BX239" s="419" t="b">
        <f>AND(SnapshotTable[[#This Row],[SP Is Booked]], NOT(ISBLANK(SnapshotTable[[#This Row],[SP Fill Date]])))</f>
        <v>0</v>
      </c>
      <c r="BY239" s="33">
        <f>IF(SnapshotTable[[#This Row],[SP Is Booked]], SnapshotTable[[#This Row],[SP Qty]] * SnapshotTable[[#This Row],[SP Book Price]] * 100, 0)</f>
        <v>0</v>
      </c>
      <c r="BZ239" s="369"/>
      <c r="CA239" s="368">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3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44"/>
      <c r="CK239" s="31">
        <f>IF(ISNUMBER(SnapshotTable[[#This Row],[SP Potential Spend]]),IF(ISNUMBER(SnapshotTable[[#This Row],[SP POW]]), SnapshotTable[[#This Row],[SP POW]] * SnapshotTable[[#This Row],[SP Potential Spend]], SnapshotTable[[#This Row],[SP Potential Spend]]), "")</f>
        <v>0</v>
      </c>
      <c r="CL239" s="164">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78"/>
      <c r="CO239" s="369"/>
      <c r="CP239" s="4" t="str">
        <f>IF(SnapshotTable[[#This Row],[SP Is Filled]], btc_max_buyback_amount(SnapshotTable[[#This Row],[SP Fill Date]],SnapshotTable[[#This Row],[SP Exp Date]], SnapshotTable[[#This Row],[SP Book Price]]),"")</f>
        <v/>
      </c>
      <c r="CQ239" s="78"/>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5" t="str">
        <f>IF(SnapshotTable[[#This Row],[SP Is Filled]], btc_next_cutoff_date(SnapshotTable[[#This Row],[SP Fill Date]],SnapshotTable[[#This Row],[SP Exp Date]]),"")</f>
        <v/>
      </c>
      <c r="CT239" s="23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43">
        <v>44771</v>
      </c>
      <c r="CV239" s="235"/>
      <c r="CW239" s="378"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294" t="str">
        <f>IF(ISNUMBER((SnapshotTable[[#This Row],[SP Total Value]])), SnapshotTable[[#This Row],[SP Gain Loss]] / SnapshotTable[[#This Row],[SP Premium]], "")</f>
        <v/>
      </c>
      <c r="DI239" s="406"/>
      <c r="DJ239" s="138"/>
      <c r="DK239" s="148"/>
      <c r="DL239" s="13"/>
      <c r="DM239" s="13"/>
      <c r="DO239" s="31">
        <f>IF(SnapshotTable[[#This Row],[LC Symbol Count]]=1, SnapshotTable[[#This Row],[LC Qty]] * SnapshotTable[[#This Row],[LC Book Price]] * 100, 0)</f>
        <v>0</v>
      </c>
      <c r="DP239" s="163" t="str">
        <f>IF(AND(SnapshotTable[[#This Row],[LC Exp Date]]&gt;0, SnapshotTable[[#This Row],[LC Strike Price]]&gt;0,SnapshotTable[[#This Row],[LC Qty]]&gt;0,SnapshotTable[[#This Row],[LC Book Date]]&gt;0,SnapshotTable[[#This Row],[LC Book Price]]&gt;0,SnapshotTable[[#This Row],[LC Fill Date]]=0),"Y","")</f>
        <v/>
      </c>
      <c r="DQ239" s="386" t="str">
        <f>IF(SnapshotTable[[#This Row],[LC Premium]] &gt; 0,SnapshotTable[[#This Row],[LC Exp Date]]-MAX(SnapshotTable[[#This Row],[LC Book Date]], SnapshotTable[[#This Row],[LC Fill Date]]),"")</f>
        <v/>
      </c>
      <c r="DR239" s="386" t="str">
        <f>IF(ISNUMBER(SnapshotTable[[#This Row],[LC Term]]), SnapshotTable[[#This Row],[LC Exp Date]] - MockToday, "")</f>
        <v/>
      </c>
      <c r="DS239" s="23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40" t="str">
        <f>IF(ISNUMBER(SnapshotTable[[#This Row],[LC Actual Gain Loss]]), SnapshotTable[[#This Row],[LC Actual Gain Loss]] / SnapshotTable[[#This Row],[LC Premium]],"")</f>
        <v/>
      </c>
      <c r="DX239" s="284" t="str">
        <f>IF(ISNUMBER(SnapshotTable[[#This Row],[LC Book Price]]),SnapshotTable[[#This Row],[LC Book Price]] * 1.5,"")</f>
        <v/>
      </c>
      <c r="DY239" s="265" t="str">
        <f>IF(SnapshotTable[[#This Row],[LC Premium]]&gt;0, SnapshotTable[[#This Row],[LC Next Target]] * SnapshotTable[[#This Row],[LC Qty]] * 100,"")</f>
        <v/>
      </c>
      <c r="DZ239" s="265" t="str">
        <f>IF(ISNUMBER(SnapshotTable[[#This Row],[LC Target Gross]]), SnapshotTable[[#This Row],[LC Target Gross]] - SnapshotTable[[#This Row],[LC Premium]], "")</f>
        <v/>
      </c>
      <c r="EA239" s="305" t="str">
        <f>IF(ISNUMBER(SnapshotTable[[#This Row],[LC Target Gain Loss]]), SnapshotTable[[#This Row],[LC Target Gain Loss]]/SnapshotTable[[#This Row],[LC Premium]], "")</f>
        <v/>
      </c>
      <c r="EB239" s="262"/>
      <c r="EC239" s="283" t="str">
        <f>IF(SnapshotTable[[#This Row],[LC Premium]]&gt;0, SnapshotTable[[#This Row],[LC Book Price]] * (1 - LC_StopLoss_Pct),"")</f>
        <v/>
      </c>
      <c r="ED239" s="284"/>
      <c r="EE239" s="28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4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7"/>
      <c r="EL239" s="138"/>
      <c r="EM239" s="148"/>
      <c r="EN239" s="147"/>
      <c r="EO239" s="147"/>
      <c r="EP239" s="138"/>
      <c r="EQ239" s="419" t="b">
        <f>AND(ISNUMBER(SnapshotTable[[#This Row],[SC Exp Date]]), ISNUMBER(SnapshotTable[[#This Row],[SC Strike Price]]), ISNUMBER(SnapshotTable[[#This Row],[SC Qty]]), ISNUMBER(SnapshotTable[[#This Row],[SC Book Date]]), ISNUMBER(SnapshotTable[[#This Row],[SC Book Price]]))</f>
        <v>0</v>
      </c>
      <c r="ER239" s="419" t="b">
        <f>AND(SnapshotTable[[#This Row],[SC Is Booked]], NOT(ISBLANK(SnapshotTable[[#This Row],[SC Fill Date]])))</f>
        <v>0</v>
      </c>
      <c r="ES239" s="370"/>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3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283"/>
      <c r="FA239" s="218"/>
      <c r="FB239" s="370"/>
      <c r="FC239" s="4">
        <f>IF(SnapshotTable[[#This Row],[SC Is Filled]], btc_max_buyback_amount(SnapshotTable[[#This Row],[SC Fill Date]],SnapshotTable[[#This Row],[SC Exp Date]], SnapshotTable[[#This Row],[SC Book Price]]),0)</f>
        <v>0</v>
      </c>
      <c r="FD239" s="5"/>
      <c r="FE239" s="144"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382">
        <f>IF(SnapshotTable[[#This Row],[SC Is Filled]], IF(ISNUMBER(SnapshotTable[[#This Row],[SC Current Ask]]), SnapshotTable[[#This Row],[SC Current Ask]], SnapshotTable[[#This Row],[SC Book Price]]) - SnapshotTable[[#This Row],[SC Intrinsic Value]], 0)</f>
        <v>0</v>
      </c>
      <c r="FI239" s="143"/>
      <c r="FJ239" s="32" t="str">
        <f>IF(SnapshotTable[[#This Row],[SC Is Filled]],100 * SnapshotTable[[#This Row],[SC Qty]] * IF(ISNUMBER(SnapshotTable[[#This Row],[SC Buyback Override]]), SnapshotTable[[#This Row],[SC Buyback Override]], SnapshotTable[[#This Row],[SC Current Ask]]), "")</f>
        <v/>
      </c>
      <c r="FK239" s="250" t="str">
        <f>IF(SnapshotTable[[#This Row],[SC Time Val]]&gt;0, SnapshotTable[[#This Row],[SC Time Val]] / SnapshotTable[[#This Row],[Last Price]],"")</f>
        <v/>
      </c>
      <c r="FL239" s="302" t="str">
        <f>IF(SnapshotTable[[#This Row],[SC Is Booked]], ((SnapshotTable[[#This Row],[Last Price]] -SnapshotTable[[#This Row],[SC Strike Price]]) / SnapshotTable[[#This Row],[Last Price]]) * -1, "")</f>
        <v/>
      </c>
      <c r="FM239" s="157" t="str">
        <f>IF(SnapshotTable[[#This Row],[SC Is Booked]],  (SnapshotTable[[#This Row],[SC Qty]] * 100 * SnapshotTable[[#This Row],[SC Strike Price]]) - SnapshotTable[[#This Row],[SC Current Ask]], "")</f>
        <v/>
      </c>
      <c r="FN2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31"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33"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36" t="str">
        <f>IF(AND(ISNUMBER(SnapshotTable[[#This Row],[SC Simple ROO]]),SnapshotTable[[#This Row],[SC Simple ROO]] &gt; 0), SnapshotTable[[#This Row],[SC Premium]] + (SnapshotTable[[#This Row],[SC Qty]] * SnapshotTable[[#This Row],[SC Upside Potential]]), "")</f>
        <v/>
      </c>
      <c r="FX239" s="302" t="str" cm="1">
        <f t="array" ref="FX239">IF(ISNUMBER(SnapshotTable[[#This Row],[SC Max Dollars]]), annualize(SnapshotTable[[#This Row],[SC Term]],(SnapshotTable[[#This Row],[SC Max Dollars]]/SnapshotTable[[#This Row],[SC Basis]])),"")</f>
        <v/>
      </c>
      <c r="FY239" s="23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29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412.41399999999999</v>
      </c>
      <c r="GD239" s="40">
        <f>SnapshotTable[[#This Row],[Last Price]] * (1+ SellingPriceToConsiderBasedOnTargetPercentage)</f>
        <v>1003.002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27" t="str">
        <f>IF(SnapshotTable[[#This Row],[Sale G/L]]&gt;0, SnapshotTable[[#This Row],[Sale G/L]] / SnapshotTable[[#This Row],[Sale Basis]], IF(ISNUMBER(SnapshotTable[[#This Row],[SC Exercise P&amp;L (TAX)]]), SnapshotTable[[#This Row],[SC Exercise P&amp;L (TAX)]] / SnapshotTable[[#This Row],[SC Basis]], ""))</f>
        <v/>
      </c>
      <c r="GK239" s="27" t="s">
        <v>741</v>
      </c>
      <c r="GL239" s="43"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43" t="str">
        <f>IF(AND(SnapshotTable[[#This Row],[LC Exp Date]]&gt;0,SnapshotTable[[#This Row],[LC Strike Price]]&gt;0), [1]!ToOptionSymbol(SnapshotTable[[#This Row],[Symbol]], SnapshotTable[[#This Row],[LC Strike Price]],SnapshotTable[[#This Row],[LC Exp Date]],0), "")</f>
        <v/>
      </c>
      <c r="GQ239" s="30" t="str">
        <f>IF(LEN(SnapshotTable[[#This Row],[LC Symbol]])&gt;0, 1, "")</f>
        <v/>
      </c>
      <c r="GR239" s="43" t="str">
        <f>IF(AND(SnapshotTable[[#This Row],[SC Exp Date]]&gt;0,SnapshotTable[[#This Row],[SC Strike Price]]&gt;0), [1]!ToOptionSymbol(SnapshotTable[[#This Row],[Symbol]], SnapshotTable[[#This Row],[SC Strike Price]],SnapshotTable[[#This Row],[SC Exp Date]],0), "")</f>
        <v/>
      </c>
      <c r="GS239" s="30" t="str">
        <f>IF(LEN(SnapshotTable[[#This Row],[SC Symbol]])&gt;0, 1, "")</f>
        <v/>
      </c>
      <c r="GT239" s="29"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31">
        <f>MAX(SnapshotTable[[#This Row],[Equity Basis Total]],SnapshotTable[[#This Row],[Equity Value]]) + (SnapshotTable[[#This Row],[SP Potential Spend]]- SnapshotTable[[#This Row],[SP Premium]] + SnapshotTable[[#This Row],[LP Premium]])+ (SnapshotTable[[#This Row],[LC Premium]] - SnapshotTable[[#This Row],[SC Premium]])</f>
        <v>0</v>
      </c>
      <c r="GW239" s="139" t="str">
        <f>IF(AND(SnapshotTable[[#This Row],[Exposure]] &lt;&gt; 0),SnapshotTable[[#This Row],[Exposure]] / SnapshotTable[[#Totals],[Exposure]], "")</f>
        <v/>
      </c>
      <c r="HE239" s="268"/>
      <c r="HF239" s="268"/>
      <c r="HK239" s="1"/>
      <c r="HL239" s="1"/>
      <c r="HM239" s="1"/>
      <c r="HN239" s="1"/>
      <c r="HO239" s="1"/>
      <c r="HP239" s="1"/>
    </row>
    <row r="240" spans="2:224" ht="12.75" hidden="1" customHeight="1" x14ac:dyDescent="0.25">
      <c r="B240" s="12" t="s">
        <v>1038</v>
      </c>
      <c r="C240" s="422">
        <v>267.39999999999998</v>
      </c>
      <c r="D240" s="208" t="s">
        <v>578</v>
      </c>
      <c r="E240" s="39">
        <f>SnapshotTable[[#This Row],[Last Price]]*(1 -CrashDiscount)</f>
        <v>227.28999999999996</v>
      </c>
      <c r="F240" s="26" t="s">
        <v>1039</v>
      </c>
      <c r="G240" s="325" t="s">
        <v>822</v>
      </c>
      <c r="H240" s="149"/>
      <c r="I240" s="194">
        <v>44959</v>
      </c>
      <c r="J240" s="195">
        <v>44959</v>
      </c>
      <c r="K240" s="196"/>
      <c r="L240" s="327"/>
      <c r="M240" s="140"/>
      <c r="N240" s="140"/>
      <c r="O240" s="140"/>
      <c r="P240" s="328"/>
      <c r="Q240" s="25"/>
      <c r="R240" s="4" t="str">
        <f>IF(SnapshotTable[[#This Row],[Equity Basis Total]] &gt; 0, SnapshotTable[[#This Row],[Equity Basis Total]] / SnapshotTable[[#This Row],[Equity Shares]], "")</f>
        <v/>
      </c>
      <c r="S240" s="329">
        <f>SnapshotTable[[#This Row],[Last Price]] * SnapshotTable[[#This Row],[Equity Shares]]</f>
        <v>0</v>
      </c>
      <c r="T240" s="269">
        <f>SnapshotTable[[#This Row],[Equity Value]] - SnapshotTable[[#This Row],[Equity Basis Total]]</f>
        <v>0</v>
      </c>
      <c r="U240" s="270" t="str">
        <f>IF(SnapshotTable[[#This Row],[Equity Basis Total]] &gt; 0, SnapshotTable[[#This Row],[Equity G/L]] / SnapshotTable[[#This Row],[Equity Basis Total]], "")</f>
        <v/>
      </c>
      <c r="V240" s="268">
        <v>157</v>
      </c>
      <c r="W240" s="268">
        <v>133.9</v>
      </c>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7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0"/>
      <c r="AD240" s="350"/>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1"/>
      <c r="AI240" s="330"/>
      <c r="AJ240" s="138">
        <v>158.55000000000001</v>
      </c>
      <c r="AK240" s="152" t="str">
        <f>IF(ISNUMBER( SnapshotTable[[#This Row],[EBF Target]]),(SnapshotTable[[#This Row],[EBF Target]] - SnapshotTable[[#This Row],[Last Price]]) / SnapshotTable[[#This Row],[Last Price]], "")</f>
        <v/>
      </c>
      <c r="AL240" s="152"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2">
        <f>IF(AND(ISNUMBER( SnapshotTable[[#This Row],[Long Term Target]]), ISNUMBER(SnapshotTable[[#This Row],[Last Price]])),(SnapshotTable[[#This Row],[Long Term Target]] - SnapshotTable[[#This Row],[Last Price]]) / SnapshotTable[[#This Row],[Last Price]], "")</f>
        <v>-0.40706806282722502</v>
      </c>
      <c r="AP240" s="5">
        <v>165</v>
      </c>
      <c r="AQ240" s="38" t="s">
        <v>89</v>
      </c>
      <c r="AR240" s="5">
        <v>150</v>
      </c>
      <c r="AS240" s="38" t="s">
        <v>32</v>
      </c>
      <c r="AT240" s="146" t="s">
        <v>575</v>
      </c>
      <c r="AU240" s="187" t="str">
        <f>IF(OR(SnapshotTable[[#This Row],[LP No Fill]]="Y",SnapshotTable[[#This Row],[SP Is Filled]],SnapshotTable[[#This Row],[LC Not Filled]]="Y",SnapshotTable[[#This Row],[SC Is Filled]]),"Y","")</f>
        <v/>
      </c>
      <c r="AV240" s="338"/>
      <c r="AW240" s="339"/>
      <c r="AX240" s="220"/>
      <c r="AY240" s="219" t="str">
        <f>IF(SnapshotTable[[#This Row],[Implied Move]]&gt;0, SnapshotTable[[#This Row],[Last Price]]-SnapshotTable[[#This Row],[Implied Move]],"")</f>
        <v/>
      </c>
      <c r="AZ240" s="219" t="str">
        <f>IF(SnapshotTable[[#This Row],[Implied Move]]&gt;0, SnapshotTable[[#This Row],[Last Price]] + SnapshotTable[[#This Row],[Implied Move]],"")</f>
        <v/>
      </c>
      <c r="BA240" s="331">
        <v>2.4300000000000002</v>
      </c>
      <c r="BB240" s="347"/>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51"/>
      <c r="BE240" s="138"/>
      <c r="BF240" s="166"/>
      <c r="BG240" s="167"/>
      <c r="BH240" s="167"/>
      <c r="BI240" s="221"/>
      <c r="BJ240" s="153">
        <f>IF(SnapshotTable[[#This Row],[LP Qty]] &gt; 0, SnapshotTable[[#This Row],[LP Qty]] * SnapshotTable[[#This Row],[LP Book Price]] * 100,0)</f>
        <v>0</v>
      </c>
      <c r="BK240" s="136">
        <f>IF(SnapshotTable[[#This Row],[LP Premium]] &gt; 0, SnapshotTable[[#This Row],[LP Qty]] * SnapshotTable[[#This Row],[LP Strike Price]] * 100,0)</f>
        <v>0</v>
      </c>
      <c r="BL240" s="154"/>
      <c r="BM240" s="385" t="str">
        <f>IF(SnapshotTable[[#This Row],[LP Premium]] &gt; 0,SnapshotTable[[#This Row],[LP Exp Date]]-MAX(SnapshotTable[[#This Row],[LP Book Date]], SnapshotTable[[#This Row],[LP Fill Date]]),"")</f>
        <v/>
      </c>
      <c r="BN240" s="385" t="str">
        <f>IF(ISNUMBER( SnapshotTable[[#This Row],[LP Term]]), SnapshotTable[[#This Row],[LP Exp Date]] - MockToday,"")</f>
        <v/>
      </c>
      <c r="BO240" s="163"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7"/>
      <c r="BU240" s="13"/>
      <c r="BV240" s="5"/>
      <c r="BW240" s="419" t="b">
        <f>AND(ISNUMBER(SnapshotTable[[#This Row],[SP Exp Date]]), ISNUMBER(SnapshotTable[[#This Row],[SP Strike Price]]), ISNUMBER(SnapshotTable[[#This Row],[SP Qty]]), ISNUMBER(SnapshotTable[[#This Row],[SP Book Date]]), ISNUMBER(SnapshotTable[[#This Row],[SP Book Price]]))</f>
        <v>0</v>
      </c>
      <c r="BX240" s="419" t="b">
        <f>AND(SnapshotTable[[#This Row],[SP Is Booked]], NOT(ISBLANK(SnapshotTable[[#This Row],[SP Fill Date]])))</f>
        <v>0</v>
      </c>
      <c r="BY240" s="33">
        <f>IF(SnapshotTable[[#This Row],[SP Is Booked]], SnapshotTable[[#This Row],[SP Qty]] * SnapshotTable[[#This Row],[SP Book Price]] * 100, 0)</f>
        <v>0</v>
      </c>
      <c r="BZ240" s="369"/>
      <c r="CA240" s="368">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3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44"/>
      <c r="CK240" s="31">
        <f>IF(ISNUMBER(SnapshotTable[[#This Row],[SP Potential Spend]]),IF(ISNUMBER(SnapshotTable[[#This Row],[SP POW]]), SnapshotTable[[#This Row],[SP POW]] * SnapshotTable[[#This Row],[SP Potential Spend]], SnapshotTable[[#This Row],[SP Potential Spend]]), "")</f>
        <v>0</v>
      </c>
      <c r="CL240" s="164">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154"/>
      <c r="CO240" s="369"/>
      <c r="CP240" s="320" t="str">
        <f>IF(SnapshotTable[[#This Row],[SP Is Filled]], btc_max_buyback_amount(SnapshotTable[[#This Row],[SP Fill Date]],SnapshotTable[[#This Row],[SP Exp Date]], SnapshotTable[[#This Row],[SP Book Price]]),"")</f>
        <v/>
      </c>
      <c r="CQ240" s="78"/>
      <c r="CR240"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5" t="str">
        <f>IF(SnapshotTable[[#This Row],[SP Is Filled]], btc_next_cutoff_date(SnapshotTable[[#This Row],[SP Fill Date]],SnapshotTable[[#This Row],[SP Exp Date]]),"")</f>
        <v/>
      </c>
      <c r="CT240" s="23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56"/>
      <c r="CV240" s="235"/>
      <c r="CW240" s="378"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294" t="str">
        <f>IF(ISNUMBER((SnapshotTable[[#This Row],[SP Total Value]])), SnapshotTable[[#This Row],[SP Gain Loss]] / SnapshotTable[[#This Row],[SP Premium]], "")</f>
        <v/>
      </c>
      <c r="DI240" s="406"/>
      <c r="DJ240" s="138"/>
      <c r="DK240" s="148"/>
      <c r="DL240" s="147"/>
      <c r="DM240" s="147"/>
      <c r="DO240" s="31">
        <f>IF(SnapshotTable[[#This Row],[LC Symbol Count]]=1, SnapshotTable[[#This Row],[LC Qty]] * SnapshotTable[[#This Row],[LC Book Price]] * 100, 0)</f>
        <v>0</v>
      </c>
      <c r="DP240" s="289" t="str">
        <f>IF(AND(SnapshotTable[[#This Row],[LC Exp Date]]&gt;0, SnapshotTable[[#This Row],[LC Strike Price]]&gt;0,SnapshotTable[[#This Row],[LC Qty]]&gt;0,SnapshotTable[[#This Row],[LC Book Date]]&gt;0,SnapshotTable[[#This Row],[LC Book Price]]&gt;0,SnapshotTable[[#This Row],[LC Fill Date]]=0),"Y","")</f>
        <v/>
      </c>
      <c r="DQ240" s="386" t="str">
        <f>IF(SnapshotTable[[#This Row],[LC Premium]] &gt; 0,SnapshotTable[[#This Row],[LC Exp Date]]-MAX(SnapshotTable[[#This Row],[LC Book Date]], SnapshotTable[[#This Row],[LC Fill Date]]),"")</f>
        <v/>
      </c>
      <c r="DR240" s="386" t="str">
        <f>IF(ISNUMBER(SnapshotTable[[#This Row],[LC Term]]), SnapshotTable[[#This Row],[LC Exp Date]] - MockToday, "")</f>
        <v/>
      </c>
      <c r="DS240" s="234" t="str">
        <f>IF(SnapshotTable[[#This Row],[LC Premium]]&gt;0,SnapshotTable[[#This Row],[LC Strike Price]] + SnapshotTable[[#This Row],[LC Book Price]],"")</f>
        <v/>
      </c>
      <c r="DT240" s="5">
        <v>2.85</v>
      </c>
      <c r="DU240" s="9">
        <f>IF(AND(SnapshotTable[[#This Row],[LC Symbol Count]]&gt;0, SnapshotTable[[#This Row],[LC Contract Value]]&gt;0), SnapshotTable[[#This Row],[LC Contract Value]] * SnapshotTable[[#This Row],[LC Qty]] * 100, "")</f>
        <v>0</v>
      </c>
      <c r="DV240" s="9">
        <f>IF(AND(ISNUMBER(SnapshotTable[[#This Row],[LC Total Value]]), SnapshotTable[[#This Row],[LC Not Filled]]&lt;&gt;"Y"), SnapshotTable[[#This Row],[LC Total Value]]-SnapshotTable[[#This Row],[LC Premium]],"")</f>
        <v>0</v>
      </c>
      <c r="DW240" s="240" t="e">
        <f>IF(ISNUMBER(SnapshotTable[[#This Row],[LC Actual Gain Loss]]), SnapshotTable[[#This Row],[LC Actual Gain Loss]] / SnapshotTable[[#This Row],[LC Premium]],"")</f>
        <v>#DIV/0!</v>
      </c>
      <c r="DX240" s="284" t="str">
        <f>IF(ISNUMBER(SnapshotTable[[#This Row],[LC Book Price]]),SnapshotTable[[#This Row],[LC Book Price]] * 1.5,"")</f>
        <v/>
      </c>
      <c r="DY240" s="265" t="str">
        <f>IF(SnapshotTable[[#This Row],[LC Premium]]&gt;0, SnapshotTable[[#This Row],[LC Next Target]] * SnapshotTable[[#This Row],[LC Qty]] * 100,"")</f>
        <v/>
      </c>
      <c r="DZ240" s="265" t="str">
        <f>IF(ISNUMBER(SnapshotTable[[#This Row],[LC Target Gross]]), SnapshotTable[[#This Row],[LC Target Gross]] - SnapshotTable[[#This Row],[LC Premium]], "")</f>
        <v/>
      </c>
      <c r="EA240" s="305" t="str">
        <f>IF(ISNUMBER(SnapshotTable[[#This Row],[LC Target Gain Loss]]), SnapshotTable[[#This Row],[LC Target Gain Loss]]/SnapshotTable[[#This Row],[LC Premium]], "")</f>
        <v/>
      </c>
      <c r="EB240" s="262"/>
      <c r="EC240" s="290" t="str">
        <f>IF(SnapshotTable[[#This Row],[LC Premium]]&gt;0, SnapshotTable[[#This Row],[LC Book Price]] * (1 - LC_StopLoss_Pct),"")</f>
        <v/>
      </c>
      <c r="ED240" s="284"/>
      <c r="EE240" s="290" t="str">
        <f>IF(ISNUMBER(SnapshotTable[[#This Row],[LC Contract Value]]),IF(ISNUMBER(SnapshotTable[[#This Row],[LC Stop Loss Override]]), SnapshotTable[[#This Row],[LC Stop Loss Override]],SnapshotTable[[#This Row],[LC Stop Loss Calc Target]]),"")</f>
        <v/>
      </c>
      <c r="EF240" s="321" t="str">
        <f>IF(ISNUMBER(SnapshotTable[[#This Row],[LC Stop  To Use]]), (SnapshotTable[[#This Row],[LC Stop  To Use]] * SnapshotTable[[#This Row],[LC Qty]] * 100),"")</f>
        <v/>
      </c>
      <c r="EG240" s="9" t="e">
        <f>IF(ISNUMBER(SnapshotTable[[#This Row],[LC Total Value]]),SnapshotTable[[#This Row],[LC Stop Loss Amount]] - SnapshotTable[[#This Row],[LC Premium]],"")</f>
        <v>#VALUE!</v>
      </c>
      <c r="EH240" s="9">
        <f>IF(ISNUMBER(SnapshotTable[[#This Row],[LC Premium]]), SnapshotTable[[#This Row],[LC Qty]] * 100 * SnapshotTable[[#This Row],[LC Strike Price]], "")</f>
        <v>0</v>
      </c>
      <c r="EI240" s="24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7"/>
      <c r="EL240" s="138"/>
      <c r="EM240" s="148"/>
      <c r="EN240" s="147"/>
      <c r="EO240" s="147"/>
      <c r="EP240" s="138"/>
      <c r="EQ240" s="419" t="b">
        <f>AND(ISNUMBER(SnapshotTable[[#This Row],[SC Exp Date]]), ISNUMBER(SnapshotTable[[#This Row],[SC Strike Price]]), ISNUMBER(SnapshotTable[[#This Row],[SC Qty]]), ISNUMBER(SnapshotTable[[#This Row],[SC Book Date]]), ISNUMBER(SnapshotTable[[#This Row],[SC Book Price]]))</f>
        <v>0</v>
      </c>
      <c r="ER240" s="419" t="b">
        <f>AND(SnapshotTable[[#This Row],[SC Is Booked]], NOT(ISBLANK(SnapshotTable[[#This Row],[SC Fill Date]])))</f>
        <v>0</v>
      </c>
      <c r="ES240" s="370"/>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3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283"/>
      <c r="FA240" s="218"/>
      <c r="FB240" s="370"/>
      <c r="FC240" s="4">
        <f>IF(SnapshotTable[[#This Row],[SC Is Filled]], btc_max_buyback_amount(SnapshotTable[[#This Row],[SC Fill Date]],SnapshotTable[[#This Row],[SC Exp Date]], SnapshotTable[[#This Row],[SC Book Price]]),0)</f>
        <v>0</v>
      </c>
      <c r="FD240" s="5"/>
      <c r="FE240" s="144"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382">
        <f>IF(SnapshotTable[[#This Row],[SC Is Filled]], IF(ISNUMBER(SnapshotTable[[#This Row],[SC Current Ask]]), SnapshotTable[[#This Row],[SC Current Ask]], SnapshotTable[[#This Row],[SC Book Price]]) - SnapshotTable[[#This Row],[SC Intrinsic Value]], 0)</f>
        <v>0</v>
      </c>
      <c r="FI240" s="143"/>
      <c r="FJ240" s="32" t="str">
        <f>IF(SnapshotTable[[#This Row],[SC Is Filled]],100 * SnapshotTable[[#This Row],[SC Qty]] * IF(ISNUMBER(SnapshotTable[[#This Row],[SC Buyback Override]]), SnapshotTable[[#This Row],[SC Buyback Override]], SnapshotTable[[#This Row],[SC Current Ask]]), "")</f>
        <v/>
      </c>
      <c r="FK240" s="250" t="str">
        <f>IF(SnapshotTable[[#This Row],[SC Time Val]]&gt;0, SnapshotTable[[#This Row],[SC Time Val]] / SnapshotTable[[#This Row],[Last Price]],"")</f>
        <v/>
      </c>
      <c r="FL240" s="302" t="str">
        <f>IF(SnapshotTable[[#This Row],[SC Is Booked]], ((SnapshotTable[[#This Row],[Last Price]] -SnapshotTable[[#This Row],[SC Strike Price]]) / SnapshotTable[[#This Row],[Last Price]]) * -1, "")</f>
        <v/>
      </c>
      <c r="FM240" s="157" t="str">
        <f>IF(SnapshotTable[[#This Row],[SC Is Booked]],  (SnapshotTable[[#This Row],[SC Qty]] * 100 * SnapshotTable[[#This Row],[SC Strike Price]]) - SnapshotTable[[#This Row],[SC Current Ask]], "")</f>
        <v/>
      </c>
      <c r="FN24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157"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33"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36" t="str">
        <f>IF(AND(ISNUMBER(SnapshotTable[[#This Row],[SC Simple ROO]]),SnapshotTable[[#This Row],[SC Simple ROO]] &gt; 0), SnapshotTable[[#This Row],[SC Premium]] + (SnapshotTable[[#This Row],[SC Qty]] * SnapshotTable[[#This Row],[SC Upside Potential]]), "")</f>
        <v/>
      </c>
      <c r="FX240" s="302" t="str" cm="1">
        <f t="array" ref="FX240">IF(ISNUMBER(SnapshotTable[[#This Row],[SC Max Dollars]]), annualize(SnapshotTable[[#This Row],[SC Term]],(SnapshotTable[[#This Row],[SC Max Dollars]]/SnapshotTable[[#This Row],[SC Basis]])),"")</f>
        <v/>
      </c>
      <c r="FY240" s="236" t="str">
        <f>IF(AND(SnapshotTable[[#This Row],[SC Qty]]&gt;0,SnapshotTable[[#This Row],[SC Current Ask]]&gt;0), SnapshotTable[[#This Row],[SC Qty]] * SnapshotTable[[#This Row],[SC Current Ask]] * -100, "")</f>
        <v/>
      </c>
      <c r="FZ240" s="235" t="str">
        <f>IF(ISNUMBER((SnapshotTable[[#This Row],[SC Current Value]])), SnapshotTable[[#This Row],[SC Premium]] + SnapshotTable[[#This Row],[SC Current Value]], "")</f>
        <v/>
      </c>
      <c r="GA240" s="29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150.6225</v>
      </c>
      <c r="GD240" s="40">
        <f>SnapshotTable[[#This Row],[Last Price]] * (1+ SellingPriceToConsiderBasedOnTargetPercentage)</f>
        <v>521.42999999999995</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158" t="str">
        <f>IF(SnapshotTable[[#This Row],[Sale G/L]]&gt;0, SnapshotTable[[#This Row],[Sale G/L]] / SnapshotTable[[#This Row],[Sale Basis]], IF(ISNUMBER(SnapshotTable[[#This Row],[SC Exercise P&amp;L (TAX)]]), SnapshotTable[[#This Row],[SC Exercise P&amp;L (TAX)]] / SnapshotTable[[#This Row],[SC Basis]], ""))</f>
        <v/>
      </c>
      <c r="GK240" s="27"/>
      <c r="GL240" s="159"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159" t="str">
        <f>IF(AND(SnapshotTable[[#This Row],[LC Exp Date]]&gt;0,SnapshotTable[[#This Row],[LC Strike Price]]&gt;0), [1]!ToOptionSymbol(SnapshotTable[[#This Row],[Symbol]], SnapshotTable[[#This Row],[LC Strike Price]],SnapshotTable[[#This Row],[LC Exp Date]],0), "")</f>
        <v/>
      </c>
      <c r="GQ240" s="160" t="str">
        <f>IF(LEN(SnapshotTable[[#This Row],[LC Symbol]])&gt;0, 1, "")</f>
        <v/>
      </c>
      <c r="GR240" s="159" t="str">
        <f>IF(AND(SnapshotTable[[#This Row],[SC Exp Date]]&gt;0,SnapshotTable[[#This Row],[SC Strike Price]]&gt;0), [1]!ToOptionSymbol(SnapshotTable[[#This Row],[Symbol]], SnapshotTable[[#This Row],[SC Strike Price]],SnapshotTable[[#This Row],[SC Exp Date]],0), "")</f>
        <v/>
      </c>
      <c r="GS240" s="160" t="str">
        <f>IF(LEN(SnapshotTable[[#This Row],[SC Symbol]])&gt;0, 1, "")</f>
        <v/>
      </c>
      <c r="GT240" s="161"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31">
        <f>MAX(SnapshotTable[[#This Row],[Equity Basis Total]],SnapshotTable[[#This Row],[Equity Value]]) + (SnapshotTable[[#This Row],[SP Potential Spend]]- SnapshotTable[[#This Row],[SP Premium]] + SnapshotTable[[#This Row],[LP Premium]])+ (SnapshotTable[[#This Row],[LC Premium]] - SnapshotTable[[#This Row],[SC Premium]])</f>
        <v>0</v>
      </c>
      <c r="GW240" s="139" t="str">
        <f>IF(AND(SnapshotTable[[#This Row],[Exposure]] &lt;&gt; 0),SnapshotTable[[#This Row],[Exposure]] / SnapshotTable[[#Totals],[Exposure]], "")</f>
        <v/>
      </c>
      <c r="GX240" s="5"/>
      <c r="HE240" s="268"/>
      <c r="HF240" s="268"/>
      <c r="HK240" s="1"/>
      <c r="HL240" s="1"/>
      <c r="HM240" s="1"/>
      <c r="HN240" s="1"/>
      <c r="HO240" s="1"/>
      <c r="HP240" s="1"/>
    </row>
    <row r="241" spans="2:224" ht="12.75" hidden="1" customHeight="1" x14ac:dyDescent="0.25">
      <c r="B241" s="12" t="s">
        <v>1047</v>
      </c>
      <c r="C241" s="422">
        <v>104.61</v>
      </c>
      <c r="D241" s="208"/>
      <c r="E241" s="39">
        <f>SnapshotTable[[#This Row],[Last Price]]*(1 -CrashDiscount)</f>
        <v>88.918499999999995</v>
      </c>
      <c r="F241" s="26" t="s">
        <v>604</v>
      </c>
      <c r="G241" s="26" t="s">
        <v>49</v>
      </c>
      <c r="H241" s="149"/>
      <c r="I241" s="194">
        <v>44868.291666666664</v>
      </c>
      <c r="J241" s="195">
        <v>44868.291666666664</v>
      </c>
      <c r="K241" s="196"/>
      <c r="L241" s="326"/>
      <c r="M241" s="140"/>
      <c r="N241" s="140"/>
      <c r="O241" s="140"/>
      <c r="P241" s="22"/>
      <c r="Q241" s="25"/>
      <c r="R241" s="4" t="str">
        <f>IF(SnapshotTable[[#This Row],[Equity Basis Total]] &gt; 0, SnapshotTable[[#This Row],[Equity Basis Total]] / SnapshotTable[[#This Row],[Equity Shares]], "")</f>
        <v/>
      </c>
      <c r="S241" s="269">
        <f>SnapshotTable[[#This Row],[Last Price]] * SnapshotTable[[#This Row],[Equity Shares]]</f>
        <v>0</v>
      </c>
      <c r="T241" s="269">
        <f>SnapshotTable[[#This Row],[Equity Value]] - SnapshotTable[[#This Row],[Equity Basis Total]]</f>
        <v>0</v>
      </c>
      <c r="U241" s="270" t="str">
        <f>IF(SnapshotTable[[#This Row],[Equity Basis Total]] &gt; 0, SnapshotTable[[#This Row],[Equity G/L]] / SnapshotTable[[#This Row],[Equity Basis Total]], "")</f>
        <v/>
      </c>
      <c r="V241" s="268"/>
      <c r="W241" s="268"/>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7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0"/>
      <c r="AD241" s="151"/>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1"/>
      <c r="AI241" s="5"/>
      <c r="AJ241" s="138">
        <v>92</v>
      </c>
      <c r="AK241" s="152" t="str">
        <f>IF(ISNUMBER( SnapshotTable[[#This Row],[EBF Target]]),(SnapshotTable[[#This Row],[EBF Target]] - SnapshotTable[[#This Row],[Last Price]]) / SnapshotTable[[#This Row],[Last Price]], "")</f>
        <v/>
      </c>
      <c r="AL241" s="152"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2">
        <f>IF(AND(ISNUMBER( SnapshotTable[[#This Row],[Long Term Target]]), ISNUMBER(SnapshotTable[[#This Row],[Last Price]])),(SnapshotTable[[#This Row],[Long Term Target]] - SnapshotTable[[#This Row],[Last Price]]) / SnapshotTable[[#This Row],[Last Price]], "")</f>
        <v>-0.12054296912341075</v>
      </c>
      <c r="AP241" s="5">
        <v>65</v>
      </c>
      <c r="AQ241" s="38" t="s">
        <v>38</v>
      </c>
      <c r="AR241" s="5">
        <v>65</v>
      </c>
      <c r="AS241" s="38" t="s">
        <v>26</v>
      </c>
      <c r="AT241" s="146" t="s">
        <v>538</v>
      </c>
      <c r="AU241" s="187" t="str">
        <f>IF(OR(SnapshotTable[[#This Row],[LP No Fill]]="Y",SnapshotTable[[#This Row],[SP Is Filled]],SnapshotTable[[#This Row],[LC Not Filled]]="Y",SnapshotTable[[#This Row],[SC Is Filled]]),"Y","")</f>
        <v/>
      </c>
      <c r="AV241" s="219"/>
      <c r="AW241" s="225"/>
      <c r="AX241" s="220"/>
      <c r="AY241" s="219" t="str">
        <f>IF(SnapshotTable[[#This Row],[Implied Move]]&gt;0, SnapshotTable[[#This Row],[Last Price]]-SnapshotTable[[#This Row],[Implied Move]],"")</f>
        <v/>
      </c>
      <c r="AZ241" s="219" t="str">
        <f>IF(SnapshotTable[[#This Row],[Implied Move]]&gt;0, SnapshotTable[[#This Row],[Last Price]] + SnapshotTable[[#This Row],[Implied Move]],"")</f>
        <v/>
      </c>
      <c r="BA241" s="331">
        <v>61.5</v>
      </c>
      <c r="BB241" s="347"/>
      <c r="BC2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1" s="351"/>
      <c r="BE241" s="5"/>
      <c r="BF241" s="14"/>
      <c r="BG241" s="13"/>
      <c r="BH241" s="13"/>
      <c r="BI241" s="5"/>
      <c r="BJ241" s="136">
        <f>IF(SnapshotTable[[#This Row],[LP Qty]] &gt; 0, SnapshotTable[[#This Row],[LP Qty]] * SnapshotTable[[#This Row],[LP Book Price]] * 100,0)</f>
        <v>0</v>
      </c>
      <c r="BK241" s="136">
        <f>IF(SnapshotTable[[#This Row],[LP Premium]] &gt; 0, SnapshotTable[[#This Row],[LP Qty]] * SnapshotTable[[#This Row],[LP Strike Price]] * 100,0)</f>
        <v>0</v>
      </c>
      <c r="BL241" s="154"/>
      <c r="BM241" s="385" t="str">
        <f>IF(SnapshotTable[[#This Row],[LP Premium]] &gt; 0,SnapshotTable[[#This Row],[LP Exp Date]]-MAX(SnapshotTable[[#This Row],[LP Book Date]], SnapshotTable[[#This Row],[LP Fill Date]]),"")</f>
        <v/>
      </c>
      <c r="BN241" s="385" t="str">
        <f>IF(ISNUMBER( SnapshotTable[[#This Row],[LP Term]]), SnapshotTable[[#This Row],[LP Exp Date]] - MockToday,"")</f>
        <v/>
      </c>
      <c r="BO241" s="163"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7"/>
      <c r="BU241" s="13"/>
      <c r="BV241" s="5"/>
      <c r="BW241" s="419" t="b">
        <f>AND(ISNUMBER(SnapshotTable[[#This Row],[SP Exp Date]]), ISNUMBER(SnapshotTable[[#This Row],[SP Strike Price]]), ISNUMBER(SnapshotTable[[#This Row],[SP Qty]]), ISNUMBER(SnapshotTable[[#This Row],[SP Book Date]]), ISNUMBER(SnapshotTable[[#This Row],[SP Book Price]]))</f>
        <v>0</v>
      </c>
      <c r="BX241" s="419" t="b">
        <f>AND(SnapshotTable[[#This Row],[SP Is Booked]], NOT(ISBLANK(SnapshotTable[[#This Row],[SP Fill Date]])))</f>
        <v>0</v>
      </c>
      <c r="BY241" s="33">
        <f>IF(SnapshotTable[[#This Row],[SP Is Booked]], SnapshotTable[[#This Row],[SP Qty]] * SnapshotTable[[#This Row],[SP Book Price]] * 100, 0)</f>
        <v>0</v>
      </c>
      <c r="BZ241" s="369"/>
      <c r="CA241" s="368">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3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44"/>
      <c r="CK241" s="31">
        <f>IF(ISNUMBER(SnapshotTable[[#This Row],[SP Potential Spend]]),IF(ISNUMBER(SnapshotTable[[#This Row],[SP POW]]), SnapshotTable[[#This Row],[SP POW]] * SnapshotTable[[#This Row],[SP Potential Spend]], SnapshotTable[[#This Row],[SP Potential Spend]]), "")</f>
        <v>0</v>
      </c>
      <c r="CL241" s="164">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78"/>
      <c r="CO241" s="369"/>
      <c r="CP241" s="4" t="str">
        <f>IF(SnapshotTable[[#This Row],[SP Is Filled]], btc_max_buyback_amount(SnapshotTable[[#This Row],[SP Fill Date]],SnapshotTable[[#This Row],[SP Exp Date]], SnapshotTable[[#This Row],[SP Book Price]]),"")</f>
        <v/>
      </c>
      <c r="CQ241" s="78"/>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5" t="str">
        <f>IF(SnapshotTable[[#This Row],[SP Is Filled]], btc_next_cutoff_date(SnapshotTable[[#This Row],[SP Fill Date]],SnapshotTable[[#This Row],[SP Exp Date]]),"")</f>
        <v/>
      </c>
      <c r="CT241" s="23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43"/>
      <c r="CV241" s="235"/>
      <c r="CW241" s="378"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294" t="str">
        <f>IF(ISNUMBER((SnapshotTable[[#This Row],[SP Total Value]])), SnapshotTable[[#This Row],[SP Gain Loss]] / SnapshotTable[[#This Row],[SP Premium]], "")</f>
        <v/>
      </c>
      <c r="DI241" s="406"/>
      <c r="DJ241" s="138"/>
      <c r="DK241" s="148"/>
      <c r="DL241" s="13"/>
      <c r="DM241" s="13"/>
      <c r="DO241" s="31">
        <f>IF(SnapshotTable[[#This Row],[LC Symbol Count]]=1, SnapshotTable[[#This Row],[LC Qty]] * SnapshotTable[[#This Row],[LC Book Price]] * 100, 0)</f>
        <v>0</v>
      </c>
      <c r="DP241" s="163" t="str">
        <f>IF(AND(SnapshotTable[[#This Row],[LC Exp Date]]&gt;0, SnapshotTable[[#This Row],[LC Strike Price]]&gt;0,SnapshotTable[[#This Row],[LC Qty]]&gt;0,SnapshotTable[[#This Row],[LC Book Date]]&gt;0,SnapshotTable[[#This Row],[LC Book Price]]&gt;0,SnapshotTable[[#This Row],[LC Fill Date]]=0),"Y","")</f>
        <v/>
      </c>
      <c r="DQ241" s="386" t="str">
        <f>IF(SnapshotTable[[#This Row],[LC Premium]] &gt; 0,SnapshotTable[[#This Row],[LC Exp Date]]-MAX(SnapshotTable[[#This Row],[LC Book Date]], SnapshotTable[[#This Row],[LC Fill Date]]),"")</f>
        <v/>
      </c>
      <c r="DR241" s="386" t="str">
        <f>IF(ISNUMBER(SnapshotTable[[#This Row],[LC Term]]), SnapshotTable[[#This Row],[LC Exp Date]] - MockToday, "")</f>
        <v/>
      </c>
      <c r="DS241" s="234" t="str">
        <f>IF(SnapshotTable[[#This Row],[LC Premium]]&gt;0,SnapshotTable[[#This Row],[LC Strike Price]] + SnapshotTable[[#This Row],[LC Book Price]],"")</f>
        <v/>
      </c>
      <c r="DU241" s="9" t="str">
        <f>IF(AND(SnapshotTable[[#This Row],[LC Symbol Count]]&gt;0, SnapshotTable[[#This Row],[LC Contract Value]]&gt;0), SnapshotTable[[#This Row],[LC Contract Value]] * SnapshotTable[[#This Row],[LC Qty]] * 100, "")</f>
        <v/>
      </c>
      <c r="DV241" s="9" t="str">
        <f>IF(AND(ISNUMBER(SnapshotTable[[#This Row],[LC Total Value]]), SnapshotTable[[#This Row],[LC Not Filled]]&lt;&gt;"Y"), SnapshotTable[[#This Row],[LC Total Value]]-SnapshotTable[[#This Row],[LC Premium]],"")</f>
        <v/>
      </c>
      <c r="DW241" s="240" t="str">
        <f>IF(ISNUMBER(SnapshotTable[[#This Row],[LC Actual Gain Loss]]), SnapshotTable[[#This Row],[LC Actual Gain Loss]] / SnapshotTable[[#This Row],[LC Premium]],"")</f>
        <v/>
      </c>
      <c r="DX241" s="284" t="str">
        <f>IF(ISNUMBER(SnapshotTable[[#This Row],[LC Book Price]]),SnapshotTable[[#This Row],[LC Book Price]] * 1.5,"")</f>
        <v/>
      </c>
      <c r="DY241" s="265" t="str">
        <f>IF(SnapshotTable[[#This Row],[LC Premium]]&gt;0, SnapshotTable[[#This Row],[LC Next Target]] * SnapshotTable[[#This Row],[LC Qty]] * 100,"")</f>
        <v/>
      </c>
      <c r="DZ241" s="265" t="str">
        <f>IF(ISNUMBER(SnapshotTable[[#This Row],[LC Target Gross]]), SnapshotTable[[#This Row],[LC Target Gross]] - SnapshotTable[[#This Row],[LC Premium]], "")</f>
        <v/>
      </c>
      <c r="EA241" s="305" t="str">
        <f>IF(ISNUMBER(SnapshotTable[[#This Row],[LC Target Gain Loss]]), SnapshotTable[[#This Row],[LC Target Gain Loss]]/SnapshotTable[[#This Row],[LC Premium]], "")</f>
        <v/>
      </c>
      <c r="EB241" s="262"/>
      <c r="EC241" s="283" t="str">
        <f>IF(SnapshotTable[[#This Row],[LC Premium]]&gt;0, SnapshotTable[[#This Row],[LC Book Price]] * (1 - LC_StopLoss_Pct),"")</f>
        <v/>
      </c>
      <c r="ED241" s="284"/>
      <c r="EE241" s="283" t="str">
        <f>IF(ISNUMBER(SnapshotTable[[#This Row],[LC Contract Value]]),IF(ISNUMBER(SnapshotTable[[#This Row],[LC Stop Loss Override]]), SnapshotTable[[#This Row],[LC Stop Loss Override]],SnapshotTable[[#This Row],[LC Stop Loss Calc Target]]),"")</f>
        <v/>
      </c>
      <c r="EF241" s="31" t="str">
        <f>IF(ISNUMBER(SnapshotTable[[#This Row],[LC Stop  To Use]]), (SnapshotTable[[#This Row],[LC Stop  To Use]] * SnapshotTable[[#This Row],[LC Qty]] * 100),"")</f>
        <v/>
      </c>
      <c r="EG241" s="9" t="str">
        <f>IF(ISNUMBER(SnapshotTable[[#This Row],[LC Total Value]]),SnapshotTable[[#This Row],[LC Stop Loss Amount]] - SnapshotTable[[#This Row],[LC Premium]],"")</f>
        <v/>
      </c>
      <c r="EH241" s="9">
        <f>IF(ISNUMBER(SnapshotTable[[#This Row],[LC Premium]]), SnapshotTable[[#This Row],[LC Qty]] * 100 * SnapshotTable[[#This Row],[LC Strike Price]], "")</f>
        <v>0</v>
      </c>
      <c r="EI241" s="240" t="str">
        <f>IF(AND(ISNUMBER(SnapshotTable[[#This Row],[LC Total Value]]),SnapshotTable[[#This Row],[LC Total Value]]&gt;0),SnapshotTable[[#This Row],[LC Stop Gain Loss]]  / SnapshotTable[[#This Row],[LC Premium]],"")</f>
        <v/>
      </c>
      <c r="EJ241" s="35">
        <f>IF(ISNUMBER(SnapshotTable[[#This Row],[Equity Shares]]),TRUNC(SnapshotTable[[#This Row],[Equity Shares]] / 100),0) + SnapshotTable[[#This Row],[LC Qty]]</f>
        <v>0</v>
      </c>
      <c r="EK241" s="147"/>
      <c r="EL241" s="138"/>
      <c r="EM241" s="148"/>
      <c r="EN241" s="147"/>
      <c r="EO241" s="147"/>
      <c r="EP241" s="138"/>
      <c r="EQ241" s="419" t="b">
        <f>AND(ISNUMBER(SnapshotTable[[#This Row],[SC Exp Date]]), ISNUMBER(SnapshotTable[[#This Row],[SC Strike Price]]), ISNUMBER(SnapshotTable[[#This Row],[SC Qty]]), ISNUMBER(SnapshotTable[[#This Row],[SC Book Date]]), ISNUMBER(SnapshotTable[[#This Row],[SC Book Price]]))</f>
        <v>0</v>
      </c>
      <c r="ER241" s="419" t="b">
        <f>AND(SnapshotTable[[#This Row],[SC Is Booked]], NOT(ISBLANK(SnapshotTable[[#This Row],[SC Fill Date]])))</f>
        <v>0</v>
      </c>
      <c r="ES241" s="370"/>
      <c r="ET241" s="34" t="str">
        <f>IF(AND(ISNUMBER(SnapshotTable[[#This Row],[SC Exp Date]]), ISNUMBER(SnapshotTable[[#This Row],[SC Book Date]])), SnapshotTable[[#This Row],[SC Exp Date]] - MAX(SnapshotTable[[#This Row],[SC Book Date]], SnapshotTable[[#This Row],[SC Fill Date]]) + 1, "")</f>
        <v/>
      </c>
      <c r="EU241" s="34" t="str">
        <f>IF(ISNUMBER(SnapshotTable[[#This Row],[SC Term]]), SnapshotTable[[#This Row],[SC Exp Date]]- MockToday, "")</f>
        <v/>
      </c>
      <c r="EV241" s="31">
        <f>IF(SnapshotTable[[#This Row],[SC Is Booked]], SnapshotTable[[#This Row],[SC Qty]] * SnapshotTable[[#This Row],[SC Book Price]] * 100, 0)</f>
        <v>0</v>
      </c>
      <c r="EW241" s="4" t="str">
        <f>IF(AND(ISNUMBER(SnapshotTable[[#This Row],[Last Price]]), ISNUMBER( SnapshotTable[[#This Row],[SC Book Price]])), SnapshotTable[[#This Row],[Last Price]] - SnapshotTable[[#This Row],[SC Book Price]],"")</f>
        <v/>
      </c>
      <c r="EX241" s="234" t="str">
        <f>IF(SnapshotTable[[#This Row],[SC Is Booked]],IF(SnapshotTable[[#This Row],[SC Intrinsic Value]] &gt; 0, SnapshotTable[[#This Row],[SC Strike Price]], SnapshotTable[[#This Row],[Last Price]]), "")</f>
        <v/>
      </c>
      <c r="EY241" s="4">
        <f>IF(SnapshotTable[[#This Row],[SC Is Booked]], (MinimumPremiumRequired * SnapshotTable[[#This Row],[SC Basis]] * SnapshotTable[[#This Row],[SC Term]]), 0)</f>
        <v>0</v>
      </c>
      <c r="EZ241" s="283"/>
      <c r="FA241" s="218"/>
      <c r="FB241" s="370"/>
      <c r="FC241" s="4">
        <f>IF(SnapshotTable[[#This Row],[SC Is Filled]], btc_max_buyback_amount(SnapshotTable[[#This Row],[SC Fill Date]],SnapshotTable[[#This Row],[SC Exp Date]], SnapshotTable[[#This Row],[SC Book Price]]),0)</f>
        <v>0</v>
      </c>
      <c r="FD241" s="5"/>
      <c r="FE241" s="144" t="str">
        <f>IF(SnapshotTable[[#This Row],[SC Is Filled]], btc_next_cutoff_date(SnapshotTable[[#This Row],[SC Fill Date]],SnapshotTable[[#This Row],[SC Exp Date]]),"")</f>
        <v/>
      </c>
      <c r="FF241" s="4" t="str" cm="1">
        <f t="array" ref="FF241">IF(SnapshotTable[[#This Row],[SC Is Filled]], btc_should_buy_back(SnapshotTable[[#This Row],[SC Fill Date]], SnapshotTable[[#This Row],[SC Exp Date]], SnapshotTable[[#This Row],[SC Book Price]], SnapshotTable[[#This Row],[SC Current Ask]], MockToday, SnapshotTable[[#This Row],[SC Buyback Override]]),"")</f>
        <v/>
      </c>
      <c r="FG241" s="4">
        <f>IF(SnapshotTable[[#This Row],[SC Is Filled]], MAX(0,SnapshotTable[[#This Row],[Last Price]]  - SnapshotTable[[#This Row],[SC Strike Price]]), 0)</f>
        <v>0</v>
      </c>
      <c r="FH241" s="382">
        <f>IF(SnapshotTable[[#This Row],[SC Is Filled]], IF(ISNUMBER(SnapshotTable[[#This Row],[SC Current Ask]]), SnapshotTable[[#This Row],[SC Current Ask]], SnapshotTable[[#This Row],[SC Book Price]]) - SnapshotTable[[#This Row],[SC Intrinsic Value]], 0)</f>
        <v>0</v>
      </c>
      <c r="FI241" s="143"/>
      <c r="FJ241" s="32" t="str">
        <f>IF(SnapshotTable[[#This Row],[SC Is Filled]],100 * SnapshotTable[[#This Row],[SC Qty]] * IF(ISNUMBER(SnapshotTable[[#This Row],[SC Buyback Override]]), SnapshotTable[[#This Row],[SC Buyback Override]], SnapshotTable[[#This Row],[SC Current Ask]]), "")</f>
        <v/>
      </c>
      <c r="FK241" s="250" t="str">
        <f>IF(SnapshotTable[[#This Row],[SC Time Val]]&gt;0, SnapshotTable[[#This Row],[SC Time Val]] / SnapshotTable[[#This Row],[Last Price]],"")</f>
        <v/>
      </c>
      <c r="FL241" s="302" t="str">
        <f>IF(SnapshotTable[[#This Row],[SC Is Booked]], ((SnapshotTable[[#This Row],[Last Price]] -SnapshotTable[[#This Row],[SC Strike Price]]) / SnapshotTable[[#This Row],[Last Price]]) * -1, "")</f>
        <v/>
      </c>
      <c r="FM241" s="157" t="str">
        <f>IF(SnapshotTable[[#This Row],[SC Is Booked]],  (SnapshotTable[[#This Row],[SC Qty]] * 100 * SnapshotTable[[#This Row],[SC Strike Price]]) - SnapshotTable[[#This Row],[SC Current Ask]], "")</f>
        <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t="str">
        <f>IF(ISNUMBER(SnapshotTable[[#This Row],[SC Exercise Gross]]), (SnapshotTable[[#This Row],[SC Exercise Gross]]) / (SnapshotTable[[#This Row],[SC Qty]] * 100), "")</f>
        <v/>
      </c>
      <c r="FQ241" s="27" t="str">
        <f>IF(SnapshotTable[[#This Row],[SC Is Booked]],SnapshotTable[[#This Row],[SC Time Val]] /SnapshotTable[[#This Row],[SC Basis]], "")</f>
        <v/>
      </c>
      <c r="FR241" s="27" t="str" cm="1">
        <f t="array" ref="FR241">IF(AND(ISNUMBER(SnapshotTable[[#This Row],[SC Term]]),ISNUMBER(SnapshotTable[[#This Row],[SC Simple ROO]])), EllmanAnnualize(SnapshotTable[[#This Row],[SC DTE]], SnapshotTable[[#This Row],[SC Simple ROO]] ),"")</f>
        <v/>
      </c>
      <c r="FS241" s="4">
        <f>IF(SnapshotTable[[#This Row],[SC Strike Price]] &gt; SnapshotTable[[#This Row],[Last Price]], SnapshotTable[[#This Row],[SC Strike Price]] - SnapshotTable[[#This Row],[Last Price]],0)</f>
        <v>0</v>
      </c>
      <c r="FT241" s="27" t="str">
        <f>IF(AND(ISNUMBER(SnapshotTable[[#This Row],[SC Upside Potential]]), SnapshotTable[[#This Row],[SC Upside Potential]] &gt; 0),(SnapshotTable[[#This Row],[SC Upside Potential]]/ SnapshotTable[[#This Row],[ACB]]),"")</f>
        <v/>
      </c>
      <c r="FU241" s="333"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36" t="str">
        <f>IF(AND(ISNUMBER(SnapshotTable[[#This Row],[SC Simple ROO]]),SnapshotTable[[#This Row],[SC Simple ROO]] &gt; 0), SnapshotTable[[#This Row],[SC Premium]] + (SnapshotTable[[#This Row],[SC Qty]] * SnapshotTable[[#This Row],[SC Upside Potential]]), "")</f>
        <v/>
      </c>
      <c r="FX241" s="302" t="str" cm="1">
        <f t="array" ref="FX241">IF(ISNUMBER(SnapshotTable[[#This Row],[SC Max Dollars]]), annualize(SnapshotTable[[#This Row],[SC Term]],(SnapshotTable[[#This Row],[SC Max Dollars]]/SnapshotTable[[#This Row],[SC Basis]])),"")</f>
        <v/>
      </c>
      <c r="FY241" s="236" t="str">
        <f>IF(AND(SnapshotTable[[#This Row],[SC Qty]]&gt;0,SnapshotTable[[#This Row],[SC Current Ask]]&gt;0), SnapshotTable[[#This Row],[SC Qty]] * SnapshotTable[[#This Row],[SC Current Ask]] * -100, "")</f>
        <v/>
      </c>
      <c r="FZ241" s="31" t="str">
        <f>IF(ISNUMBER((SnapshotTable[[#This Row],[SC Current Value]])), SnapshotTable[[#This Row],[SC Premium]] + SnapshotTable[[#This Row],[SC Current Value]], "")</f>
        <v/>
      </c>
      <c r="GA241" s="294" t="str">
        <f>IFERROR( IF(ISNUMBER((SnapshotTable[[#This Row],[SC Current Value]])), SnapshotTable[[#This Row],[SC Gain Loss]] / SnapshotTable[[#This Row],[SC Premium]], ""), "")</f>
        <v/>
      </c>
      <c r="GB241" s="42">
        <f>SnapshotTable[[#This Row],[Equity Shares]] * SaleSharesToConsiderPercentage</f>
        <v>0</v>
      </c>
      <c r="GC241" s="40">
        <f>SnapshotTable[[#This Row],[Long Term Target]] * SellingPriceToConsiderBasedOnTargetPercentage</f>
        <v>87.399999999999991</v>
      </c>
      <c r="GD241" s="40">
        <f>SnapshotTable[[#This Row],[Last Price]] * (1+ SellingPriceToConsiderBasedOnTargetPercentage)</f>
        <v>203.98949999999999</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t="s">
        <v>1048</v>
      </c>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
      </c>
      <c r="GQ241" s="30" t="str">
        <f>IF(LEN(SnapshotTable[[#This Row],[LC Symbol]])&gt;0, 1, "")</f>
        <v/>
      </c>
      <c r="GR241" s="43" t="str">
        <f>IF(AND(SnapshotTable[[#This Row],[SC Exp Date]]&gt;0,SnapshotTable[[#This Row],[SC Strike Price]]&gt;0), [1]!ToOptionSymbol(SnapshotTable[[#This Row],[Symbol]], SnapshotTable[[#This Row],[SC Strike Price]],SnapshotTable[[#This Row],[SC Exp Date]],0), "")</f>
        <v/>
      </c>
      <c r="GS241" s="30" t="str">
        <f>IF(LEN(SnapshotTable[[#This Row],[SC Symbol]])&gt;0, 1, "")</f>
        <v/>
      </c>
      <c r="GT241" s="29" t="str">
        <f>IF(COUNT(SnapshotTable[[#This Row],[LP Symbol Count]],SnapshotTable[[#This Row],[SP Symbol Count]],SnapshotTable[[#This Row],[LC Symbol Count]],SnapshotTable[[#This Row],[SC Symbol Count]])&gt;0, "Y", "")</f>
        <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1" s="231">
        <f>MAX(SnapshotTable[[#This Row],[Equity Basis Total]],SnapshotTable[[#This Row],[Equity Value]]) + (SnapshotTable[[#This Row],[SP Potential Spend]]- SnapshotTable[[#This Row],[SP Premium]] + SnapshotTable[[#This Row],[LP Premium]])+ (SnapshotTable[[#This Row],[LC Premium]] - SnapshotTable[[#This Row],[SC Premium]])</f>
        <v>0</v>
      </c>
      <c r="GW241" s="139" t="str">
        <f>IF(AND(SnapshotTable[[#This Row],[Exposure]] &lt;&gt; 0),SnapshotTable[[#This Row],[Exposure]] / SnapshotTable[[#Totals],[Exposure]], "")</f>
        <v/>
      </c>
      <c r="GX241" s="5"/>
      <c r="HE241" s="268"/>
      <c r="HF241" s="268"/>
      <c r="HK241" s="1"/>
      <c r="HL241" s="1"/>
      <c r="HM241" s="1"/>
      <c r="HN241" s="1"/>
      <c r="HO241" s="1"/>
      <c r="HP241" s="1"/>
    </row>
    <row r="242" spans="2:224" ht="12.75" hidden="1" customHeight="1" x14ac:dyDescent="0.25">
      <c r="B242" s="12" t="s">
        <v>8</v>
      </c>
      <c r="C242" s="422">
        <v>204.35</v>
      </c>
      <c r="D242" s="208" t="s">
        <v>594</v>
      </c>
      <c r="E242" s="39">
        <f>SnapshotTable[[#This Row],[Last Price]]*(1 -CrashDiscount)</f>
        <v>173.69749999999999</v>
      </c>
      <c r="F242" s="26" t="s">
        <v>141</v>
      </c>
      <c r="G242" s="26" t="s">
        <v>14</v>
      </c>
      <c r="H242" s="149"/>
      <c r="I242" s="194">
        <v>44790.25</v>
      </c>
      <c r="J242" s="195">
        <v>44790.25</v>
      </c>
      <c r="K242" s="196"/>
      <c r="L242" s="326"/>
      <c r="M242" s="140"/>
      <c r="N242" s="140"/>
      <c r="O242" s="140"/>
      <c r="P242" s="22"/>
      <c r="Q242" s="25"/>
      <c r="R242" s="4" t="str">
        <f>IF(SnapshotTable[[#This Row],[Equity Basis Total]] &gt; 0, SnapshotTable[[#This Row],[Equity Basis Total]] / SnapshotTable[[#This Row],[Equity Shares]], "")</f>
        <v/>
      </c>
      <c r="S242" s="269">
        <f>SnapshotTable[[#This Row],[Last Price]] * SnapshotTable[[#This Row],[Equity Shares]]</f>
        <v>0</v>
      </c>
      <c r="T242" s="269">
        <f>SnapshotTable[[#This Row],[Equity Value]] - SnapshotTable[[#This Row],[Equity Basis Total]]</f>
        <v>0</v>
      </c>
      <c r="U242" s="270" t="str">
        <f>IF(SnapshotTable[[#This Row],[Equity Basis Total]] &gt; 0, SnapshotTable[[#This Row],[Equity G/L]] / SnapshotTable[[#This Row],[Equity Basis Total]], "")</f>
        <v/>
      </c>
      <c r="V242" s="268"/>
      <c r="W242" s="26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7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0">
        <v>1.1200000000000001</v>
      </c>
      <c r="AD242" s="151">
        <v>42312</v>
      </c>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5.480792757523857E-3</v>
      </c>
      <c r="AH242" s="151">
        <v>42201</v>
      </c>
      <c r="AI242" s="5"/>
      <c r="AJ242" s="138">
        <v>117.76</v>
      </c>
      <c r="AK242" s="152" t="str">
        <f>IF(ISNUMBER( SnapshotTable[[#This Row],[EBF Target]]),(SnapshotTable[[#This Row],[EBF Target]] - SnapshotTable[[#This Row],[Last Price]]) / SnapshotTable[[#This Row],[Last Price]], "")</f>
        <v/>
      </c>
      <c r="AL242" s="152"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2">
        <f>IF(AND(ISNUMBER( SnapshotTable[[#This Row],[Long Term Target]]), ISNUMBER(SnapshotTable[[#This Row],[Last Price]])),(SnapshotTable[[#This Row],[Long Term Target]] - SnapshotTable[[#This Row],[Last Price]]) / SnapshotTable[[#This Row],[Last Price]], "")</f>
        <v>-0.4237337900660631</v>
      </c>
      <c r="AP242" s="5">
        <v>120</v>
      </c>
      <c r="AQ242" s="38" t="s">
        <v>45</v>
      </c>
      <c r="AR242" s="5">
        <v>115</v>
      </c>
      <c r="AS242" s="38" t="s">
        <v>110</v>
      </c>
      <c r="AT242" s="146" t="s">
        <v>549</v>
      </c>
      <c r="AU242" s="187" t="str">
        <f>IF(OR(SnapshotTable[[#This Row],[LP No Fill]]="Y",SnapshotTable[[#This Row],[SP Is Filled]],SnapshotTable[[#This Row],[LC Not Filled]]="Y",SnapshotTable[[#This Row],[SC Is Filled]]),"Y","")</f>
        <v/>
      </c>
      <c r="AV242" s="219"/>
      <c r="AW242" s="225"/>
      <c r="AX242" s="220"/>
      <c r="AY242" s="219" t="str">
        <f>IF(SnapshotTable[[#This Row],[Implied Move]]&gt;0, SnapshotTable[[#This Row],[Last Price]]-SnapshotTable[[#This Row],[Implied Move]],"")</f>
        <v/>
      </c>
      <c r="AZ242" s="219" t="str">
        <f>IF(SnapshotTable[[#This Row],[Implied Move]]&gt;0, SnapshotTable[[#This Row],[Last Price]] + SnapshotTable[[#This Row],[Implied Move]],"")</f>
        <v/>
      </c>
      <c r="BA242" s="331"/>
      <c r="BB242" s="347"/>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51"/>
      <c r="BE242" s="5"/>
      <c r="BF242" s="14"/>
      <c r="BG242" s="13"/>
      <c r="BH242" s="13"/>
      <c r="BI242" s="5"/>
      <c r="BJ242" s="136">
        <f>IF(SnapshotTable[[#This Row],[LP Qty]] &gt; 0, SnapshotTable[[#This Row],[LP Qty]] * SnapshotTable[[#This Row],[LP Book Price]] * 100,0)</f>
        <v>0</v>
      </c>
      <c r="BK242" s="136">
        <f>IF(SnapshotTable[[#This Row],[LP Premium]] &gt; 0, SnapshotTable[[#This Row],[LP Qty]] * SnapshotTable[[#This Row],[LP Strike Price]] * 100,0)</f>
        <v>0</v>
      </c>
      <c r="BL242" s="154"/>
      <c r="BM242" s="385" t="str">
        <f>IF(SnapshotTable[[#This Row],[LP Premium]] &gt; 0,SnapshotTable[[#This Row],[LP Exp Date]]-MAX(SnapshotTable[[#This Row],[LP Book Date]], SnapshotTable[[#This Row],[LP Fill Date]]),"")</f>
        <v/>
      </c>
      <c r="BN242" s="385" t="str">
        <f>IF(ISNUMBER( SnapshotTable[[#This Row],[LP Term]]), SnapshotTable[[#This Row],[LP Exp Date]] - MockToday,"")</f>
        <v/>
      </c>
      <c r="BO242" s="163"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7"/>
      <c r="BU242" s="13"/>
      <c r="BV242" s="5"/>
      <c r="BW242" s="419" t="b">
        <f>AND(ISNUMBER(SnapshotTable[[#This Row],[SP Exp Date]]), ISNUMBER(SnapshotTable[[#This Row],[SP Strike Price]]), ISNUMBER(SnapshotTable[[#This Row],[SP Qty]]), ISNUMBER(SnapshotTable[[#This Row],[SP Book Date]]), ISNUMBER(SnapshotTable[[#This Row],[SP Book Price]]))</f>
        <v>0</v>
      </c>
      <c r="BX242" s="419" t="b">
        <f>AND(SnapshotTable[[#This Row],[SP Is Booked]], NOT(ISBLANK(SnapshotTable[[#This Row],[SP Fill Date]])))</f>
        <v>0</v>
      </c>
      <c r="BY242" s="33">
        <f>IF(SnapshotTable[[#This Row],[SP Is Booked]], SnapshotTable[[#This Row],[SP Qty]] * SnapshotTable[[#This Row],[SP Book Price]] * 100, 0)</f>
        <v>0</v>
      </c>
      <c r="BZ242" s="369"/>
      <c r="CA242" s="368">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3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44"/>
      <c r="CK242" s="31">
        <f>IF(ISNUMBER(SnapshotTable[[#This Row],[SP Potential Spend]]),IF(ISNUMBER(SnapshotTable[[#This Row],[SP POW]]), SnapshotTable[[#This Row],[SP POW]] * SnapshotTable[[#This Row],[SP Potential Spend]], SnapshotTable[[#This Row],[SP Potential Spend]]), "")</f>
        <v>0</v>
      </c>
      <c r="CL242" s="164">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8"/>
      <c r="CO242" s="369"/>
      <c r="CP242" s="4" t="str">
        <f>IF(SnapshotTable[[#This Row],[SP Is Filled]], btc_max_buyback_amount(SnapshotTable[[#This Row],[SP Fill Date]],SnapshotTable[[#This Row],[SP Exp Date]], SnapshotTable[[#This Row],[SP Book Price]]),"")</f>
        <v/>
      </c>
      <c r="CQ242" s="78"/>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5" t="str">
        <f>IF(SnapshotTable[[#This Row],[SP Is Filled]], btc_next_cutoff_date(SnapshotTable[[#This Row],[SP Fill Date]],SnapshotTable[[#This Row],[SP Exp Date]]),"")</f>
        <v/>
      </c>
      <c r="CT242" s="23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3"/>
      <c r="CV242" s="235"/>
      <c r="CW242" s="378"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294" t="str">
        <f>IF(ISNUMBER((SnapshotTable[[#This Row],[SP Total Value]])), SnapshotTable[[#This Row],[SP Gain Loss]] / SnapshotTable[[#This Row],[SP Premium]], "")</f>
        <v/>
      </c>
      <c r="DI242" s="406"/>
      <c r="DJ242" s="138"/>
      <c r="DK242" s="148"/>
      <c r="DL242" s="13"/>
      <c r="DM242" s="13"/>
      <c r="DO242" s="31">
        <f>IF(SnapshotTable[[#This Row],[LC Symbol Count]]=1, SnapshotTable[[#This Row],[LC Qty]] * SnapshotTable[[#This Row],[LC Book Price]] * 100, 0)</f>
        <v>0</v>
      </c>
      <c r="DP242" s="163" t="str">
        <f>IF(AND(SnapshotTable[[#This Row],[LC Exp Date]]&gt;0, SnapshotTable[[#This Row],[LC Strike Price]]&gt;0,SnapshotTable[[#This Row],[LC Qty]]&gt;0,SnapshotTable[[#This Row],[LC Book Date]]&gt;0,SnapshotTable[[#This Row],[LC Book Price]]&gt;0,SnapshotTable[[#This Row],[LC Fill Date]]=0),"Y","")</f>
        <v/>
      </c>
      <c r="DQ242" s="386" t="str">
        <f>IF(SnapshotTable[[#This Row],[LC Premium]] &gt; 0,SnapshotTable[[#This Row],[LC Exp Date]]-MAX(SnapshotTable[[#This Row],[LC Book Date]], SnapshotTable[[#This Row],[LC Fill Date]]),"")</f>
        <v/>
      </c>
      <c r="DR242" s="386" t="str">
        <f>IF(ISNUMBER(SnapshotTable[[#This Row],[LC Term]]), SnapshotTable[[#This Row],[LC Exp Date]] - MockToday, "")</f>
        <v/>
      </c>
      <c r="DS242" s="23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40" t="str">
        <f>IF(ISNUMBER(SnapshotTable[[#This Row],[LC Actual Gain Loss]]), SnapshotTable[[#This Row],[LC Actual Gain Loss]] / SnapshotTable[[#This Row],[LC Premium]],"")</f>
        <v/>
      </c>
      <c r="DX242" s="284" t="str">
        <f>IF(ISNUMBER(SnapshotTable[[#This Row],[LC Book Price]]),SnapshotTable[[#This Row],[LC Book Price]] * 1.5,"")</f>
        <v/>
      </c>
      <c r="DY242" s="265" t="str">
        <f>IF(SnapshotTable[[#This Row],[LC Premium]]&gt;0, SnapshotTable[[#This Row],[LC Next Target]] * SnapshotTable[[#This Row],[LC Qty]] * 100,"")</f>
        <v/>
      </c>
      <c r="DZ242" s="265" t="str">
        <f>IF(ISNUMBER(SnapshotTable[[#This Row],[LC Target Gross]]), SnapshotTable[[#This Row],[LC Target Gross]] - SnapshotTable[[#This Row],[LC Premium]], "")</f>
        <v/>
      </c>
      <c r="EA242" s="305" t="str">
        <f>IF(ISNUMBER(SnapshotTable[[#This Row],[LC Target Gain Loss]]), SnapshotTable[[#This Row],[LC Target Gain Loss]]/SnapshotTable[[#This Row],[LC Premium]], "")</f>
        <v/>
      </c>
      <c r="EB242" s="262"/>
      <c r="EC242" s="283" t="str">
        <f>IF(SnapshotTable[[#This Row],[LC Premium]]&gt;0, SnapshotTable[[#This Row],[LC Book Price]] * (1 - LC_StopLoss_Pct),"")</f>
        <v/>
      </c>
      <c r="ED242" s="284"/>
      <c r="EE242" s="28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4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7"/>
      <c r="EL242" s="138"/>
      <c r="EM242" s="148"/>
      <c r="EN242" s="147"/>
      <c r="EO242" s="147"/>
      <c r="EP242" s="138"/>
      <c r="EQ242" s="419" t="b">
        <f>AND(ISNUMBER(SnapshotTable[[#This Row],[SC Exp Date]]), ISNUMBER(SnapshotTable[[#This Row],[SC Strike Price]]), ISNUMBER(SnapshotTable[[#This Row],[SC Qty]]), ISNUMBER(SnapshotTable[[#This Row],[SC Book Date]]), ISNUMBER(SnapshotTable[[#This Row],[SC Book Price]]))</f>
        <v>0</v>
      </c>
      <c r="ER242" s="419" t="b">
        <f>AND(SnapshotTable[[#This Row],[SC Is Booked]], NOT(ISBLANK(SnapshotTable[[#This Row],[SC Fill Date]])))</f>
        <v>0</v>
      </c>
      <c r="ES242" s="370"/>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3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283"/>
      <c r="FA242" s="218"/>
      <c r="FB242" s="370"/>
      <c r="FC242" s="4">
        <f>IF(SnapshotTable[[#This Row],[SC Is Filled]], btc_max_buyback_amount(SnapshotTable[[#This Row],[SC Fill Date]],SnapshotTable[[#This Row],[SC Exp Date]], SnapshotTable[[#This Row],[SC Book Price]]),0)</f>
        <v>0</v>
      </c>
      <c r="FD242" s="5"/>
      <c r="FE242" s="144"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382">
        <f>IF(SnapshotTable[[#This Row],[SC Is Filled]], IF(ISNUMBER(SnapshotTable[[#This Row],[SC Current Ask]]), SnapshotTable[[#This Row],[SC Current Ask]], SnapshotTable[[#This Row],[SC Book Price]]) - SnapshotTable[[#This Row],[SC Intrinsic Value]], 0)</f>
        <v>0</v>
      </c>
      <c r="FI242" s="143"/>
      <c r="FJ242" s="32" t="str">
        <f>IF(SnapshotTable[[#This Row],[SC Is Filled]],100 * SnapshotTable[[#This Row],[SC Qty]] * IF(ISNUMBER(SnapshotTable[[#This Row],[SC Buyback Override]]), SnapshotTable[[#This Row],[SC Buyback Override]], SnapshotTable[[#This Row],[SC Current Ask]]), "")</f>
        <v/>
      </c>
      <c r="FK242" s="250" t="str">
        <f>IF(SnapshotTable[[#This Row],[SC Time Val]]&gt;0, SnapshotTable[[#This Row],[SC Time Val]] / SnapshotTable[[#This Row],[Last Price]],"")</f>
        <v/>
      </c>
      <c r="FL242" s="302" t="str">
        <f>IF(SnapshotTable[[#This Row],[SC Is Booked]], ((SnapshotTable[[#This Row],[Last Price]] -SnapshotTable[[#This Row],[SC Strike Price]]) / SnapshotTable[[#This Row],[Last Price]]) * -1, "")</f>
        <v/>
      </c>
      <c r="FM242" s="157"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33"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36" t="str">
        <f>IF(AND(ISNUMBER(SnapshotTable[[#This Row],[SC Simple ROO]]),SnapshotTable[[#This Row],[SC Simple ROO]] &gt; 0), SnapshotTable[[#This Row],[SC Premium]] + (SnapshotTable[[#This Row],[SC Qty]] * SnapshotTable[[#This Row],[SC Upside Potential]]), "")</f>
        <v/>
      </c>
      <c r="FX242" s="302" t="str" cm="1">
        <f t="array" ref="FX242">IF(ISNUMBER(SnapshotTable[[#This Row],[SC Max Dollars]]), annualize(SnapshotTable[[#This Row],[SC Term]],(SnapshotTable[[#This Row],[SC Max Dollars]]/SnapshotTable[[#This Row],[SC Basis]])),"")</f>
        <v/>
      </c>
      <c r="FY242" s="23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29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111.872</v>
      </c>
      <c r="GD242" s="40">
        <f>SnapshotTable[[#This Row],[Last Price]] * (1+ SellingPriceToConsiderBasedOnTargetPercentage)</f>
        <v>398.48249999999996</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742</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31">
        <f>MAX(SnapshotTable[[#This Row],[Equity Basis Total]],SnapshotTable[[#This Row],[Equity Value]]) + (SnapshotTable[[#This Row],[SP Potential Spend]]- SnapshotTable[[#This Row],[SP Premium]] + SnapshotTable[[#This Row],[LP Premium]])+ (SnapshotTable[[#This Row],[LC Premium]] - SnapshotTable[[#This Row],[SC Premium]])</f>
        <v>0</v>
      </c>
      <c r="GW242" s="139" t="str">
        <f>IF(AND(SnapshotTable[[#This Row],[Exposure]] &lt;&gt; 0),SnapshotTable[[#This Row],[Exposure]] / SnapshotTable[[#Totals],[Exposure]], "")</f>
        <v/>
      </c>
      <c r="HE242" s="268"/>
      <c r="HF242" s="268"/>
      <c r="HK242" s="1"/>
      <c r="HL242" s="1"/>
      <c r="HM242" s="1"/>
      <c r="HN242" s="1"/>
      <c r="HO242" s="1"/>
      <c r="HP242" s="1"/>
    </row>
    <row r="243" spans="2:224" ht="12.75" hidden="1" customHeight="1" x14ac:dyDescent="0.25">
      <c r="B243" s="12" t="s">
        <v>494</v>
      </c>
      <c r="C243" s="422">
        <v>319.29000000000002</v>
      </c>
      <c r="D243" s="208"/>
      <c r="E243" s="39">
        <f>SnapshotTable[[#This Row],[Last Price]]*(1 -CrashDiscount)</f>
        <v>271.3965</v>
      </c>
      <c r="F243" s="26" t="s">
        <v>243</v>
      </c>
      <c r="G243" s="26" t="s">
        <v>9</v>
      </c>
      <c r="H243" s="149"/>
      <c r="I243" s="194">
        <v>44762.670138888891</v>
      </c>
      <c r="J243" s="195">
        <v>44762.670138888891</v>
      </c>
      <c r="K243" s="196"/>
      <c r="L243" s="326"/>
      <c r="M243" s="140"/>
      <c r="N243" s="140"/>
      <c r="O243" s="140"/>
      <c r="P243" s="22"/>
      <c r="Q243" s="25"/>
      <c r="R243" s="4" t="str">
        <f>IF(SnapshotTable[[#This Row],[Equity Basis Total]] &gt; 0, SnapshotTable[[#This Row],[Equity Basis Total]] / SnapshotTable[[#This Row],[Equity Shares]], "")</f>
        <v/>
      </c>
      <c r="S243" s="269">
        <f>SnapshotTable[[#This Row],[Last Price]] * SnapshotTable[[#This Row],[Equity Shares]]</f>
        <v>0</v>
      </c>
      <c r="T243" s="269">
        <f>SnapshotTable[[#This Row],[Equity Value]] - SnapshotTable[[#This Row],[Equity Basis Total]]</f>
        <v>0</v>
      </c>
      <c r="U243" s="270" t="str">
        <f>IF(SnapshotTable[[#This Row],[Equity Basis Total]] &gt; 0, SnapshotTable[[#This Row],[Equity G/L]] / SnapshotTable[[#This Row],[Equity Basis Total]], "")</f>
        <v/>
      </c>
      <c r="V243" s="268"/>
      <c r="W243" s="26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7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0">
        <v>4.5999999999999996</v>
      </c>
      <c r="AD243" s="151" t="s">
        <v>560</v>
      </c>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1.4406965454602396E-2</v>
      </c>
      <c r="AH243" s="151">
        <v>43829</v>
      </c>
      <c r="AI243" s="5">
        <v>230</v>
      </c>
      <c r="AJ243" s="138">
        <v>334.68</v>
      </c>
      <c r="AK243" s="152">
        <f>IF(ISNUMBER( SnapshotTable[[#This Row],[EBF Target]]),(SnapshotTable[[#This Row],[EBF Target]] - SnapshotTable[[#This Row],[Last Price]]) / SnapshotTable[[#This Row],[Last Price]], "")</f>
        <v>-0.27965172726988008</v>
      </c>
      <c r="AL243" s="152"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2">
        <f>IF(AND(ISNUMBER( SnapshotTable[[#This Row],[Long Term Target]]), ISNUMBER(SnapshotTable[[#This Row],[Last Price]])),(SnapshotTable[[#This Row],[Long Term Target]] - SnapshotTable[[#This Row],[Last Price]]) / SnapshotTable[[#This Row],[Last Price]], "")</f>
        <v>4.820069529268059E-2</v>
      </c>
      <c r="AP243" s="5"/>
      <c r="AQ243" s="38"/>
      <c r="AR243" s="5"/>
      <c r="AS243" s="38"/>
      <c r="AT243" s="146"/>
      <c r="AU243" s="187" t="str">
        <f>IF(OR(SnapshotTable[[#This Row],[LP No Fill]]="Y",SnapshotTable[[#This Row],[SP Is Filled]],SnapshotTable[[#This Row],[LC Not Filled]]="Y",SnapshotTable[[#This Row],[SC Is Filled]]),"Y","")</f>
        <v/>
      </c>
      <c r="AV243" s="219"/>
      <c r="AW243" s="225"/>
      <c r="AX243" s="220"/>
      <c r="AY243" s="219" t="str">
        <f>IF(SnapshotTable[[#This Row],[Implied Move]]&gt;0, SnapshotTable[[#This Row],[Last Price]]-SnapshotTable[[#This Row],[Implied Move]],"")</f>
        <v/>
      </c>
      <c r="AZ243" s="219" t="str">
        <f>IF(SnapshotTable[[#This Row],[Implied Move]]&gt;0, SnapshotTable[[#This Row],[Last Price]] + SnapshotTable[[#This Row],[Implied Move]],"")</f>
        <v/>
      </c>
      <c r="BA243" s="331"/>
      <c r="BB243" s="347"/>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51"/>
      <c r="BE243" s="5"/>
      <c r="BF243" s="14"/>
      <c r="BG243" s="13"/>
      <c r="BH243" s="13"/>
      <c r="BI243" s="5"/>
      <c r="BJ243" s="136">
        <f>IF(SnapshotTable[[#This Row],[LP Qty]] &gt; 0, SnapshotTable[[#This Row],[LP Qty]] * SnapshotTable[[#This Row],[LP Book Price]] * 100,0)</f>
        <v>0</v>
      </c>
      <c r="BK243" s="136">
        <f>IF(SnapshotTable[[#This Row],[LP Premium]] &gt; 0, SnapshotTable[[#This Row],[LP Qty]] * SnapshotTable[[#This Row],[LP Strike Price]] * 100,0)</f>
        <v>0</v>
      </c>
      <c r="BL243" s="154"/>
      <c r="BM243" s="385" t="str">
        <f>IF(SnapshotTable[[#This Row],[LP Premium]] &gt; 0,SnapshotTable[[#This Row],[LP Exp Date]]-MAX(SnapshotTable[[#This Row],[LP Book Date]], SnapshotTable[[#This Row],[LP Fill Date]]),"")</f>
        <v/>
      </c>
      <c r="BN243" s="385" t="str">
        <f>IF(ISNUMBER( SnapshotTable[[#This Row],[LP Term]]), SnapshotTable[[#This Row],[LP Exp Date]] - MockToday,"")</f>
        <v/>
      </c>
      <c r="BO243" s="163"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7"/>
      <c r="BU243" s="13"/>
      <c r="BV243" s="5"/>
      <c r="BW243" s="419" t="b">
        <f>AND(ISNUMBER(SnapshotTable[[#This Row],[SP Exp Date]]), ISNUMBER(SnapshotTable[[#This Row],[SP Strike Price]]), ISNUMBER(SnapshotTable[[#This Row],[SP Qty]]), ISNUMBER(SnapshotTable[[#This Row],[SP Book Date]]), ISNUMBER(SnapshotTable[[#This Row],[SP Book Price]]))</f>
        <v>0</v>
      </c>
      <c r="BX243" s="419" t="b">
        <f>AND(SnapshotTable[[#This Row],[SP Is Booked]], NOT(ISBLANK(SnapshotTable[[#This Row],[SP Fill Date]])))</f>
        <v>0</v>
      </c>
      <c r="BY243" s="33">
        <f>IF(SnapshotTable[[#This Row],[SP Is Booked]], SnapshotTable[[#This Row],[SP Qty]] * SnapshotTable[[#This Row],[SP Book Price]] * 100, 0)</f>
        <v>0</v>
      </c>
      <c r="BZ243" s="369"/>
      <c r="CA243" s="368">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3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44"/>
      <c r="CK243" s="31">
        <f>IF(ISNUMBER(SnapshotTable[[#This Row],[SP Potential Spend]]),IF(ISNUMBER(SnapshotTable[[#This Row],[SP POW]]), SnapshotTable[[#This Row],[SP POW]] * SnapshotTable[[#This Row],[SP Potential Spend]], SnapshotTable[[#This Row],[SP Potential Spend]]), "")</f>
        <v>0</v>
      </c>
      <c r="CL243" s="164">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78"/>
      <c r="CO243" s="369"/>
      <c r="CP243" s="4" t="str">
        <f>IF(SnapshotTable[[#This Row],[SP Is Filled]], btc_max_buyback_amount(SnapshotTable[[#This Row],[SP Fill Date]],SnapshotTable[[#This Row],[SP Exp Date]], SnapshotTable[[#This Row],[SP Book Price]]),"")</f>
        <v/>
      </c>
      <c r="CQ243" s="78"/>
      <c r="CR2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5" t="str">
        <f>IF(SnapshotTable[[#This Row],[SP Is Filled]], btc_next_cutoff_date(SnapshotTable[[#This Row],[SP Fill Date]],SnapshotTable[[#This Row],[SP Exp Date]]),"")</f>
        <v/>
      </c>
      <c r="CT243" s="23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43"/>
      <c r="CV243" s="235"/>
      <c r="CW243" s="378"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294" t="str">
        <f>IF(ISNUMBER((SnapshotTable[[#This Row],[SP Total Value]])), SnapshotTable[[#This Row],[SP Gain Loss]] / SnapshotTable[[#This Row],[SP Premium]], "")</f>
        <v/>
      </c>
      <c r="DI243" s="406"/>
      <c r="DJ243" s="138"/>
      <c r="DK243" s="148"/>
      <c r="DL243" s="13"/>
      <c r="DM243" s="13"/>
      <c r="DO243" s="31">
        <f>IF(SnapshotTable[[#This Row],[LC Symbol Count]]=1, SnapshotTable[[#This Row],[LC Qty]] * SnapshotTable[[#This Row],[LC Book Price]] * 100, 0)</f>
        <v>0</v>
      </c>
      <c r="DP243" s="163" t="str">
        <f>IF(AND(SnapshotTable[[#This Row],[LC Exp Date]]&gt;0, SnapshotTable[[#This Row],[LC Strike Price]]&gt;0,SnapshotTable[[#This Row],[LC Qty]]&gt;0,SnapshotTable[[#This Row],[LC Book Date]]&gt;0,SnapshotTable[[#This Row],[LC Book Price]]&gt;0,SnapshotTable[[#This Row],[LC Fill Date]]=0),"Y","")</f>
        <v/>
      </c>
      <c r="DQ243" s="386" t="str">
        <f>IF(SnapshotTable[[#This Row],[LC Premium]] &gt; 0,SnapshotTable[[#This Row],[LC Exp Date]]-MAX(SnapshotTable[[#This Row],[LC Book Date]], SnapshotTable[[#This Row],[LC Fill Date]]),"")</f>
        <v/>
      </c>
      <c r="DR243" s="386" t="str">
        <f>IF(ISNUMBER(SnapshotTable[[#This Row],[LC Term]]), SnapshotTable[[#This Row],[LC Exp Date]] - MockToday, "")</f>
        <v/>
      </c>
      <c r="DS243" s="234" t="str">
        <f>IF(SnapshotTable[[#This Row],[LC Premium]]&gt;0,SnapshotTable[[#This Row],[LC Strike Price]] + SnapshotTable[[#This Row],[LC Book Price]],"")</f>
        <v/>
      </c>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40" t="str">
        <f>IF(ISNUMBER(SnapshotTable[[#This Row],[LC Actual Gain Loss]]), SnapshotTable[[#This Row],[LC Actual Gain Loss]] / SnapshotTable[[#This Row],[LC Premium]],"")</f>
        <v/>
      </c>
      <c r="DX243" s="284" t="str">
        <f>IF(ISNUMBER(SnapshotTable[[#This Row],[LC Book Price]]),SnapshotTable[[#This Row],[LC Book Price]] * 1.5,"")</f>
        <v/>
      </c>
      <c r="DY243" s="265" t="str">
        <f>IF(SnapshotTable[[#This Row],[LC Premium]]&gt;0, SnapshotTable[[#This Row],[LC Next Target]] * SnapshotTable[[#This Row],[LC Qty]] * 100,"")</f>
        <v/>
      </c>
      <c r="DZ243" s="265" t="str">
        <f>IF(ISNUMBER(SnapshotTable[[#This Row],[LC Target Gross]]), SnapshotTable[[#This Row],[LC Target Gross]] - SnapshotTable[[#This Row],[LC Premium]], "")</f>
        <v/>
      </c>
      <c r="EA243" s="305" t="str">
        <f>IF(ISNUMBER(SnapshotTable[[#This Row],[LC Target Gain Loss]]), SnapshotTable[[#This Row],[LC Target Gain Loss]]/SnapshotTable[[#This Row],[LC Premium]], "")</f>
        <v/>
      </c>
      <c r="EB243" s="262"/>
      <c r="EC243" s="283" t="str">
        <f>IF(SnapshotTable[[#This Row],[LC Premium]]&gt;0, SnapshotTable[[#This Row],[LC Book Price]] * (1 - LC_StopLoss_Pct),"")</f>
        <v/>
      </c>
      <c r="ED243" s="284"/>
      <c r="EE243" s="283" t="str">
        <f>IF(ISNUMBER(SnapshotTable[[#This Row],[LC Contract Value]]),IF(ISNUMBER(SnapshotTable[[#This Row],[LC Stop Loss Override]]), SnapshotTable[[#This Row],[LC Stop Loss Override]],SnapshotTable[[#This Row],[LC Stop Loss Calc Target]]),"")</f>
        <v/>
      </c>
      <c r="EF243" s="31"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4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7"/>
      <c r="EL243" s="138"/>
      <c r="EM243" s="148"/>
      <c r="EN243" s="147"/>
      <c r="EO243" s="147"/>
      <c r="EP243" s="138"/>
      <c r="EQ243" s="419" t="b">
        <f>AND(ISNUMBER(SnapshotTable[[#This Row],[SC Exp Date]]), ISNUMBER(SnapshotTable[[#This Row],[SC Strike Price]]), ISNUMBER(SnapshotTable[[#This Row],[SC Qty]]), ISNUMBER(SnapshotTable[[#This Row],[SC Book Date]]), ISNUMBER(SnapshotTable[[#This Row],[SC Book Price]]))</f>
        <v>0</v>
      </c>
      <c r="ER243" s="419" t="b">
        <f>AND(SnapshotTable[[#This Row],[SC Is Booked]], NOT(ISBLANK(SnapshotTable[[#This Row],[SC Fill Date]])))</f>
        <v>0</v>
      </c>
      <c r="ES243" s="370"/>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234"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283"/>
      <c r="FA243" s="218"/>
      <c r="FB243" s="370"/>
      <c r="FC243" s="4">
        <f>IF(SnapshotTable[[#This Row],[SC Is Filled]], btc_max_buyback_amount(SnapshotTable[[#This Row],[SC Fill Date]],SnapshotTable[[#This Row],[SC Exp Date]], SnapshotTable[[#This Row],[SC Book Price]]),0)</f>
        <v>0</v>
      </c>
      <c r="FD243" s="5"/>
      <c r="FE243" s="144"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382">
        <f>IF(SnapshotTable[[#This Row],[SC Is Filled]], IF(ISNUMBER(SnapshotTable[[#This Row],[SC Current Ask]]), SnapshotTable[[#This Row],[SC Current Ask]], SnapshotTable[[#This Row],[SC Book Price]]) - SnapshotTable[[#This Row],[SC Intrinsic Value]], 0)</f>
        <v>0</v>
      </c>
      <c r="FI243" s="143"/>
      <c r="FJ243" s="32" t="str">
        <f>IF(SnapshotTable[[#This Row],[SC Is Filled]],100 * SnapshotTable[[#This Row],[SC Qty]] * IF(ISNUMBER(SnapshotTable[[#This Row],[SC Buyback Override]]), SnapshotTable[[#This Row],[SC Buyback Override]], SnapshotTable[[#This Row],[SC Current Ask]]), "")</f>
        <v/>
      </c>
      <c r="FK243" s="250" t="str">
        <f>IF(SnapshotTable[[#This Row],[SC Time Val]]&gt;0, SnapshotTable[[#This Row],[SC Time Val]] / SnapshotTable[[#This Row],[Last Price]],"")</f>
        <v/>
      </c>
      <c r="FL243" s="302" t="str">
        <f>IF(SnapshotTable[[#This Row],[SC Is Booked]], ((SnapshotTable[[#This Row],[Last Price]] -SnapshotTable[[#This Row],[SC Strike Price]]) / SnapshotTable[[#This Row],[Last Price]]) * -1, "")</f>
        <v/>
      </c>
      <c r="FM243" s="157" t="str">
        <f>IF(SnapshotTable[[#This Row],[SC Is Booked]],  (SnapshotTable[[#This Row],[SC Qty]] * 100 * SnapshotTable[[#This Row],[SC Strike Price]]) - SnapshotTable[[#This Row],[SC Current Ask]], "")</f>
        <v/>
      </c>
      <c r="FN2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31"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33"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36" t="str">
        <f>IF(AND(ISNUMBER(SnapshotTable[[#This Row],[SC Simple ROO]]),SnapshotTable[[#This Row],[SC Simple ROO]] &gt; 0), SnapshotTable[[#This Row],[SC Premium]] + (SnapshotTable[[#This Row],[SC Qty]] * SnapshotTable[[#This Row],[SC Upside Potential]]), "")</f>
        <v/>
      </c>
      <c r="FX243" s="302" t="str" cm="1">
        <f t="array" ref="FX243">IF(ISNUMBER(SnapshotTable[[#This Row],[SC Max Dollars]]), annualize(SnapshotTable[[#This Row],[SC Term]],(SnapshotTable[[#This Row],[SC Max Dollars]]/SnapshotTable[[#This Row],[SC Basis]])),"")</f>
        <v/>
      </c>
      <c r="FY243" s="236" t="str">
        <f>IF(AND(SnapshotTable[[#This Row],[SC Qty]]&gt;0,SnapshotTable[[#This Row],[SC Current Ask]]&gt;0), SnapshotTable[[#This Row],[SC Qty]] * SnapshotTable[[#This Row],[SC Current Ask]] * -100, "")</f>
        <v/>
      </c>
      <c r="FZ243" s="31" t="str">
        <f>IF(ISNUMBER((SnapshotTable[[#This Row],[SC Current Value]])), SnapshotTable[[#This Row],[SC Premium]] + SnapshotTable[[#This Row],[SC Current Value]], "")</f>
        <v/>
      </c>
      <c r="GA243" s="294" t="str">
        <f>IFERROR( IF(ISNUMBER((SnapshotTable[[#This Row],[SC Current Value]])), SnapshotTable[[#This Row],[SC Gain Loss]] / SnapshotTable[[#This Row],[SC Premium]], ""), "")</f>
        <v/>
      </c>
      <c r="GB243" s="42">
        <f>SnapshotTable[[#This Row],[Equity Shares]] * SaleSharesToConsiderPercentage</f>
        <v>0</v>
      </c>
      <c r="GC243" s="40">
        <f>SnapshotTable[[#This Row],[Long Term Target]] * SellingPriceToConsiderBasedOnTargetPercentage</f>
        <v>317.94599999999997</v>
      </c>
      <c r="GD243" s="40">
        <f>SnapshotTable[[#This Row],[Last Price]] * (1+ SellingPriceToConsiderBasedOnTargetPercentage)</f>
        <v>622.6155</v>
      </c>
      <c r="GE243" s="41"/>
      <c r="GF243" s="40"/>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27" t="str">
        <f>IF(SnapshotTable[[#This Row],[Sale G/L]]&gt;0, SnapshotTable[[#This Row],[Sale G/L]] / SnapshotTable[[#This Row],[Sale Basis]], IF(ISNUMBER(SnapshotTable[[#This Row],[SC Exercise P&amp;L (TAX)]]), SnapshotTable[[#This Row],[SC Exercise P&amp;L (TAX)]] / SnapshotTable[[#This Row],[SC Basis]], ""))</f>
        <v/>
      </c>
      <c r="GK243" s="27" t="s">
        <v>743</v>
      </c>
      <c r="GL243" s="43"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43" t="str">
        <f>IF(AND(SnapshotTable[[#This Row],[LC Exp Date]]&gt;0,SnapshotTable[[#This Row],[LC Strike Price]]&gt;0), [1]!ToOptionSymbol(SnapshotTable[[#This Row],[Symbol]], SnapshotTable[[#This Row],[LC Strike Price]],SnapshotTable[[#This Row],[LC Exp Date]],0), "")</f>
        <v/>
      </c>
      <c r="GQ243" s="30" t="str">
        <f>IF(LEN(SnapshotTable[[#This Row],[LC Symbol]])&gt;0, 1, "")</f>
        <v/>
      </c>
      <c r="GR243" s="43" t="str">
        <f>IF(AND(SnapshotTable[[#This Row],[SC Exp Date]]&gt;0,SnapshotTable[[#This Row],[SC Strike Price]]&gt;0), [1]!ToOptionSymbol(SnapshotTable[[#This Row],[Symbol]], SnapshotTable[[#This Row],[SC Strike Price]],SnapshotTable[[#This Row],[SC Exp Date]],0), "")</f>
        <v/>
      </c>
      <c r="GS243" s="30" t="str">
        <f>IF(LEN(SnapshotTable[[#This Row],[SC Symbol]])&gt;0, 1, "")</f>
        <v/>
      </c>
      <c r="GT243" s="29"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31">
        <f>MAX(SnapshotTable[[#This Row],[Equity Basis Total]],SnapshotTable[[#This Row],[Equity Value]]) + (SnapshotTable[[#This Row],[SP Potential Spend]]- SnapshotTable[[#This Row],[SP Premium]] + SnapshotTable[[#This Row],[LP Premium]])+ (SnapshotTable[[#This Row],[LC Premium]] - SnapshotTable[[#This Row],[SC Premium]])</f>
        <v>0</v>
      </c>
      <c r="GW243" s="139" t="str">
        <f>IF(AND(SnapshotTable[[#This Row],[Exposure]] &lt;&gt; 0),SnapshotTable[[#This Row],[Exposure]] / SnapshotTable[[#Totals],[Exposure]], "")</f>
        <v/>
      </c>
      <c r="GX243" s="5"/>
      <c r="HE243" s="268"/>
      <c r="HF243" s="268"/>
      <c r="HK243" s="1"/>
      <c r="HL243" s="1"/>
      <c r="HM243" s="1"/>
      <c r="HN243" s="1"/>
      <c r="HO243" s="1"/>
      <c r="HP243" s="1"/>
    </row>
    <row r="244" spans="2:224" ht="12.75" customHeight="1" x14ac:dyDescent="0.25">
      <c r="B244" s="12" t="s">
        <v>252</v>
      </c>
      <c r="C244" s="387">
        <v>237.8</v>
      </c>
      <c r="D244" s="208" t="s">
        <v>578</v>
      </c>
      <c r="E244" s="39">
        <f>SnapshotTable[[#This Row],[Last Price]]*(1 -CrashDiscount)</f>
        <v>202.13</v>
      </c>
      <c r="F244" s="26" t="s">
        <v>904</v>
      </c>
      <c r="G244" s="26" t="s">
        <v>610</v>
      </c>
      <c r="H244" s="149"/>
      <c r="I244" s="194">
        <v>45225</v>
      </c>
      <c r="J244" s="195">
        <v>45050.666666666664</v>
      </c>
      <c r="K244" s="196"/>
      <c r="L244" s="326"/>
      <c r="M244" s="140">
        <v>2</v>
      </c>
      <c r="N244" s="140" t="b">
        <v>1</v>
      </c>
      <c r="O244" s="140">
        <v>2</v>
      </c>
      <c r="P244" s="22">
        <v>100</v>
      </c>
      <c r="Q244" s="25">
        <v>25000</v>
      </c>
      <c r="R244" s="4">
        <f>IF(SnapshotTable[[#This Row],[Equity Basis Total]] &gt; 0, SnapshotTable[[#This Row],[Equity Basis Total]] / SnapshotTable[[#This Row],[Equity Shares]], "")</f>
        <v>250</v>
      </c>
      <c r="S244" s="269">
        <f>SnapshotTable[[#This Row],[Last Price]] * SnapshotTable[[#This Row],[Equity Shares]]</f>
        <v>23780</v>
      </c>
      <c r="T244" s="269">
        <f>SnapshotTable[[#This Row],[Equity Value]] - SnapshotTable[[#This Row],[Equity Basis Total]]</f>
        <v>-1220</v>
      </c>
      <c r="U244" s="270">
        <f>IF(SnapshotTable[[#This Row],[Equity Basis Total]] &gt; 0, SnapshotTable[[#This Row],[Equity G/L]] / SnapshotTable[[#This Row],[Equity Basis Total]], "")</f>
        <v>-4.8800000000000003E-2</v>
      </c>
      <c r="V244" s="268">
        <v>240</v>
      </c>
      <c r="W244" s="268">
        <v>195</v>
      </c>
      <c r="X244" s="4">
        <f>IF(AND(ISNUMBER(SnapshotTable[[#This Row],[Equity Basis Per Share]]),ISNUMBER(SnapshotTable[[#This Row],[Equity Target]])),SnapshotTable[[#This Row],[Equity Target]]-SnapshotTable[[#This Row],[Equity Basis Per Share]],"")</f>
        <v>-10</v>
      </c>
      <c r="Y244" s="4">
        <f>IF(AND(ISNUMBER(SnapshotTable[[#This Row],[Equity Basis Per Share]]),ISNUMBER(SnapshotTable[[#This Row],[Equity Stop Loss]])),SnapshotTable[[#This Row],[Equity Stop Loss]]-SnapshotTable[[#This Row],[Equity Basis Per Share]],"")</f>
        <v>-55</v>
      </c>
      <c r="Z244" s="275" t="str">
        <f>IFERROR( TEXT(SnapshotTable[[#This Row],[Equity Max Gain Per Share]] /ABS( SnapshotTable[[#This Row],[Equity Max Loss Per Share]]),"0.0 " ) &amp; " : 1", "")</f>
        <v>-0.2  : 1</v>
      </c>
      <c r="AA244" s="31">
        <f>IF(ISNUMBER(SnapshotTable[[#This Row],[Equity Max Gain Per Share]]),SnapshotTable[[#This Row],[Equity Max Gain Per Share]] * SnapshotTable[[#This Row],[Equity Shares]],"")</f>
        <v>-1000</v>
      </c>
      <c r="AB244" s="31">
        <f>IF(ISNUMBER(SnapshotTable[[#This Row],[Equity Max Loss Per Share]]),SnapshotTable[[#This Row],[Equity Max Loss Per Share]] * SnapshotTable[[#This Row],[Equity Shares]],"")</f>
        <v>-5500</v>
      </c>
      <c r="AC244" s="150"/>
      <c r="AD244" s="151" t="s">
        <v>2</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0</v>
      </c>
      <c r="AH244" s="151"/>
      <c r="AI244" s="5"/>
      <c r="AJ244" s="138"/>
      <c r="AK244" s="152" t="str">
        <f>IF(ISNUMBER( SnapshotTable[[#This Row],[EBF Target]]),(SnapshotTable[[#This Row],[EBF Target]] - SnapshotTable[[#This Row],[Last Price]]) / SnapshotTable[[#This Row],[Last Price]], "")</f>
        <v/>
      </c>
      <c r="AL244" s="152"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2" t="str">
        <f>IF(AND(ISNUMBER( SnapshotTable[[#This Row],[Long Term Target]]), ISNUMBER(SnapshotTable[[#This Row],[Last Price]])),(SnapshotTable[[#This Row],[Long Term Target]] - SnapshotTable[[#This Row],[Last Price]]) / SnapshotTable[[#This Row],[Last Price]], "")</f>
        <v/>
      </c>
      <c r="AP244" s="5"/>
      <c r="AQ244" s="38"/>
      <c r="AR244" s="5"/>
      <c r="AS244" s="38"/>
      <c r="AT244" s="146"/>
      <c r="AU244" s="187" t="str">
        <f ca="1">IF(OR(SnapshotTable[[#This Row],[LP No Fill]]="Y",SnapshotTable[[#This Row],[SP Is Filled]],SnapshotTable[[#This Row],[LC Not Filled]]="Y",SnapshotTable[[#This Row],[SC Is Filled]]),"Y","")</f>
        <v>Y</v>
      </c>
      <c r="AV244" s="219"/>
      <c r="AW244" s="225"/>
      <c r="AX244" s="220"/>
      <c r="AY244" s="219" t="str">
        <f>IF(SnapshotTable[[#This Row],[Implied Move]]&gt;0, SnapshotTable[[#This Row],[Last Price]]-SnapshotTable[[#This Row],[Implied Move]],"")</f>
        <v/>
      </c>
      <c r="AZ244" s="219" t="str">
        <f>IF(SnapshotTable[[#This Row],[Implied Move]]&gt;0, SnapshotTable[[#This Row],[Last Price]] + SnapshotTable[[#This Row],[Implied Move]],"")</f>
        <v/>
      </c>
      <c r="BA244" s="331">
        <v>234.62</v>
      </c>
      <c r="BB244" s="347"/>
      <c r="BC244"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46234</v>
      </c>
      <c r="BD244" s="351"/>
      <c r="BE244" s="5"/>
      <c r="BF244" s="14"/>
      <c r="BG244" s="13"/>
      <c r="BH244" s="13"/>
      <c r="BI244" s="5"/>
      <c r="BJ244" s="136">
        <f>IF(SnapshotTable[[#This Row],[LP Qty]] &gt; 0, SnapshotTable[[#This Row],[LP Qty]] * SnapshotTable[[#This Row],[LP Book Price]] * 100,0)</f>
        <v>0</v>
      </c>
      <c r="BK244" s="136">
        <f>IF(SnapshotTable[[#This Row],[LP Premium]] &gt; 0, SnapshotTable[[#This Row],[LP Qty]] * SnapshotTable[[#This Row],[LP Strike Price]] * 100,0)</f>
        <v>0</v>
      </c>
      <c r="BL244" s="154"/>
      <c r="BM244" s="385" t="str">
        <f>IF(SnapshotTable[[#This Row],[LP Premium]] &gt; 0,SnapshotTable[[#This Row],[LP Exp Date]]-MAX(SnapshotTable[[#This Row],[LP Book Date]], SnapshotTable[[#This Row],[LP Fill Date]]),"")</f>
        <v/>
      </c>
      <c r="BN244" s="385" t="str">
        <f>IF(ISNUMBER( SnapshotTable[[#This Row],[LP Term]]), SnapshotTable[[#This Row],[LP Exp Date]] - MockToday,"")</f>
        <v/>
      </c>
      <c r="BO244" s="163"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7"/>
      <c r="BU244" s="13"/>
      <c r="BV244" s="5"/>
      <c r="BW244" s="419" t="b">
        <f>AND(ISNUMBER(SnapshotTable[[#This Row],[SP Exp Date]]), ISNUMBER(SnapshotTable[[#This Row],[SP Strike Price]]), ISNUMBER(SnapshotTable[[#This Row],[SP Qty]]), ISNUMBER(SnapshotTable[[#This Row],[SP Book Date]]), ISNUMBER(SnapshotTable[[#This Row],[SP Book Price]]))</f>
        <v>0</v>
      </c>
      <c r="BX244" s="419" t="b">
        <f>AND(SnapshotTable[[#This Row],[SP Is Booked]], NOT(ISBLANK(SnapshotTable[[#This Row],[SP Fill Date]])))</f>
        <v>0</v>
      </c>
      <c r="BY244" s="33">
        <f>IF(SnapshotTable[[#This Row],[SP Is Booked]], SnapshotTable[[#This Row],[SP Qty]] * SnapshotTable[[#This Row],[SP Book Price]] * 100, 0)</f>
        <v>0</v>
      </c>
      <c r="BZ244" s="369"/>
      <c r="CA244" s="368">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3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44"/>
      <c r="CK244" s="31">
        <f>IF(ISNUMBER(SnapshotTable[[#This Row],[SP Potential Spend]]),IF(ISNUMBER(SnapshotTable[[#This Row],[SP POW]]), SnapshotTable[[#This Row],[SP POW]] * SnapshotTable[[#This Row],[SP Potential Spend]], SnapshotTable[[#This Row],[SP Potential Spend]]), "")</f>
        <v>0</v>
      </c>
      <c r="CL244" s="164">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8"/>
      <c r="CO244" s="369"/>
      <c r="CP244" s="4" t="str">
        <f>IF(SnapshotTable[[#This Row],[SP Is Filled]], btc_max_buyback_amount(SnapshotTable[[#This Row],[SP Fill Date]],SnapshotTable[[#This Row],[SP Exp Date]], SnapshotTable[[#This Row],[SP Book Price]]),"")</f>
        <v/>
      </c>
      <c r="CQ244" s="78"/>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5" t="str">
        <f>IF(SnapshotTable[[#This Row],[SP Is Filled]], btc_next_cutoff_date(SnapshotTable[[#This Row],[SP Fill Date]],SnapshotTable[[#This Row],[SP Exp Date]]),"")</f>
        <v/>
      </c>
      <c r="CT244" s="23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3"/>
      <c r="CV244" s="235"/>
      <c r="CW244" s="378"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v>4.07</v>
      </c>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294" t="str">
        <f>IF(ISNUMBER((SnapshotTable[[#This Row],[SP Total Value]])), SnapshotTable[[#This Row],[SP Gain Loss]] / SnapshotTable[[#This Row],[SP Premium]], "")</f>
        <v/>
      </c>
      <c r="DI244" s="406"/>
      <c r="DJ244" s="138"/>
      <c r="DK244" s="148"/>
      <c r="DL244" s="13"/>
      <c r="DM244" s="13"/>
      <c r="DO244" s="31">
        <f>IF(SnapshotTable[[#This Row],[LC Symbol Count]]=1, SnapshotTable[[#This Row],[LC Qty]] * SnapshotTable[[#This Row],[LC Book Price]] * 100, 0)</f>
        <v>0</v>
      </c>
      <c r="DP244" s="163" t="str">
        <f>IF(AND(SnapshotTable[[#This Row],[LC Exp Date]]&gt;0, SnapshotTable[[#This Row],[LC Strike Price]]&gt;0,SnapshotTable[[#This Row],[LC Qty]]&gt;0,SnapshotTable[[#This Row],[LC Book Date]]&gt;0,SnapshotTable[[#This Row],[LC Book Price]]&gt;0,SnapshotTable[[#This Row],[LC Fill Date]]=0),"Y","")</f>
        <v/>
      </c>
      <c r="DQ244" s="386" t="str">
        <f>IF(SnapshotTable[[#This Row],[LC Premium]] &gt; 0,SnapshotTable[[#This Row],[LC Exp Date]]-MAX(SnapshotTable[[#This Row],[LC Book Date]], SnapshotTable[[#This Row],[LC Fill Date]]),"")</f>
        <v/>
      </c>
      <c r="DR244" s="386" t="str">
        <f>IF(ISNUMBER(SnapshotTable[[#This Row],[LC Term]]), SnapshotTable[[#This Row],[LC Exp Date]] - MockToday, "")</f>
        <v/>
      </c>
      <c r="DS244" s="23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40" t="str">
        <f>IF(ISNUMBER(SnapshotTable[[#This Row],[LC Actual Gain Loss]]), SnapshotTable[[#This Row],[LC Actual Gain Loss]] / SnapshotTable[[#This Row],[LC Premium]],"")</f>
        <v/>
      </c>
      <c r="DX244" s="284" t="str">
        <f>IF(ISNUMBER(SnapshotTable[[#This Row],[LC Book Price]]),SnapshotTable[[#This Row],[LC Book Price]] * 1.5,"")</f>
        <v/>
      </c>
      <c r="DY244" s="265" t="str">
        <f>IF(SnapshotTable[[#This Row],[LC Premium]]&gt;0, SnapshotTable[[#This Row],[LC Next Target]] * SnapshotTable[[#This Row],[LC Qty]] * 100,"")</f>
        <v/>
      </c>
      <c r="DZ244" s="265" t="str">
        <f>IF(ISNUMBER(SnapshotTable[[#This Row],[LC Target Gross]]), SnapshotTable[[#This Row],[LC Target Gross]] - SnapshotTable[[#This Row],[LC Premium]], "")</f>
        <v/>
      </c>
      <c r="EA244" s="305" t="str">
        <f>IF(ISNUMBER(SnapshotTable[[#This Row],[LC Target Gain Loss]]), SnapshotTable[[#This Row],[LC Target Gain Loss]]/SnapshotTable[[#This Row],[LC Premium]], "")</f>
        <v/>
      </c>
      <c r="EB244" s="262"/>
      <c r="EC244" s="283" t="str">
        <f>IF(SnapshotTable[[#This Row],[LC Premium]]&gt;0, SnapshotTable[[#This Row],[LC Book Price]] * (1 - LC_StopLoss_Pct),"")</f>
        <v/>
      </c>
      <c r="ED244" s="284"/>
      <c r="EE244" s="28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4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1</v>
      </c>
      <c r="EK244" s="147">
        <f ca="1">NextFridayOpex</f>
        <v>46234</v>
      </c>
      <c r="EL244" s="138">
        <v>245</v>
      </c>
      <c r="EM244" s="148">
        <v>1</v>
      </c>
      <c r="EN244" s="147">
        <f ca="1">WORKDAY(MockToday, 0)</f>
        <v>46233</v>
      </c>
      <c r="EO244" s="147">
        <f ca="1">SnapshotTable[[#This Row],[SC Book Date]]</f>
        <v>46233</v>
      </c>
      <c r="EP244" s="138">
        <v>2.5</v>
      </c>
      <c r="EQ244" s="419" t="b">
        <f ca="1">AND(ISNUMBER(SnapshotTable[[#This Row],[SC Exp Date]]), ISNUMBER(SnapshotTable[[#This Row],[SC Strike Price]]), ISNUMBER(SnapshotTable[[#This Row],[SC Qty]]), ISNUMBER(SnapshotTable[[#This Row],[SC Book Date]]), ISNUMBER(SnapshotTable[[#This Row],[SC Book Price]]))</f>
        <v>1</v>
      </c>
      <c r="ER244" s="419" t="b">
        <f ca="1">AND(SnapshotTable[[#This Row],[SC Is Booked]], NOT(ISBLANK(SnapshotTable[[#This Row],[SC Fill Date]])))</f>
        <v>1</v>
      </c>
      <c r="ES244" s="370">
        <v>0.5</v>
      </c>
      <c r="ET244" s="34">
        <f ca="1">IF(AND(ISNUMBER(SnapshotTable[[#This Row],[SC Exp Date]]), ISNUMBER(SnapshotTable[[#This Row],[SC Book Date]])), SnapshotTable[[#This Row],[SC Exp Date]] - MAX(SnapshotTable[[#This Row],[SC Book Date]], SnapshotTable[[#This Row],[SC Fill Date]]) + 1, "")</f>
        <v>2</v>
      </c>
      <c r="EU244" s="34">
        <f ca="1">IF(ISNUMBER(SnapshotTable[[#This Row],[SC Term]]), SnapshotTable[[#This Row],[SC Exp Date]]- MockToday, "")</f>
        <v>1</v>
      </c>
      <c r="EV244" s="31">
        <f ca="1">IF(SnapshotTable[[#This Row],[SC Is Booked]], SnapshotTable[[#This Row],[SC Qty]] * SnapshotTable[[#This Row],[SC Book Price]] * 100, 0)</f>
        <v>250</v>
      </c>
      <c r="EW244" s="4">
        <f>IF(AND(ISNUMBER(SnapshotTable[[#This Row],[Last Price]]), ISNUMBER( SnapshotTable[[#This Row],[SC Book Price]])), SnapshotTable[[#This Row],[Last Price]] - SnapshotTable[[#This Row],[SC Book Price]],"")</f>
        <v>235.3</v>
      </c>
      <c r="EX244" s="234">
        <f ca="1">IF(SnapshotTable[[#This Row],[SC Is Booked]],IF(SnapshotTable[[#This Row],[SC Intrinsic Value]] &gt; 0, SnapshotTable[[#This Row],[SC Strike Price]], SnapshotTable[[#This Row],[Last Price]]), "")</f>
        <v>237.8</v>
      </c>
      <c r="EY244" s="4">
        <f ca="1">IF(SnapshotTable[[#This Row],[SC Is Booked]], (MinimumPremiumRequired * SnapshotTable[[#This Row],[SC Basis]] * SnapshotTable[[#This Row],[SC Term]]), 0)</f>
        <v>0.47560000000000002</v>
      </c>
      <c r="EZ244" s="283"/>
      <c r="FA244" s="218">
        <v>3.65</v>
      </c>
      <c r="FB244" s="370">
        <v>0.46</v>
      </c>
      <c r="FC244" s="4" t="e">
        <f ca="1">IF(SnapshotTable[[#This Row],[SC Is Filled]], btc_max_buyback_amount(SnapshotTable[[#This Row],[SC Fill Date]],SnapshotTable[[#This Row],[SC Exp Date]], SnapshotTable[[#This Row],[SC Book Price]]),0)</f>
        <v>#NAME?</v>
      </c>
      <c r="FD244" s="5"/>
      <c r="FE244" s="144" t="e">
        <f ca="1">IF(SnapshotTable[[#This Row],[SC Is Filled]], btc_next_cutoff_date(SnapshotTable[[#This Row],[SC Fill Date]],SnapshotTable[[#This Row],[SC Exp Date]]),"")</f>
        <v>#NAME?</v>
      </c>
      <c r="FF244" s="4" t="e" cm="1">
        <f t="array" aca="1" ref="FF244" ca="1">IF(SnapshotTable[[#This Row],[SC Is Filled]], btc_should_buy_back(SnapshotTable[[#This Row],[SC Fill Date]], SnapshotTable[[#This Row],[SC Exp Date]], SnapshotTable[[#This Row],[SC Book Price]], SnapshotTable[[#This Row],[SC Current Ask]], MockToday, SnapshotTable[[#This Row],[SC Buyback Override]]),"")</f>
        <v>#NAME?</v>
      </c>
      <c r="FG244" s="4">
        <f ca="1">IF(SnapshotTable[[#This Row],[SC Is Filled]], MAX(0,SnapshotTable[[#This Row],[Last Price]]  - SnapshotTable[[#This Row],[SC Strike Price]]), 0)</f>
        <v>0</v>
      </c>
      <c r="FH244" s="382">
        <f ca="1">IF(SnapshotTable[[#This Row],[SC Is Filled]], IF(ISNUMBER(SnapshotTable[[#This Row],[SC Current Ask]]), SnapshotTable[[#This Row],[SC Current Ask]], SnapshotTable[[#This Row],[SC Book Price]]) - SnapshotTable[[#This Row],[SC Intrinsic Value]], 0)</f>
        <v>3.65</v>
      </c>
      <c r="FI244" s="143">
        <v>46216</v>
      </c>
      <c r="FJ244" s="32">
        <f ca="1">IF(SnapshotTable[[#This Row],[SC Is Filled]],100 * SnapshotTable[[#This Row],[SC Qty]] * IF(ISNUMBER(SnapshotTable[[#This Row],[SC Buyback Override]]), SnapshotTable[[#This Row],[SC Buyback Override]], SnapshotTable[[#This Row],[SC Current Ask]]), "")</f>
        <v>365</v>
      </c>
      <c r="FK244" s="250">
        <f ca="1">IF(SnapshotTable[[#This Row],[SC Time Val]]&gt;0, SnapshotTable[[#This Row],[SC Time Val]] / SnapshotTable[[#This Row],[Last Price]],"")</f>
        <v>1.5349032800672834E-2</v>
      </c>
      <c r="FL244" s="302">
        <f ca="1">IF(SnapshotTable[[#This Row],[SC Is Booked]], ((SnapshotTable[[#This Row],[Last Price]] -SnapshotTable[[#This Row],[SC Strike Price]]) / SnapshotTable[[#This Row],[Last Price]]) * -1, "")</f>
        <v>3.0277544154751843E-2</v>
      </c>
      <c r="FM244" s="157">
        <f ca="1">IF(SnapshotTable[[#This Row],[SC Is Booked]],  (SnapshotTable[[#This Row],[SC Qty]] * 100 * SnapshotTable[[#This Row],[SC Strike Price]]) - SnapshotTable[[#This Row],[SC Current Ask]], "")</f>
        <v>24496.35</v>
      </c>
      <c r="FN244" s="31"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f ca="1">IF(AND(ISNUMBER(SnapshotTable[[#This Row],[SC Exercise Gross]]), ISNUMBER(SnapshotTable[[#This Row],[Equity Basis Per Share]] )), SnapshotTable[[#This Row],[SC Exercise Gross]] - SnapshotTable[[#This Row],[Equity Basis Total]] +  SnapshotTable[[#This Row],[SC Premium]], "")</f>
        <v>-253.65000000000146</v>
      </c>
      <c r="FP244" s="5">
        <f ca="1">IF(ISNUMBER(SnapshotTable[[#This Row],[SC Exercise Gross]]), (SnapshotTable[[#This Row],[SC Exercise Gross]]) / (SnapshotTable[[#This Row],[SC Qty]] * 100), "")</f>
        <v>244.96349999999998</v>
      </c>
      <c r="FQ244" s="27">
        <f ca="1">IF(SnapshotTable[[#This Row],[SC Is Booked]],SnapshotTable[[#This Row],[SC Time Val]] /SnapshotTable[[#This Row],[SC Basis]], "")</f>
        <v>1.5349032800672834E-2</v>
      </c>
      <c r="FR244" s="27" t="e" cm="1">
        <f t="array" aca="1" ref="FR244" ca="1">IF(AND(ISNUMBER(SnapshotTable[[#This Row],[SC Term]]),ISNUMBER(SnapshotTable[[#This Row],[SC Simple ROO]])), EllmanAnnualize(SnapshotTable[[#This Row],[SC DTE]], SnapshotTable[[#This Row],[SC Simple ROO]] ),"")</f>
        <v>#NAME?</v>
      </c>
      <c r="FS244" s="4">
        <f>IF(SnapshotTable[[#This Row],[SC Strike Price]] &gt; SnapshotTable[[#This Row],[Last Price]], SnapshotTable[[#This Row],[SC Strike Price]] - SnapshotTable[[#This Row],[Last Price]],0)</f>
        <v>7.1999999999999886</v>
      </c>
      <c r="FT244" s="27">
        <f>IF(AND(ISNUMBER(SnapshotTable[[#This Row],[SC Upside Potential]]), SnapshotTable[[#This Row],[SC Upside Potential]] &gt; 0),(SnapshotTable[[#This Row],[SC Upside Potential]]/ SnapshotTable[[#This Row],[ACB]]),"")</f>
        <v>3.0687920893359425E-2</v>
      </c>
      <c r="FU244" s="333" t="str">
        <f ca="1">IF(SnapshotTable[[#This Row],[SC Intrinsic Value]] &gt; 0,SnapshotTable[[#This Row],[SC Intrinsic Value]],"")</f>
        <v/>
      </c>
      <c r="FV244" s="27" t="str">
        <f ca="1">IF(AND( ISNUMBER( SnapshotTable[[#This Row],[ACB]]),ISNUMBER(SnapshotTable[[#This Row],[SC Downside Protect]])),SnapshotTable[[#This Row],[SC Downside Protect]] / SnapshotTable[[#This Row],[ACB]],"")</f>
        <v/>
      </c>
      <c r="FW244" s="236">
        <f ca="1">IF(AND(ISNUMBER(SnapshotTable[[#This Row],[SC Simple ROO]]),SnapshotTable[[#This Row],[SC Simple ROO]] &gt; 0), SnapshotTable[[#This Row],[SC Premium]] + (SnapshotTable[[#This Row],[SC Qty]] * SnapshotTable[[#This Row],[SC Upside Potential]]), "")</f>
        <v>257.2</v>
      </c>
      <c r="FX244" s="302" t="e" cm="1">
        <f t="array" aca="1" ref="FX244" ca="1">IF(ISNUMBER(SnapshotTable[[#This Row],[SC Max Dollars]]), annualize(SnapshotTable[[#This Row],[SC Term]],(SnapshotTable[[#This Row],[SC Max Dollars]]/SnapshotTable[[#This Row],[SC Basis]])),"")</f>
        <v>#NAME?</v>
      </c>
      <c r="FY244" s="236">
        <f>IF(AND(SnapshotTable[[#This Row],[SC Qty]]&gt;0,SnapshotTable[[#This Row],[SC Current Ask]]&gt;0), SnapshotTable[[#This Row],[SC Qty]] * SnapshotTable[[#This Row],[SC Current Ask]] * -100, "")</f>
        <v>-365</v>
      </c>
      <c r="FZ244" s="31">
        <f ca="1">IF(ISNUMBER((SnapshotTable[[#This Row],[SC Current Value]])), SnapshotTable[[#This Row],[SC Premium]] + SnapshotTable[[#This Row],[SC Current Value]], "")</f>
        <v>-115</v>
      </c>
      <c r="GA244" s="294">
        <f ca="1">IFERROR( IF(ISNUMBER((SnapshotTable[[#This Row],[SC Current Value]])), SnapshotTable[[#This Row],[SC Gain Loss]] / SnapshotTable[[#This Row],[SC Premium]], ""), "")</f>
        <v>-0.46</v>
      </c>
      <c r="GB244" s="42">
        <f>SnapshotTable[[#This Row],[Equity Shares]] * SaleSharesToConsiderPercentage</f>
        <v>20</v>
      </c>
      <c r="GC244" s="40">
        <f>SnapshotTable[[#This Row],[Long Term Target]] * SellingPriceToConsiderBasedOnTargetPercentage</f>
        <v>0</v>
      </c>
      <c r="GD244" s="40">
        <f>SnapshotTable[[#This Row],[Last Price]] * (1+ SellingPriceToConsiderBasedOnTargetPercentage)</f>
        <v>463.71000000000004</v>
      </c>
      <c r="GE244" s="41"/>
      <c r="GF244" s="40"/>
      <c r="GG244" s="31">
        <f>SnapshotTable[[#This Row],[Booked Sale Shares]] * SnapshotTable[[#This Row],[Booked Sale Price]]</f>
        <v>0</v>
      </c>
      <c r="GH244" s="31">
        <f>IF(SnapshotTable[[#This Row],[Equity Basis Total]] &gt; 0, SnapshotTable[[#This Row],[Equity Basis Per Share]] * SnapshotTable[[#This Row],[Booked Sale Shares]], "")</f>
        <v>0</v>
      </c>
      <c r="GI244" s="31">
        <f>IF(SnapshotTable[[#This Row],[Sale Proceeds]]&gt;0, SnapshotTable[[#This Row],[Sale Proceeds]] - SnapshotTable[[#This Row],[Sale Basis]], 0)</f>
        <v>0</v>
      </c>
      <c r="GJ244" s="27">
        <f ca="1">IF(SnapshotTable[[#This Row],[Sale G/L]]&gt;0, SnapshotTable[[#This Row],[Sale G/L]] / SnapshotTable[[#This Row],[Sale Basis]], IF(ISNUMBER(SnapshotTable[[#This Row],[SC Exercise P&amp;L (TAX)]]), SnapshotTable[[#This Row],[SC Exercise P&amp;L (TAX)]] / SnapshotTable[[#This Row],[SC Basis]], ""))</f>
        <v>-1.0666526492851196</v>
      </c>
      <c r="GK244" s="27" t="s">
        <v>747</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 ca="1">IF(AND(SnapshotTable[[#This Row],[SC Exp Date]]&gt;0,SnapshotTable[[#This Row],[SC Strike Price]]&gt;0), [1]!ToOptionSymbol(SnapshotTable[[#This Row],[Symbol]], SnapshotTable[[#This Row],[SC Strike Price]],SnapshotTable[[#This Row],[SC Exp Date]],0), "")</f>
        <v>AMZN260731C00245000</v>
      </c>
      <c r="GS244" s="30">
        <f ca="1">IF(LEN(SnapshotTable[[#This Row],[SC Symbol]])&gt;0, 1, "")</f>
        <v>1</v>
      </c>
      <c r="GT244" s="29" t="str">
        <f ca="1">IF(COUNT(SnapshotTable[[#This Row],[LP Symbol Count]],SnapshotTable[[#This Row],[SP Symbol Count]],SnapshotTable[[#This Row],[LC Symbol Count]],SnapshotTable[[#This Row],[SC Symbol Count]])&gt;0, "Y", "")</f>
        <v>Y</v>
      </c>
      <c r="GU244"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44" s="231">
        <f ca="1">MAX(SnapshotTable[[#This Row],[Equity Basis Total]],SnapshotTable[[#This Row],[Equity Value]]) + (SnapshotTable[[#This Row],[SP Potential Spend]]- SnapshotTable[[#This Row],[SP Premium]] + SnapshotTable[[#This Row],[LP Premium]])+ (SnapshotTable[[#This Row],[LC Premium]] - SnapshotTable[[#This Row],[SC Premium]])</f>
        <v>24750</v>
      </c>
      <c r="GW244" s="139">
        <f ca="1">IF(AND(SnapshotTable[[#This Row],[Exposure]] &lt;&gt; 0),SnapshotTable[[#This Row],[Exposure]] / SnapshotTable[[#Totals],[Exposure]], "")</f>
        <v>0.11649944720423921</v>
      </c>
      <c r="GX244" s="5"/>
      <c r="HE244" s="268"/>
      <c r="HF244" s="268"/>
      <c r="HK244" s="1"/>
      <c r="HL244" s="1"/>
      <c r="HM244" s="1"/>
      <c r="HN244" s="1"/>
      <c r="HO244" s="1"/>
      <c r="HP244" s="1"/>
    </row>
    <row r="245" spans="2:224" ht="12.75" hidden="1" customHeight="1" x14ac:dyDescent="0.25">
      <c r="B245" s="12" t="s">
        <v>71</v>
      </c>
      <c r="C245" s="422">
        <v>47.66</v>
      </c>
      <c r="D245" s="208"/>
      <c r="E245" s="39">
        <f>SnapshotTable[[#This Row],[Last Price]]*(1 -CrashDiscount)</f>
        <v>40.510999999999996</v>
      </c>
      <c r="F245" s="26" t="s">
        <v>70</v>
      </c>
      <c r="G245" s="26" t="s">
        <v>14</v>
      </c>
      <c r="H245" s="149"/>
      <c r="I245" s="194">
        <v>44770.28125</v>
      </c>
      <c r="J245" s="195">
        <v>44770.28125</v>
      </c>
      <c r="K245" s="196"/>
      <c r="L245" s="326"/>
      <c r="M245" s="140"/>
      <c r="N245" s="140"/>
      <c r="O245" s="140"/>
      <c r="P245" s="22"/>
      <c r="Q245" s="25"/>
      <c r="R245" s="4" t="str">
        <f>IF(SnapshotTable[[#This Row],[Equity Basis Total]] &gt; 0, SnapshotTable[[#This Row],[Equity Basis Total]] / SnapshotTable[[#This Row],[Equity Shares]], "")</f>
        <v/>
      </c>
      <c r="S245" s="269">
        <f>SnapshotTable[[#This Row],[Last Price]] * SnapshotTable[[#This Row],[Equity Shares]]</f>
        <v>0</v>
      </c>
      <c r="T245" s="269">
        <f>SnapshotTable[[#This Row],[Equity Value]] - SnapshotTable[[#This Row],[Equity Basis Total]]</f>
        <v>0</v>
      </c>
      <c r="U245" s="270" t="str">
        <f>IF(SnapshotTable[[#This Row],[Equity Basis Total]] &gt; 0, SnapshotTable[[#This Row],[Equity G/L]] / SnapshotTable[[#This Row],[Equity Basis Total]], "")</f>
        <v/>
      </c>
      <c r="V245" s="268"/>
      <c r="W245" s="26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7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0">
        <v>0.5</v>
      </c>
      <c r="AD245" s="151">
        <v>42992</v>
      </c>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1.0490977759127152E-2</v>
      </c>
      <c r="AH245" s="151">
        <v>42979</v>
      </c>
      <c r="AI245" s="5"/>
      <c r="AJ245" s="138">
        <v>44.56</v>
      </c>
      <c r="AK245" s="152" t="str">
        <f>IF(ISNUMBER( SnapshotTable[[#This Row],[EBF Target]]),(SnapshotTable[[#This Row],[EBF Target]] - SnapshotTable[[#This Row],[Last Price]]) / SnapshotTable[[#This Row],[Last Price]], "")</f>
        <v/>
      </c>
      <c r="AL245" s="152"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2">
        <f>IF(AND(ISNUMBER( SnapshotTable[[#This Row],[Long Term Target]]), ISNUMBER(SnapshotTable[[#This Row],[Last Price]])),(SnapshotTable[[#This Row],[Long Term Target]] - SnapshotTable[[#This Row],[Last Price]]) / SnapshotTable[[#This Row],[Last Price]], "")</f>
        <v>-6.5044062106588224E-2</v>
      </c>
      <c r="AP245" s="5">
        <v>50.5</v>
      </c>
      <c r="AQ245" s="38" t="s">
        <v>38</v>
      </c>
      <c r="AR245" s="5">
        <v>50.5</v>
      </c>
      <c r="AS245" s="38" t="s">
        <v>26</v>
      </c>
      <c r="AT245" s="146"/>
      <c r="AU245" s="187" t="str">
        <f>IF(OR(SnapshotTable[[#This Row],[LP No Fill]]="Y",SnapshotTable[[#This Row],[SP Is Filled]],SnapshotTable[[#This Row],[LC Not Filled]]="Y",SnapshotTable[[#This Row],[SC Is Filled]]),"Y","")</f>
        <v/>
      </c>
      <c r="AV245" s="219"/>
      <c r="AW245" s="225"/>
      <c r="AX245" s="220"/>
      <c r="AY245" s="219" t="str">
        <f>IF(SnapshotTable[[#This Row],[Implied Move]]&gt;0, SnapshotTable[[#This Row],[Last Price]]-SnapshotTable[[#This Row],[Implied Move]],"")</f>
        <v/>
      </c>
      <c r="AZ245" s="219" t="str">
        <f>IF(SnapshotTable[[#This Row],[Implied Move]]&gt;0, SnapshotTable[[#This Row],[Last Price]] + SnapshotTable[[#This Row],[Implied Move]],"")</f>
        <v/>
      </c>
      <c r="BA245" s="331"/>
      <c r="BB245" s="347"/>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51"/>
      <c r="BE245" s="5"/>
      <c r="BF245" s="14"/>
      <c r="BG245" s="13"/>
      <c r="BH245" s="13"/>
      <c r="BI245" s="5"/>
      <c r="BJ245" s="136">
        <f>IF(SnapshotTable[[#This Row],[LP Qty]] &gt; 0, SnapshotTable[[#This Row],[LP Qty]] * SnapshotTable[[#This Row],[LP Book Price]] * 100,0)</f>
        <v>0</v>
      </c>
      <c r="BK245" s="136">
        <f>IF(SnapshotTable[[#This Row],[LP Premium]] &gt; 0, SnapshotTable[[#This Row],[LP Qty]] * SnapshotTable[[#This Row],[LP Strike Price]] * 100,0)</f>
        <v>0</v>
      </c>
      <c r="BL245" s="154"/>
      <c r="BM245" s="385" t="str">
        <f>IF(SnapshotTable[[#This Row],[LP Premium]] &gt; 0,SnapshotTable[[#This Row],[LP Exp Date]]-MAX(SnapshotTable[[#This Row],[LP Book Date]], SnapshotTable[[#This Row],[LP Fill Date]]),"")</f>
        <v/>
      </c>
      <c r="BN245" s="385" t="str">
        <f>IF(ISNUMBER( SnapshotTable[[#This Row],[LP Term]]), SnapshotTable[[#This Row],[LP Exp Date]] - MockToday,"")</f>
        <v/>
      </c>
      <c r="BO245" s="163"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7"/>
      <c r="BU245" s="13"/>
      <c r="BV245" s="5"/>
      <c r="BW245" s="419" t="b">
        <f>AND(ISNUMBER(SnapshotTable[[#This Row],[SP Exp Date]]), ISNUMBER(SnapshotTable[[#This Row],[SP Strike Price]]), ISNUMBER(SnapshotTable[[#This Row],[SP Qty]]), ISNUMBER(SnapshotTable[[#This Row],[SP Book Date]]), ISNUMBER(SnapshotTable[[#This Row],[SP Book Price]]))</f>
        <v>0</v>
      </c>
      <c r="BX245" s="419" t="b">
        <f>AND(SnapshotTable[[#This Row],[SP Is Booked]], NOT(ISBLANK(SnapshotTable[[#This Row],[SP Fill Date]])))</f>
        <v>0</v>
      </c>
      <c r="BY245" s="33">
        <f>IF(SnapshotTable[[#This Row],[SP Is Booked]], SnapshotTable[[#This Row],[SP Qty]] * SnapshotTable[[#This Row],[SP Book Price]] * 100, 0)</f>
        <v>0</v>
      </c>
      <c r="BZ245" s="369"/>
      <c r="CA245" s="368">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3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44"/>
      <c r="CK245" s="31">
        <f>IF(ISNUMBER(SnapshotTable[[#This Row],[SP Potential Spend]]),IF(ISNUMBER(SnapshotTable[[#This Row],[SP POW]]), SnapshotTable[[#This Row],[SP POW]] * SnapshotTable[[#This Row],[SP Potential Spend]], SnapshotTable[[#This Row],[SP Potential Spend]]), "")</f>
        <v>0</v>
      </c>
      <c r="CL245" s="164">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78"/>
      <c r="CO245" s="369"/>
      <c r="CP245" s="4" t="str">
        <f>IF(SnapshotTable[[#This Row],[SP Is Filled]], btc_max_buyback_amount(SnapshotTable[[#This Row],[SP Fill Date]],SnapshotTable[[#This Row],[SP Exp Date]], SnapshotTable[[#This Row],[SP Book Price]]),"")</f>
        <v/>
      </c>
      <c r="CQ245" s="78"/>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5" t="str">
        <f>IF(SnapshotTable[[#This Row],[SP Is Filled]], btc_next_cutoff_date(SnapshotTable[[#This Row],[SP Fill Date]],SnapshotTable[[#This Row],[SP Exp Date]]),"")</f>
        <v/>
      </c>
      <c r="CT245" s="23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43"/>
      <c r="CV245" s="235"/>
      <c r="CW245" s="378"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294" t="str">
        <f>IF(ISNUMBER((SnapshotTable[[#This Row],[SP Total Value]])), SnapshotTable[[#This Row],[SP Gain Loss]] / SnapshotTable[[#This Row],[SP Premium]], "")</f>
        <v/>
      </c>
      <c r="DI245" s="406"/>
      <c r="DJ245" s="138"/>
      <c r="DK245" s="148"/>
      <c r="DL245" s="13"/>
      <c r="DM245" s="13"/>
      <c r="DO245" s="31">
        <f>IF(SnapshotTable[[#This Row],[LC Symbol Count]]=1, SnapshotTable[[#This Row],[LC Qty]] * SnapshotTable[[#This Row],[LC Book Price]] * 100, 0)</f>
        <v>0</v>
      </c>
      <c r="DP245" s="163" t="str">
        <f>IF(AND(SnapshotTable[[#This Row],[LC Exp Date]]&gt;0, SnapshotTable[[#This Row],[LC Strike Price]]&gt;0,SnapshotTable[[#This Row],[LC Qty]]&gt;0,SnapshotTable[[#This Row],[LC Book Date]]&gt;0,SnapshotTable[[#This Row],[LC Book Price]]&gt;0,SnapshotTable[[#This Row],[LC Fill Date]]=0),"Y","")</f>
        <v/>
      </c>
      <c r="DQ245" s="386" t="str">
        <f>IF(SnapshotTable[[#This Row],[LC Premium]] &gt; 0,SnapshotTable[[#This Row],[LC Exp Date]]-MAX(SnapshotTable[[#This Row],[LC Book Date]], SnapshotTable[[#This Row],[LC Fill Date]]),"")</f>
        <v/>
      </c>
      <c r="DR245" s="386" t="str">
        <f>IF(ISNUMBER(SnapshotTable[[#This Row],[LC Term]]), SnapshotTable[[#This Row],[LC Exp Date]] - MockToday, "")</f>
        <v/>
      </c>
      <c r="DS245" s="23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40" t="str">
        <f>IF(ISNUMBER(SnapshotTable[[#This Row],[LC Actual Gain Loss]]), SnapshotTable[[#This Row],[LC Actual Gain Loss]] / SnapshotTable[[#This Row],[LC Premium]],"")</f>
        <v/>
      </c>
      <c r="DX245" s="284" t="str">
        <f>IF(ISNUMBER(SnapshotTable[[#This Row],[LC Book Price]]),SnapshotTable[[#This Row],[LC Book Price]] * 1.5,"")</f>
        <v/>
      </c>
      <c r="DY245" s="265" t="str">
        <f>IF(SnapshotTable[[#This Row],[LC Premium]]&gt;0, SnapshotTable[[#This Row],[LC Next Target]] * SnapshotTable[[#This Row],[LC Qty]] * 100,"")</f>
        <v/>
      </c>
      <c r="DZ245" s="265" t="str">
        <f>IF(ISNUMBER(SnapshotTable[[#This Row],[LC Target Gross]]), SnapshotTable[[#This Row],[LC Target Gross]] - SnapshotTable[[#This Row],[LC Premium]], "")</f>
        <v/>
      </c>
      <c r="EA245" s="305" t="str">
        <f>IF(ISNUMBER(SnapshotTable[[#This Row],[LC Target Gain Loss]]), SnapshotTable[[#This Row],[LC Target Gain Loss]]/SnapshotTable[[#This Row],[LC Premium]], "")</f>
        <v/>
      </c>
      <c r="EB245" s="262"/>
      <c r="EC245" s="283" t="str">
        <f>IF(SnapshotTable[[#This Row],[LC Premium]]&gt;0, SnapshotTable[[#This Row],[LC Book Price]] * (1 - LC_StopLoss_Pct),"")</f>
        <v/>
      </c>
      <c r="ED245" s="284"/>
      <c r="EE245" s="28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4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7"/>
      <c r="EL245" s="138"/>
      <c r="EM245" s="148"/>
      <c r="EN245" s="147"/>
      <c r="EO245" s="147"/>
      <c r="EP245" s="138"/>
      <c r="EQ245" s="419" t="b">
        <f>AND(ISNUMBER(SnapshotTable[[#This Row],[SC Exp Date]]), ISNUMBER(SnapshotTable[[#This Row],[SC Strike Price]]), ISNUMBER(SnapshotTable[[#This Row],[SC Qty]]), ISNUMBER(SnapshotTable[[#This Row],[SC Book Date]]), ISNUMBER(SnapshotTable[[#This Row],[SC Book Price]]))</f>
        <v>0</v>
      </c>
      <c r="ER245" s="419" t="b">
        <f>AND(SnapshotTable[[#This Row],[SC Is Booked]], NOT(ISBLANK(SnapshotTable[[#This Row],[SC Fill Date]])))</f>
        <v>0</v>
      </c>
      <c r="ES245" s="370"/>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3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283"/>
      <c r="FA245" s="218"/>
      <c r="FB245" s="370"/>
      <c r="FC245" s="4">
        <f>IF(SnapshotTable[[#This Row],[SC Is Filled]], btc_max_buyback_amount(SnapshotTable[[#This Row],[SC Fill Date]],SnapshotTable[[#This Row],[SC Exp Date]], SnapshotTable[[#This Row],[SC Book Price]]),0)</f>
        <v>0</v>
      </c>
      <c r="FD245" s="5"/>
      <c r="FE245" s="144"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382">
        <f>IF(SnapshotTable[[#This Row],[SC Is Filled]], IF(ISNUMBER(SnapshotTable[[#This Row],[SC Current Ask]]), SnapshotTable[[#This Row],[SC Current Ask]], SnapshotTable[[#This Row],[SC Book Price]]) - SnapshotTable[[#This Row],[SC Intrinsic Value]], 0)</f>
        <v>0</v>
      </c>
      <c r="FI245" s="143"/>
      <c r="FJ245" s="32" t="str">
        <f>IF(SnapshotTable[[#This Row],[SC Is Filled]],100 * SnapshotTable[[#This Row],[SC Qty]] * IF(ISNUMBER(SnapshotTable[[#This Row],[SC Buyback Override]]), SnapshotTable[[#This Row],[SC Buyback Override]], SnapshotTable[[#This Row],[SC Current Ask]]), "")</f>
        <v/>
      </c>
      <c r="FK245" s="250" t="str">
        <f>IF(SnapshotTable[[#This Row],[SC Time Val]]&gt;0, SnapshotTable[[#This Row],[SC Time Val]] / SnapshotTable[[#This Row],[Last Price]],"")</f>
        <v/>
      </c>
      <c r="FL245" s="302" t="str">
        <f>IF(SnapshotTable[[#This Row],[SC Is Booked]], ((SnapshotTable[[#This Row],[Last Price]] -SnapshotTable[[#This Row],[SC Strike Price]]) / SnapshotTable[[#This Row],[Last Price]]) * -1, "")</f>
        <v/>
      </c>
      <c r="FM245" s="157" t="str">
        <f>IF(SnapshotTable[[#This Row],[SC Is Booked]],  (SnapshotTable[[#This Row],[SC Qty]] * 100 * SnapshotTable[[#This Row],[SC Strike Price]]) - SnapshotTable[[#This Row],[SC Current Ask]], "")</f>
        <v/>
      </c>
      <c r="FN2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31"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33"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36" t="str">
        <f>IF(AND(ISNUMBER(SnapshotTable[[#This Row],[SC Simple ROO]]),SnapshotTable[[#This Row],[SC Simple ROO]] &gt; 0), SnapshotTable[[#This Row],[SC Premium]] + (SnapshotTable[[#This Row],[SC Qty]] * SnapshotTable[[#This Row],[SC Upside Potential]]), "")</f>
        <v/>
      </c>
      <c r="FX245" s="302" t="str" cm="1">
        <f t="array" ref="FX245">IF(ISNUMBER(SnapshotTable[[#This Row],[SC Max Dollars]]), annualize(SnapshotTable[[#This Row],[SC Term]],(SnapshotTable[[#This Row],[SC Max Dollars]]/SnapshotTable[[#This Row],[SC Basis]])),"")</f>
        <v/>
      </c>
      <c r="FY245" s="236" t="str">
        <f>IF(AND(SnapshotTable[[#This Row],[SC Qty]]&gt;0,SnapshotTable[[#This Row],[SC Current Ask]]&gt;0), SnapshotTable[[#This Row],[SC Qty]] * SnapshotTable[[#This Row],[SC Current Ask]] * -100, "")</f>
        <v/>
      </c>
      <c r="FZ245" s="31" t="str">
        <f>IF(ISNUMBER((SnapshotTable[[#This Row],[SC Current Value]])), SnapshotTable[[#This Row],[SC Premium]] + SnapshotTable[[#This Row],[SC Current Value]], "")</f>
        <v/>
      </c>
      <c r="GA245" s="29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42.332000000000001</v>
      </c>
      <c r="GD245" s="40">
        <f>SnapshotTable[[#This Row],[Last Price]] * (1+ SellingPriceToConsiderBasedOnTargetPercentage)</f>
        <v>92.936999999999998</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27" t="str">
        <f>IF(SnapshotTable[[#This Row],[Sale G/L]]&gt;0, SnapshotTable[[#This Row],[Sale G/L]] / SnapshotTable[[#This Row],[Sale Basis]], IF(ISNUMBER(SnapshotTable[[#This Row],[SC Exercise P&amp;L (TAX)]]), SnapshotTable[[#This Row],[SC Exercise P&amp;L (TAX)]] / SnapshotTable[[#This Row],[SC Basis]], ""))</f>
        <v/>
      </c>
      <c r="GK245" s="27" t="s">
        <v>744</v>
      </c>
      <c r="GL245" s="43"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43" t="str">
        <f>IF(AND(SnapshotTable[[#This Row],[LC Exp Date]]&gt;0,SnapshotTable[[#This Row],[LC Strike Price]]&gt;0), [1]!ToOptionSymbol(SnapshotTable[[#This Row],[Symbol]], SnapshotTable[[#This Row],[LC Strike Price]],SnapshotTable[[#This Row],[LC Exp Date]],0), "")</f>
        <v/>
      </c>
      <c r="GQ245" s="30" t="str">
        <f>IF(LEN(SnapshotTable[[#This Row],[LC Symbol]])&gt;0, 1, "")</f>
        <v/>
      </c>
      <c r="GR245" s="43" t="str">
        <f>IF(AND(SnapshotTable[[#This Row],[SC Exp Date]]&gt;0,SnapshotTable[[#This Row],[SC Strike Price]]&gt;0), [1]!ToOptionSymbol(SnapshotTable[[#This Row],[Symbol]], SnapshotTable[[#This Row],[SC Strike Price]],SnapshotTable[[#This Row],[SC Exp Date]],0), "")</f>
        <v/>
      </c>
      <c r="GS245" s="30" t="str">
        <f>IF(LEN(SnapshotTable[[#This Row],[SC Symbol]])&gt;0, 1, "")</f>
        <v/>
      </c>
      <c r="GT245" s="29"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31">
        <f>MAX(SnapshotTable[[#This Row],[Equity Basis Total]],SnapshotTable[[#This Row],[Equity Value]]) + (SnapshotTable[[#This Row],[SP Potential Spend]]- SnapshotTable[[#This Row],[SP Premium]] + SnapshotTable[[#This Row],[LP Premium]])+ (SnapshotTable[[#This Row],[LC Premium]] - SnapshotTable[[#This Row],[SC Premium]])</f>
        <v>0</v>
      </c>
      <c r="GW245" s="139" t="str">
        <f>IF(AND(SnapshotTable[[#This Row],[Exposure]] &lt;&gt; 0),SnapshotTable[[#This Row],[Exposure]] / SnapshotTable[[#Totals],[Exposure]], "")</f>
        <v/>
      </c>
      <c r="GX245" s="5"/>
      <c r="HE245" s="268"/>
      <c r="HF245" s="268"/>
      <c r="HK245" s="1"/>
      <c r="HL245" s="1"/>
      <c r="HM245" s="1"/>
      <c r="HN245" s="1"/>
      <c r="HO245" s="1"/>
      <c r="HP245" s="1"/>
    </row>
    <row r="246" spans="2:224" ht="12.75" hidden="1" customHeight="1" x14ac:dyDescent="0.25">
      <c r="B246" s="12" t="s">
        <v>898</v>
      </c>
      <c r="C246" s="422">
        <v>138.88999999999999</v>
      </c>
      <c r="D246" s="208"/>
      <c r="E246" s="39">
        <f>SnapshotTable[[#This Row],[Last Price]]*(1 -CrashDiscount)</f>
        <v>118.05649999999999</v>
      </c>
      <c r="F246" s="26" t="s">
        <v>906</v>
      </c>
      <c r="G246" s="26" t="s">
        <v>49</v>
      </c>
      <c r="H246" s="149"/>
      <c r="I246" s="194">
        <v>44770.28125</v>
      </c>
      <c r="J246" s="195">
        <v>44770.28125</v>
      </c>
      <c r="K246" s="196"/>
      <c r="L246" s="326"/>
      <c r="M246" s="140"/>
      <c r="N246" s="140"/>
      <c r="O246" s="140"/>
      <c r="P246" s="22"/>
      <c r="Q246" s="25"/>
      <c r="R246" s="4" t="str">
        <f>IF(SnapshotTable[[#This Row],[Equity Basis Total]] &gt; 0, SnapshotTable[[#This Row],[Equity Basis Total]] / SnapshotTable[[#This Row],[Equity Shares]], "")</f>
        <v/>
      </c>
      <c r="S246" s="269">
        <f>SnapshotTable[[#This Row],[Last Price]] * SnapshotTable[[#This Row],[Equity Shares]]</f>
        <v>0</v>
      </c>
      <c r="T246" s="269">
        <f>SnapshotTable[[#This Row],[Equity Value]] - SnapshotTable[[#This Row],[Equity Basis Total]]</f>
        <v>0</v>
      </c>
      <c r="U246" s="270" t="str">
        <f>IF(SnapshotTable[[#This Row],[Equity Basis Total]] &gt; 0, SnapshotTable[[#This Row],[Equity G/L]] / SnapshotTable[[#This Row],[Equity Basis Total]], "")</f>
        <v/>
      </c>
      <c r="V246" s="268"/>
      <c r="W246" s="26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7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0"/>
      <c r="AD246" s="151"/>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0</v>
      </c>
      <c r="AH246" s="151"/>
      <c r="AI246" s="5"/>
      <c r="AJ246" s="138">
        <v>127.41</v>
      </c>
      <c r="AK246" s="152" t="str">
        <f>IF(ISNUMBER( SnapshotTable[[#This Row],[EBF Target]]),(SnapshotTable[[#This Row],[EBF Target]] - SnapshotTable[[#This Row],[Last Price]]) / SnapshotTable[[#This Row],[Last Price]], "")</f>
        <v/>
      </c>
      <c r="AL246" s="152"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2">
        <f>IF(AND(ISNUMBER( SnapshotTable[[#This Row],[Long Term Target]]), ISNUMBER(SnapshotTable[[#This Row],[Last Price]])),(SnapshotTable[[#This Row],[Long Term Target]] - SnapshotTable[[#This Row],[Last Price]]) / SnapshotTable[[#This Row],[Last Price]], "")</f>
        <v>-8.2655338757289878E-2</v>
      </c>
      <c r="AP246" s="5"/>
      <c r="AQ246" s="38"/>
      <c r="AR246" s="5"/>
      <c r="AS246" s="38"/>
      <c r="AT246" s="146"/>
      <c r="AU246" s="187" t="str">
        <f>IF(OR(SnapshotTable[[#This Row],[LP No Fill]]="Y",SnapshotTable[[#This Row],[SP Is Filled]],SnapshotTable[[#This Row],[LC Not Filled]]="Y",SnapshotTable[[#This Row],[SC Is Filled]]),"Y","")</f>
        <v/>
      </c>
      <c r="AV246" s="219"/>
      <c r="AW246" s="225"/>
      <c r="AX246" s="220"/>
      <c r="AY246" s="219" t="str">
        <f>IF(SnapshotTable[[#This Row],[Implied Move]]&gt;0, SnapshotTable[[#This Row],[Last Price]]-SnapshotTable[[#This Row],[Implied Move]],"")</f>
        <v/>
      </c>
      <c r="AZ246" s="219" t="str">
        <f>IF(SnapshotTable[[#This Row],[Implied Move]]&gt;0, SnapshotTable[[#This Row],[Last Price]] + SnapshotTable[[#This Row],[Implied Move]],"")</f>
        <v/>
      </c>
      <c r="BA246" s="331"/>
      <c r="BB246" s="347"/>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51"/>
      <c r="BE246" s="138"/>
      <c r="BF246" s="166"/>
      <c r="BG246" s="167"/>
      <c r="BH246" s="167"/>
      <c r="BI246" s="221"/>
      <c r="BJ246" s="153">
        <f>IF(SnapshotTable[[#This Row],[LP Qty]] &gt; 0, SnapshotTable[[#This Row],[LP Qty]] * SnapshotTable[[#This Row],[LP Book Price]] * 100,0)</f>
        <v>0</v>
      </c>
      <c r="BK246" s="136">
        <f>IF(SnapshotTable[[#This Row],[LP Premium]] &gt; 0, SnapshotTable[[#This Row],[LP Qty]] * SnapshotTable[[#This Row],[LP Strike Price]] * 100,0)</f>
        <v>0</v>
      </c>
      <c r="BL246" s="154"/>
      <c r="BM246" s="385" t="str">
        <f>IF(SnapshotTable[[#This Row],[LP Premium]] &gt; 0,SnapshotTable[[#This Row],[LP Exp Date]]-MAX(SnapshotTable[[#This Row],[LP Book Date]], SnapshotTable[[#This Row],[LP Fill Date]]),"")</f>
        <v/>
      </c>
      <c r="BN246" s="385" t="str">
        <f>IF(ISNUMBER( SnapshotTable[[#This Row],[LP Term]]), SnapshotTable[[#This Row],[LP Exp Date]] - MockToday,"")</f>
        <v/>
      </c>
      <c r="BO246" s="163"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7"/>
      <c r="BU246" s="13"/>
      <c r="BV246" s="5"/>
      <c r="BW246" s="419" t="b">
        <f>AND(ISNUMBER(SnapshotTable[[#This Row],[SP Exp Date]]), ISNUMBER(SnapshotTable[[#This Row],[SP Strike Price]]), ISNUMBER(SnapshotTable[[#This Row],[SP Qty]]), ISNUMBER(SnapshotTable[[#This Row],[SP Book Date]]), ISNUMBER(SnapshotTable[[#This Row],[SP Book Price]]))</f>
        <v>0</v>
      </c>
      <c r="BX246" s="419" t="b">
        <f>AND(SnapshotTable[[#This Row],[SP Is Booked]], NOT(ISBLANK(SnapshotTable[[#This Row],[SP Fill Date]])))</f>
        <v>0</v>
      </c>
      <c r="BY246" s="33">
        <f>IF(SnapshotTable[[#This Row],[SP Is Booked]], SnapshotTable[[#This Row],[SP Qty]] * SnapshotTable[[#This Row],[SP Book Price]] * 100, 0)</f>
        <v>0</v>
      </c>
      <c r="BZ246" s="369"/>
      <c r="CA246" s="368">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3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44"/>
      <c r="CK246" s="31">
        <f>IF(ISNUMBER(SnapshotTable[[#This Row],[SP Potential Spend]]),IF(ISNUMBER(SnapshotTable[[#This Row],[SP POW]]), SnapshotTable[[#This Row],[SP POW]] * SnapshotTable[[#This Row],[SP Potential Spend]], SnapshotTable[[#This Row],[SP Potential Spend]]), "")</f>
        <v>0</v>
      </c>
      <c r="CL246" s="164">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154"/>
      <c r="CO246" s="369"/>
      <c r="CP246" s="4" t="str">
        <f>IF(SnapshotTable[[#This Row],[SP Is Filled]], btc_max_buyback_amount(SnapshotTable[[#This Row],[SP Fill Date]],SnapshotTable[[#This Row],[SP Exp Date]], SnapshotTable[[#This Row],[SP Book Price]]),"")</f>
        <v/>
      </c>
      <c r="CQ246" s="78"/>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5" t="str">
        <f>IF(SnapshotTable[[#This Row],[SP Is Filled]], btc_next_cutoff_date(SnapshotTable[[#This Row],[SP Fill Date]],SnapshotTable[[#This Row],[SP Exp Date]]),"")</f>
        <v/>
      </c>
      <c r="CT246" s="23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56"/>
      <c r="CV246" s="235"/>
      <c r="CW246" s="378"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294" t="str">
        <f>IF(ISNUMBER((SnapshotTable[[#This Row],[SP Total Value]])), SnapshotTable[[#This Row],[SP Gain Loss]] / SnapshotTable[[#This Row],[SP Premium]], "")</f>
        <v/>
      </c>
      <c r="DI246" s="406"/>
      <c r="DJ246" s="138"/>
      <c r="DK246" s="148"/>
      <c r="DL246" s="147"/>
      <c r="DM246" s="147"/>
      <c r="DO246" s="31">
        <f>IF(SnapshotTable[[#This Row],[LC Symbol Count]]=1, SnapshotTable[[#This Row],[LC Qty]] * SnapshotTable[[#This Row],[LC Book Price]] * 100, 0)</f>
        <v>0</v>
      </c>
      <c r="DP246" s="289" t="str">
        <f>IF(AND(SnapshotTable[[#This Row],[LC Exp Date]]&gt;0, SnapshotTable[[#This Row],[LC Strike Price]]&gt;0,SnapshotTable[[#This Row],[LC Qty]]&gt;0,SnapshotTable[[#This Row],[LC Book Date]]&gt;0,SnapshotTable[[#This Row],[LC Book Price]]&gt;0,SnapshotTable[[#This Row],[LC Fill Date]]=0),"Y","")</f>
        <v/>
      </c>
      <c r="DQ246" s="386" t="str">
        <f>IF(SnapshotTable[[#This Row],[LC Premium]] &gt; 0,SnapshotTable[[#This Row],[LC Exp Date]]-MAX(SnapshotTable[[#This Row],[LC Book Date]], SnapshotTable[[#This Row],[LC Fill Date]]),"")</f>
        <v/>
      </c>
      <c r="DR246" s="386" t="str">
        <f>IF(ISNUMBER(SnapshotTable[[#This Row],[LC Term]]), SnapshotTable[[#This Row],[LC Exp Date]] - MockToday, "")</f>
        <v/>
      </c>
      <c r="DS246" s="23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40" t="str">
        <f>IF(ISNUMBER(SnapshotTable[[#This Row],[LC Actual Gain Loss]]), SnapshotTable[[#This Row],[LC Actual Gain Loss]] / SnapshotTable[[#This Row],[LC Premium]],"")</f>
        <v/>
      </c>
      <c r="DX246" s="284" t="str">
        <f>IF(ISNUMBER(SnapshotTable[[#This Row],[LC Book Price]]),SnapshotTable[[#This Row],[LC Book Price]] * 1.5,"")</f>
        <v/>
      </c>
      <c r="DY246" s="265" t="str">
        <f>IF(SnapshotTable[[#This Row],[LC Premium]]&gt;0, SnapshotTable[[#This Row],[LC Next Target]] * SnapshotTable[[#This Row],[LC Qty]] * 100,"")</f>
        <v/>
      </c>
      <c r="DZ246" s="265" t="str">
        <f>IF(ISNUMBER(SnapshotTable[[#This Row],[LC Target Gross]]), SnapshotTable[[#This Row],[LC Target Gross]] - SnapshotTable[[#This Row],[LC Premium]], "")</f>
        <v/>
      </c>
      <c r="EA246" s="305" t="str">
        <f>IF(ISNUMBER(SnapshotTable[[#This Row],[LC Target Gain Loss]]), SnapshotTable[[#This Row],[LC Target Gain Loss]]/SnapshotTable[[#This Row],[LC Premium]], "")</f>
        <v/>
      </c>
      <c r="EB246" s="262"/>
      <c r="EC246" s="283" t="str">
        <f>IF(SnapshotTable[[#This Row],[LC Premium]]&gt;0, SnapshotTable[[#This Row],[LC Book Price]] * (1 - LC_StopLoss_Pct),"")</f>
        <v/>
      </c>
      <c r="ED246" s="284"/>
      <c r="EE246" s="28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4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7"/>
      <c r="EL246" s="138"/>
      <c r="EM246" s="148"/>
      <c r="EN246" s="147"/>
      <c r="EO246" s="147"/>
      <c r="EP246" s="138"/>
      <c r="EQ246" s="419" t="b">
        <f>AND(ISNUMBER(SnapshotTable[[#This Row],[SC Exp Date]]), ISNUMBER(SnapshotTable[[#This Row],[SC Strike Price]]), ISNUMBER(SnapshotTable[[#This Row],[SC Qty]]), ISNUMBER(SnapshotTable[[#This Row],[SC Book Date]]), ISNUMBER(SnapshotTable[[#This Row],[SC Book Price]]))</f>
        <v>0</v>
      </c>
      <c r="ER246" s="419" t="b">
        <f>AND(SnapshotTable[[#This Row],[SC Is Booked]], NOT(ISBLANK(SnapshotTable[[#This Row],[SC Fill Date]])))</f>
        <v>0</v>
      </c>
      <c r="ES246" s="370"/>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3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283"/>
      <c r="FA246" s="218"/>
      <c r="FB246" s="370"/>
      <c r="FC246" s="4">
        <f>IF(SnapshotTable[[#This Row],[SC Is Filled]], btc_max_buyback_amount(SnapshotTable[[#This Row],[SC Fill Date]],SnapshotTable[[#This Row],[SC Exp Date]], SnapshotTable[[#This Row],[SC Book Price]]),0)</f>
        <v>0</v>
      </c>
      <c r="FD246" s="5"/>
      <c r="FE246" s="144"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382">
        <f>IF(SnapshotTable[[#This Row],[SC Is Filled]], IF(ISNUMBER(SnapshotTable[[#This Row],[SC Current Ask]]), SnapshotTable[[#This Row],[SC Current Ask]], SnapshotTable[[#This Row],[SC Book Price]]) - SnapshotTable[[#This Row],[SC Intrinsic Value]], 0)</f>
        <v>0</v>
      </c>
      <c r="FI246" s="143"/>
      <c r="FJ246" s="32" t="str">
        <f>IF(SnapshotTable[[#This Row],[SC Is Filled]],100 * SnapshotTable[[#This Row],[SC Qty]] * IF(ISNUMBER(SnapshotTable[[#This Row],[SC Buyback Override]]), SnapshotTable[[#This Row],[SC Buyback Override]], SnapshotTable[[#This Row],[SC Current Ask]]), "")</f>
        <v/>
      </c>
      <c r="FK246" s="250" t="str">
        <f>IF(SnapshotTable[[#This Row],[SC Time Val]]&gt;0, SnapshotTable[[#This Row],[SC Time Val]] / SnapshotTable[[#This Row],[Last Price]],"")</f>
        <v/>
      </c>
      <c r="FL246" s="302" t="str">
        <f>IF(SnapshotTable[[#This Row],[SC Is Booked]], ((SnapshotTable[[#This Row],[Last Price]] -SnapshotTable[[#This Row],[SC Strike Price]]) / SnapshotTable[[#This Row],[Last Price]]) * -1, "")</f>
        <v/>
      </c>
      <c r="FM246" s="157" t="str">
        <f>IF(SnapshotTable[[#This Row],[SC Is Booked]],  (SnapshotTable[[#This Row],[SC Qty]] * 100 * SnapshotTable[[#This Row],[SC Strike Price]]) - SnapshotTable[[#This Row],[SC Current Ask]], "")</f>
        <v/>
      </c>
      <c r="FN24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157"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33"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36" t="str">
        <f>IF(AND(ISNUMBER(SnapshotTable[[#This Row],[SC Simple ROO]]),SnapshotTable[[#This Row],[SC Simple ROO]] &gt; 0), SnapshotTable[[#This Row],[SC Premium]] + (SnapshotTable[[#This Row],[SC Qty]] * SnapshotTable[[#This Row],[SC Upside Potential]]), "")</f>
        <v/>
      </c>
      <c r="FX246" s="302" t="str" cm="1">
        <f t="array" ref="FX246">IF(ISNUMBER(SnapshotTable[[#This Row],[SC Max Dollars]]), annualize(SnapshotTable[[#This Row],[SC Term]],(SnapshotTable[[#This Row],[SC Max Dollars]]/SnapshotTable[[#This Row],[SC Basis]])),"")</f>
        <v/>
      </c>
      <c r="FY246" s="236" t="str">
        <f>IF(AND(SnapshotTable[[#This Row],[SC Qty]]&gt;0,SnapshotTable[[#This Row],[SC Current Ask]]&gt;0), SnapshotTable[[#This Row],[SC Qty]] * SnapshotTable[[#This Row],[SC Current Ask]] * -100, "")</f>
        <v/>
      </c>
      <c r="FZ246" s="235" t="str">
        <f>IF(ISNUMBER((SnapshotTable[[#This Row],[SC Current Value]])), SnapshotTable[[#This Row],[SC Premium]] + SnapshotTable[[#This Row],[SC Current Value]], "")</f>
        <v/>
      </c>
      <c r="GA246" s="29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121.03949999999999</v>
      </c>
      <c r="GD246" s="40">
        <f>SnapshotTable[[#This Row],[Last Price]] * (1+ SellingPriceToConsiderBasedOnTargetPercentage)</f>
        <v>270.83549999999997</v>
      </c>
      <c r="GE246" s="41"/>
      <c r="GF246" s="40"/>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158" t="str">
        <f>IF(SnapshotTable[[#This Row],[Sale G/L]]&gt;0, SnapshotTable[[#This Row],[Sale G/L]] / SnapshotTable[[#This Row],[Sale Basis]], IF(ISNUMBER(SnapshotTable[[#This Row],[SC Exercise P&amp;L (TAX)]]), SnapshotTable[[#This Row],[SC Exercise P&amp;L (TAX)]] / SnapshotTable[[#This Row],[SC Basis]], ""))</f>
        <v/>
      </c>
      <c r="GK246" s="158"/>
      <c r="GL246" s="159"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159" t="str">
        <f>IF(AND(SnapshotTable[[#This Row],[LC Exp Date]]&gt;0,SnapshotTable[[#This Row],[LC Strike Price]]&gt;0), [1]!ToOptionSymbol(SnapshotTable[[#This Row],[Symbol]], SnapshotTable[[#This Row],[LC Strike Price]],SnapshotTable[[#This Row],[LC Exp Date]],0), "")</f>
        <v/>
      </c>
      <c r="GQ246" s="160" t="str">
        <f>IF(LEN(SnapshotTable[[#This Row],[LC Symbol]])&gt;0, 1, "")</f>
        <v/>
      </c>
      <c r="GR246" s="159" t="str">
        <f>IF(AND(SnapshotTable[[#This Row],[SC Exp Date]]&gt;0,SnapshotTable[[#This Row],[SC Strike Price]]&gt;0), [1]!ToOptionSymbol(SnapshotTable[[#This Row],[Symbol]], SnapshotTable[[#This Row],[SC Strike Price]],SnapshotTable[[#This Row],[SC Exp Date]],0), "")</f>
        <v/>
      </c>
      <c r="GS246" s="160" t="str">
        <f>IF(LEN(SnapshotTable[[#This Row],[SC Symbol]])&gt;0, 1, "")</f>
        <v/>
      </c>
      <c r="GT246" s="161"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31">
        <f>MAX(SnapshotTable[[#This Row],[Equity Basis Total]],SnapshotTable[[#This Row],[Equity Value]]) + (SnapshotTable[[#This Row],[SP Potential Spend]]- SnapshotTable[[#This Row],[SP Premium]] + SnapshotTable[[#This Row],[LP Premium]])+ (SnapshotTable[[#This Row],[LC Premium]] - SnapshotTable[[#This Row],[SC Premium]])</f>
        <v>0</v>
      </c>
      <c r="GW246" s="139" t="str">
        <f>IF(AND(SnapshotTable[[#This Row],[Exposure]] &lt;&gt; 0),SnapshotTable[[#This Row],[Exposure]] / SnapshotTable[[#Totals],[Exposure]], "")</f>
        <v/>
      </c>
      <c r="GX246" s="5"/>
      <c r="HE246" s="268"/>
      <c r="HF246" s="268"/>
      <c r="HK246" s="1"/>
      <c r="HL246" s="1"/>
      <c r="HM246" s="1"/>
      <c r="HN246" s="1"/>
      <c r="HO246" s="1"/>
      <c r="HP246" s="1"/>
    </row>
    <row r="247" spans="2:224" ht="12.75" hidden="1" customHeight="1" x14ac:dyDescent="0.25">
      <c r="B247" s="12" t="s">
        <v>173</v>
      </c>
      <c r="C247" s="422">
        <v>45.25</v>
      </c>
      <c r="D247" s="208" t="s">
        <v>850</v>
      </c>
      <c r="E247" s="39">
        <f>SnapshotTable[[#This Row],[Last Price]]*(1 -CrashDiscount)</f>
        <v>38.462499999999999</v>
      </c>
      <c r="F247" s="26" t="s">
        <v>64</v>
      </c>
      <c r="G247" s="26" t="s">
        <v>893</v>
      </c>
      <c r="H247" s="149"/>
      <c r="I247" s="194">
        <v>44769.680555555555</v>
      </c>
      <c r="J247" s="195">
        <v>44769.680555555555</v>
      </c>
      <c r="K247" s="196"/>
      <c r="L247" s="326" t="s">
        <v>172</v>
      </c>
      <c r="M247" s="140"/>
      <c r="N247" s="140"/>
      <c r="O247" s="140"/>
      <c r="P247" s="22"/>
      <c r="Q247" s="25"/>
      <c r="R247" s="4" t="str">
        <f>IF(SnapshotTable[[#This Row],[Equity Basis Total]] &gt; 0, SnapshotTable[[#This Row],[Equity Basis Total]] / SnapshotTable[[#This Row],[Equity Shares]], "")</f>
        <v/>
      </c>
      <c r="S247" s="269">
        <f>SnapshotTable[[#This Row],[Last Price]] * SnapshotTable[[#This Row],[Equity Shares]]</f>
        <v>0</v>
      </c>
      <c r="T247" s="269">
        <f>SnapshotTable[[#This Row],[Equity Value]] - SnapshotTable[[#This Row],[Equity Basis Total]]</f>
        <v>0</v>
      </c>
      <c r="U247" s="270" t="str">
        <f>IF(SnapshotTable[[#This Row],[Equity Basis Total]] &gt; 0, SnapshotTable[[#This Row],[Equity G/L]] / SnapshotTable[[#This Row],[Equity Basis Total]], "")</f>
        <v/>
      </c>
      <c r="V247" s="268">
        <v>70</v>
      </c>
      <c r="W247" s="268">
        <v>45</v>
      </c>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7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0"/>
      <c r="AD247" s="151"/>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1"/>
      <c r="AI247" s="5"/>
      <c r="AJ247" s="138">
        <v>68.5</v>
      </c>
      <c r="AK247" s="152" t="str">
        <f>IF(ISNUMBER( SnapshotTable[[#This Row],[EBF Target]]),(SnapshotTable[[#This Row],[EBF Target]] - SnapshotTable[[#This Row],[Last Price]]) / SnapshotTable[[#This Row],[Last Price]], "")</f>
        <v/>
      </c>
      <c r="AL247" s="152"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2">
        <f>IF(AND(ISNUMBER( SnapshotTable[[#This Row],[Long Term Target]]), ISNUMBER(SnapshotTable[[#This Row],[Last Price]])),(SnapshotTable[[#This Row],[Long Term Target]] - SnapshotTable[[#This Row],[Last Price]]) / SnapshotTable[[#This Row],[Last Price]], "")</f>
        <v>0.51381215469613262</v>
      </c>
      <c r="AP247" s="5"/>
      <c r="AQ247" s="38"/>
      <c r="AR247" s="5"/>
      <c r="AS247" s="38"/>
      <c r="AT247" s="146"/>
      <c r="AU247" s="187" t="str">
        <f>IF(OR(SnapshotTable[[#This Row],[LP No Fill]]="Y",SnapshotTable[[#This Row],[SP Is Filled]],SnapshotTable[[#This Row],[LC Not Filled]]="Y",SnapshotTable[[#This Row],[SC Is Filled]]),"Y","")</f>
        <v/>
      </c>
      <c r="AV247" s="219"/>
      <c r="AW247" s="225"/>
      <c r="AX247" s="220"/>
      <c r="AY247" s="219" t="str">
        <f>IF(SnapshotTable[[#This Row],[Implied Move]]&gt;0, SnapshotTable[[#This Row],[Last Price]]-SnapshotTable[[#This Row],[Implied Move]],"")</f>
        <v/>
      </c>
      <c r="AZ247" s="219" t="str">
        <f>IF(SnapshotTable[[#This Row],[Implied Move]]&gt;0, SnapshotTable[[#This Row],[Last Price]] + SnapshotTable[[#This Row],[Implied Move]],"")</f>
        <v/>
      </c>
      <c r="BA247" s="331">
        <v>52.7</v>
      </c>
      <c r="BB247" s="347"/>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51"/>
      <c r="BE247" s="5"/>
      <c r="BF247" s="14"/>
      <c r="BG247" s="13"/>
      <c r="BH247" s="13"/>
      <c r="BI247" s="5"/>
      <c r="BJ247" s="136">
        <f>IF(SnapshotTable[[#This Row],[LP Qty]] &gt; 0, SnapshotTable[[#This Row],[LP Qty]] * SnapshotTable[[#This Row],[LP Book Price]] * 100,0)</f>
        <v>0</v>
      </c>
      <c r="BK247" s="136">
        <f>IF(SnapshotTable[[#This Row],[LP Premium]] &gt; 0, SnapshotTable[[#This Row],[LP Qty]] * SnapshotTable[[#This Row],[LP Strike Price]] * 100,0)</f>
        <v>0</v>
      </c>
      <c r="BL247" s="154"/>
      <c r="BM247" s="385" t="str">
        <f>IF(SnapshotTable[[#This Row],[LP Premium]] &gt; 0,SnapshotTable[[#This Row],[LP Exp Date]]-MAX(SnapshotTable[[#This Row],[LP Book Date]], SnapshotTable[[#This Row],[LP Fill Date]]),"")</f>
        <v/>
      </c>
      <c r="BN247" s="385" t="str">
        <f>IF(ISNUMBER( SnapshotTable[[#This Row],[LP Term]]), SnapshotTable[[#This Row],[LP Exp Date]] - MockToday,"")</f>
        <v/>
      </c>
      <c r="BO247" s="163"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7"/>
      <c r="BU247" s="13"/>
      <c r="BV247" s="5"/>
      <c r="BW247" s="419" t="b">
        <f>AND(ISNUMBER(SnapshotTable[[#This Row],[SP Exp Date]]), ISNUMBER(SnapshotTable[[#This Row],[SP Strike Price]]), ISNUMBER(SnapshotTable[[#This Row],[SP Qty]]), ISNUMBER(SnapshotTable[[#This Row],[SP Book Date]]), ISNUMBER(SnapshotTable[[#This Row],[SP Book Price]]))</f>
        <v>0</v>
      </c>
      <c r="BX247" s="419" t="b">
        <f>AND(SnapshotTable[[#This Row],[SP Is Booked]], NOT(ISBLANK(SnapshotTable[[#This Row],[SP Fill Date]])))</f>
        <v>0</v>
      </c>
      <c r="BY247" s="33">
        <f>IF(SnapshotTable[[#This Row],[SP Is Booked]], SnapshotTable[[#This Row],[SP Qty]] * SnapshotTable[[#This Row],[SP Book Price]] * 100, 0)</f>
        <v>0</v>
      </c>
      <c r="BZ247" s="369"/>
      <c r="CA247" s="368">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3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44"/>
      <c r="CK247" s="31">
        <f>IF(ISNUMBER(SnapshotTable[[#This Row],[SP Potential Spend]]),IF(ISNUMBER(SnapshotTable[[#This Row],[SP POW]]), SnapshotTable[[#This Row],[SP POW]] * SnapshotTable[[#This Row],[SP Potential Spend]], SnapshotTable[[#This Row],[SP Potential Spend]]), "")</f>
        <v>0</v>
      </c>
      <c r="CL247" s="164">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78"/>
      <c r="CO247" s="369"/>
      <c r="CP247" s="4" t="str">
        <f>IF(SnapshotTable[[#This Row],[SP Is Filled]], btc_max_buyback_amount(SnapshotTable[[#This Row],[SP Fill Date]],SnapshotTable[[#This Row],[SP Exp Date]], SnapshotTable[[#This Row],[SP Book Price]]),"")</f>
        <v/>
      </c>
      <c r="CQ247" s="78"/>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5" t="str">
        <f>IF(SnapshotTable[[#This Row],[SP Is Filled]], btc_next_cutoff_date(SnapshotTable[[#This Row],[SP Fill Date]],SnapshotTable[[#This Row],[SP Exp Date]]),"")</f>
        <v/>
      </c>
      <c r="CT247" s="23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43"/>
      <c r="CV247" s="235"/>
      <c r="CW247" s="378"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294" t="str">
        <f>IF(ISNUMBER((SnapshotTable[[#This Row],[SP Total Value]])), SnapshotTable[[#This Row],[SP Gain Loss]] / SnapshotTable[[#This Row],[SP Premium]], "")</f>
        <v/>
      </c>
      <c r="DI247" s="406"/>
      <c r="DJ247" s="138"/>
      <c r="DK247" s="148"/>
      <c r="DL247" s="13"/>
      <c r="DM247" s="13"/>
      <c r="DN247" s="5">
        <v>4.2</v>
      </c>
      <c r="DO247" s="31">
        <f>IF(SnapshotTable[[#This Row],[LC Symbol Count]]=1, SnapshotTable[[#This Row],[LC Qty]] * SnapshotTable[[#This Row],[LC Book Price]] * 100, 0)</f>
        <v>0</v>
      </c>
      <c r="DP247" s="163" t="str">
        <f>IF(AND(SnapshotTable[[#This Row],[LC Exp Date]]&gt;0, SnapshotTable[[#This Row],[LC Strike Price]]&gt;0,SnapshotTable[[#This Row],[LC Qty]]&gt;0,SnapshotTable[[#This Row],[LC Book Date]]&gt;0,SnapshotTable[[#This Row],[LC Book Price]]&gt;0,SnapshotTable[[#This Row],[LC Fill Date]]=0),"Y","")</f>
        <v/>
      </c>
      <c r="DQ247" s="386" t="str">
        <f>IF(SnapshotTable[[#This Row],[LC Premium]] &gt; 0,SnapshotTable[[#This Row],[LC Exp Date]]-MAX(SnapshotTable[[#This Row],[LC Book Date]], SnapshotTable[[#This Row],[LC Fill Date]]),"")</f>
        <v/>
      </c>
      <c r="DR247" s="386" t="str">
        <f>IF(ISNUMBER(SnapshotTable[[#This Row],[LC Term]]), SnapshotTable[[#This Row],[LC Exp Date]] - MockToday, "")</f>
        <v/>
      </c>
      <c r="DS247" s="23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40" t="str">
        <f>IF(ISNUMBER(SnapshotTable[[#This Row],[LC Actual Gain Loss]]), SnapshotTable[[#This Row],[LC Actual Gain Loss]] / SnapshotTable[[#This Row],[LC Premium]],"")</f>
        <v/>
      </c>
      <c r="DX247" s="284">
        <f>IF(ISNUMBER(SnapshotTable[[#This Row],[LC Book Price]]),SnapshotTable[[#This Row],[LC Book Price]] * 1.5,"")</f>
        <v>6.3000000000000007</v>
      </c>
      <c r="DY247" s="265" t="str">
        <f>IF(SnapshotTable[[#This Row],[LC Premium]]&gt;0, SnapshotTable[[#This Row],[LC Next Target]] * SnapshotTable[[#This Row],[LC Qty]] * 100,"")</f>
        <v/>
      </c>
      <c r="DZ247" s="265" t="str">
        <f>IF(ISNUMBER(SnapshotTable[[#This Row],[LC Target Gross]]), SnapshotTable[[#This Row],[LC Target Gross]] - SnapshotTable[[#This Row],[LC Premium]], "")</f>
        <v/>
      </c>
      <c r="EA247" s="305" t="str">
        <f>IF(ISNUMBER(SnapshotTable[[#This Row],[LC Target Gain Loss]]), SnapshotTable[[#This Row],[LC Target Gain Loss]]/SnapshotTable[[#This Row],[LC Premium]], "")</f>
        <v/>
      </c>
      <c r="EB247" s="262"/>
      <c r="EC247" s="283" t="str">
        <f>IF(SnapshotTable[[#This Row],[LC Premium]]&gt;0, SnapshotTable[[#This Row],[LC Book Price]] * (1 - LC_StopLoss_Pct),"")</f>
        <v/>
      </c>
      <c r="ED247" s="284"/>
      <c r="EE247" s="28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4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7"/>
      <c r="EL247" s="138"/>
      <c r="EM247" s="148"/>
      <c r="EN247" s="147"/>
      <c r="EO247" s="147"/>
      <c r="EP247" s="138"/>
      <c r="EQ247" s="419" t="b">
        <f>AND(ISNUMBER(SnapshotTable[[#This Row],[SC Exp Date]]), ISNUMBER(SnapshotTable[[#This Row],[SC Strike Price]]), ISNUMBER(SnapshotTable[[#This Row],[SC Qty]]), ISNUMBER(SnapshotTable[[#This Row],[SC Book Date]]), ISNUMBER(SnapshotTable[[#This Row],[SC Book Price]]))</f>
        <v>0</v>
      </c>
      <c r="ER247" s="419" t="b">
        <f>AND(SnapshotTable[[#This Row],[SC Is Booked]], NOT(ISBLANK(SnapshotTable[[#This Row],[SC Fill Date]])))</f>
        <v>0</v>
      </c>
      <c r="ES247" s="370"/>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3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283"/>
      <c r="FA247" s="218"/>
      <c r="FB247" s="370"/>
      <c r="FC247" s="4">
        <f>IF(SnapshotTable[[#This Row],[SC Is Filled]], btc_max_buyback_amount(SnapshotTable[[#This Row],[SC Fill Date]],SnapshotTable[[#This Row],[SC Exp Date]], SnapshotTable[[#This Row],[SC Book Price]]),0)</f>
        <v>0</v>
      </c>
      <c r="FD247" s="5"/>
      <c r="FE247" s="144"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382">
        <f>IF(SnapshotTable[[#This Row],[SC Is Filled]], IF(ISNUMBER(SnapshotTable[[#This Row],[SC Current Ask]]), SnapshotTable[[#This Row],[SC Current Ask]], SnapshotTable[[#This Row],[SC Book Price]]) - SnapshotTable[[#This Row],[SC Intrinsic Value]], 0)</f>
        <v>0</v>
      </c>
      <c r="FI247" s="143"/>
      <c r="FJ247" s="32" t="str">
        <f>IF(SnapshotTable[[#This Row],[SC Is Filled]],100 * SnapshotTable[[#This Row],[SC Qty]] * IF(ISNUMBER(SnapshotTable[[#This Row],[SC Buyback Override]]), SnapshotTable[[#This Row],[SC Buyback Override]], SnapshotTable[[#This Row],[SC Current Ask]]), "")</f>
        <v/>
      </c>
      <c r="FK247" s="250" t="str">
        <f>IF(SnapshotTable[[#This Row],[SC Time Val]]&gt;0, SnapshotTable[[#This Row],[SC Time Val]] / SnapshotTable[[#This Row],[Last Price]],"")</f>
        <v/>
      </c>
      <c r="FL247" s="302" t="str">
        <f>IF(SnapshotTable[[#This Row],[SC Is Booked]], ((SnapshotTable[[#This Row],[Last Price]] -SnapshotTable[[#This Row],[SC Strike Price]]) / SnapshotTable[[#This Row],[Last Price]]) * -1, "")</f>
        <v/>
      </c>
      <c r="FM247" s="157" t="str">
        <f>IF(SnapshotTable[[#This Row],[SC Is Booked]],  (SnapshotTable[[#This Row],[SC Qty]] * 100 * SnapshotTable[[#This Row],[SC Strike Price]]) - SnapshotTable[[#This Row],[SC Current Ask]], "")</f>
        <v/>
      </c>
      <c r="FN2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31"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33"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36" t="str">
        <f>IF(AND(ISNUMBER(SnapshotTable[[#This Row],[SC Simple ROO]]),SnapshotTable[[#This Row],[SC Simple ROO]] &gt; 0), SnapshotTable[[#This Row],[SC Premium]] + (SnapshotTable[[#This Row],[SC Qty]] * SnapshotTable[[#This Row],[SC Upside Potential]]), "")</f>
        <v/>
      </c>
      <c r="FX247" s="302" t="str" cm="1">
        <f t="array" ref="FX247">IF(ISNUMBER(SnapshotTable[[#This Row],[SC Max Dollars]]), annualize(SnapshotTable[[#This Row],[SC Term]],(SnapshotTable[[#This Row],[SC Max Dollars]]/SnapshotTable[[#This Row],[SC Basis]])),"")</f>
        <v/>
      </c>
      <c r="FY247" s="236" t="str">
        <f>IF(AND(SnapshotTable[[#This Row],[SC Qty]]&gt;0,SnapshotTable[[#This Row],[SC Current Ask]]&gt;0), SnapshotTable[[#This Row],[SC Qty]] * SnapshotTable[[#This Row],[SC Current Ask]] * -100, "")</f>
        <v/>
      </c>
      <c r="FZ247" s="31" t="str">
        <f>IF(ISNUMBER((SnapshotTable[[#This Row],[SC Current Value]])), SnapshotTable[[#This Row],[SC Premium]] + SnapshotTable[[#This Row],[SC Current Value]], "")</f>
        <v/>
      </c>
      <c r="GA247" s="29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65.075000000000003</v>
      </c>
      <c r="GD247" s="40">
        <f>SnapshotTable[[#This Row],[Last Price]] * (1+ SellingPriceToConsiderBasedOnTargetPercentage)</f>
        <v>88.237499999999997</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27" t="str">
        <f>IF(SnapshotTable[[#This Row],[Sale G/L]]&gt;0, SnapshotTable[[#This Row],[Sale G/L]] / SnapshotTable[[#This Row],[Sale Basis]], IF(ISNUMBER(SnapshotTable[[#This Row],[SC Exercise P&amp;L (TAX)]]), SnapshotTable[[#This Row],[SC Exercise P&amp;L (TAX)]] / SnapshotTable[[#This Row],[SC Basis]], ""))</f>
        <v/>
      </c>
      <c r="GK247" s="27" t="s">
        <v>750</v>
      </c>
      <c r="GL247" s="43"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43" t="str">
        <f>IF(AND(SnapshotTable[[#This Row],[LC Exp Date]]&gt;0,SnapshotTable[[#This Row],[LC Strike Price]]&gt;0), [1]!ToOptionSymbol(SnapshotTable[[#This Row],[Symbol]], SnapshotTable[[#This Row],[LC Strike Price]],SnapshotTable[[#This Row],[LC Exp Date]],0), "")</f>
        <v/>
      </c>
      <c r="GQ247" s="30" t="str">
        <f>IF(LEN(SnapshotTable[[#This Row],[LC Symbol]])&gt;0, 1, "")</f>
        <v/>
      </c>
      <c r="GR247" s="43" t="str">
        <f>IF(AND(SnapshotTable[[#This Row],[SC Exp Date]]&gt;0,SnapshotTable[[#This Row],[SC Strike Price]]&gt;0), [1]!ToOptionSymbol(SnapshotTable[[#This Row],[Symbol]], SnapshotTable[[#This Row],[SC Strike Price]],SnapshotTable[[#This Row],[SC Exp Date]],0), "")</f>
        <v/>
      </c>
      <c r="GS247" s="30" t="str">
        <f>IF(LEN(SnapshotTable[[#This Row],[SC Symbol]])&gt;0, 1, "")</f>
        <v/>
      </c>
      <c r="GT247" s="29"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31">
        <f>MAX(SnapshotTable[[#This Row],[Equity Basis Total]],SnapshotTable[[#This Row],[Equity Value]]) + (SnapshotTable[[#This Row],[SP Potential Spend]]- SnapshotTable[[#This Row],[SP Premium]] + SnapshotTable[[#This Row],[LP Premium]])+ (SnapshotTable[[#This Row],[LC Premium]] - SnapshotTable[[#This Row],[SC Premium]])</f>
        <v>0</v>
      </c>
      <c r="GW247" s="139" t="str">
        <f>IF(AND(SnapshotTable[[#This Row],[Exposure]] &lt;&gt; 0),SnapshotTable[[#This Row],[Exposure]] / SnapshotTable[[#Totals],[Exposure]], "")</f>
        <v/>
      </c>
      <c r="GX247" s="5"/>
      <c r="HE247" s="268"/>
      <c r="HF247" s="268"/>
      <c r="HK247" s="1"/>
      <c r="HL247" s="1"/>
      <c r="HM247" s="1"/>
      <c r="HN247" s="1"/>
      <c r="HO247" s="1"/>
      <c r="HP247" s="1"/>
    </row>
    <row r="248" spans="2:224" ht="12.75" hidden="1" customHeight="1" x14ac:dyDescent="0.25">
      <c r="B248" s="12" t="s">
        <v>529</v>
      </c>
      <c r="C248" s="422">
        <v>14.66</v>
      </c>
      <c r="D248" s="208"/>
      <c r="E248" s="39">
        <f>SnapshotTable[[#This Row],[Last Price]]*(1 -CrashDiscount)</f>
        <v>12.461</v>
      </c>
      <c r="F248" s="26" t="s">
        <v>230</v>
      </c>
      <c r="G248" s="26" t="s">
        <v>9</v>
      </c>
      <c r="H248" s="149"/>
      <c r="I248" s="194">
        <v>44775.670138888891</v>
      </c>
      <c r="J248" s="195">
        <v>44775.670138888891</v>
      </c>
      <c r="K248" s="196"/>
      <c r="L248" s="326"/>
      <c r="M248" s="140"/>
      <c r="N248" s="140"/>
      <c r="O248" s="140"/>
      <c r="P248" s="22"/>
      <c r="Q248" s="25"/>
      <c r="R248" s="4" t="str">
        <f>IF(SnapshotTable[[#This Row],[Equity Basis Total]] &gt; 0, SnapshotTable[[#This Row],[Equity Basis Total]] / SnapshotTable[[#This Row],[Equity Shares]], "")</f>
        <v/>
      </c>
      <c r="S248" s="269">
        <f>SnapshotTable[[#This Row],[Last Price]] * SnapshotTable[[#This Row],[Equity Shares]]</f>
        <v>0</v>
      </c>
      <c r="T248" s="269">
        <f>SnapshotTable[[#This Row],[Equity Value]] - SnapshotTable[[#This Row],[Equity Basis Total]]</f>
        <v>0</v>
      </c>
      <c r="U248" s="270" t="str">
        <f>IF(SnapshotTable[[#This Row],[Equity Basis Total]] &gt; 0, SnapshotTable[[#This Row],[Equity G/L]] / SnapshotTable[[#This Row],[Equity Basis Total]], "")</f>
        <v/>
      </c>
      <c r="V248" s="268"/>
      <c r="W248" s="26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7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0"/>
      <c r="AD248" s="151"/>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1"/>
      <c r="AI248" s="5"/>
      <c r="AJ248" s="138">
        <v>52.75</v>
      </c>
      <c r="AK248" s="152" t="str">
        <f>IF(ISNUMBER( SnapshotTable[[#This Row],[EBF Target]]),(SnapshotTable[[#This Row],[EBF Target]] - SnapshotTable[[#This Row],[Last Price]]) / SnapshotTable[[#This Row],[Last Price]], "")</f>
        <v/>
      </c>
      <c r="AL248" s="152"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2">
        <f>IF(AND(ISNUMBER( SnapshotTable[[#This Row],[Long Term Target]]), ISNUMBER(SnapshotTable[[#This Row],[Last Price]])),(SnapshotTable[[#This Row],[Long Term Target]] - SnapshotTable[[#This Row],[Last Price]]) / SnapshotTable[[#This Row],[Last Price]], "")</f>
        <v>2.5982264665757167</v>
      </c>
      <c r="AP248" s="5">
        <v>60</v>
      </c>
      <c r="AQ248" s="38" t="s">
        <v>38</v>
      </c>
      <c r="AR248" s="5">
        <v>55</v>
      </c>
      <c r="AS248" s="38" t="s">
        <v>109</v>
      </c>
      <c r="AT248" s="146" t="s">
        <v>532</v>
      </c>
      <c r="AU248" s="187" t="str">
        <f>IF(OR(SnapshotTable[[#This Row],[LP No Fill]]="Y",SnapshotTable[[#This Row],[SP Is Filled]],SnapshotTable[[#This Row],[LC Not Filled]]="Y",SnapshotTable[[#This Row],[SC Is Filled]]),"Y","")</f>
        <v/>
      </c>
      <c r="AV248" s="219"/>
      <c r="AW248" s="225"/>
      <c r="AX248" s="220"/>
      <c r="AY248" s="219" t="str">
        <f>IF(SnapshotTable[[#This Row],[Implied Move]]&gt;0, SnapshotTable[[#This Row],[Last Price]]-SnapshotTable[[#This Row],[Implied Move]],"")</f>
        <v/>
      </c>
      <c r="AZ248" s="219" t="str">
        <f>IF(SnapshotTable[[#This Row],[Implied Move]]&gt;0, SnapshotTable[[#This Row],[Last Price]] + SnapshotTable[[#This Row],[Implied Move]],"")</f>
        <v/>
      </c>
      <c r="BA248" s="331"/>
      <c r="BB248" s="347"/>
      <c r="BC2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8" s="351"/>
      <c r="BE248" s="5"/>
      <c r="BF248" s="14"/>
      <c r="BG248" s="13"/>
      <c r="BH248" s="13"/>
      <c r="BI248" s="5"/>
      <c r="BJ248" s="136">
        <f>IF(SnapshotTable[[#This Row],[LP Qty]] &gt; 0, SnapshotTable[[#This Row],[LP Qty]] * SnapshotTable[[#This Row],[LP Book Price]] * 100,0)</f>
        <v>0</v>
      </c>
      <c r="BK248" s="136">
        <f>IF(SnapshotTable[[#This Row],[LP Premium]] &gt; 0, SnapshotTable[[#This Row],[LP Qty]] * SnapshotTable[[#This Row],[LP Strike Price]] * 100,0)</f>
        <v>0</v>
      </c>
      <c r="BL248" s="154"/>
      <c r="BM248" s="385" t="str">
        <f>IF(SnapshotTable[[#This Row],[LP Premium]] &gt; 0,SnapshotTable[[#This Row],[LP Exp Date]]-MAX(SnapshotTable[[#This Row],[LP Book Date]], SnapshotTable[[#This Row],[LP Fill Date]]),"")</f>
        <v/>
      </c>
      <c r="BN248" s="385" t="str">
        <f>IF(ISNUMBER( SnapshotTable[[#This Row],[LP Term]]), SnapshotTable[[#This Row],[LP Exp Date]] - MockToday,"")</f>
        <v/>
      </c>
      <c r="BO248" s="163"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c r="BR248" s="5"/>
      <c r="BS248" s="36"/>
      <c r="BT248" s="147"/>
      <c r="BU248" s="13"/>
      <c r="BV248" s="5"/>
      <c r="BW248" s="419" t="b">
        <f>AND(ISNUMBER(SnapshotTable[[#This Row],[SP Exp Date]]), ISNUMBER(SnapshotTable[[#This Row],[SP Strike Price]]), ISNUMBER(SnapshotTable[[#This Row],[SP Qty]]), ISNUMBER(SnapshotTable[[#This Row],[SP Book Date]]), ISNUMBER(SnapshotTable[[#This Row],[SP Book Price]]))</f>
        <v>0</v>
      </c>
      <c r="BX248" s="419" t="b">
        <f>AND(SnapshotTable[[#This Row],[SP Is Booked]], NOT(ISBLANK(SnapshotTable[[#This Row],[SP Fill Date]])))</f>
        <v>0</v>
      </c>
      <c r="BY248" s="33">
        <f>IF(SnapshotTable[[#This Row],[SP Is Booked]], SnapshotTable[[#This Row],[SP Qty]] * SnapshotTable[[#This Row],[SP Book Price]] * 100, 0)</f>
        <v>0</v>
      </c>
      <c r="BZ248" s="369"/>
      <c r="CA248" s="368">
        <f>SnapshotTable[[#This Row],[LP Qty]]</f>
        <v>0</v>
      </c>
      <c r="CB248" s="4" t="str">
        <f>IF(SnapshotTable[[#This Row],[SP Is Booked]], SnapshotTable[[#This Row],[SP Strike Price]] - SnapshotTable[[#This Row],[SP Book Price]], "")</f>
        <v/>
      </c>
      <c r="CC248" s="19" t="str">
        <f>IF(SnapshotTable[[#This Row],[SP Is Booked]],SnapshotTable[[#This Row],[SP Exp Date]]-MAX(SnapshotTable[[#This Row],[SP Book Date]], SnapshotTable[[#This Row],[SP Fill Date]]),"")</f>
        <v/>
      </c>
      <c r="CD248" s="7" t="str">
        <f>IF(SnapshotTable[[#This Row],[SP Is Booked]], SnapshotTable[[#This Row],[SP Book Price]]/SnapshotTable[[#This Row],[SP Strike Price]], "")</f>
        <v/>
      </c>
      <c r="CE248" s="7" t="str">
        <f>IF(ISNUMBER(SnapshotTable[[#This Row],[SP ROO Term]]),SnapshotTable[[#This Row],[SP ROO Term]]*(365/SnapshotTable[[#This Row],[SP Term]]),"")</f>
        <v/>
      </c>
      <c r="CF248" s="236">
        <f>SnapshotTable[[#This Row],[LP Strike Price]] * SnapshotTable[[#This Row],[LP Qty]] * 100</f>
        <v>0</v>
      </c>
      <c r="CG248" s="31">
        <f>IF(ISNUMBER(SnapshotTable[[#This Row],[SP Premium]]), (SnapshotTable[[#This Row],[SP Qty]] * SnapshotTable[[#This Row],[SP Strike Price]]* 100) - SnapshotTable[[#This Row],[LP Protection]], 0)</f>
        <v>0</v>
      </c>
      <c r="CH248" s="7" t="str">
        <f>IF(ISNUMBER(SnapshotTable[[#This Row],[SP Break Even]]),-1 * (SnapshotTable[[#This Row],[SP Break Even]] - SnapshotTable[[#This Row],[Last Price]]) / SnapshotTable[[#This Row],[Last Price]], "")</f>
        <v/>
      </c>
      <c r="CI248" s="31">
        <f>IF(AND(ISNUMBER((SnapshotTable[[#This Row],[SP Potential Spend]])), SnapshotTable[[#This Row],[SP Strike Price]] &gt; SnapshotTable[[#This Row],[Last Price]], SnapshotTable[[#This Row],[SP Is Filled]]), SnapshotTable[[#This Row],[SP Potential Spend]] -  SnapshotTable[[#This Row],[LP Max Value]], 0)</f>
        <v>0</v>
      </c>
      <c r="CJ248" s="244"/>
      <c r="CK248" s="31">
        <f>IF(ISNUMBER(SnapshotTable[[#This Row],[SP Potential Spend]]),IF(ISNUMBER(SnapshotTable[[#This Row],[SP POW]]), SnapshotTable[[#This Row],[SP POW]] * SnapshotTable[[#This Row],[SP Potential Spend]], SnapshotTable[[#This Row],[SP Potential Spend]]), "")</f>
        <v>0</v>
      </c>
      <c r="CL248" s="164">
        <f>IF(NOT(SnapshotTable[[#This Row],[SP Is Filled]]),(SnapshotTable[[#This Row],[SP Qty]] * SnapshotTable[[#This Row],[SP Strike Price]] * 100) - SnapshotTable[[#This Row],[LP Max Value]],"")</f>
        <v>0</v>
      </c>
      <c r="CM248" s="31" t="str">
        <f>IF(SnapshotTable[[#This Row],[SP Actual Spend]]&lt;&gt;0, ((SnapshotTable[[#This Row],[SP Strike Price]]-SnapshotTable[[#This Row],[Last Price]]) *(SnapshotTable[[#This Row],[SP Qty]]*100) - SnapshotTable[[#This Row],[SP Premium]]) * - 1, "")</f>
        <v/>
      </c>
      <c r="CN248" s="78"/>
      <c r="CO248" s="369"/>
      <c r="CP248" s="4" t="str">
        <f>IF(SnapshotTable[[#This Row],[SP Is Filled]], btc_max_buyback_amount(SnapshotTable[[#This Row],[SP Fill Date]],SnapshotTable[[#This Row],[SP Exp Date]], SnapshotTable[[#This Row],[SP Book Price]]),"")</f>
        <v/>
      </c>
      <c r="CQ248" s="78"/>
      <c r="CR2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8" s="155" t="str">
        <f>IF(SnapshotTable[[#This Row],[SP Is Filled]], btc_next_cutoff_date(SnapshotTable[[#This Row],[SP Fill Date]],SnapshotTable[[#This Row],[SP Exp Date]]),"")</f>
        <v/>
      </c>
      <c r="CT248" s="235" t="str" cm="1">
        <f t="array" ref="CT248">IF(SnapshotTable[[#This Row],[SP Is Filled]], btc_should_buy_back(SnapshotTable[[#This Row],[SP Fill Date]], SnapshotTable[[#This Row],[SP Exp Date]], SnapshotTable[[#This Row],[SP Book Price]], SnapshotTable[[#This Row],[SP Current Ask]], MockToday, SnapshotTable[[#This Row],[SP Buyback Override]]),"")</f>
        <v/>
      </c>
      <c r="CU248" s="143"/>
      <c r="CV248" s="235"/>
      <c r="CW248" s="378" t="str">
        <f>IF(ISNUMBER( SnapshotTable[[#This Row],[SP Term]]), SnapshotTable[[#This Row],[SP Exp Date]] - MockToday,"")</f>
        <v/>
      </c>
      <c r="CX248" s="31" t="str">
        <f>IF(SnapshotTable[[#This Row],[SP Is Filled]],SnapshotTable[[#This Row],[SP Buyback Price to Use]] * 100 * SnapshotTable[[#This Row],[SP Qty]], "")</f>
        <v/>
      </c>
      <c r="CY248" s="4" t="str">
        <f>IF(ISNUMBER(SnapshotTable[[#This Row],[SP Strike Price]]), SnapshotTable[[#This Row],[SP Strike Price]] * (1 - SP_MaxLoss_StrikePct), "")</f>
        <v/>
      </c>
      <c r="CZ248" s="31" t="str">
        <f>IF(ISNUMBER(SnapshotTable[[#This Row],[SP Strike  Stop Per Share]]),SnapshotTable[[#This Row],[SP Premium]] - ((SnapshotTable[[#This Row],[SP Strike Price]]-SnapshotTable[[#This Row],[SP Strike  Stop Per Share]]) *(SnapshotTable[[#This Row],[SP Qty]] * 100)),"")</f>
        <v/>
      </c>
      <c r="DA248" s="4" t="str">
        <f>IF(AND(ISNUMBER(SnapshotTable[[#This Row],[SP Premium]]),SnapshotTable[[#This Row],[SP Premium]]&gt;0), SnapshotTable[[#This Row],[SP Book Price]] * (1 + SP_MaxLoss_OptionPct), "")</f>
        <v/>
      </c>
      <c r="DB248" s="31" t="str">
        <f>IF(ISNUMBER(SnapshotTable[[#This Row],[SP Option  Stop Contract]]),(SnapshotTable[[#This Row],[SP Option  Stop Contract]] *(SnapshotTable[[#This Row],[SP Qty]] * 100) - SnapshotTable[[#This Row],[SP Premium]]),"")</f>
        <v/>
      </c>
      <c r="DC248" s="4"/>
      <c r="DD248" s="4"/>
      <c r="DE248" s="4" t="str">
        <f>IF(AND(SnapshotTable[[#This Row],[SP Qty]]&gt;0, SnapshotTable[[#This Row],[SP Stop To Use]]&gt;0),SnapshotTable[[#This Row],[SP Premium]] - ( SnapshotTable[[#This Row],[SP Qty]] * SnapshotTable[[#This Row],[SP Stop To Use]] * 100), "")</f>
        <v/>
      </c>
      <c r="DF248" s="31" t="str">
        <f>IF(AND(SnapshotTable[[#This Row],[SP Qty]]&gt;0,SnapshotTable[[#This Row],[SP Current Ask]]&gt;0), SnapshotTable[[#This Row],[SP Qty]] * SnapshotTable[[#This Row],[SP Current Ask]] * -100, "")</f>
        <v/>
      </c>
      <c r="DG248" s="31" t="str">
        <f>IF(ISNUMBER((SnapshotTable[[#This Row],[SP Total Value]])), SnapshotTable[[#This Row],[SP Premium]] + SnapshotTable[[#This Row],[SP Total Value]], "")</f>
        <v/>
      </c>
      <c r="DH248" s="294" t="str">
        <f>IF(ISNUMBER((SnapshotTable[[#This Row],[SP Total Value]])), SnapshotTable[[#This Row],[SP Gain Loss]] / SnapshotTable[[#This Row],[SP Premium]], "")</f>
        <v/>
      </c>
      <c r="DI248" s="406"/>
      <c r="DJ248" s="138"/>
      <c r="DK248" s="148"/>
      <c r="DL248" s="13"/>
      <c r="DM248" s="13"/>
      <c r="DO248" s="31">
        <f>IF(SnapshotTable[[#This Row],[LC Symbol Count]]=1, SnapshotTable[[#This Row],[LC Qty]] * SnapshotTable[[#This Row],[LC Book Price]] * 100, 0)</f>
        <v>0</v>
      </c>
      <c r="DP248" s="163" t="str">
        <f>IF(AND(SnapshotTable[[#This Row],[LC Exp Date]]&gt;0, SnapshotTable[[#This Row],[LC Strike Price]]&gt;0,SnapshotTable[[#This Row],[LC Qty]]&gt;0,SnapshotTable[[#This Row],[LC Book Date]]&gt;0,SnapshotTable[[#This Row],[LC Book Price]]&gt;0,SnapshotTable[[#This Row],[LC Fill Date]]=0),"Y","")</f>
        <v/>
      </c>
      <c r="DQ248" s="386" t="str">
        <f>IF(SnapshotTable[[#This Row],[LC Premium]] &gt; 0,SnapshotTable[[#This Row],[LC Exp Date]]-MAX(SnapshotTable[[#This Row],[LC Book Date]], SnapshotTable[[#This Row],[LC Fill Date]]),"")</f>
        <v/>
      </c>
      <c r="DR248" s="386" t="str">
        <f>IF(ISNUMBER(SnapshotTable[[#This Row],[LC Term]]), SnapshotTable[[#This Row],[LC Exp Date]] - MockToday, "")</f>
        <v/>
      </c>
      <c r="DS248" s="23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40" t="str">
        <f>IF(ISNUMBER(SnapshotTable[[#This Row],[LC Actual Gain Loss]]), SnapshotTable[[#This Row],[LC Actual Gain Loss]] / SnapshotTable[[#This Row],[LC Premium]],"")</f>
        <v/>
      </c>
      <c r="DX248" s="284" t="str">
        <f>IF(ISNUMBER(SnapshotTable[[#This Row],[LC Book Price]]),SnapshotTable[[#This Row],[LC Book Price]] * 1.5,"")</f>
        <v/>
      </c>
      <c r="DY248" s="265" t="str">
        <f>IF(SnapshotTable[[#This Row],[LC Premium]]&gt;0, SnapshotTable[[#This Row],[LC Next Target]] * SnapshotTable[[#This Row],[LC Qty]] * 100,"")</f>
        <v/>
      </c>
      <c r="DZ248" s="265" t="str">
        <f>IF(ISNUMBER(SnapshotTable[[#This Row],[LC Target Gross]]), SnapshotTable[[#This Row],[LC Target Gross]] - SnapshotTable[[#This Row],[LC Premium]], "")</f>
        <v/>
      </c>
      <c r="EA248" s="305" t="str">
        <f>IF(ISNUMBER(SnapshotTable[[#This Row],[LC Target Gain Loss]]), SnapshotTable[[#This Row],[LC Target Gain Loss]]/SnapshotTable[[#This Row],[LC Premium]], "")</f>
        <v/>
      </c>
      <c r="EB248" s="262"/>
      <c r="EC248" s="283" t="str">
        <f>IF(SnapshotTable[[#This Row],[LC Premium]]&gt;0, SnapshotTable[[#This Row],[LC Book Price]] * (1 - LC_StopLoss_Pct),"")</f>
        <v/>
      </c>
      <c r="ED248" s="284"/>
      <c r="EE248" s="28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4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0</v>
      </c>
      <c r="EK248" s="147"/>
      <c r="EL248" s="138"/>
      <c r="EM248" s="148"/>
      <c r="EN248" s="147"/>
      <c r="EO248" s="147"/>
      <c r="EP248" s="138"/>
      <c r="EQ248" s="419" t="b">
        <f>AND(ISNUMBER(SnapshotTable[[#This Row],[SC Exp Date]]), ISNUMBER(SnapshotTable[[#This Row],[SC Strike Price]]), ISNUMBER(SnapshotTable[[#This Row],[SC Qty]]), ISNUMBER(SnapshotTable[[#This Row],[SC Book Date]]), ISNUMBER(SnapshotTable[[#This Row],[SC Book Price]]))</f>
        <v>0</v>
      </c>
      <c r="ER248" s="419" t="b">
        <f>AND(SnapshotTable[[#This Row],[SC Is Booked]], NOT(ISBLANK(SnapshotTable[[#This Row],[SC Fill Date]])))</f>
        <v>0</v>
      </c>
      <c r="ES248" s="370"/>
      <c r="ET248" s="34" t="str">
        <f>IF(AND(ISNUMBER(SnapshotTable[[#This Row],[SC Exp Date]]), ISNUMBER(SnapshotTable[[#This Row],[SC Book Date]])), SnapshotTable[[#This Row],[SC Exp Date]] - MAX(SnapshotTable[[#This Row],[SC Book Date]], SnapshotTable[[#This Row],[SC Fill Date]]) + 1, "")</f>
        <v/>
      </c>
      <c r="EU248" s="34" t="str">
        <f>IF(ISNUMBER(SnapshotTable[[#This Row],[SC Term]]), SnapshotTable[[#This Row],[SC Exp Date]]- MockToday, "")</f>
        <v/>
      </c>
      <c r="EV248" s="31">
        <f>IF(SnapshotTable[[#This Row],[SC Is Booked]], SnapshotTable[[#This Row],[SC Qty]] * SnapshotTable[[#This Row],[SC Book Price]] * 100, 0)</f>
        <v>0</v>
      </c>
      <c r="EW248" s="4" t="str">
        <f>IF(AND(ISNUMBER(SnapshotTable[[#This Row],[Last Price]]), ISNUMBER( SnapshotTable[[#This Row],[SC Book Price]])), SnapshotTable[[#This Row],[Last Price]] - SnapshotTable[[#This Row],[SC Book Price]],"")</f>
        <v/>
      </c>
      <c r="EX248" s="234" t="str">
        <f>IF(SnapshotTable[[#This Row],[SC Is Booked]],IF(SnapshotTable[[#This Row],[SC Intrinsic Value]] &gt; 0, SnapshotTable[[#This Row],[SC Strike Price]], SnapshotTable[[#This Row],[Last Price]]), "")</f>
        <v/>
      </c>
      <c r="EY248" s="4">
        <f>IF(SnapshotTable[[#This Row],[SC Is Booked]], (MinimumPremiumRequired * SnapshotTable[[#This Row],[SC Basis]] * SnapshotTable[[#This Row],[SC Term]]), 0)</f>
        <v>0</v>
      </c>
      <c r="EZ248" s="283"/>
      <c r="FA248" s="218"/>
      <c r="FB248" s="370"/>
      <c r="FC248" s="4">
        <f>IF(SnapshotTable[[#This Row],[SC Is Filled]], btc_max_buyback_amount(SnapshotTable[[#This Row],[SC Fill Date]],SnapshotTable[[#This Row],[SC Exp Date]], SnapshotTable[[#This Row],[SC Book Price]]),0)</f>
        <v>0</v>
      </c>
      <c r="FD248" s="5"/>
      <c r="FE248" s="144"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382">
        <f>IF(SnapshotTable[[#This Row],[SC Is Filled]], IF(ISNUMBER(SnapshotTable[[#This Row],[SC Current Ask]]), SnapshotTable[[#This Row],[SC Current Ask]], SnapshotTable[[#This Row],[SC Book Price]]) - SnapshotTable[[#This Row],[SC Intrinsic Value]], 0)</f>
        <v>0</v>
      </c>
      <c r="FI248" s="143"/>
      <c r="FJ248" s="32" t="str">
        <f>IF(SnapshotTable[[#This Row],[SC Is Filled]],100 * SnapshotTable[[#This Row],[SC Qty]] * IF(ISNUMBER(SnapshotTable[[#This Row],[SC Buyback Override]]), SnapshotTable[[#This Row],[SC Buyback Override]], SnapshotTable[[#This Row],[SC Current Ask]]), "")</f>
        <v/>
      </c>
      <c r="FK248" s="250" t="str">
        <f>IF(SnapshotTable[[#This Row],[SC Time Val]]&gt;0, SnapshotTable[[#This Row],[SC Time Val]] / SnapshotTable[[#This Row],[Last Price]],"")</f>
        <v/>
      </c>
      <c r="FL248" s="302" t="str">
        <f>IF(SnapshotTable[[#This Row],[SC Is Booked]], ((SnapshotTable[[#This Row],[Last Price]] -SnapshotTable[[#This Row],[SC Strike Price]]) / SnapshotTable[[#This Row],[Last Price]]) * -1, "")</f>
        <v/>
      </c>
      <c r="FM248" s="157" t="str">
        <f>IF(SnapshotTable[[#This Row],[SC Is Booked]],  (SnapshotTable[[#This Row],[SC Qty]] * 100 * SnapshotTable[[#This Row],[SC Strike Price]]) - SnapshotTable[[#This Row],[SC Current Ask]], "")</f>
        <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t="str">
        <f>IF(AND(ISNUMBER(SnapshotTable[[#This Row],[SC Exercise Gross]]), ISNUMBER(SnapshotTable[[#This Row],[Equity Basis Per Share]] )), SnapshotTable[[#This Row],[SC Exercise Gross]] - SnapshotTable[[#This Row],[Equity Basis Total]] +  SnapshotTable[[#This Row],[SC Premium]], "")</f>
        <v/>
      </c>
      <c r="FP248" s="5" t="str">
        <f>IF(ISNUMBER(SnapshotTable[[#This Row],[SC Exercise Gross]]), (SnapshotTable[[#This Row],[SC Exercise Gross]]) / (SnapshotTable[[#This Row],[SC Qty]] * 100), "")</f>
        <v/>
      </c>
      <c r="FQ248" s="27" t="str">
        <f>IF(SnapshotTable[[#This Row],[SC Is Booked]],SnapshotTable[[#This Row],[SC Time Val]] /SnapshotTable[[#This Row],[SC Basis]], "")</f>
        <v/>
      </c>
      <c r="FR248" s="27" t="str" cm="1">
        <f t="array" ref="FR248">IF(AND(ISNUMBER(SnapshotTable[[#This Row],[SC Term]]),ISNUMBER(SnapshotTable[[#This Row],[SC Simple ROO]])), EllmanAnnualize(SnapshotTable[[#This Row],[SC DTE]], SnapshotTable[[#This Row],[SC Simple ROO]] ),"")</f>
        <v/>
      </c>
      <c r="FS248" s="4">
        <f>IF(SnapshotTable[[#This Row],[SC Strike Price]] &gt; SnapshotTable[[#This Row],[Last Price]], SnapshotTable[[#This Row],[SC Strike Price]] - SnapshotTable[[#This Row],[Last Price]],0)</f>
        <v>0</v>
      </c>
      <c r="FT248" s="27" t="str">
        <f>IF(AND(ISNUMBER(SnapshotTable[[#This Row],[SC Upside Potential]]), SnapshotTable[[#This Row],[SC Upside Potential]] &gt; 0),(SnapshotTable[[#This Row],[SC Upside Potential]]/ SnapshotTable[[#This Row],[ACB]]),"")</f>
        <v/>
      </c>
      <c r="FU248" s="333"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36" t="str">
        <f>IF(AND(ISNUMBER(SnapshotTable[[#This Row],[SC Simple ROO]]),SnapshotTable[[#This Row],[SC Simple ROO]] &gt; 0), SnapshotTable[[#This Row],[SC Premium]] + (SnapshotTable[[#This Row],[SC Qty]] * SnapshotTable[[#This Row],[SC Upside Potential]]), "")</f>
        <v/>
      </c>
      <c r="FX248" s="302" t="str" cm="1">
        <f t="array" ref="FX248">IF(ISNUMBER(SnapshotTable[[#This Row],[SC Max Dollars]]), annualize(SnapshotTable[[#This Row],[SC Term]],(SnapshotTable[[#This Row],[SC Max Dollars]]/SnapshotTable[[#This Row],[SC Basis]])),"")</f>
        <v/>
      </c>
      <c r="FY248" s="23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294" t="str">
        <f>IFERROR( IF(ISNUMBER((SnapshotTable[[#This Row],[SC Current Value]])), SnapshotTable[[#This Row],[SC Gain Loss]] / SnapshotTable[[#This Row],[SC Premium]], ""), "")</f>
        <v/>
      </c>
      <c r="GB248" s="42">
        <f>SnapshotTable[[#This Row],[Equity Shares]] * SaleSharesToConsiderPercentage</f>
        <v>0</v>
      </c>
      <c r="GC248" s="40">
        <f>SnapshotTable[[#This Row],[Long Term Target]] * SellingPriceToConsiderBasedOnTargetPercentage</f>
        <v>50.112499999999997</v>
      </c>
      <c r="GD248" s="40">
        <f>SnapshotTable[[#This Row],[Last Price]] * (1+ SellingPriceToConsiderBasedOnTargetPercentage)</f>
        <v>28.587</v>
      </c>
      <c r="GE248" s="41"/>
      <c r="GF248" s="40"/>
      <c r="GG248" s="31">
        <f>SnapshotTable[[#This Row],[Booked Sale Shares]] * SnapshotTable[[#This Row],[Booked Sale Price]]</f>
        <v>0</v>
      </c>
      <c r="GH248" s="31" t="str">
        <f>IF(SnapshotTable[[#This Row],[Equity Basis Total]] &gt; 0, SnapshotTable[[#This Row],[Equity Basis Per Share]] * SnapshotTable[[#This Row],[Booked Sale Shares]], "")</f>
        <v/>
      </c>
      <c r="GI248" s="31">
        <f>IF(SnapshotTable[[#This Row],[Sale Proceeds]]&gt;0, SnapshotTable[[#This Row],[Sale Proceeds]] - SnapshotTable[[#This Row],[Sale Basis]], 0)</f>
        <v>0</v>
      </c>
      <c r="GJ248" s="27" t="str">
        <f>IF(SnapshotTable[[#This Row],[Sale G/L]]&gt;0, SnapshotTable[[#This Row],[Sale G/L]] / SnapshotTable[[#This Row],[Sale Basis]], IF(ISNUMBER(SnapshotTable[[#This Row],[SC Exercise P&amp;L (TAX)]]), SnapshotTable[[#This Row],[SC Exercise P&amp;L (TAX)]] / SnapshotTable[[#This Row],[SC Basis]], ""))</f>
        <v/>
      </c>
      <c r="GK248" s="27" t="s">
        <v>745</v>
      </c>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
      </c>
      <c r="GO248" s="30" t="str">
        <f>IF(LEN(SnapshotTable[[#This Row],[SP Symbol]])&gt;0, 1, "")</f>
        <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
      </c>
      <c r="GS248" s="30" t="str">
        <f>IF(LEN(SnapshotTable[[#This Row],[SC Symbol]])&gt;0, 1, "")</f>
        <v/>
      </c>
      <c r="GT248" s="29" t="str">
        <f>IF(COUNT(SnapshotTable[[#This Row],[LP Symbol Count]],SnapshotTable[[#This Row],[SP Symbol Count]],SnapshotTable[[#This Row],[LC Symbol Count]],SnapshotTable[[#This Row],[SC Symbol Count]])&gt;0, "Y", "")</f>
        <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8" s="231">
        <f>MAX(SnapshotTable[[#This Row],[Equity Basis Total]],SnapshotTable[[#This Row],[Equity Value]]) + (SnapshotTable[[#This Row],[SP Potential Spend]]- SnapshotTable[[#This Row],[SP Premium]] + SnapshotTable[[#This Row],[LP Premium]])+ (SnapshotTable[[#This Row],[LC Premium]] - SnapshotTable[[#This Row],[SC Premium]])</f>
        <v>0</v>
      </c>
      <c r="GW248" s="139" t="str">
        <f>IF(AND(SnapshotTable[[#This Row],[Exposure]] &lt;&gt; 0),SnapshotTable[[#This Row],[Exposure]] / SnapshotTable[[#Totals],[Exposure]], "")</f>
        <v/>
      </c>
      <c r="GX248" s="45"/>
      <c r="HE248" s="268"/>
      <c r="HF248" s="268"/>
      <c r="HK248" s="1"/>
      <c r="HL248" s="1"/>
      <c r="HM248" s="1"/>
      <c r="HN248" s="1"/>
      <c r="HO248" s="1"/>
      <c r="HP248" s="1"/>
    </row>
    <row r="249" spans="2:224" ht="12.75" hidden="1" customHeight="1" x14ac:dyDescent="0.25">
      <c r="B249" s="12" t="s">
        <v>203</v>
      </c>
      <c r="C249" s="422">
        <v>24.33</v>
      </c>
      <c r="D249" s="208"/>
      <c r="E249" s="39">
        <f>SnapshotTable[[#This Row],[Last Price]]*(1 -CrashDiscount)</f>
        <v>20.680499999999999</v>
      </c>
      <c r="F249" s="26" t="s">
        <v>23</v>
      </c>
      <c r="G249" s="26" t="s">
        <v>14</v>
      </c>
      <c r="H249" s="149"/>
      <c r="I249" s="194">
        <v>44798.288194444445</v>
      </c>
      <c r="J249" s="195">
        <v>44798.288194444445</v>
      </c>
      <c r="K249" s="196"/>
      <c r="L249" s="326"/>
      <c r="M249" s="140"/>
      <c r="N249" s="140"/>
      <c r="O249" s="140">
        <v>4</v>
      </c>
      <c r="P249" s="22"/>
      <c r="Q249" s="25"/>
      <c r="R249" s="4" t="str">
        <f>IF(SnapshotTable[[#This Row],[Equity Basis Total]] &gt; 0, SnapshotTable[[#This Row],[Equity Basis Total]] / SnapshotTable[[#This Row],[Equity Shares]], "")</f>
        <v/>
      </c>
      <c r="S249" s="269">
        <f>SnapshotTable[[#This Row],[Last Price]] * SnapshotTable[[#This Row],[Equity Shares]]</f>
        <v>0</v>
      </c>
      <c r="T249" s="269">
        <f>SnapshotTable[[#This Row],[Equity Value]] - SnapshotTable[[#This Row],[Equity Basis Total]]</f>
        <v>0</v>
      </c>
      <c r="U249" s="270" t="str">
        <f>IF(SnapshotTable[[#This Row],[Equity Basis Total]] &gt; 0, SnapshotTable[[#This Row],[Equity G/L]] / SnapshotTable[[#This Row],[Equity Basis Total]], "")</f>
        <v/>
      </c>
      <c r="V249" s="268"/>
      <c r="W249" s="26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7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0">
        <v>1.44</v>
      </c>
      <c r="AD249" s="151">
        <v>42373</v>
      </c>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5.9186189889025895E-2</v>
      </c>
      <c r="AH249" s="151">
        <v>42438</v>
      </c>
      <c r="AI249" s="5"/>
      <c r="AJ249" s="138">
        <v>8.81</v>
      </c>
      <c r="AK249" s="152" t="str">
        <f>IF(ISNUMBER( SnapshotTable[[#This Row],[EBF Target]]),(SnapshotTable[[#This Row],[EBF Target]] - SnapshotTable[[#This Row],[Last Price]]) / SnapshotTable[[#This Row],[Last Price]], "")</f>
        <v/>
      </c>
      <c r="AL249" s="152"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2">
        <f>IF(AND(ISNUMBER( SnapshotTable[[#This Row],[Long Term Target]]), ISNUMBER(SnapshotTable[[#This Row],[Last Price]])),(SnapshotTable[[#This Row],[Long Term Target]] - SnapshotTable[[#This Row],[Last Price]]) / SnapshotTable[[#This Row],[Last Price]], "")</f>
        <v>-0.63789560213727903</v>
      </c>
      <c r="AP249" s="5"/>
      <c r="AQ249" s="38"/>
      <c r="AR249" s="5"/>
      <c r="AS249" s="38"/>
      <c r="AT249" s="146"/>
      <c r="AU249" s="187" t="str">
        <f>IF(OR(SnapshotTable[[#This Row],[LP No Fill]]="Y",SnapshotTable[[#This Row],[SP Is Filled]],SnapshotTable[[#This Row],[LC Not Filled]]="Y",SnapshotTable[[#This Row],[SC Is Filled]]),"Y","")</f>
        <v/>
      </c>
      <c r="AV249" s="219"/>
      <c r="AW249" s="225"/>
      <c r="AX249" s="220"/>
      <c r="AY249" s="219" t="str">
        <f>IF(SnapshotTable[[#This Row],[Implied Move]]&gt;0, SnapshotTable[[#This Row],[Last Price]]-SnapshotTable[[#This Row],[Implied Move]],"")</f>
        <v/>
      </c>
      <c r="AZ249" s="219" t="str">
        <f>IF(SnapshotTable[[#This Row],[Implied Move]]&gt;0, SnapshotTable[[#This Row],[Last Price]] + SnapshotTable[[#This Row],[Implied Move]],"")</f>
        <v/>
      </c>
      <c r="BA249" s="331"/>
      <c r="BB249" s="347"/>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51"/>
      <c r="BE249" s="5"/>
      <c r="BF249" s="14"/>
      <c r="BG249" s="13"/>
      <c r="BH249" s="13"/>
      <c r="BI249" s="5"/>
      <c r="BJ249" s="136">
        <f>IF(SnapshotTable[[#This Row],[LP Qty]] &gt; 0, SnapshotTable[[#This Row],[LP Qty]] * SnapshotTable[[#This Row],[LP Book Price]] * 100,0)</f>
        <v>0</v>
      </c>
      <c r="BK249" s="136">
        <f>IF(SnapshotTable[[#This Row],[LP Premium]] &gt; 0, SnapshotTable[[#This Row],[LP Qty]] * SnapshotTable[[#This Row],[LP Strike Price]] * 100,0)</f>
        <v>0</v>
      </c>
      <c r="BL249" s="154"/>
      <c r="BM249" s="385" t="str">
        <f>IF(SnapshotTable[[#This Row],[LP Premium]] &gt; 0,SnapshotTable[[#This Row],[LP Exp Date]]-MAX(SnapshotTable[[#This Row],[LP Book Date]], SnapshotTable[[#This Row],[LP Fill Date]]),"")</f>
        <v/>
      </c>
      <c r="BN249" s="385" t="str">
        <f>IF(ISNUMBER( SnapshotTable[[#This Row],[LP Term]]), SnapshotTable[[#This Row],[LP Exp Date]] - MockToday,"")</f>
        <v/>
      </c>
      <c r="BO249" s="163"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7"/>
      <c r="BU249" s="13"/>
      <c r="BV249" s="5"/>
      <c r="BW249" s="419" t="b">
        <f>AND(ISNUMBER(SnapshotTable[[#This Row],[SP Exp Date]]), ISNUMBER(SnapshotTable[[#This Row],[SP Strike Price]]), ISNUMBER(SnapshotTable[[#This Row],[SP Qty]]), ISNUMBER(SnapshotTable[[#This Row],[SP Book Date]]), ISNUMBER(SnapshotTable[[#This Row],[SP Book Price]]))</f>
        <v>0</v>
      </c>
      <c r="BX249" s="419" t="b">
        <f>AND(SnapshotTable[[#This Row],[SP Is Booked]], NOT(ISBLANK(SnapshotTable[[#This Row],[SP Fill Date]])))</f>
        <v>0</v>
      </c>
      <c r="BY249" s="33">
        <f>IF(SnapshotTable[[#This Row],[SP Is Booked]], SnapshotTable[[#This Row],[SP Qty]] * SnapshotTable[[#This Row],[SP Book Price]] * 100, 0)</f>
        <v>0</v>
      </c>
      <c r="BZ249" s="369"/>
      <c r="CA249" s="368">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3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44"/>
      <c r="CK249" s="31">
        <f>IF(ISNUMBER(SnapshotTable[[#This Row],[SP Potential Spend]]),IF(ISNUMBER(SnapshotTable[[#This Row],[SP POW]]), SnapshotTable[[#This Row],[SP POW]] * SnapshotTable[[#This Row],[SP Potential Spend]], SnapshotTable[[#This Row],[SP Potential Spend]]), "")</f>
        <v>0</v>
      </c>
      <c r="CL249" s="164">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8"/>
      <c r="CO249" s="369"/>
      <c r="CP249" s="4" t="str">
        <f>IF(SnapshotTable[[#This Row],[SP Is Filled]], btc_max_buyback_amount(SnapshotTable[[#This Row],[SP Fill Date]],SnapshotTable[[#This Row],[SP Exp Date]], SnapshotTable[[#This Row],[SP Book Price]]),"")</f>
        <v/>
      </c>
      <c r="CQ249" s="78"/>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5" t="str">
        <f>IF(SnapshotTable[[#This Row],[SP Is Filled]], btc_next_cutoff_date(SnapshotTable[[#This Row],[SP Fill Date]],SnapshotTable[[#This Row],[SP Exp Date]]),"")</f>
        <v/>
      </c>
      <c r="CT249" s="23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3"/>
      <c r="CV249" s="235"/>
      <c r="CW249" s="378"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294" t="str">
        <f>IF(ISNUMBER((SnapshotTable[[#This Row],[SP Total Value]])), SnapshotTable[[#This Row],[SP Gain Loss]] / SnapshotTable[[#This Row],[SP Premium]], "")</f>
        <v/>
      </c>
      <c r="DI249" s="406"/>
      <c r="DJ249" s="138"/>
      <c r="DK249" s="148"/>
      <c r="DL249" s="13"/>
      <c r="DM249" s="13"/>
      <c r="DO249" s="31">
        <f>IF(SnapshotTable[[#This Row],[LC Symbol Count]]=1, SnapshotTable[[#This Row],[LC Qty]] * SnapshotTable[[#This Row],[LC Book Price]] * 100, 0)</f>
        <v>0</v>
      </c>
      <c r="DP249" s="163" t="str">
        <f>IF(AND(SnapshotTable[[#This Row],[LC Exp Date]]&gt;0, SnapshotTable[[#This Row],[LC Strike Price]]&gt;0,SnapshotTable[[#This Row],[LC Qty]]&gt;0,SnapshotTable[[#This Row],[LC Book Date]]&gt;0,SnapshotTable[[#This Row],[LC Book Price]]&gt;0,SnapshotTable[[#This Row],[LC Fill Date]]=0),"Y","")</f>
        <v/>
      </c>
      <c r="DQ249" s="386" t="str">
        <f>IF(SnapshotTable[[#This Row],[LC Premium]] &gt; 0,SnapshotTable[[#This Row],[LC Exp Date]]-MAX(SnapshotTable[[#This Row],[LC Book Date]], SnapshotTable[[#This Row],[LC Fill Date]]),"")</f>
        <v/>
      </c>
      <c r="DR249" s="386" t="str">
        <f>IF(ISNUMBER(SnapshotTable[[#This Row],[LC Term]]), SnapshotTable[[#This Row],[LC Exp Date]] - MockToday, "")</f>
        <v/>
      </c>
      <c r="DS249" s="23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40" t="str">
        <f>IF(ISNUMBER(SnapshotTable[[#This Row],[LC Actual Gain Loss]]), SnapshotTable[[#This Row],[LC Actual Gain Loss]] / SnapshotTable[[#This Row],[LC Premium]],"")</f>
        <v/>
      </c>
      <c r="DX249" s="284" t="str">
        <f>IF(ISNUMBER(SnapshotTable[[#This Row],[LC Book Price]]),SnapshotTable[[#This Row],[LC Book Price]] * 1.5,"")</f>
        <v/>
      </c>
      <c r="DY249" s="265" t="str">
        <f>IF(SnapshotTable[[#This Row],[LC Premium]]&gt;0, SnapshotTable[[#This Row],[LC Next Target]] * SnapshotTable[[#This Row],[LC Qty]] * 100,"")</f>
        <v/>
      </c>
      <c r="DZ249" s="265" t="str">
        <f>IF(ISNUMBER(SnapshotTable[[#This Row],[LC Target Gross]]), SnapshotTable[[#This Row],[LC Target Gross]] - SnapshotTable[[#This Row],[LC Premium]], "")</f>
        <v/>
      </c>
      <c r="EA249" s="305" t="str">
        <f>IF(ISNUMBER(SnapshotTable[[#This Row],[LC Target Gain Loss]]), SnapshotTable[[#This Row],[LC Target Gain Loss]]/SnapshotTable[[#This Row],[LC Premium]], "")</f>
        <v/>
      </c>
      <c r="EB249" s="262"/>
      <c r="EC249" s="283" t="str">
        <f>IF(SnapshotTable[[#This Row],[LC Premium]]&gt;0, SnapshotTable[[#This Row],[LC Book Price]] * (1 - LC_StopLoss_Pct),"")</f>
        <v/>
      </c>
      <c r="ED249" s="284"/>
      <c r="EE249" s="28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4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7"/>
      <c r="EL249" s="138"/>
      <c r="EM249" s="148"/>
      <c r="EN249" s="147"/>
      <c r="EO249" s="147"/>
      <c r="EP249" s="138"/>
      <c r="EQ249" s="419" t="b">
        <f>AND(ISNUMBER(SnapshotTable[[#This Row],[SC Exp Date]]), ISNUMBER(SnapshotTable[[#This Row],[SC Strike Price]]), ISNUMBER(SnapshotTable[[#This Row],[SC Qty]]), ISNUMBER(SnapshotTable[[#This Row],[SC Book Date]]), ISNUMBER(SnapshotTable[[#This Row],[SC Book Price]]))</f>
        <v>0</v>
      </c>
      <c r="ER249" s="419" t="b">
        <f>AND(SnapshotTable[[#This Row],[SC Is Booked]], NOT(ISBLANK(SnapshotTable[[#This Row],[SC Fill Date]])))</f>
        <v>0</v>
      </c>
      <c r="ES249" s="370"/>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3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283"/>
      <c r="FA249" s="218"/>
      <c r="FB249" s="370"/>
      <c r="FC249" s="4">
        <f>IF(SnapshotTable[[#This Row],[SC Is Filled]], btc_max_buyback_amount(SnapshotTable[[#This Row],[SC Fill Date]],SnapshotTable[[#This Row],[SC Exp Date]], SnapshotTable[[#This Row],[SC Book Price]]),0)</f>
        <v>0</v>
      </c>
      <c r="FD249" s="5"/>
      <c r="FE249" s="144"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382">
        <f>IF(SnapshotTable[[#This Row],[SC Is Filled]], IF(ISNUMBER(SnapshotTable[[#This Row],[SC Current Ask]]), SnapshotTable[[#This Row],[SC Current Ask]], SnapshotTable[[#This Row],[SC Book Price]]) - SnapshotTable[[#This Row],[SC Intrinsic Value]], 0)</f>
        <v>0</v>
      </c>
      <c r="FI249" s="143"/>
      <c r="FJ249" s="32" t="str">
        <f>IF(SnapshotTable[[#This Row],[SC Is Filled]],100 * SnapshotTable[[#This Row],[SC Qty]] * IF(ISNUMBER(SnapshotTable[[#This Row],[SC Buyback Override]]), SnapshotTable[[#This Row],[SC Buyback Override]], SnapshotTable[[#This Row],[SC Current Ask]]), "")</f>
        <v/>
      </c>
      <c r="FK249" s="250" t="str">
        <f>IF(SnapshotTable[[#This Row],[SC Time Val]]&gt;0, SnapshotTable[[#This Row],[SC Time Val]] / SnapshotTable[[#This Row],[Last Price]],"")</f>
        <v/>
      </c>
      <c r="FL249" s="302" t="str">
        <f>IF(SnapshotTable[[#This Row],[SC Is Booked]], ((SnapshotTable[[#This Row],[Last Price]] -SnapshotTable[[#This Row],[SC Strike Price]]) / SnapshotTable[[#This Row],[Last Price]]) * -1, "")</f>
        <v/>
      </c>
      <c r="FM249" s="157"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33"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36" t="str">
        <f>IF(AND(ISNUMBER(SnapshotTable[[#This Row],[SC Simple ROO]]),SnapshotTable[[#This Row],[SC Simple ROO]] &gt; 0), SnapshotTable[[#This Row],[SC Premium]] + (SnapshotTable[[#This Row],[SC Qty]] * SnapshotTable[[#This Row],[SC Upside Potential]]), "")</f>
        <v/>
      </c>
      <c r="FX249" s="302" t="str" cm="1">
        <f t="array" ref="FX249">IF(ISNUMBER(SnapshotTable[[#This Row],[SC Max Dollars]]), annualize(SnapshotTable[[#This Row],[SC Term]],(SnapshotTable[[#This Row],[SC Max Dollars]]/SnapshotTable[[#This Row],[SC Basis]])),"")</f>
        <v/>
      </c>
      <c r="FY249" s="23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29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8.3695000000000004</v>
      </c>
      <c r="GD249" s="40">
        <f>SnapshotTable[[#This Row],[Last Price]] * (1+ SellingPriceToConsiderBasedOnTargetPercentage)</f>
        <v>47.443499999999993</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746</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31">
        <f>MAX(SnapshotTable[[#This Row],[Equity Basis Total]],SnapshotTable[[#This Row],[Equity Value]]) + (SnapshotTable[[#This Row],[SP Potential Spend]]- SnapshotTable[[#This Row],[SP Premium]] + SnapshotTable[[#This Row],[LP Premium]])+ (SnapshotTable[[#This Row],[LC Premium]] - SnapshotTable[[#This Row],[SC Premium]])</f>
        <v>0</v>
      </c>
      <c r="GW249" s="139" t="str">
        <f>IF(AND(SnapshotTable[[#This Row],[Exposure]] &lt;&gt; 0),SnapshotTable[[#This Row],[Exposure]] / SnapshotTable[[#Totals],[Exposure]], "")</f>
        <v/>
      </c>
      <c r="HE249" s="268"/>
      <c r="HF249" s="268"/>
      <c r="HK249" s="1"/>
      <c r="HL249" s="1"/>
      <c r="HM249" s="1"/>
      <c r="HN249" s="1"/>
      <c r="HO249" s="1"/>
      <c r="HP249" s="1"/>
    </row>
    <row r="250" spans="2:224" ht="12.75" hidden="1" customHeight="1" x14ac:dyDescent="0.25">
      <c r="B250" s="12" t="s">
        <v>206</v>
      </c>
      <c r="C250" s="422">
        <v>531.98</v>
      </c>
      <c r="D250" s="208" t="s">
        <v>578</v>
      </c>
      <c r="E250" s="39">
        <f>SnapshotTable[[#This Row],[Last Price]]*(1 -CrashDiscount)</f>
        <v>452.18299999999999</v>
      </c>
      <c r="F250" s="26" t="s">
        <v>183</v>
      </c>
      <c r="G250" s="26" t="s">
        <v>4</v>
      </c>
      <c r="H250" s="149"/>
      <c r="I250" s="194">
        <v>44770.333333333336</v>
      </c>
      <c r="J250" s="195">
        <v>44770.333333333336</v>
      </c>
      <c r="K250" s="196"/>
      <c r="L250" s="326"/>
      <c r="M250" s="140">
        <v>2</v>
      </c>
      <c r="N250" s="140" t="b">
        <v>1</v>
      </c>
      <c r="O250" s="140"/>
      <c r="P250" s="22"/>
      <c r="Q250" s="25"/>
      <c r="R250" s="4" t="str">
        <f>IF(SnapshotTable[[#This Row],[Equity Basis Total]] &gt; 0, SnapshotTable[[#This Row],[Equity Basis Total]] / SnapshotTable[[#This Row],[Equity Shares]], "")</f>
        <v/>
      </c>
      <c r="S250" s="269">
        <f>SnapshotTable[[#This Row],[Last Price]] * SnapshotTable[[#This Row],[Equity Shares]]</f>
        <v>0</v>
      </c>
      <c r="T250" s="269">
        <f>SnapshotTable[[#This Row],[Equity Value]] - SnapshotTable[[#This Row],[Equity Basis Total]]</f>
        <v>0</v>
      </c>
      <c r="U250" s="270" t="str">
        <f>IF(SnapshotTable[[#This Row],[Equity Basis Total]] &gt; 0, SnapshotTable[[#This Row],[Equity G/L]] / SnapshotTable[[#This Row],[Equity Basis Total]], "")</f>
        <v/>
      </c>
      <c r="V250" s="268"/>
      <c r="W250" s="26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7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0">
        <v>1.32</v>
      </c>
      <c r="AD250" s="151">
        <v>43869</v>
      </c>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2.4812962893341855E-3</v>
      </c>
      <c r="AH250" s="151">
        <v>43838</v>
      </c>
      <c r="AI250" s="5">
        <v>315</v>
      </c>
      <c r="AJ250" s="138">
        <v>429.91</v>
      </c>
      <c r="AK250" s="152">
        <f>IF(ISNUMBER( SnapshotTable[[#This Row],[EBF Target]]),(SnapshotTable[[#This Row],[EBF Target]] - SnapshotTable[[#This Row],[Last Price]]) / SnapshotTable[[#This Row],[Last Price]], "")</f>
        <v>-0.40787247640888757</v>
      </c>
      <c r="AL250" s="152"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2">
        <f>IF(AND(ISNUMBER( SnapshotTable[[#This Row],[Long Term Target]]), ISNUMBER(SnapshotTable[[#This Row],[Last Price]])),(SnapshotTable[[#This Row],[Long Term Target]] - SnapshotTable[[#This Row],[Last Price]]) / SnapshotTable[[#This Row],[Last Price]], "")</f>
        <v>-0.19186811534268203</v>
      </c>
      <c r="AP250" s="5">
        <v>390</v>
      </c>
      <c r="AQ250" s="38" t="s">
        <v>110</v>
      </c>
      <c r="AR250" s="5">
        <v>370</v>
      </c>
      <c r="AS250" s="38" t="s">
        <v>109</v>
      </c>
      <c r="AT250" s="146" t="s">
        <v>533</v>
      </c>
      <c r="AU250" s="187" t="str">
        <f>IF(OR(SnapshotTable[[#This Row],[LP No Fill]]="Y",SnapshotTable[[#This Row],[SP Is Filled]],SnapshotTable[[#This Row],[LC Not Filled]]="Y",SnapshotTable[[#This Row],[SC Is Filled]]),"Y","")</f>
        <v/>
      </c>
      <c r="AV250" s="219"/>
      <c r="AW250" s="225"/>
      <c r="AX250" s="220"/>
      <c r="AY250" s="219" t="str">
        <f>IF(SnapshotTable[[#This Row],[Implied Move]]&gt;0, SnapshotTable[[#This Row],[Last Price]]-SnapshotTable[[#This Row],[Implied Move]],"")</f>
        <v/>
      </c>
      <c r="AZ250" s="219" t="str">
        <f>IF(SnapshotTable[[#This Row],[Implied Move]]&gt;0, SnapshotTable[[#This Row],[Last Price]] + SnapshotTable[[#This Row],[Implied Move]],"")</f>
        <v/>
      </c>
      <c r="BA250" s="331">
        <v>5.16</v>
      </c>
      <c r="BB250" s="347"/>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51"/>
      <c r="BE250" s="5"/>
      <c r="BF250" s="14"/>
      <c r="BG250" s="13"/>
      <c r="BH250" s="13"/>
      <c r="BI250" s="5"/>
      <c r="BJ250" s="136">
        <f>IF(SnapshotTable[[#This Row],[LP Qty]] &gt; 0, SnapshotTable[[#This Row],[LP Qty]] * SnapshotTable[[#This Row],[LP Book Price]] * 100,0)</f>
        <v>0</v>
      </c>
      <c r="BK250" s="136">
        <f>IF(SnapshotTable[[#This Row],[LP Premium]] &gt; 0, SnapshotTable[[#This Row],[LP Qty]] * SnapshotTable[[#This Row],[LP Strike Price]] * 100,0)</f>
        <v>0</v>
      </c>
      <c r="BL250" s="154"/>
      <c r="BM250" s="385" t="str">
        <f>IF(SnapshotTable[[#This Row],[LP Premium]] &gt; 0,SnapshotTable[[#This Row],[LP Exp Date]]-MAX(SnapshotTable[[#This Row],[LP Book Date]], SnapshotTable[[#This Row],[LP Fill Date]]),"")</f>
        <v/>
      </c>
      <c r="BN250" s="385" t="str">
        <f>IF(ISNUMBER( SnapshotTable[[#This Row],[LP Term]]), SnapshotTable[[#This Row],[LP Exp Date]] - MockToday,"")</f>
        <v/>
      </c>
      <c r="BO250" s="163"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7"/>
      <c r="BU250" s="13"/>
      <c r="BV250" s="5"/>
      <c r="BW250" s="419" t="b">
        <f>AND(ISNUMBER(SnapshotTable[[#This Row],[SP Exp Date]]), ISNUMBER(SnapshotTable[[#This Row],[SP Strike Price]]), ISNUMBER(SnapshotTable[[#This Row],[SP Qty]]), ISNUMBER(SnapshotTable[[#This Row],[SP Book Date]]), ISNUMBER(SnapshotTable[[#This Row],[SP Book Price]]))</f>
        <v>0</v>
      </c>
      <c r="BX250" s="419" t="b">
        <f>AND(SnapshotTable[[#This Row],[SP Is Booked]], NOT(ISBLANK(SnapshotTable[[#This Row],[SP Fill Date]])))</f>
        <v>0</v>
      </c>
      <c r="BY250" s="33">
        <f>IF(SnapshotTable[[#This Row],[SP Is Booked]], SnapshotTable[[#This Row],[SP Qty]] * SnapshotTable[[#This Row],[SP Book Price]] * 100, 0)</f>
        <v>0</v>
      </c>
      <c r="BZ250" s="369"/>
      <c r="CA250" s="368">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3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44"/>
      <c r="CK250" s="31">
        <f>IF(ISNUMBER(SnapshotTable[[#This Row],[SP Potential Spend]]),IF(ISNUMBER(SnapshotTable[[#This Row],[SP POW]]), SnapshotTable[[#This Row],[SP POW]] * SnapshotTable[[#This Row],[SP Potential Spend]], SnapshotTable[[#This Row],[SP Potential Spend]]), "")</f>
        <v>0</v>
      </c>
      <c r="CL250" s="164">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8"/>
      <c r="CO250" s="369"/>
      <c r="CP250" s="4" t="str">
        <f>IF(SnapshotTable[[#This Row],[SP Is Filled]], btc_max_buyback_amount(SnapshotTable[[#This Row],[SP Fill Date]],SnapshotTable[[#This Row],[SP Exp Date]], SnapshotTable[[#This Row],[SP Book Price]]),"")</f>
        <v/>
      </c>
      <c r="CQ250" s="78"/>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5" t="str">
        <f>IF(SnapshotTable[[#This Row],[SP Is Filled]], btc_next_cutoff_date(SnapshotTable[[#This Row],[SP Fill Date]],SnapshotTable[[#This Row],[SP Exp Date]]),"")</f>
        <v/>
      </c>
      <c r="CT250" s="23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3"/>
      <c r="CV250" s="235"/>
      <c r="CW250" s="378"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294" t="str">
        <f>IF(ISNUMBER((SnapshotTable[[#This Row],[SP Total Value]])), SnapshotTable[[#This Row],[SP Gain Loss]] / SnapshotTable[[#This Row],[SP Premium]], "")</f>
        <v/>
      </c>
      <c r="DI250" s="406"/>
      <c r="DJ250" s="138"/>
      <c r="DK250" s="148"/>
      <c r="DL250" s="13"/>
      <c r="DM250" s="13"/>
      <c r="DO250" s="31">
        <f>IF(SnapshotTable[[#This Row],[LC Symbol Count]]=1, SnapshotTable[[#This Row],[LC Qty]] * SnapshotTable[[#This Row],[LC Book Price]] * 100, 0)</f>
        <v>0</v>
      </c>
      <c r="DP250" s="163" t="str">
        <f>IF(AND(SnapshotTable[[#This Row],[LC Exp Date]]&gt;0, SnapshotTable[[#This Row],[LC Strike Price]]&gt;0,SnapshotTable[[#This Row],[LC Qty]]&gt;0,SnapshotTable[[#This Row],[LC Book Date]]&gt;0,SnapshotTable[[#This Row],[LC Book Price]]&gt;0,SnapshotTable[[#This Row],[LC Fill Date]]=0),"Y","")</f>
        <v/>
      </c>
      <c r="DQ250" s="386" t="str">
        <f>IF(SnapshotTable[[#This Row],[LC Premium]] &gt; 0,SnapshotTable[[#This Row],[LC Exp Date]]-MAX(SnapshotTable[[#This Row],[LC Book Date]], SnapshotTable[[#This Row],[LC Fill Date]]),"")</f>
        <v/>
      </c>
      <c r="DR250" s="386" t="str">
        <f>IF(ISNUMBER(SnapshotTable[[#This Row],[LC Term]]), SnapshotTable[[#This Row],[LC Exp Date]] - MockToday, "")</f>
        <v/>
      </c>
      <c r="DS250" s="23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40" t="str">
        <f>IF(ISNUMBER(SnapshotTable[[#This Row],[LC Actual Gain Loss]]), SnapshotTable[[#This Row],[LC Actual Gain Loss]] / SnapshotTable[[#This Row],[LC Premium]],"")</f>
        <v/>
      </c>
      <c r="DX250" s="284" t="str">
        <f>IF(ISNUMBER(SnapshotTable[[#This Row],[LC Book Price]]),SnapshotTable[[#This Row],[LC Book Price]] * 1.5,"")</f>
        <v/>
      </c>
      <c r="DY250" s="265" t="str">
        <f>IF(SnapshotTable[[#This Row],[LC Premium]]&gt;0, SnapshotTable[[#This Row],[LC Next Target]] * SnapshotTable[[#This Row],[LC Qty]] * 100,"")</f>
        <v/>
      </c>
      <c r="DZ250" s="265" t="str">
        <f>IF(ISNUMBER(SnapshotTable[[#This Row],[LC Target Gross]]), SnapshotTable[[#This Row],[LC Target Gross]] - SnapshotTable[[#This Row],[LC Premium]], "")</f>
        <v/>
      </c>
      <c r="EA250" s="305" t="str">
        <f>IF(ISNUMBER(SnapshotTable[[#This Row],[LC Target Gain Loss]]), SnapshotTable[[#This Row],[LC Target Gain Loss]]/SnapshotTable[[#This Row],[LC Premium]], "")</f>
        <v/>
      </c>
      <c r="EB250" s="262"/>
      <c r="EC250" s="283" t="str">
        <f>IF(SnapshotTable[[#This Row],[LC Premium]]&gt;0, SnapshotTable[[#This Row],[LC Book Price]] * (1 - LC_StopLoss_Pct),"")</f>
        <v/>
      </c>
      <c r="ED250" s="284"/>
      <c r="EE250" s="28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4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7"/>
      <c r="EL250" s="138"/>
      <c r="EM250" s="148"/>
      <c r="EN250" s="147"/>
      <c r="EO250" s="147"/>
      <c r="EP250" s="138"/>
      <c r="EQ250" s="419" t="b">
        <f>AND(ISNUMBER(SnapshotTable[[#This Row],[SC Exp Date]]), ISNUMBER(SnapshotTable[[#This Row],[SC Strike Price]]), ISNUMBER(SnapshotTable[[#This Row],[SC Qty]]), ISNUMBER(SnapshotTable[[#This Row],[SC Book Date]]), ISNUMBER(SnapshotTable[[#This Row],[SC Book Price]]))</f>
        <v>0</v>
      </c>
      <c r="ER250" s="419" t="b">
        <f>AND(SnapshotTable[[#This Row],[SC Is Booked]], NOT(ISBLANK(SnapshotTable[[#This Row],[SC Fill Date]])))</f>
        <v>0</v>
      </c>
      <c r="ES250" s="370"/>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3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283"/>
      <c r="FA250" s="218"/>
      <c r="FB250" s="370"/>
      <c r="FC250" s="4">
        <f>IF(SnapshotTable[[#This Row],[SC Is Filled]], btc_max_buyback_amount(SnapshotTable[[#This Row],[SC Fill Date]],SnapshotTable[[#This Row],[SC Exp Date]], SnapshotTable[[#This Row],[SC Book Price]]),0)</f>
        <v>0</v>
      </c>
      <c r="FD250" s="5"/>
      <c r="FE250" s="144"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382">
        <f>IF(SnapshotTable[[#This Row],[SC Is Filled]], IF(ISNUMBER(SnapshotTable[[#This Row],[SC Current Ask]]), SnapshotTable[[#This Row],[SC Current Ask]], SnapshotTable[[#This Row],[SC Book Price]]) - SnapshotTable[[#This Row],[SC Intrinsic Value]], 0)</f>
        <v>0</v>
      </c>
      <c r="FI250" s="143"/>
      <c r="FJ250" s="32" t="str">
        <f>IF(SnapshotTable[[#This Row],[SC Is Filled]],100 * SnapshotTable[[#This Row],[SC Qty]] * IF(ISNUMBER(SnapshotTable[[#This Row],[SC Buyback Override]]), SnapshotTable[[#This Row],[SC Buyback Override]], SnapshotTable[[#This Row],[SC Current Ask]]), "")</f>
        <v/>
      </c>
      <c r="FK250" s="250" t="str">
        <f>IF(SnapshotTable[[#This Row],[SC Time Val]]&gt;0, SnapshotTable[[#This Row],[SC Time Val]] / SnapshotTable[[#This Row],[Last Price]],"")</f>
        <v/>
      </c>
      <c r="FL250" s="302" t="str">
        <f>IF(SnapshotTable[[#This Row],[SC Is Booked]], ((SnapshotTable[[#This Row],[Last Price]] -SnapshotTable[[#This Row],[SC Strike Price]]) / SnapshotTable[[#This Row],[Last Price]]) * -1, "")</f>
        <v/>
      </c>
      <c r="FM250" s="157"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33"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36" t="str">
        <f>IF(AND(ISNUMBER(SnapshotTable[[#This Row],[SC Simple ROO]]),SnapshotTable[[#This Row],[SC Simple ROO]] &gt; 0), SnapshotTable[[#This Row],[SC Premium]] + (SnapshotTable[[#This Row],[SC Qty]] * SnapshotTable[[#This Row],[SC Upside Potential]]), "")</f>
        <v/>
      </c>
      <c r="FX250" s="302" t="str" cm="1">
        <f t="array" ref="FX250">IF(ISNUMBER(SnapshotTable[[#This Row],[SC Max Dollars]]), annualize(SnapshotTable[[#This Row],[SC Term]],(SnapshotTable[[#This Row],[SC Max Dollars]]/SnapshotTable[[#This Row],[SC Basis]])),"")</f>
        <v/>
      </c>
      <c r="FY250" s="23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29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408.41450000000003</v>
      </c>
      <c r="GD250" s="40">
        <f>SnapshotTable[[#This Row],[Last Price]] * (1+ SellingPriceToConsiderBasedOnTargetPercentage)</f>
        <v>1037.3610000000001</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673</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31">
        <f>MAX(SnapshotTable[[#This Row],[Equity Basis Total]],SnapshotTable[[#This Row],[Equity Value]]) + (SnapshotTable[[#This Row],[SP Potential Spend]]- SnapshotTable[[#This Row],[SP Premium]] + SnapshotTable[[#This Row],[LP Premium]])+ (SnapshotTable[[#This Row],[LC Premium]] - SnapshotTable[[#This Row],[SC Premium]])</f>
        <v>0</v>
      </c>
      <c r="GW250" s="139" t="str">
        <f>IF(AND(SnapshotTable[[#This Row],[Exposure]] &lt;&gt; 0),SnapshotTable[[#This Row],[Exposure]] / SnapshotTable[[#Totals],[Exposure]], "")</f>
        <v/>
      </c>
      <c r="HE250" s="268"/>
      <c r="HF250" s="268"/>
      <c r="HK250" s="1"/>
      <c r="HL250" s="1"/>
      <c r="HM250" s="1"/>
      <c r="HN250" s="1"/>
      <c r="HO250" s="1"/>
      <c r="HP250" s="1"/>
    </row>
    <row r="251" spans="2:224" ht="12.75" hidden="1" customHeight="1" x14ac:dyDescent="0.25">
      <c r="B251" s="12" t="s">
        <v>501</v>
      </c>
      <c r="C251" s="422">
        <v>369.8</v>
      </c>
      <c r="D251" s="208"/>
      <c r="E251" s="39">
        <f>SnapshotTable[[#This Row],[Last Price]]*(1 -CrashDiscount)</f>
        <v>314.33</v>
      </c>
      <c r="F251" s="26" t="s">
        <v>502</v>
      </c>
      <c r="G251" s="26" t="s">
        <v>14</v>
      </c>
      <c r="H251" s="149"/>
      <c r="I251" s="194">
        <v>44776.291666666664</v>
      </c>
      <c r="J251" s="195">
        <v>44776.291666666664</v>
      </c>
      <c r="K251" s="196"/>
      <c r="L251" s="326"/>
      <c r="M251" s="140"/>
      <c r="N251" s="140"/>
      <c r="O251" s="140"/>
      <c r="P251" s="22"/>
      <c r="Q251" s="25"/>
      <c r="R251" s="4" t="str">
        <f>IF(SnapshotTable[[#This Row],[Equity Basis Total]] &gt; 0, SnapshotTable[[#This Row],[Equity Basis Total]] / SnapshotTable[[#This Row],[Equity Shares]], "")</f>
        <v/>
      </c>
      <c r="S251" s="269">
        <f>SnapshotTable[[#This Row],[Last Price]] * SnapshotTable[[#This Row],[Equity Shares]]</f>
        <v>0</v>
      </c>
      <c r="T251" s="269">
        <f>SnapshotTable[[#This Row],[Equity Value]] - SnapshotTable[[#This Row],[Equity Basis Total]]</f>
        <v>0</v>
      </c>
      <c r="U251" s="270" t="str">
        <f>IF(SnapshotTable[[#This Row],[Equity Basis Total]] &gt; 0, SnapshotTable[[#This Row],[Equity G/L]] / SnapshotTable[[#This Row],[Equity Basis Total]], "")</f>
        <v/>
      </c>
      <c r="V251" s="268"/>
      <c r="W251" s="26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7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0">
        <v>1.32</v>
      </c>
      <c r="AD251" s="151"/>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3.5694970254191456E-3</v>
      </c>
      <c r="AH251" s="151">
        <v>43613</v>
      </c>
      <c r="AI251" s="5">
        <v>150</v>
      </c>
      <c r="AJ251" s="138">
        <v>99.05</v>
      </c>
      <c r="AK251" s="152">
        <f>IF(ISNUMBER( SnapshotTable[[#This Row],[EBF Target]]),(SnapshotTable[[#This Row],[EBF Target]] - SnapshotTable[[#This Row],[Last Price]]) / SnapshotTable[[#This Row],[Last Price]], "")</f>
        <v>-0.59437533802055165</v>
      </c>
      <c r="AL251" s="152"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2">
        <f>IF(AND(ISNUMBER( SnapshotTable[[#This Row],[Long Term Target]]), ISNUMBER(SnapshotTable[[#This Row],[Last Price]])),(SnapshotTable[[#This Row],[Long Term Target]] - SnapshotTable[[#This Row],[Last Price]]) / SnapshotTable[[#This Row],[Last Price]], "")</f>
        <v>-0.73215251487290423</v>
      </c>
      <c r="AP251" s="5">
        <v>130</v>
      </c>
      <c r="AQ251" s="38" t="s">
        <v>46</v>
      </c>
      <c r="AR251" s="5">
        <v>120</v>
      </c>
      <c r="AS251" s="38" t="s">
        <v>26</v>
      </c>
      <c r="AT251" s="146"/>
      <c r="AU251" s="187" t="str">
        <f>IF(OR(SnapshotTable[[#This Row],[LP No Fill]]="Y",SnapshotTable[[#This Row],[SP Is Filled]],SnapshotTable[[#This Row],[LC Not Filled]]="Y",SnapshotTable[[#This Row],[SC Is Filled]]),"Y","")</f>
        <v/>
      </c>
      <c r="AV251" s="219"/>
      <c r="AW251" s="225"/>
      <c r="AX251" s="220"/>
      <c r="AY251" s="219" t="str">
        <f>IF(SnapshotTable[[#This Row],[Implied Move]]&gt;0, SnapshotTable[[#This Row],[Last Price]]-SnapshotTable[[#This Row],[Implied Move]],"")</f>
        <v/>
      </c>
      <c r="AZ251" s="219" t="str">
        <f>IF(SnapshotTable[[#This Row],[Implied Move]]&gt;0, SnapshotTable[[#This Row],[Last Price]] + SnapshotTable[[#This Row],[Implied Move]],"")</f>
        <v/>
      </c>
      <c r="BA251" s="331"/>
      <c r="BB251" s="347"/>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51"/>
      <c r="BE251" s="5"/>
      <c r="BF251" s="14"/>
      <c r="BG251" s="13"/>
      <c r="BH251" s="13"/>
      <c r="BI251" s="5"/>
      <c r="BJ251" s="136">
        <f>IF(SnapshotTable[[#This Row],[LP Qty]] &gt; 0, SnapshotTable[[#This Row],[LP Qty]] * SnapshotTable[[#This Row],[LP Book Price]] * 100,0)</f>
        <v>0</v>
      </c>
      <c r="BK251" s="136">
        <f>IF(SnapshotTable[[#This Row],[LP Premium]] &gt; 0, SnapshotTable[[#This Row],[LP Qty]] * SnapshotTable[[#This Row],[LP Strike Price]] * 100,0)</f>
        <v>0</v>
      </c>
      <c r="BL251" s="154"/>
      <c r="BM251" s="385" t="str">
        <f>IF(SnapshotTable[[#This Row],[LP Premium]] &gt; 0,SnapshotTable[[#This Row],[LP Exp Date]]-MAX(SnapshotTable[[#This Row],[LP Book Date]], SnapshotTable[[#This Row],[LP Fill Date]]),"")</f>
        <v/>
      </c>
      <c r="BN251" s="385" t="str">
        <f>IF(ISNUMBER( SnapshotTable[[#This Row],[LP Term]]), SnapshotTable[[#This Row],[LP Exp Date]] - MockToday,"")</f>
        <v/>
      </c>
      <c r="BO251" s="163"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7"/>
      <c r="BU251" s="13"/>
      <c r="BV251" s="5"/>
      <c r="BW251" s="419" t="b">
        <f>AND(ISNUMBER(SnapshotTable[[#This Row],[SP Exp Date]]), ISNUMBER(SnapshotTable[[#This Row],[SP Strike Price]]), ISNUMBER(SnapshotTable[[#This Row],[SP Qty]]), ISNUMBER(SnapshotTable[[#This Row],[SP Book Date]]), ISNUMBER(SnapshotTable[[#This Row],[SP Book Price]]))</f>
        <v>0</v>
      </c>
      <c r="BX251" s="419" t="b">
        <f>AND(SnapshotTable[[#This Row],[SP Is Booked]], NOT(ISBLANK(SnapshotTable[[#This Row],[SP Fill Date]])))</f>
        <v>0</v>
      </c>
      <c r="BY251" s="33">
        <f>IF(SnapshotTable[[#This Row],[SP Is Booked]], SnapshotTable[[#This Row],[SP Qty]] * SnapshotTable[[#This Row],[SP Book Price]] * 100, 0)</f>
        <v>0</v>
      </c>
      <c r="BZ251" s="369"/>
      <c r="CA251" s="368">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3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44"/>
      <c r="CK251" s="31">
        <f>IF(ISNUMBER(SnapshotTable[[#This Row],[SP Potential Spend]]),IF(ISNUMBER(SnapshotTable[[#This Row],[SP POW]]), SnapshotTable[[#This Row],[SP POW]] * SnapshotTable[[#This Row],[SP Potential Spend]], SnapshotTable[[#This Row],[SP Potential Spend]]), "")</f>
        <v>0</v>
      </c>
      <c r="CL251" s="164">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8"/>
      <c r="CO251" s="369"/>
      <c r="CP251" s="4" t="str">
        <f>IF(SnapshotTable[[#This Row],[SP Is Filled]], btc_max_buyback_amount(SnapshotTable[[#This Row],[SP Fill Date]],SnapshotTable[[#This Row],[SP Exp Date]], SnapshotTable[[#This Row],[SP Book Price]]),"")</f>
        <v/>
      </c>
      <c r="CQ251" s="78"/>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5" t="str">
        <f>IF(SnapshotTable[[#This Row],[SP Is Filled]], btc_next_cutoff_date(SnapshotTable[[#This Row],[SP Fill Date]],SnapshotTable[[#This Row],[SP Exp Date]]),"")</f>
        <v/>
      </c>
      <c r="CT251" s="23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3"/>
      <c r="CV251" s="235"/>
      <c r="CW251" s="378"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294" t="str">
        <f>IF(ISNUMBER((SnapshotTable[[#This Row],[SP Total Value]])), SnapshotTable[[#This Row],[SP Gain Loss]] / SnapshotTable[[#This Row],[SP Premium]], "")</f>
        <v/>
      </c>
      <c r="DI251" s="406"/>
      <c r="DJ251" s="138"/>
      <c r="DK251" s="148"/>
      <c r="DL251" s="13"/>
      <c r="DM251" s="13"/>
      <c r="DO251" s="31">
        <f>IF(SnapshotTable[[#This Row],[LC Symbol Count]]=1, SnapshotTable[[#This Row],[LC Qty]] * SnapshotTable[[#This Row],[LC Book Price]] * 100, 0)</f>
        <v>0</v>
      </c>
      <c r="DP251" s="163" t="str">
        <f>IF(AND(SnapshotTable[[#This Row],[LC Exp Date]]&gt;0, SnapshotTable[[#This Row],[LC Strike Price]]&gt;0,SnapshotTable[[#This Row],[LC Qty]]&gt;0,SnapshotTable[[#This Row],[LC Book Date]]&gt;0,SnapshotTable[[#This Row],[LC Book Price]]&gt;0,SnapshotTable[[#This Row],[LC Fill Date]]=0),"Y","")</f>
        <v/>
      </c>
      <c r="DQ251" s="386" t="str">
        <f>IF(SnapshotTable[[#This Row],[LC Premium]] &gt; 0,SnapshotTable[[#This Row],[LC Exp Date]]-MAX(SnapshotTable[[#This Row],[LC Book Date]], SnapshotTable[[#This Row],[LC Fill Date]]),"")</f>
        <v/>
      </c>
      <c r="DR251" s="386" t="str">
        <f>IF(ISNUMBER(SnapshotTable[[#This Row],[LC Term]]), SnapshotTable[[#This Row],[LC Exp Date]] - MockToday, "")</f>
        <v/>
      </c>
      <c r="DS251" s="23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40" t="str">
        <f>IF(ISNUMBER(SnapshotTable[[#This Row],[LC Actual Gain Loss]]), SnapshotTable[[#This Row],[LC Actual Gain Loss]] / SnapshotTable[[#This Row],[LC Premium]],"")</f>
        <v/>
      </c>
      <c r="DX251" s="284" t="str">
        <f>IF(ISNUMBER(SnapshotTable[[#This Row],[LC Book Price]]),SnapshotTable[[#This Row],[LC Book Price]] * 1.5,"")</f>
        <v/>
      </c>
      <c r="DY251" s="265" t="str">
        <f>IF(SnapshotTable[[#This Row],[LC Premium]]&gt;0, SnapshotTable[[#This Row],[LC Next Target]] * SnapshotTable[[#This Row],[LC Qty]] * 100,"")</f>
        <v/>
      </c>
      <c r="DZ251" s="265" t="str">
        <f>IF(ISNUMBER(SnapshotTable[[#This Row],[LC Target Gross]]), SnapshotTable[[#This Row],[LC Target Gross]] - SnapshotTable[[#This Row],[LC Premium]], "")</f>
        <v/>
      </c>
      <c r="EA251" s="305" t="str">
        <f>IF(ISNUMBER(SnapshotTable[[#This Row],[LC Target Gain Loss]]), SnapshotTable[[#This Row],[LC Target Gain Loss]]/SnapshotTable[[#This Row],[LC Premium]], "")</f>
        <v/>
      </c>
      <c r="EB251" s="262"/>
      <c r="EC251" s="283" t="str">
        <f>IF(SnapshotTable[[#This Row],[LC Premium]]&gt;0, SnapshotTable[[#This Row],[LC Book Price]] * (1 - LC_StopLoss_Pct),"")</f>
        <v/>
      </c>
      <c r="ED251" s="284"/>
      <c r="EE251" s="28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4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7"/>
      <c r="EL251" s="138"/>
      <c r="EM251" s="148"/>
      <c r="EN251" s="147"/>
      <c r="EO251" s="147"/>
      <c r="EP251" s="138"/>
      <c r="EQ251" s="419" t="b">
        <f>AND(ISNUMBER(SnapshotTable[[#This Row],[SC Exp Date]]), ISNUMBER(SnapshotTable[[#This Row],[SC Strike Price]]), ISNUMBER(SnapshotTable[[#This Row],[SC Qty]]), ISNUMBER(SnapshotTable[[#This Row],[SC Book Date]]), ISNUMBER(SnapshotTable[[#This Row],[SC Book Price]]))</f>
        <v>0</v>
      </c>
      <c r="ER251" s="419" t="b">
        <f>AND(SnapshotTable[[#This Row],[SC Is Booked]], NOT(ISBLANK(SnapshotTable[[#This Row],[SC Fill Date]])))</f>
        <v>0</v>
      </c>
      <c r="ES251" s="370"/>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3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283"/>
      <c r="FA251" s="218"/>
      <c r="FB251" s="370"/>
      <c r="FC251" s="4">
        <f>IF(SnapshotTable[[#This Row],[SC Is Filled]], btc_max_buyback_amount(SnapshotTable[[#This Row],[SC Fill Date]],SnapshotTable[[#This Row],[SC Exp Date]], SnapshotTable[[#This Row],[SC Book Price]]),0)</f>
        <v>0</v>
      </c>
      <c r="FD251" s="5"/>
      <c r="FE251" s="144"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382">
        <f>IF(SnapshotTable[[#This Row],[SC Is Filled]], IF(ISNUMBER(SnapshotTable[[#This Row],[SC Current Ask]]), SnapshotTable[[#This Row],[SC Current Ask]], SnapshotTable[[#This Row],[SC Book Price]]) - SnapshotTable[[#This Row],[SC Intrinsic Value]], 0)</f>
        <v>0</v>
      </c>
      <c r="FI251" s="143"/>
      <c r="FJ251" s="32" t="str">
        <f>IF(SnapshotTable[[#This Row],[SC Is Filled]],100 * SnapshotTable[[#This Row],[SC Qty]] * IF(ISNUMBER(SnapshotTable[[#This Row],[SC Buyback Override]]), SnapshotTable[[#This Row],[SC Buyback Override]], SnapshotTable[[#This Row],[SC Current Ask]]), "")</f>
        <v/>
      </c>
      <c r="FK251" s="250" t="str">
        <f>IF(SnapshotTable[[#This Row],[SC Time Val]]&gt;0, SnapshotTable[[#This Row],[SC Time Val]] / SnapshotTable[[#This Row],[Last Price]],"")</f>
        <v/>
      </c>
      <c r="FL251" s="302" t="str">
        <f>IF(SnapshotTable[[#This Row],[SC Is Booked]], ((SnapshotTable[[#This Row],[Last Price]] -SnapshotTable[[#This Row],[SC Strike Price]]) / SnapshotTable[[#This Row],[Last Price]]) * -1, "")</f>
        <v/>
      </c>
      <c r="FM251" s="157"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33"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36" t="str">
        <f>IF(AND(ISNUMBER(SnapshotTable[[#This Row],[SC Simple ROO]]),SnapshotTable[[#This Row],[SC Simple ROO]] &gt; 0), SnapshotTable[[#This Row],[SC Premium]] + (SnapshotTable[[#This Row],[SC Qty]] * SnapshotTable[[#This Row],[SC Upside Potential]]), "")</f>
        <v/>
      </c>
      <c r="FX251" s="302" t="str" cm="1">
        <f t="array" ref="FX251">IF(ISNUMBER(SnapshotTable[[#This Row],[SC Max Dollars]]), annualize(SnapshotTable[[#This Row],[SC Term]],(SnapshotTable[[#This Row],[SC Max Dollars]]/SnapshotTable[[#This Row],[SC Basis]])),"")</f>
        <v/>
      </c>
      <c r="FY251" s="23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29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94.097499999999997</v>
      </c>
      <c r="GD251" s="40">
        <f>SnapshotTable[[#This Row],[Last Price]] * (1+ SellingPriceToConsiderBasedOnTargetPercentage)</f>
        <v>721.11</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748</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31">
        <f>MAX(SnapshotTable[[#This Row],[Equity Basis Total]],SnapshotTable[[#This Row],[Equity Value]]) + (SnapshotTable[[#This Row],[SP Potential Spend]]- SnapshotTable[[#This Row],[SP Premium]] + SnapshotTable[[#This Row],[LP Premium]])+ (SnapshotTable[[#This Row],[LC Premium]] - SnapshotTable[[#This Row],[SC Premium]])</f>
        <v>0</v>
      </c>
      <c r="GW251" s="139" t="str">
        <f>IF(AND(SnapshotTable[[#This Row],[Exposure]] &lt;&gt; 0),SnapshotTable[[#This Row],[Exposure]] / SnapshotTable[[#Totals],[Exposure]], "")</f>
        <v/>
      </c>
      <c r="GX251" s="5"/>
      <c r="HE251" s="268"/>
      <c r="HF251" s="268"/>
      <c r="HK251" s="1"/>
      <c r="HL251" s="1"/>
      <c r="HM251" s="1"/>
      <c r="HN251" s="1"/>
      <c r="HO251" s="1"/>
      <c r="HP251" s="1"/>
    </row>
    <row r="252" spans="2:224" ht="12.75" hidden="1" customHeight="1" x14ac:dyDescent="0.25">
      <c r="B252" s="12" t="s">
        <v>237</v>
      </c>
      <c r="C252" s="422">
        <v>313.02999999999997</v>
      </c>
      <c r="D252" s="208" t="s">
        <v>258</v>
      </c>
      <c r="E252" s="39">
        <f>SnapshotTable[[#This Row],[Last Price]]*(1 -CrashDiscount)</f>
        <v>266.07549999999998</v>
      </c>
      <c r="F252" s="26" t="s">
        <v>236</v>
      </c>
      <c r="G252" s="26" t="s">
        <v>17</v>
      </c>
      <c r="H252" s="149"/>
      <c r="I252" s="194">
        <v>45218.670138888891</v>
      </c>
      <c r="J252" s="195">
        <v>45126.670138888891</v>
      </c>
      <c r="K252" s="196"/>
      <c r="L252" s="326"/>
      <c r="M252" s="140"/>
      <c r="N252" s="140"/>
      <c r="O252" s="140"/>
      <c r="P252" s="22"/>
      <c r="Q252" s="25"/>
      <c r="R252" s="4" t="str">
        <f>IF(SnapshotTable[[#This Row],[Equity Basis Total]] &gt; 0, SnapshotTable[[#This Row],[Equity Basis Total]] / SnapshotTable[[#This Row],[Equity Shares]], "")</f>
        <v/>
      </c>
      <c r="S252" s="269">
        <f>SnapshotTable[[#This Row],[Last Price]] * SnapshotTable[[#This Row],[Equity Shares]]</f>
        <v>0</v>
      </c>
      <c r="T252" s="269">
        <f>SnapshotTable[[#This Row],[Equity Value]] - SnapshotTable[[#This Row],[Equity Basis Total]]</f>
        <v>0</v>
      </c>
      <c r="U252" s="270" t="str">
        <f>IF(SnapshotTable[[#This Row],[Equity Basis Total]] &gt; 0, SnapshotTable[[#This Row],[Equity G/L]] / SnapshotTable[[#This Row],[Equity Basis Total]], "")</f>
        <v/>
      </c>
      <c r="V252" s="268">
        <v>550</v>
      </c>
      <c r="W252" s="268">
        <v>464.85</v>
      </c>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7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0">
        <v>0</v>
      </c>
      <c r="AD252" s="151" t="s">
        <v>2</v>
      </c>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1"/>
      <c r="AI252" s="5"/>
      <c r="AJ252" s="138"/>
      <c r="AK252" s="152" t="str">
        <f>IF(ISNUMBER( SnapshotTable[[#This Row],[EBF Target]]),(SnapshotTable[[#This Row],[EBF Target]] - SnapshotTable[[#This Row],[Last Price]]) / SnapshotTable[[#This Row],[Last Price]], "")</f>
        <v/>
      </c>
      <c r="AL252" s="152"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2" t="str">
        <f>IF(AND(ISNUMBER( SnapshotTable[[#This Row],[Long Term Target]]), ISNUMBER(SnapshotTable[[#This Row],[Last Price]])),(SnapshotTable[[#This Row],[Long Term Target]] - SnapshotTable[[#This Row],[Last Price]]) / SnapshotTable[[#This Row],[Last Price]], "")</f>
        <v/>
      </c>
      <c r="AP252" s="5"/>
      <c r="AQ252" s="38"/>
      <c r="AR252" s="5"/>
      <c r="AS252" s="38"/>
      <c r="AT252" s="146"/>
      <c r="AU252" s="187" t="str">
        <f>IF(OR(SnapshotTable[[#This Row],[LP No Fill]]="Y",SnapshotTable[[#This Row],[SP Is Filled]],SnapshotTable[[#This Row],[LC Not Filled]]="Y",SnapshotTable[[#This Row],[SC Is Filled]]),"Y","")</f>
        <v/>
      </c>
      <c r="AV252" s="219"/>
      <c r="AW252" s="225"/>
      <c r="AX252" s="220"/>
      <c r="AY252" s="219" t="str">
        <f>IF(SnapshotTable[[#This Row],[Implied Move]]&gt;0, SnapshotTable[[#This Row],[Last Price]]-SnapshotTable[[#This Row],[Implied Move]],"")</f>
        <v/>
      </c>
      <c r="AZ252" s="219" t="str">
        <f>IF(SnapshotTable[[#This Row],[Implied Move]]&gt;0, SnapshotTable[[#This Row],[Last Price]] + SnapshotTable[[#This Row],[Implied Move]],"")</f>
        <v/>
      </c>
      <c r="BA252" s="331">
        <v>513.29999999999995</v>
      </c>
      <c r="BB252" s="347"/>
      <c r="BC25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252" s="351"/>
      <c r="BE252" s="5"/>
      <c r="BF252" s="14"/>
      <c r="BG252" s="13"/>
      <c r="BH252" s="13"/>
      <c r="BI252" s="5"/>
      <c r="BJ252" s="136">
        <f>IF(SnapshotTable[[#This Row],[LP Qty]] &gt; 0, SnapshotTable[[#This Row],[LP Qty]] * SnapshotTable[[#This Row],[LP Book Price]] * 100,0)</f>
        <v>0</v>
      </c>
      <c r="BK252" s="136">
        <f>IF(SnapshotTable[[#This Row],[LP Premium]] &gt; 0, SnapshotTable[[#This Row],[LP Qty]] * SnapshotTable[[#This Row],[LP Strike Price]] * 100,0)</f>
        <v>0</v>
      </c>
      <c r="BL252" s="154"/>
      <c r="BM252" s="385" t="str">
        <f>IF(SnapshotTable[[#This Row],[LP Premium]] &gt; 0,SnapshotTable[[#This Row],[LP Exp Date]]-MAX(SnapshotTable[[#This Row],[LP Book Date]], SnapshotTable[[#This Row],[LP Fill Date]]),"")</f>
        <v/>
      </c>
      <c r="BN252" s="385" t="str">
        <f>IF(ISNUMBER( SnapshotTable[[#This Row],[LP Term]]), SnapshotTable[[#This Row],[LP Exp Date]] - MockToday,"")</f>
        <v/>
      </c>
      <c r="BO252" s="163"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7"/>
      <c r="BU252" s="13"/>
      <c r="BV252" s="5"/>
      <c r="BW252" s="419" t="b">
        <f>AND(ISNUMBER(SnapshotTable[[#This Row],[SP Exp Date]]), ISNUMBER(SnapshotTable[[#This Row],[SP Strike Price]]), ISNUMBER(SnapshotTable[[#This Row],[SP Qty]]), ISNUMBER(SnapshotTable[[#This Row],[SP Book Date]]), ISNUMBER(SnapshotTable[[#This Row],[SP Book Price]]))</f>
        <v>0</v>
      </c>
      <c r="BX252" s="419" t="b">
        <f>AND(SnapshotTable[[#This Row],[SP Is Booked]], NOT(ISBLANK(SnapshotTable[[#This Row],[SP Fill Date]])))</f>
        <v>0</v>
      </c>
      <c r="BY252" s="33">
        <f>IF(SnapshotTable[[#This Row],[SP Is Booked]], SnapshotTable[[#This Row],[SP Qty]] * SnapshotTable[[#This Row],[SP Book Price]] * 100, 0)</f>
        <v>0</v>
      </c>
      <c r="BZ252" s="369"/>
      <c r="CA252" s="368">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3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44"/>
      <c r="CK252" s="31">
        <f>IF(ISNUMBER(SnapshotTable[[#This Row],[SP Potential Spend]]),IF(ISNUMBER(SnapshotTable[[#This Row],[SP POW]]), SnapshotTable[[#This Row],[SP POW]] * SnapshotTable[[#This Row],[SP Potential Spend]], SnapshotTable[[#This Row],[SP Potential Spend]]), "")</f>
        <v>0</v>
      </c>
      <c r="CL252" s="164">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8"/>
      <c r="CO252" s="369"/>
      <c r="CP252" s="4" t="str">
        <f>IF(SnapshotTable[[#This Row],[SP Is Filled]], btc_max_buyback_amount(SnapshotTable[[#This Row],[SP Fill Date]],SnapshotTable[[#This Row],[SP Exp Date]], SnapshotTable[[#This Row],[SP Book Price]]),"")</f>
        <v/>
      </c>
      <c r="CQ252" s="78"/>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5" t="str">
        <f>IF(SnapshotTable[[#This Row],[SP Is Filled]], btc_next_cutoff_date(SnapshotTable[[#This Row],[SP Fill Date]],SnapshotTable[[#This Row],[SP Exp Date]]),"")</f>
        <v/>
      </c>
      <c r="CT252" s="23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3"/>
      <c r="CV252" s="235"/>
      <c r="CW252" s="378"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294" t="str">
        <f>IF(ISNUMBER((SnapshotTable[[#This Row],[SP Total Value]])), SnapshotTable[[#This Row],[SP Gain Loss]] / SnapshotTable[[#This Row],[SP Premium]], "")</f>
        <v/>
      </c>
      <c r="DI252" s="406">
        <v>46773</v>
      </c>
      <c r="DJ252" s="138">
        <v>400</v>
      </c>
      <c r="DK252" s="148">
        <v>2</v>
      </c>
      <c r="DL252" s="13">
        <v>46078</v>
      </c>
      <c r="DM252" s="13">
        <v>46078</v>
      </c>
      <c r="DN252" s="5">
        <v>118.98</v>
      </c>
      <c r="DO252" s="31">
        <f>IF(SnapshotTable[[#This Row],[LC Symbol Count]]=1, SnapshotTable[[#This Row],[LC Qty]] * SnapshotTable[[#This Row],[LC Book Price]] * 100, 0)</f>
        <v>23796</v>
      </c>
      <c r="DP252" s="163" t="str">
        <f>IF(AND(SnapshotTable[[#This Row],[LC Exp Date]]&gt;0, SnapshotTable[[#This Row],[LC Strike Price]]&gt;0,SnapshotTable[[#This Row],[LC Qty]]&gt;0,SnapshotTable[[#This Row],[LC Book Date]]&gt;0,SnapshotTable[[#This Row],[LC Book Price]]&gt;0,SnapshotTable[[#This Row],[LC Fill Date]]=0),"Y","")</f>
        <v/>
      </c>
      <c r="DQ252" s="386">
        <f>IF(SnapshotTable[[#This Row],[LC Premium]] &gt; 0,SnapshotTable[[#This Row],[LC Exp Date]]-MAX(SnapshotTable[[#This Row],[LC Book Date]], SnapshotTable[[#This Row],[LC Fill Date]]),"")</f>
        <v>695</v>
      </c>
      <c r="DR252" s="386">
        <f ca="1">IF(ISNUMBER(SnapshotTable[[#This Row],[LC Term]]), SnapshotTable[[#This Row],[LC Exp Date]] - MockToday, "")</f>
        <v>540</v>
      </c>
      <c r="DS252" s="234">
        <f>IF(SnapshotTable[[#This Row],[LC Premium]]&gt;0,SnapshotTable[[#This Row],[LC Strike Price]] + SnapshotTable[[#This Row],[LC Book Price]],"")</f>
        <v>518.98</v>
      </c>
      <c r="DT252" s="5">
        <v>103.99</v>
      </c>
      <c r="DU252" s="9">
        <f>IF(AND(SnapshotTable[[#This Row],[LC Symbol Count]]&gt;0, SnapshotTable[[#This Row],[LC Contract Value]]&gt;0), SnapshotTable[[#This Row],[LC Contract Value]] * SnapshotTable[[#This Row],[LC Qty]] * 100, "")</f>
        <v>20798</v>
      </c>
      <c r="DV252" s="9">
        <f>IF(AND(ISNUMBER(SnapshotTable[[#This Row],[LC Total Value]]), SnapshotTable[[#This Row],[LC Not Filled]]&lt;&gt;"Y"), SnapshotTable[[#This Row],[LC Total Value]]-SnapshotTable[[#This Row],[LC Premium]],"")</f>
        <v>-2998</v>
      </c>
      <c r="DW252" s="240">
        <f>IF(ISNUMBER(SnapshotTable[[#This Row],[LC Actual Gain Loss]]), SnapshotTable[[#This Row],[LC Actual Gain Loss]] / SnapshotTable[[#This Row],[LC Premium]],"")</f>
        <v>-0.12598756093461086</v>
      </c>
      <c r="DX252" s="284">
        <f>IF(ISNUMBER(SnapshotTable[[#This Row],[LC Book Price]]),SnapshotTable[[#This Row],[LC Book Price]] * 1.5,"")</f>
        <v>178.47</v>
      </c>
      <c r="DY252" s="265">
        <f>IF(SnapshotTable[[#This Row],[LC Premium]]&gt;0, SnapshotTable[[#This Row],[LC Next Target]] * SnapshotTable[[#This Row],[LC Qty]] * 100,"")</f>
        <v>35694</v>
      </c>
      <c r="DZ252" s="265">
        <f>IF(ISNUMBER(SnapshotTable[[#This Row],[LC Target Gross]]), SnapshotTable[[#This Row],[LC Target Gross]] - SnapshotTable[[#This Row],[LC Premium]], "")</f>
        <v>11898</v>
      </c>
      <c r="EA252" s="305">
        <f>IF(ISNUMBER(SnapshotTable[[#This Row],[LC Target Gain Loss]]), SnapshotTable[[#This Row],[LC Target Gain Loss]]/SnapshotTable[[#This Row],[LC Premium]], "")</f>
        <v>0.5</v>
      </c>
      <c r="EB252" s="262"/>
      <c r="EC252" s="283">
        <f>IF(SnapshotTable[[#This Row],[LC Premium]]&gt;0, SnapshotTable[[#This Row],[LC Book Price]] * (1 - LC_StopLoss_Pct),"")</f>
        <v>89.234999999999999</v>
      </c>
      <c r="ED252" s="284">
        <v>160.6</v>
      </c>
      <c r="EE252" s="283">
        <f>IF(ISNUMBER(SnapshotTable[[#This Row],[LC Contract Value]]),IF(ISNUMBER(SnapshotTable[[#This Row],[LC Stop Loss Override]]), SnapshotTable[[#This Row],[LC Stop Loss Override]],SnapshotTable[[#This Row],[LC Stop Loss Calc Target]]),"")</f>
        <v>160.6</v>
      </c>
      <c r="EF252" s="31">
        <f>IF(ISNUMBER(SnapshotTable[[#This Row],[LC Stop  To Use]]), (SnapshotTable[[#This Row],[LC Stop  To Use]] * SnapshotTable[[#This Row],[LC Qty]] * 100),"")</f>
        <v>32120</v>
      </c>
      <c r="EG252" s="9">
        <f>IF(ISNUMBER(SnapshotTable[[#This Row],[LC Total Value]]),SnapshotTable[[#This Row],[LC Stop Loss Amount]] - SnapshotTable[[#This Row],[LC Premium]],"")</f>
        <v>8324</v>
      </c>
      <c r="EH252" s="9">
        <f>IF(ISNUMBER(SnapshotTable[[#This Row],[LC Premium]]), SnapshotTable[[#This Row],[LC Qty]] * 100 * SnapshotTable[[#This Row],[LC Strike Price]], "")</f>
        <v>80000</v>
      </c>
      <c r="EI252" s="240">
        <f>IF(AND(ISNUMBER(SnapshotTable[[#This Row],[LC Total Value]]),SnapshotTable[[#This Row],[LC Total Value]]&gt;0),SnapshotTable[[#This Row],[LC Stop Gain Loss]]  / SnapshotTable[[#This Row],[LC Premium]],"")</f>
        <v>0.34980669020003363</v>
      </c>
      <c r="EJ252" s="35">
        <f>IF(ISNUMBER(SnapshotTable[[#This Row],[Equity Shares]]),TRUNC(SnapshotTable[[#This Row],[Equity Shares]] / 100),0) + SnapshotTable[[#This Row],[LC Qty]]</f>
        <v>2</v>
      </c>
      <c r="EK252" s="147"/>
      <c r="EL252" s="138"/>
      <c r="EM252" s="148"/>
      <c r="EN252" s="147"/>
      <c r="EO252" s="147"/>
      <c r="EP252" s="138"/>
      <c r="EQ252" s="419" t="b">
        <f>AND(ISNUMBER(SnapshotTable[[#This Row],[SC Exp Date]]), ISNUMBER(SnapshotTable[[#This Row],[SC Strike Price]]), ISNUMBER(SnapshotTable[[#This Row],[SC Qty]]), ISNUMBER(SnapshotTable[[#This Row],[SC Book Date]]), ISNUMBER(SnapshotTable[[#This Row],[SC Book Price]]))</f>
        <v>0</v>
      </c>
      <c r="ER252" s="419" t="b">
        <f>AND(SnapshotTable[[#This Row],[SC Is Booked]], NOT(ISBLANK(SnapshotTable[[#This Row],[SC Fill Date]])))</f>
        <v>0</v>
      </c>
      <c r="ES252" s="370"/>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3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283"/>
      <c r="FA252" s="218"/>
      <c r="FB252" s="370"/>
      <c r="FC252" s="4">
        <f>IF(SnapshotTable[[#This Row],[SC Is Filled]], btc_max_buyback_amount(SnapshotTable[[#This Row],[SC Fill Date]],SnapshotTable[[#This Row],[SC Exp Date]], SnapshotTable[[#This Row],[SC Book Price]]),0)</f>
        <v>0</v>
      </c>
      <c r="FD252" s="5"/>
      <c r="FE252" s="144"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382">
        <f>IF(SnapshotTable[[#This Row],[SC Is Filled]], IF(ISNUMBER(SnapshotTable[[#This Row],[SC Current Ask]]), SnapshotTable[[#This Row],[SC Current Ask]], SnapshotTable[[#This Row],[SC Book Price]]) - SnapshotTable[[#This Row],[SC Intrinsic Value]], 0)</f>
        <v>0</v>
      </c>
      <c r="FI252" s="143"/>
      <c r="FJ252" s="32" t="str">
        <f>IF(SnapshotTable[[#This Row],[SC Is Filled]],100 * SnapshotTable[[#This Row],[SC Qty]] * IF(ISNUMBER(SnapshotTable[[#This Row],[SC Buyback Override]]), SnapshotTable[[#This Row],[SC Buyback Override]], SnapshotTable[[#This Row],[SC Current Ask]]), "")</f>
        <v/>
      </c>
      <c r="FK252" s="250" t="str">
        <f>IF(SnapshotTable[[#This Row],[SC Time Val]]&gt;0, SnapshotTable[[#This Row],[SC Time Val]] / SnapshotTable[[#This Row],[Last Price]],"")</f>
        <v/>
      </c>
      <c r="FL252" s="302" t="str">
        <f>IF(SnapshotTable[[#This Row],[SC Is Booked]], ((SnapshotTable[[#This Row],[Last Price]] -SnapshotTable[[#This Row],[SC Strike Price]]) / SnapshotTable[[#This Row],[Last Price]]) * -1, "")</f>
        <v/>
      </c>
      <c r="FM252" s="157"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33"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36" t="str">
        <f>IF(AND(ISNUMBER(SnapshotTable[[#This Row],[SC Simple ROO]]),SnapshotTable[[#This Row],[SC Simple ROO]] &gt; 0), SnapshotTable[[#This Row],[SC Premium]] + (SnapshotTable[[#This Row],[SC Qty]] * SnapshotTable[[#This Row],[SC Upside Potential]]), "")</f>
        <v/>
      </c>
      <c r="FX252" s="302" t="str" cm="1">
        <f t="array" ref="FX252">IF(ISNUMBER(SnapshotTable[[#This Row],[SC Max Dollars]]), annualize(SnapshotTable[[#This Row],[SC Term]],(SnapshotTable[[#This Row],[SC Max Dollars]]/SnapshotTable[[#This Row],[SC Basis]])),"")</f>
        <v/>
      </c>
      <c r="FY252" s="23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29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610.40849999999989</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1218</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TSLA280121C00400000</v>
      </c>
      <c r="GQ252" s="30">
        <f>IF(LEN(SnapshotTable[[#This Row],[LC Symbol]])&gt;0, 1, "")</f>
        <v>1</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Y</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52" s="231">
        <f>MAX(SnapshotTable[[#This Row],[Equity Basis Total]],SnapshotTable[[#This Row],[Equity Value]]) + (SnapshotTable[[#This Row],[SP Potential Spend]]- SnapshotTable[[#This Row],[SP Premium]] + SnapshotTable[[#This Row],[LP Premium]])+ (SnapshotTable[[#This Row],[LC Premium]] - SnapshotTable[[#This Row],[SC Premium]])</f>
        <v>23796</v>
      </c>
      <c r="GW252" s="139">
        <f ca="1">IF(AND(SnapshotTable[[#This Row],[Exposure]] &lt;&gt; 0),SnapshotTable[[#This Row],[Exposure]] / SnapshotTable[[#Totals],[Exposure]], "")</f>
        <v>0.11200892305745763</v>
      </c>
      <c r="GX252" s="13"/>
      <c r="HK252" s="1"/>
      <c r="HL252" s="1"/>
      <c r="HM252" s="1"/>
      <c r="HN252" s="1"/>
      <c r="HO252" s="1"/>
      <c r="HP252" s="1"/>
    </row>
    <row r="253" spans="2:224" ht="12.75" hidden="1" customHeight="1" x14ac:dyDescent="0.25">
      <c r="B253" s="12" t="s">
        <v>1142</v>
      </c>
      <c r="C253" s="422">
        <v>30.56</v>
      </c>
      <c r="D253" s="208">
        <v>45</v>
      </c>
      <c r="E253" s="39">
        <f>SnapshotTable[[#This Row],[Last Price]]*(1 -CrashDiscount)</f>
        <v>25.975999999999999</v>
      </c>
      <c r="F253" s="26" t="s">
        <v>958</v>
      </c>
      <c r="G253" s="325" t="s">
        <v>9</v>
      </c>
      <c r="H253" s="149"/>
      <c r="I253" s="194"/>
      <c r="J253" s="195"/>
      <c r="K253" s="196"/>
      <c r="L253" s="326"/>
      <c r="M253" s="140"/>
      <c r="N253" s="140"/>
      <c r="O253" s="140"/>
      <c r="P253" s="22"/>
      <c r="Q253" s="25"/>
      <c r="R253" s="4" t="str">
        <f>IF(SnapshotTable[[#This Row],[Equity Basis Total]] &gt; 0, SnapshotTable[[#This Row],[Equity Basis Total]] / SnapshotTable[[#This Row],[Equity Shares]], "")</f>
        <v/>
      </c>
      <c r="S253" s="269">
        <f>SnapshotTable[[#This Row],[Last Price]] * SnapshotTable[[#This Row],[Equity Shares]]</f>
        <v>0</v>
      </c>
      <c r="T253" s="269">
        <f>SnapshotTable[[#This Row],[Equity Value]] - SnapshotTable[[#This Row],[Equity Basis Total]]</f>
        <v>0</v>
      </c>
      <c r="U253" s="270" t="str">
        <f>IF(SnapshotTable[[#This Row],[Equity Basis Total]] &gt; 0, SnapshotTable[[#This Row],[Equity G/L]] / SnapshotTable[[#This Row],[Equity Basis Total]], "")</f>
        <v/>
      </c>
      <c r="V253" s="268"/>
      <c r="W253" s="26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7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0"/>
      <c r="AD253" s="151"/>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v>
      </c>
      <c r="AH253" s="151"/>
      <c r="AI253" s="5"/>
      <c r="AJ253" s="138">
        <v>375.2</v>
      </c>
      <c r="AK253" s="152" t="str">
        <f>IF(ISNUMBER( SnapshotTable[[#This Row],[EBF Target]]),(SnapshotTable[[#This Row],[EBF Target]] - SnapshotTable[[#This Row],[Last Price]]) / SnapshotTable[[#This Row],[Last Price]], "")</f>
        <v/>
      </c>
      <c r="AL253" s="152"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2">
        <f>IF(AND(ISNUMBER( SnapshotTable[[#This Row],[Long Term Target]]), ISNUMBER(SnapshotTable[[#This Row],[Last Price]])),(SnapshotTable[[#This Row],[Long Term Target]] - SnapshotTable[[#This Row],[Last Price]]) / SnapshotTable[[#This Row],[Last Price]], "")</f>
        <v>11.277486910994764</v>
      </c>
      <c r="AP253" s="5">
        <v>810</v>
      </c>
      <c r="AQ253" s="38" t="s">
        <v>38</v>
      </c>
      <c r="AR253" s="5">
        <v>800</v>
      </c>
      <c r="AS253" s="38" t="s">
        <v>109</v>
      </c>
      <c r="AT253" s="146" t="s">
        <v>532</v>
      </c>
      <c r="AU253" s="187" t="str">
        <f>IF(OR(SnapshotTable[[#This Row],[LP No Fill]]="Y",SnapshotTable[[#This Row],[SP Is Filled]],SnapshotTable[[#This Row],[LC Not Filled]]="Y",SnapshotTable[[#This Row],[SC Is Filled]]),"Y","")</f>
        <v/>
      </c>
      <c r="AV253" s="219"/>
      <c r="AW253" s="225"/>
      <c r="AX253" s="220"/>
      <c r="AY253" s="219" t="str">
        <f>IF(SnapshotTable[[#This Row],[Implied Move]]&gt;0, SnapshotTable[[#This Row],[Last Price]]-SnapshotTable[[#This Row],[Implied Move]],"")</f>
        <v/>
      </c>
      <c r="AZ253" s="219" t="str">
        <f>IF(SnapshotTable[[#This Row],[Implied Move]]&gt;0, SnapshotTable[[#This Row],[Last Price]] + SnapshotTable[[#This Row],[Implied Move]],"")</f>
        <v/>
      </c>
      <c r="BA253" s="331">
        <v>43.23</v>
      </c>
      <c r="BB253" s="347" t="s">
        <v>1165</v>
      </c>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51"/>
      <c r="BE253" s="5"/>
      <c r="BF253" s="14"/>
      <c r="BG253" s="13"/>
      <c r="BH253" s="13"/>
      <c r="BI253" s="5"/>
      <c r="BJ253" s="136">
        <f>IF(SnapshotTable[[#This Row],[LP Qty]] &gt; 0, SnapshotTable[[#This Row],[LP Qty]] * SnapshotTable[[#This Row],[LP Book Price]] * 100,0)</f>
        <v>0</v>
      </c>
      <c r="BK253" s="136">
        <f>IF(SnapshotTable[[#This Row],[LP Premium]] &gt; 0, SnapshotTable[[#This Row],[LP Qty]] * SnapshotTable[[#This Row],[LP Strike Price]] * 100,0)</f>
        <v>0</v>
      </c>
      <c r="BL253" s="154"/>
      <c r="BM253" s="385" t="str">
        <f>IF(SnapshotTable[[#This Row],[LP Premium]] &gt; 0,SnapshotTable[[#This Row],[LP Exp Date]]-MAX(SnapshotTable[[#This Row],[LP Book Date]], SnapshotTable[[#This Row],[LP Fill Date]]),"")</f>
        <v/>
      </c>
      <c r="BN253" s="385" t="str">
        <f>IF(ISNUMBER( SnapshotTable[[#This Row],[LP Term]]), SnapshotTable[[#This Row],[LP Exp Date]] - MockToday,"")</f>
        <v/>
      </c>
      <c r="BO253" s="163"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7"/>
      <c r="BU253" s="13"/>
      <c r="BV253" s="5"/>
      <c r="BW253" s="419" t="b">
        <f>AND(ISNUMBER(SnapshotTable[[#This Row],[SP Exp Date]]), ISNUMBER(SnapshotTable[[#This Row],[SP Strike Price]]), ISNUMBER(SnapshotTable[[#This Row],[SP Qty]]), ISNUMBER(SnapshotTable[[#This Row],[SP Book Date]]), ISNUMBER(SnapshotTable[[#This Row],[SP Book Price]]))</f>
        <v>0</v>
      </c>
      <c r="BX253" s="419" t="b">
        <f>AND(SnapshotTable[[#This Row],[SP Is Booked]], NOT(ISBLANK(SnapshotTable[[#This Row],[SP Fill Date]])))</f>
        <v>0</v>
      </c>
      <c r="BY253" s="33">
        <f>IF(SnapshotTable[[#This Row],[SP Is Booked]], SnapshotTable[[#This Row],[SP Qty]] * SnapshotTable[[#This Row],[SP Book Price]] * 100, 0)</f>
        <v>0</v>
      </c>
      <c r="BZ253" s="369"/>
      <c r="CA253" s="368">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3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44"/>
      <c r="CK253" s="31">
        <f>IF(ISNUMBER(SnapshotTable[[#This Row],[SP Potential Spend]]),IF(ISNUMBER(SnapshotTable[[#This Row],[SP POW]]), SnapshotTable[[#This Row],[SP POW]] * SnapshotTable[[#This Row],[SP Potential Spend]], SnapshotTable[[#This Row],[SP Potential Spend]]), "")</f>
        <v>0</v>
      </c>
      <c r="CL253" s="164">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8"/>
      <c r="CO253" s="369"/>
      <c r="CP253" s="4" t="str">
        <f>IF(SnapshotTable[[#This Row],[SP Is Filled]], btc_max_buyback_amount(SnapshotTable[[#This Row],[SP Fill Date]],SnapshotTable[[#This Row],[SP Exp Date]], SnapshotTable[[#This Row],[SP Book Price]]),"")</f>
        <v/>
      </c>
      <c r="CQ253" s="78"/>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5" t="str">
        <f>IF(SnapshotTable[[#This Row],[SP Is Filled]], btc_next_cutoff_date(SnapshotTable[[#This Row],[SP Fill Date]],SnapshotTable[[#This Row],[SP Exp Date]]),"")</f>
        <v/>
      </c>
      <c r="CT253" s="23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3">
        <v>45891</v>
      </c>
      <c r="CV253" s="235"/>
      <c r="CW253" s="378"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294" t="str">
        <f>IF(ISNUMBER((SnapshotTable[[#This Row],[SP Total Value]])), SnapshotTable[[#This Row],[SP Gain Loss]] / SnapshotTable[[#This Row],[SP Premium]], "")</f>
        <v/>
      </c>
      <c r="DI253" s="406"/>
      <c r="DJ253" s="138"/>
      <c r="DK253" s="148"/>
      <c r="DL253" s="13"/>
      <c r="DM253" s="13"/>
      <c r="DO253" s="31">
        <f>IF(SnapshotTable[[#This Row],[LC Symbol Count]]=1, SnapshotTable[[#This Row],[LC Qty]] * SnapshotTable[[#This Row],[LC Book Price]] * 100, 0)</f>
        <v>0</v>
      </c>
      <c r="DP253" s="163" t="str">
        <f>IF(AND(SnapshotTable[[#This Row],[LC Exp Date]]&gt;0, SnapshotTable[[#This Row],[LC Strike Price]]&gt;0,SnapshotTable[[#This Row],[LC Qty]]&gt;0,SnapshotTable[[#This Row],[LC Book Date]]&gt;0,SnapshotTable[[#This Row],[LC Book Price]]&gt;0,SnapshotTable[[#This Row],[LC Fill Date]]=0),"Y","")</f>
        <v/>
      </c>
      <c r="DQ253" s="386" t="str">
        <f>IF(SnapshotTable[[#This Row],[LC Premium]] &gt; 0,SnapshotTable[[#This Row],[LC Exp Date]]-MAX(SnapshotTable[[#This Row],[LC Book Date]], SnapshotTable[[#This Row],[LC Fill Date]]),"")</f>
        <v/>
      </c>
      <c r="DR253" s="386" t="str">
        <f>IF(ISNUMBER(SnapshotTable[[#This Row],[LC Term]]), SnapshotTable[[#This Row],[LC Exp Date]] - MockToday, "")</f>
        <v/>
      </c>
      <c r="DS253" s="23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40" t="str">
        <f>IF(ISNUMBER(SnapshotTable[[#This Row],[LC Actual Gain Loss]]), SnapshotTable[[#This Row],[LC Actual Gain Loss]] / SnapshotTable[[#This Row],[LC Premium]],"")</f>
        <v/>
      </c>
      <c r="DX253" s="284" t="str">
        <f>IF(ISNUMBER(SnapshotTable[[#This Row],[LC Book Price]]),SnapshotTable[[#This Row],[LC Book Price]] * 1.5,"")</f>
        <v/>
      </c>
      <c r="DY253" s="265" t="str">
        <f>IF(SnapshotTable[[#This Row],[LC Premium]]&gt;0, SnapshotTable[[#This Row],[LC Next Target]] * SnapshotTable[[#This Row],[LC Qty]] * 100,"")</f>
        <v/>
      </c>
      <c r="DZ253" s="265" t="str">
        <f>IF(ISNUMBER(SnapshotTable[[#This Row],[LC Target Gross]]), SnapshotTable[[#This Row],[LC Target Gross]] - SnapshotTable[[#This Row],[LC Premium]], "")</f>
        <v/>
      </c>
      <c r="EA253" s="305" t="str">
        <f>IF(ISNUMBER(SnapshotTable[[#This Row],[LC Target Gain Loss]]), SnapshotTable[[#This Row],[LC Target Gain Loss]]/SnapshotTable[[#This Row],[LC Premium]], "")</f>
        <v/>
      </c>
      <c r="EB253" s="262"/>
      <c r="EC253" s="283" t="str">
        <f>IF(SnapshotTable[[#This Row],[LC Premium]]&gt;0, SnapshotTable[[#This Row],[LC Book Price]] * (1 - LC_StopLoss_Pct),"")</f>
        <v/>
      </c>
      <c r="ED253" s="284"/>
      <c r="EE253" s="28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4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7"/>
      <c r="EL253" s="138"/>
      <c r="EM253" s="148"/>
      <c r="EN253" s="147"/>
      <c r="EO253" s="147"/>
      <c r="EP253" s="138"/>
      <c r="EQ253" s="419" t="b">
        <f>AND(ISNUMBER(SnapshotTable[[#This Row],[SC Exp Date]]), ISNUMBER(SnapshotTable[[#This Row],[SC Strike Price]]), ISNUMBER(SnapshotTable[[#This Row],[SC Qty]]), ISNUMBER(SnapshotTable[[#This Row],[SC Book Date]]), ISNUMBER(SnapshotTable[[#This Row],[SC Book Price]]))</f>
        <v>0</v>
      </c>
      <c r="ER253" s="419" t="b">
        <f>AND(SnapshotTable[[#This Row],[SC Is Booked]], NOT(ISBLANK(SnapshotTable[[#This Row],[SC Fill Date]])))</f>
        <v>0</v>
      </c>
      <c r="ES253" s="370"/>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3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283"/>
      <c r="FA253" s="218"/>
      <c r="FB253" s="370"/>
      <c r="FC253" s="4">
        <f>IF(SnapshotTable[[#This Row],[SC Is Filled]], btc_max_buyback_amount(SnapshotTable[[#This Row],[SC Fill Date]],SnapshotTable[[#This Row],[SC Exp Date]], SnapshotTable[[#This Row],[SC Book Price]]),0)</f>
        <v>0</v>
      </c>
      <c r="FD253" s="5"/>
      <c r="FE253" s="144"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382">
        <f>IF(SnapshotTable[[#This Row],[SC Is Filled]], IF(ISNUMBER(SnapshotTable[[#This Row],[SC Current Ask]]), SnapshotTable[[#This Row],[SC Current Ask]], SnapshotTable[[#This Row],[SC Book Price]]) - SnapshotTable[[#This Row],[SC Intrinsic Value]], 0)</f>
        <v>0</v>
      </c>
      <c r="FI253" s="143"/>
      <c r="FJ253" s="32" t="str">
        <f>IF(SnapshotTable[[#This Row],[SC Is Filled]],100 * SnapshotTable[[#This Row],[SC Qty]] * IF(ISNUMBER(SnapshotTable[[#This Row],[SC Buyback Override]]), SnapshotTable[[#This Row],[SC Buyback Override]], SnapshotTable[[#This Row],[SC Current Ask]]), "")</f>
        <v/>
      </c>
      <c r="FK253" s="250" t="str">
        <f>IF(SnapshotTable[[#This Row],[SC Time Val]]&gt;0, SnapshotTable[[#This Row],[SC Time Val]] / SnapshotTable[[#This Row],[Last Price]],"")</f>
        <v/>
      </c>
      <c r="FL253" s="302" t="str">
        <f>IF(SnapshotTable[[#This Row],[SC Is Booked]], ((SnapshotTable[[#This Row],[Last Price]] -SnapshotTable[[#This Row],[SC Strike Price]]) / SnapshotTable[[#This Row],[Last Price]]) * -1, "")</f>
        <v/>
      </c>
      <c r="FM253" s="157"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33"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36" t="str">
        <f>IF(AND(ISNUMBER(SnapshotTable[[#This Row],[SC Simple ROO]]),SnapshotTable[[#This Row],[SC Simple ROO]] &gt; 0), SnapshotTable[[#This Row],[SC Premium]] + (SnapshotTable[[#This Row],[SC Qty]] * SnapshotTable[[#This Row],[SC Upside Potential]]), "")</f>
        <v/>
      </c>
      <c r="FX253" s="302" t="str" cm="1">
        <f t="array" ref="FX253">IF(ISNUMBER(SnapshotTable[[#This Row],[SC Max Dollars]]), annualize(SnapshotTable[[#This Row],[SC Term]],(SnapshotTable[[#This Row],[SC Max Dollars]]/SnapshotTable[[#This Row],[SC Basis]])),"")</f>
        <v/>
      </c>
      <c r="FY253" s="23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29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356.44</v>
      </c>
      <c r="GD253" s="40">
        <f>SnapshotTable[[#This Row],[Last Price]] * (1+ SellingPriceToConsiderBasedOnTargetPercentage)</f>
        <v>59.591999999999999</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31">
        <f>MAX(SnapshotTable[[#This Row],[Equity Basis Total]],SnapshotTable[[#This Row],[Equity Value]]) + (SnapshotTable[[#This Row],[SP Potential Spend]]- SnapshotTable[[#This Row],[SP Premium]] + SnapshotTable[[#This Row],[LP Premium]])+ (SnapshotTable[[#This Row],[LC Premium]] - SnapshotTable[[#This Row],[SC Premium]])</f>
        <v>0</v>
      </c>
      <c r="GW253" s="139" t="str">
        <f>IF(AND(SnapshotTable[[#This Row],[Exposure]] &lt;&gt; 0),SnapshotTable[[#This Row],[Exposure]] / SnapshotTable[[#Totals],[Exposure]], "")</f>
        <v/>
      </c>
      <c r="GX253" s="13"/>
      <c r="HK253" s="1"/>
      <c r="HL253" s="1"/>
      <c r="HM253" s="1"/>
      <c r="HN253" s="1"/>
      <c r="HO253" s="1"/>
      <c r="HP253" s="1"/>
    </row>
    <row r="254" spans="2:224" ht="12.75" hidden="1" customHeight="1" x14ac:dyDescent="0.25">
      <c r="B254" s="12" t="s">
        <v>1071</v>
      </c>
      <c r="C254" s="422">
        <v>586.91</v>
      </c>
      <c r="D254" s="208" t="s">
        <v>578</v>
      </c>
      <c r="E254" s="39">
        <f>SnapshotTable[[#This Row],[Last Price]]*(1 -CrashDiscount)</f>
        <v>498.87349999999998</v>
      </c>
      <c r="F254" s="26" t="s">
        <v>5</v>
      </c>
      <c r="G254" s="325" t="s">
        <v>4</v>
      </c>
      <c r="H254" s="149"/>
      <c r="I254" s="194">
        <v>45041.288194444445</v>
      </c>
      <c r="J254" s="352">
        <v>45041.288194444445</v>
      </c>
      <c r="K254" s="353"/>
      <c r="L254" s="327"/>
      <c r="M254" s="140"/>
      <c r="N254" s="140"/>
      <c r="O254" s="140"/>
      <c r="P254" s="328"/>
      <c r="Q254" s="354"/>
      <c r="R254" s="4" t="str">
        <f>IF(SnapshotTable[[#This Row],[Equity Basis Total]] &gt; 0, SnapshotTable[[#This Row],[Equity Basis Total]] / SnapshotTable[[#This Row],[Equity Shares]], "")</f>
        <v/>
      </c>
      <c r="S254" s="329">
        <f>SnapshotTable[[#This Row],[Last Price]] * SnapshotTable[[#This Row],[Equity Shares]]</f>
        <v>0</v>
      </c>
      <c r="T254" s="269">
        <f>SnapshotTable[[#This Row],[Equity Value]] - SnapshotTable[[#This Row],[Equity Basis Total]]</f>
        <v>0</v>
      </c>
      <c r="U254" s="270" t="str">
        <f>IF(SnapshotTable[[#This Row],[Equity Basis Total]] &gt; 0, SnapshotTable[[#This Row],[Equity G/L]] / SnapshotTable[[#This Row],[Equity Basis Total]], "")</f>
        <v/>
      </c>
      <c r="V254" s="268"/>
      <c r="W254" s="268"/>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7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0"/>
      <c r="AD254" s="350"/>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1"/>
      <c r="AI254" s="330"/>
      <c r="AJ254" s="138"/>
      <c r="AK254" s="152" t="str">
        <f>IF(ISNUMBER( SnapshotTable[[#This Row],[EBF Target]]),(SnapshotTable[[#This Row],[EBF Target]] - SnapshotTable[[#This Row],[Last Price]]) / SnapshotTable[[#This Row],[Last Price]], "")</f>
        <v/>
      </c>
      <c r="AL254" s="152"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2" t="str">
        <f>IF(AND(ISNUMBER( SnapshotTable[[#This Row],[Long Term Target]]), ISNUMBER(SnapshotTable[[#This Row],[Last Price]])),(SnapshotTable[[#This Row],[Long Term Target]] - SnapshotTable[[#This Row],[Last Price]]) / SnapshotTable[[#This Row],[Last Price]], "")</f>
        <v/>
      </c>
      <c r="AP254" s="5">
        <v>232</v>
      </c>
      <c r="AQ254" s="38" t="s">
        <v>1069</v>
      </c>
      <c r="AR254" s="5">
        <v>212.91</v>
      </c>
      <c r="AS254" s="38" t="s">
        <v>89</v>
      </c>
      <c r="AT254" s="146" t="s">
        <v>543</v>
      </c>
      <c r="AU254" s="187" t="str">
        <f>IF(OR(SnapshotTable[[#This Row],[LP No Fill]]="Y",SnapshotTable[[#This Row],[SP Is Filled]],SnapshotTable[[#This Row],[LC Not Filled]]="Y",SnapshotTable[[#This Row],[SC Is Filled]]),"Y","")</f>
        <v/>
      </c>
      <c r="AV254" s="338"/>
      <c r="AW254" s="339"/>
      <c r="AX254" s="220"/>
      <c r="AY254" s="219" t="str">
        <f>IF(SnapshotTable[[#This Row],[Implied Move]]&gt;0, SnapshotTable[[#This Row],[Last Price]]-SnapshotTable[[#This Row],[Implied Move]],"")</f>
        <v/>
      </c>
      <c r="AZ254" s="219" t="str">
        <f>IF(SnapshotTable[[#This Row],[Implied Move]]&gt;0, SnapshotTable[[#This Row],[Last Price]] + SnapshotTable[[#This Row],[Implied Move]],"")</f>
        <v/>
      </c>
      <c r="BA254" s="331">
        <v>2.67</v>
      </c>
      <c r="BB254" s="347" t="s">
        <v>1074</v>
      </c>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51"/>
      <c r="BE254" s="138"/>
      <c r="BF254" s="166"/>
      <c r="BG254" s="167"/>
      <c r="BH254" s="167"/>
      <c r="BI254" s="221"/>
      <c r="BJ254" s="153">
        <f>IF(SnapshotTable[[#This Row],[LP Qty]] &gt; 0, SnapshotTable[[#This Row],[LP Qty]] * SnapshotTable[[#This Row],[LP Book Price]] * 100,0)</f>
        <v>0</v>
      </c>
      <c r="BK254" s="136">
        <f>IF(SnapshotTable[[#This Row],[LP Premium]] &gt; 0, SnapshotTable[[#This Row],[LP Qty]] * SnapshotTable[[#This Row],[LP Strike Price]] * 100,0)</f>
        <v>0</v>
      </c>
      <c r="BL254" s="154"/>
      <c r="BM254" s="385" t="str">
        <f>IF(SnapshotTable[[#This Row],[LP Premium]] &gt; 0,SnapshotTable[[#This Row],[LP Exp Date]]-MAX(SnapshotTable[[#This Row],[LP Book Date]], SnapshotTable[[#This Row],[LP Fill Date]]),"")</f>
        <v/>
      </c>
      <c r="BN254" s="385" t="str">
        <f>IF(ISNUMBER( SnapshotTable[[#This Row],[LP Term]]), SnapshotTable[[#This Row],[LP Exp Date]] - MockToday,"")</f>
        <v/>
      </c>
      <c r="BO254" s="163"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7"/>
      <c r="BU254" s="13"/>
      <c r="BV254" s="5"/>
      <c r="BW254" s="419" t="b">
        <f>AND(ISNUMBER(SnapshotTable[[#This Row],[SP Exp Date]]), ISNUMBER(SnapshotTable[[#This Row],[SP Strike Price]]), ISNUMBER(SnapshotTable[[#This Row],[SP Qty]]), ISNUMBER(SnapshotTable[[#This Row],[SP Book Date]]), ISNUMBER(SnapshotTable[[#This Row],[SP Book Price]]))</f>
        <v>0</v>
      </c>
      <c r="BX254" s="419" t="b">
        <f>AND(SnapshotTable[[#This Row],[SP Is Booked]], NOT(ISBLANK(SnapshotTable[[#This Row],[SP Fill Date]])))</f>
        <v>0</v>
      </c>
      <c r="BY254" s="33">
        <f>IF(SnapshotTable[[#This Row],[SP Is Booked]], SnapshotTable[[#This Row],[SP Qty]] * SnapshotTable[[#This Row],[SP Book Price]] * 100, 0)</f>
        <v>0</v>
      </c>
      <c r="BZ254" s="369"/>
      <c r="CA254" s="368">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3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44"/>
      <c r="CK254" s="31">
        <f>IF(ISNUMBER(SnapshotTable[[#This Row],[SP Potential Spend]]),IF(ISNUMBER(SnapshotTable[[#This Row],[SP POW]]), SnapshotTable[[#This Row],[SP POW]] * SnapshotTable[[#This Row],[SP Potential Spend]], SnapshotTable[[#This Row],[SP Potential Spend]]), "")</f>
        <v>0</v>
      </c>
      <c r="CL254" s="164">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4"/>
      <c r="CO254" s="369"/>
      <c r="CP254" s="320" t="str">
        <f>IF(SnapshotTable[[#This Row],[SP Is Filled]], btc_max_buyback_amount(SnapshotTable[[#This Row],[SP Fill Date]],SnapshotTable[[#This Row],[SP Exp Date]], SnapshotTable[[#This Row],[SP Book Price]]),"")</f>
        <v/>
      </c>
      <c r="CQ254" s="78"/>
      <c r="CR25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5" t="str">
        <f>IF(SnapshotTable[[#This Row],[SP Is Filled]], btc_next_cutoff_date(SnapshotTable[[#This Row],[SP Fill Date]],SnapshotTable[[#This Row],[SP Exp Date]]),"")</f>
        <v/>
      </c>
      <c r="CT254" s="23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6"/>
      <c r="CV254" s="235"/>
      <c r="CW254" s="378"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294" t="str">
        <f>IF(ISNUMBER((SnapshotTable[[#This Row],[SP Total Value]])), SnapshotTable[[#This Row],[SP Gain Loss]] / SnapshotTable[[#This Row],[SP Premium]], "")</f>
        <v/>
      </c>
      <c r="DI254" s="406"/>
      <c r="DJ254" s="138"/>
      <c r="DK254" s="148"/>
      <c r="DL254" s="147"/>
      <c r="DM254" s="147"/>
      <c r="DO254" s="31">
        <f>IF(SnapshotTable[[#This Row],[LC Symbol Count]]=1, SnapshotTable[[#This Row],[LC Qty]] * SnapshotTable[[#This Row],[LC Book Price]] * 100, 0)</f>
        <v>0</v>
      </c>
      <c r="DP254" s="289" t="str">
        <f>IF(AND(SnapshotTable[[#This Row],[LC Exp Date]]&gt;0, SnapshotTable[[#This Row],[LC Strike Price]]&gt;0,SnapshotTable[[#This Row],[LC Qty]]&gt;0,SnapshotTable[[#This Row],[LC Book Date]]&gt;0,SnapshotTable[[#This Row],[LC Book Price]]&gt;0,SnapshotTable[[#This Row],[LC Fill Date]]=0),"Y","")</f>
        <v/>
      </c>
      <c r="DQ254" s="386" t="str">
        <f>IF(SnapshotTable[[#This Row],[LC Premium]] &gt; 0,SnapshotTable[[#This Row],[LC Exp Date]]-MAX(SnapshotTable[[#This Row],[LC Book Date]], SnapshotTable[[#This Row],[LC Fill Date]]),"")</f>
        <v/>
      </c>
      <c r="DR254" s="386" t="str">
        <f>IF(ISNUMBER(SnapshotTable[[#This Row],[LC Term]]), SnapshotTable[[#This Row],[LC Exp Date]] - MockToday, "")</f>
        <v/>
      </c>
      <c r="DS254" s="355" t="str">
        <f>IF(SnapshotTable[[#This Row],[LC Premium]]&gt;0,SnapshotTable[[#This Row],[LC Strike Price]] + SnapshotTable[[#This Row],[LC Book Price]],"")</f>
        <v/>
      </c>
      <c r="DT254" s="163"/>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40" t="str">
        <f>IF(ISNUMBER(SnapshotTable[[#This Row],[LC Actual Gain Loss]]), SnapshotTable[[#This Row],[LC Actual Gain Loss]] / SnapshotTable[[#This Row],[LC Premium]],"")</f>
        <v/>
      </c>
      <c r="DX254" s="284" t="str">
        <f>IF(ISNUMBER(SnapshotTable[[#This Row],[LC Book Price]]),SnapshotTable[[#This Row],[LC Book Price]] * 1.5,"")</f>
        <v/>
      </c>
      <c r="DY254" s="265" t="str">
        <f>IF(SnapshotTable[[#This Row],[LC Premium]]&gt;0, SnapshotTable[[#This Row],[LC Next Target]] * SnapshotTable[[#This Row],[LC Qty]] * 100,"")</f>
        <v/>
      </c>
      <c r="DZ254" s="265" t="str">
        <f>IF(ISNUMBER(SnapshotTable[[#This Row],[LC Target Gross]]), SnapshotTable[[#This Row],[LC Target Gross]] - SnapshotTable[[#This Row],[LC Premium]], "")</f>
        <v/>
      </c>
      <c r="EA254" s="305" t="str">
        <f>IF(ISNUMBER(SnapshotTable[[#This Row],[LC Target Gain Loss]]), SnapshotTable[[#This Row],[LC Target Gain Loss]]/SnapshotTable[[#This Row],[LC Premium]], "")</f>
        <v/>
      </c>
      <c r="EB254" s="262"/>
      <c r="EC254" s="290" t="str">
        <f>IF(SnapshotTable[[#This Row],[LC Premium]]&gt;0, SnapshotTable[[#This Row],[LC Book Price]] * (1 - LC_StopLoss_Pct),"")</f>
        <v/>
      </c>
      <c r="ED254" s="284"/>
      <c r="EE254" s="290" t="str">
        <f>IF(ISNUMBER(SnapshotTable[[#This Row],[LC Contract Value]]),IF(ISNUMBER(SnapshotTable[[#This Row],[LC Stop Loss Override]]), SnapshotTable[[#This Row],[LC Stop Loss Override]],SnapshotTable[[#This Row],[LC Stop Loss Calc Target]]),"")</f>
        <v/>
      </c>
      <c r="EF254" s="32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4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7"/>
      <c r="EL254" s="138"/>
      <c r="EM254" s="148"/>
      <c r="EN254" s="147"/>
      <c r="EO254" s="147"/>
      <c r="EP254" s="138"/>
      <c r="EQ254" s="419" t="b">
        <f>AND(ISNUMBER(SnapshotTable[[#This Row],[SC Exp Date]]), ISNUMBER(SnapshotTable[[#This Row],[SC Strike Price]]), ISNUMBER(SnapshotTable[[#This Row],[SC Qty]]), ISNUMBER(SnapshotTable[[#This Row],[SC Book Date]]), ISNUMBER(SnapshotTable[[#This Row],[SC Book Price]]))</f>
        <v>0</v>
      </c>
      <c r="ER254" s="419" t="b">
        <f>AND(SnapshotTable[[#This Row],[SC Is Booked]], NOT(ISBLANK(SnapshotTable[[#This Row],[SC Fill Date]])))</f>
        <v>0</v>
      </c>
      <c r="ES254" s="370"/>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3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283"/>
      <c r="FA254" s="218"/>
      <c r="FB254" s="370"/>
      <c r="FC254" s="4">
        <f>IF(SnapshotTable[[#This Row],[SC Is Filled]], btc_max_buyback_amount(SnapshotTable[[#This Row],[SC Fill Date]],SnapshotTable[[#This Row],[SC Exp Date]], SnapshotTable[[#This Row],[SC Book Price]]),0)</f>
        <v>0</v>
      </c>
      <c r="FD254" s="5"/>
      <c r="FE254" s="144"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382">
        <f>IF(SnapshotTable[[#This Row],[SC Is Filled]], IF(ISNUMBER(SnapshotTable[[#This Row],[SC Current Ask]]), SnapshotTable[[#This Row],[SC Current Ask]], SnapshotTable[[#This Row],[SC Book Price]]) - SnapshotTable[[#This Row],[SC Intrinsic Value]], 0)</f>
        <v>0</v>
      </c>
      <c r="FI254" s="143"/>
      <c r="FJ254" s="32" t="str">
        <f>IF(SnapshotTable[[#This Row],[SC Is Filled]],100 * SnapshotTable[[#This Row],[SC Qty]] * IF(ISNUMBER(SnapshotTable[[#This Row],[SC Buyback Override]]), SnapshotTable[[#This Row],[SC Buyback Override]], SnapshotTable[[#This Row],[SC Current Ask]]), "")</f>
        <v/>
      </c>
      <c r="FK254" s="250" t="str">
        <f>IF(SnapshotTable[[#This Row],[SC Time Val]]&gt;0, SnapshotTable[[#This Row],[SC Time Val]] / SnapshotTable[[#This Row],[Last Price]],"")</f>
        <v/>
      </c>
      <c r="FL254" s="302" t="str">
        <f>IF(SnapshotTable[[#This Row],[SC Is Booked]], ((SnapshotTable[[#This Row],[Last Price]] -SnapshotTable[[#This Row],[SC Strike Price]]) / SnapshotTable[[#This Row],[Last Price]]) * -1, "")</f>
        <v/>
      </c>
      <c r="FM254" s="157" t="str">
        <f>IF(SnapshotTable[[#This Row],[SC Is Booked]],  (SnapshotTable[[#This Row],[SC Qty]] * 100 * SnapshotTable[[#This Row],[SC Strike Price]]) - SnapshotTable[[#This Row],[SC Current Ask]], "")</f>
        <v/>
      </c>
      <c r="FN25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7"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33"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36" t="str">
        <f>IF(AND(ISNUMBER(SnapshotTable[[#This Row],[SC Simple ROO]]),SnapshotTable[[#This Row],[SC Simple ROO]] &gt; 0), SnapshotTable[[#This Row],[SC Premium]] + (SnapshotTable[[#This Row],[SC Qty]] * SnapshotTable[[#This Row],[SC Upside Potential]]), "")</f>
        <v/>
      </c>
      <c r="FX254" s="302" t="str" cm="1">
        <f t="array" ref="FX254">IF(ISNUMBER(SnapshotTable[[#This Row],[SC Max Dollars]]), annualize(SnapshotTable[[#This Row],[SC Term]],(SnapshotTable[[#This Row],[SC Max Dollars]]/SnapshotTable[[#This Row],[SC Basis]])),"")</f>
        <v/>
      </c>
      <c r="FY254" s="236" t="str">
        <f>IF(AND(SnapshotTable[[#This Row],[SC Qty]]&gt;0,SnapshotTable[[#This Row],[SC Current Ask]]&gt;0), SnapshotTable[[#This Row],[SC Qty]] * SnapshotTable[[#This Row],[SC Current Ask]] * -100, "")</f>
        <v/>
      </c>
      <c r="FZ254" s="235" t="str">
        <f>IF(ISNUMBER((SnapshotTable[[#This Row],[SC Current Value]])), SnapshotTable[[#This Row],[SC Premium]] + SnapshotTable[[#This Row],[SC Current Value]], "")</f>
        <v/>
      </c>
      <c r="GA254" s="294" t="str">
        <f>IFERROR( IF(ISNUMBER((SnapshotTable[[#This Row],[SC Current Value]])), SnapshotTable[[#This Row],[SC Gain Loss]] / SnapshotTable[[#This Row],[SC Premium]], ""), "")</f>
        <v/>
      </c>
      <c r="GB254" s="42">
        <f>SnapshotTable[[#This Row],[Equity Shares]] * SaleSharesToConsiderPercentage</f>
        <v>0</v>
      </c>
      <c r="GC254" s="40">
        <f>SnapshotTable[[#This Row],[Long Term Target]] * SellingPriceToConsiderBasedOnTargetPercentage</f>
        <v>0</v>
      </c>
      <c r="GD254" s="40">
        <f>SnapshotTable[[#This Row],[Last Price]] * (1+ SellingPriceToConsiderBasedOnTargetPercentage)</f>
        <v>1144.4744999999998</v>
      </c>
      <c r="GE254" s="41"/>
      <c r="GF254" s="40"/>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8" t="str">
        <f>IF(SnapshotTable[[#This Row],[Sale G/L]]&gt;0, SnapshotTable[[#This Row],[Sale G/L]] / SnapshotTable[[#This Row],[Sale Basis]], IF(ISNUMBER(SnapshotTable[[#This Row],[SC Exercise P&amp;L (TAX)]]), SnapshotTable[[#This Row],[SC Exercise P&amp;L (TAX)]] / SnapshotTable[[#This Row],[SC Basis]], ""))</f>
        <v/>
      </c>
      <c r="GK254" s="27"/>
      <c r="GL254" s="159"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59" t="str">
        <f>IF(AND(SnapshotTable[[#This Row],[LC Exp Date]]&gt;0,SnapshotTable[[#This Row],[LC Strike Price]]&gt;0), [1]!ToOptionSymbol(SnapshotTable[[#This Row],[Symbol]], SnapshotTable[[#This Row],[LC Strike Price]],SnapshotTable[[#This Row],[LC Exp Date]],0), "")</f>
        <v/>
      </c>
      <c r="GQ254" s="160" t="str">
        <f>IF(LEN(SnapshotTable[[#This Row],[LC Symbol]])&gt;0, 1, "")</f>
        <v/>
      </c>
      <c r="GR254" s="159" t="str">
        <f>IF(AND(SnapshotTable[[#This Row],[SC Exp Date]]&gt;0,SnapshotTable[[#This Row],[SC Strike Price]]&gt;0), [1]!ToOptionSymbol(SnapshotTable[[#This Row],[Symbol]], SnapshotTable[[#This Row],[SC Strike Price]],SnapshotTable[[#This Row],[SC Exp Date]],0), "")</f>
        <v/>
      </c>
      <c r="GS254" s="160" t="str">
        <f>IF(LEN(SnapshotTable[[#This Row],[SC Symbol]])&gt;0, 1, "")</f>
        <v/>
      </c>
      <c r="GT254" s="161"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31">
        <f>MAX(SnapshotTable[[#This Row],[Equity Basis Total]],SnapshotTable[[#This Row],[Equity Value]]) + (SnapshotTable[[#This Row],[SP Potential Spend]]- SnapshotTable[[#This Row],[SP Premium]] + SnapshotTable[[#This Row],[LP Premium]])+ (SnapshotTable[[#This Row],[LC Premium]] - SnapshotTable[[#This Row],[SC Premium]])</f>
        <v>0</v>
      </c>
      <c r="GW254" s="139" t="str">
        <f>IF(AND(SnapshotTable[[#This Row],[Exposure]] &lt;&gt; 0),SnapshotTable[[#This Row],[Exposure]] / SnapshotTable[[#Totals],[Exposure]], "")</f>
        <v/>
      </c>
      <c r="GX254" s="13"/>
      <c r="HE254" s="268"/>
      <c r="HF254" s="268"/>
      <c r="HK254" s="1"/>
      <c r="HL254" s="1"/>
      <c r="HM254" s="1"/>
      <c r="HN254" s="1"/>
      <c r="HO254" s="1"/>
      <c r="HP254" s="1"/>
    </row>
    <row r="255" spans="2:224" ht="12.75" hidden="1" customHeight="1" x14ac:dyDescent="0.25">
      <c r="B255" s="12" t="s">
        <v>1214</v>
      </c>
      <c r="C255" s="422">
        <v>8.5500000000000007</v>
      </c>
      <c r="D255" s="208"/>
      <c r="E255" s="39">
        <f>SnapshotTable[[#This Row],[Last Price]]*(1 -CrashDiscount)</f>
        <v>7.2675000000000001</v>
      </c>
      <c r="F255" s="325" t="s">
        <v>223</v>
      </c>
      <c r="G255" s="325" t="s">
        <v>49</v>
      </c>
      <c r="H255" s="149"/>
      <c r="I255" s="194"/>
      <c r="J255" s="195"/>
      <c r="K255" s="196"/>
      <c r="L255" s="326"/>
      <c r="M255" s="140"/>
      <c r="N255" s="140"/>
      <c r="O255" s="140"/>
      <c r="P255" s="22"/>
      <c r="Q255" s="25"/>
      <c r="R255" s="4" t="str">
        <f>IF(SnapshotTable[[#This Row],[Equity Basis Total]] &gt; 0, SnapshotTable[[#This Row],[Equity Basis Total]] / SnapshotTable[[#This Row],[Equity Shares]], "")</f>
        <v/>
      </c>
      <c r="S255" s="269">
        <f>SnapshotTable[[#This Row],[Last Price]] * SnapshotTable[[#This Row],[Equity Shares]]</f>
        <v>0</v>
      </c>
      <c r="T255" s="269">
        <f>SnapshotTable[[#This Row],[Equity Value]] - SnapshotTable[[#This Row],[Equity Basis Total]]</f>
        <v>0</v>
      </c>
      <c r="U255" s="270" t="str">
        <f>IF(SnapshotTable[[#This Row],[Equity Basis Total]] &gt; 0, SnapshotTable[[#This Row],[Equity G/L]] / SnapshotTable[[#This Row],[Equity Basis Total]], "")</f>
        <v/>
      </c>
      <c r="V255" s="268"/>
      <c r="W255" s="26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7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0"/>
      <c r="AD255" s="151"/>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1"/>
      <c r="AI255" s="5"/>
      <c r="AJ255" s="138"/>
      <c r="AK255" s="152" t="str">
        <f>IF(ISNUMBER( SnapshotTable[[#This Row],[EBF Target]]),(SnapshotTable[[#This Row],[EBF Target]] - SnapshotTable[[#This Row],[Last Price]]) / SnapshotTable[[#This Row],[Last Price]], "")</f>
        <v/>
      </c>
      <c r="AL255" s="152"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2" t="str">
        <f>IF(AND(ISNUMBER( SnapshotTable[[#This Row],[Long Term Target]]), ISNUMBER(SnapshotTable[[#This Row],[Last Price]])),(SnapshotTable[[#This Row],[Long Term Target]] - SnapshotTable[[#This Row],[Last Price]]) / SnapshotTable[[#This Row],[Last Price]], "")</f>
        <v/>
      </c>
      <c r="AP255" s="5"/>
      <c r="AQ255" s="38"/>
      <c r="AR255" s="5"/>
      <c r="AS255" s="38"/>
      <c r="AT255" s="146"/>
      <c r="AU255" s="187" t="str">
        <f>IF(OR(SnapshotTable[[#This Row],[LP No Fill]]="Y",SnapshotTable[[#This Row],[SP Is Filled]],SnapshotTable[[#This Row],[LC Not Filled]]="Y",SnapshotTable[[#This Row],[SC Is Filled]]),"Y","")</f>
        <v/>
      </c>
      <c r="AV255" s="219"/>
      <c r="AW255" s="225"/>
      <c r="AX255" s="220"/>
      <c r="AY255" s="219" t="str">
        <f>IF(SnapshotTable[[#This Row],[Implied Move]]&gt;0, SnapshotTable[[#This Row],[Last Price]]-SnapshotTable[[#This Row],[Implied Move]],"")</f>
        <v/>
      </c>
      <c r="AZ255" s="219" t="str">
        <f>IF(SnapshotTable[[#This Row],[Implied Move]]&gt;0, SnapshotTable[[#This Row],[Last Price]] + SnapshotTable[[#This Row],[Implied Move]],"")</f>
        <v/>
      </c>
      <c r="BA255" s="331">
        <v>6.8</v>
      </c>
      <c r="BB255" s="347"/>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51"/>
      <c r="BE255" s="5"/>
      <c r="BF255" s="14"/>
      <c r="BG255" s="13"/>
      <c r="BH255" s="13"/>
      <c r="BI255" s="5"/>
      <c r="BJ255" s="136">
        <f>IF(SnapshotTable[[#This Row],[LP Qty]] &gt; 0, SnapshotTable[[#This Row],[LP Qty]] * SnapshotTable[[#This Row],[LP Book Price]] * 100,0)</f>
        <v>0</v>
      </c>
      <c r="BK255" s="136">
        <f>IF(SnapshotTable[[#This Row],[LP Premium]] &gt; 0, SnapshotTable[[#This Row],[LP Qty]] * SnapshotTable[[#This Row],[LP Strike Price]] * 100,0)</f>
        <v>0</v>
      </c>
      <c r="BL255" s="154"/>
      <c r="BM255" s="385" t="str">
        <f>IF(SnapshotTable[[#This Row],[LP Premium]] &gt; 0,SnapshotTable[[#This Row],[LP Exp Date]]-MAX(SnapshotTable[[#This Row],[LP Book Date]], SnapshotTable[[#This Row],[LP Fill Date]]),"")</f>
        <v/>
      </c>
      <c r="BN255" s="385" t="str">
        <f>IF(ISNUMBER( SnapshotTable[[#This Row],[LP Term]]), SnapshotTable[[#This Row],[LP Exp Date]] - MockToday,"")</f>
        <v/>
      </c>
      <c r="BO255" s="163"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7"/>
      <c r="BU255" s="13"/>
      <c r="BV255" s="5"/>
      <c r="BW255" s="419" t="b">
        <f>AND(ISNUMBER(SnapshotTable[[#This Row],[SP Exp Date]]), ISNUMBER(SnapshotTable[[#This Row],[SP Strike Price]]), ISNUMBER(SnapshotTable[[#This Row],[SP Qty]]), ISNUMBER(SnapshotTable[[#This Row],[SP Book Date]]), ISNUMBER(SnapshotTable[[#This Row],[SP Book Price]]))</f>
        <v>0</v>
      </c>
      <c r="BX255" s="419" t="b">
        <f>AND(SnapshotTable[[#This Row],[SP Is Booked]], NOT(ISBLANK(SnapshotTable[[#This Row],[SP Fill Date]])))</f>
        <v>0</v>
      </c>
      <c r="BY255" s="33">
        <f>IF(SnapshotTable[[#This Row],[SP Is Booked]], SnapshotTable[[#This Row],[SP Qty]] * SnapshotTable[[#This Row],[SP Book Price]] * 100, 0)</f>
        <v>0</v>
      </c>
      <c r="BZ255" s="369"/>
      <c r="CA255" s="368">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3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44"/>
      <c r="CK255" s="31">
        <f>IF(ISNUMBER(SnapshotTable[[#This Row],[SP Potential Spend]]),IF(ISNUMBER(SnapshotTable[[#This Row],[SP POW]]), SnapshotTable[[#This Row],[SP POW]] * SnapshotTable[[#This Row],[SP Potential Spend]], SnapshotTable[[#This Row],[SP Potential Spend]]), "")</f>
        <v>0</v>
      </c>
      <c r="CL255" s="164">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78"/>
      <c r="CO255" s="369"/>
      <c r="CP255" s="4" t="str">
        <f>IF(SnapshotTable[[#This Row],[SP Is Filled]], btc_max_buyback_amount(SnapshotTable[[#This Row],[SP Fill Date]],SnapshotTable[[#This Row],[SP Exp Date]], SnapshotTable[[#This Row],[SP Book Price]]),"")</f>
        <v/>
      </c>
      <c r="CQ255" s="78"/>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5" t="str">
        <f>IF(SnapshotTable[[#This Row],[SP Is Filled]], btc_next_cutoff_date(SnapshotTable[[#This Row],[SP Fill Date]],SnapshotTable[[#This Row],[SP Exp Date]]),"")</f>
        <v/>
      </c>
      <c r="CT255" s="23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3"/>
      <c r="CV255" s="235"/>
      <c r="CW255" s="378"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294" t="str">
        <f>IF(ISNUMBER((SnapshotTable[[#This Row],[SP Total Value]])), SnapshotTable[[#This Row],[SP Gain Loss]] / SnapshotTable[[#This Row],[SP Premium]], "")</f>
        <v/>
      </c>
      <c r="DI255" s="406"/>
      <c r="DJ255" s="138"/>
      <c r="DK255" s="148"/>
      <c r="DL255" s="13"/>
      <c r="DM255" s="13"/>
      <c r="DO255" s="31">
        <f>IF(SnapshotTable[[#This Row],[LC Symbol Count]]=1, SnapshotTable[[#This Row],[LC Qty]] * SnapshotTable[[#This Row],[LC Book Price]] * 100, 0)</f>
        <v>0</v>
      </c>
      <c r="DP255" s="163" t="str">
        <f>IF(AND(SnapshotTable[[#This Row],[LC Exp Date]]&gt;0, SnapshotTable[[#This Row],[LC Strike Price]]&gt;0,SnapshotTable[[#This Row],[LC Qty]]&gt;0,SnapshotTable[[#This Row],[LC Book Date]]&gt;0,SnapshotTable[[#This Row],[LC Book Price]]&gt;0,SnapshotTable[[#This Row],[LC Fill Date]]=0),"Y","")</f>
        <v/>
      </c>
      <c r="DQ255" s="386" t="str">
        <f>IF(SnapshotTable[[#This Row],[LC Premium]] &gt; 0,SnapshotTable[[#This Row],[LC Exp Date]]-MAX(SnapshotTable[[#This Row],[LC Book Date]], SnapshotTable[[#This Row],[LC Fill Date]]),"")</f>
        <v/>
      </c>
      <c r="DR255" s="386" t="str">
        <f>IF(ISNUMBER(SnapshotTable[[#This Row],[LC Term]]), SnapshotTable[[#This Row],[LC Exp Date]] - MockToday, "")</f>
        <v/>
      </c>
      <c r="DS255" s="23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40" t="str">
        <f>IF(ISNUMBER(SnapshotTable[[#This Row],[LC Actual Gain Loss]]), SnapshotTable[[#This Row],[LC Actual Gain Loss]] / SnapshotTable[[#This Row],[LC Premium]],"")</f>
        <v/>
      </c>
      <c r="DX255" s="284" t="str">
        <f>IF(ISNUMBER(SnapshotTable[[#This Row],[LC Book Price]]),SnapshotTable[[#This Row],[LC Book Price]] * 1.5,"")</f>
        <v/>
      </c>
      <c r="DY255" s="265" t="str">
        <f>IF(SnapshotTable[[#This Row],[LC Premium]]&gt;0, SnapshotTable[[#This Row],[LC Next Target]] * SnapshotTable[[#This Row],[LC Qty]] * 100,"")</f>
        <v/>
      </c>
      <c r="DZ255" s="265" t="str">
        <f>IF(ISNUMBER(SnapshotTable[[#This Row],[LC Target Gross]]), SnapshotTable[[#This Row],[LC Target Gross]] - SnapshotTable[[#This Row],[LC Premium]], "")</f>
        <v/>
      </c>
      <c r="EA255" s="305" t="str">
        <f>IF(ISNUMBER(SnapshotTable[[#This Row],[LC Target Gain Loss]]), SnapshotTable[[#This Row],[LC Target Gain Loss]]/SnapshotTable[[#This Row],[LC Premium]], "")</f>
        <v/>
      </c>
      <c r="EB255" s="262"/>
      <c r="EC255" s="283" t="str">
        <f>IF(SnapshotTable[[#This Row],[LC Premium]]&gt;0, SnapshotTable[[#This Row],[LC Book Price]] * (1 - LC_StopLoss_Pct),"")</f>
        <v/>
      </c>
      <c r="ED255" s="284"/>
      <c r="EE255" s="28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4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7"/>
      <c r="EL255" s="138"/>
      <c r="EM255" s="148"/>
      <c r="EN255" s="147"/>
      <c r="EO255" s="147"/>
      <c r="EP255" s="138"/>
      <c r="EQ255" s="419" t="b">
        <f>AND(ISNUMBER(SnapshotTable[[#This Row],[SC Exp Date]]), ISNUMBER(SnapshotTable[[#This Row],[SC Strike Price]]), ISNUMBER(SnapshotTable[[#This Row],[SC Qty]]), ISNUMBER(SnapshotTable[[#This Row],[SC Book Date]]), ISNUMBER(SnapshotTable[[#This Row],[SC Book Price]]))</f>
        <v>0</v>
      </c>
      <c r="ER255" s="419" t="b">
        <f>AND(SnapshotTable[[#This Row],[SC Is Booked]], NOT(ISBLANK(SnapshotTable[[#This Row],[SC Fill Date]])))</f>
        <v>0</v>
      </c>
      <c r="ES255" s="370"/>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3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283"/>
      <c r="FA255" s="218"/>
      <c r="FB255" s="370"/>
      <c r="FC255" s="4">
        <f>IF(SnapshotTable[[#This Row],[SC Is Filled]], btc_max_buyback_amount(SnapshotTable[[#This Row],[SC Fill Date]],SnapshotTable[[#This Row],[SC Exp Date]], SnapshotTable[[#This Row],[SC Book Price]]),0)</f>
        <v>0</v>
      </c>
      <c r="FD255" s="5"/>
      <c r="FE255" s="144"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382">
        <f>IF(SnapshotTable[[#This Row],[SC Is Filled]], IF(ISNUMBER(SnapshotTable[[#This Row],[SC Current Ask]]), SnapshotTable[[#This Row],[SC Current Ask]], SnapshotTable[[#This Row],[SC Book Price]]) - SnapshotTable[[#This Row],[SC Intrinsic Value]], 0)</f>
        <v>0</v>
      </c>
      <c r="FI255" s="143"/>
      <c r="FJ255" s="32" t="str">
        <f>IF(SnapshotTable[[#This Row],[SC Is Filled]],100 * SnapshotTable[[#This Row],[SC Qty]] * IF(ISNUMBER(SnapshotTable[[#This Row],[SC Buyback Override]]), SnapshotTable[[#This Row],[SC Buyback Override]], SnapshotTable[[#This Row],[SC Current Ask]]), "")</f>
        <v/>
      </c>
      <c r="FK255" s="250" t="str">
        <f>IF(SnapshotTable[[#This Row],[SC Time Val]]&gt;0, SnapshotTable[[#This Row],[SC Time Val]] / SnapshotTable[[#This Row],[Last Price]],"")</f>
        <v/>
      </c>
      <c r="FL255" s="302" t="str">
        <f>IF(SnapshotTable[[#This Row],[SC Is Booked]], ((SnapshotTable[[#This Row],[Last Price]] -SnapshotTable[[#This Row],[SC Strike Price]]) / SnapshotTable[[#This Row],[Last Price]]) * -1, "")</f>
        <v/>
      </c>
      <c r="FM255" s="157"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33"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36" t="str">
        <f>IF(AND(ISNUMBER(SnapshotTable[[#This Row],[SC Simple ROO]]),SnapshotTable[[#This Row],[SC Simple ROO]] &gt; 0), SnapshotTable[[#This Row],[SC Premium]] + (SnapshotTable[[#This Row],[SC Qty]] * SnapshotTable[[#This Row],[SC Upside Potential]]), "")</f>
        <v/>
      </c>
      <c r="FX255" s="302" t="str" cm="1">
        <f t="array" ref="FX255">IF(ISNUMBER(SnapshotTable[[#This Row],[SC Max Dollars]]), annualize(SnapshotTable[[#This Row],[SC Term]],(SnapshotTable[[#This Row],[SC Max Dollars]]/SnapshotTable[[#This Row],[SC Basis]])),"")</f>
        <v/>
      </c>
      <c r="FY255" s="23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29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16.672499999999999</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31">
        <f>MAX(SnapshotTable[[#This Row],[Equity Basis Total]],SnapshotTable[[#This Row],[Equity Value]]) + (SnapshotTable[[#This Row],[SP Potential Spend]]- SnapshotTable[[#This Row],[SP Premium]] + SnapshotTable[[#This Row],[LP Premium]])+ (SnapshotTable[[#This Row],[LC Premium]] - SnapshotTable[[#This Row],[SC Premium]])</f>
        <v>0</v>
      </c>
      <c r="GW255" s="139" t="str">
        <f>IF(AND(SnapshotTable[[#This Row],[Exposure]] &lt;&gt; 0),SnapshotTable[[#This Row],[Exposure]] / SnapshotTable[[#Totals],[Exposure]], "")</f>
        <v/>
      </c>
      <c r="GX255" s="13"/>
      <c r="HK255" s="1"/>
      <c r="HL255" s="1"/>
      <c r="HM255" s="1"/>
      <c r="HN255" s="1"/>
      <c r="HO255" s="1"/>
      <c r="HP255" s="1"/>
    </row>
    <row r="256" spans="2:224" ht="12.75" hidden="1" customHeight="1" x14ac:dyDescent="0.25">
      <c r="B256" s="12" t="s">
        <v>122</v>
      </c>
      <c r="C256" s="422">
        <v>4.47</v>
      </c>
      <c r="D256" s="208" t="s">
        <v>578</v>
      </c>
      <c r="E256" s="39">
        <f>SnapshotTable[[#This Row],[Last Price]]*(1 -CrashDiscount)</f>
        <v>3.7994999999999997</v>
      </c>
      <c r="F256" s="26" t="s">
        <v>39</v>
      </c>
      <c r="G256" s="26" t="s">
        <v>9</v>
      </c>
      <c r="H256" s="149"/>
      <c r="I256" s="194">
        <v>44763.673611111109</v>
      </c>
      <c r="J256" s="195">
        <v>44763.673611111109</v>
      </c>
      <c r="K256" s="196"/>
      <c r="L256" s="326"/>
      <c r="M256" s="140"/>
      <c r="N256" s="140"/>
      <c r="O256" s="140"/>
      <c r="P256" s="22"/>
      <c r="Q256" s="25"/>
      <c r="R256" s="4" t="str">
        <f>IF(SnapshotTable[[#This Row],[Equity Basis Total]] &gt; 0, SnapshotTable[[#This Row],[Equity Basis Total]] / SnapshotTable[[#This Row],[Equity Shares]], "")</f>
        <v/>
      </c>
      <c r="S256" s="269">
        <f>SnapshotTable[[#This Row],[Last Price]] * SnapshotTable[[#This Row],[Equity Shares]]</f>
        <v>0</v>
      </c>
      <c r="T256" s="269">
        <f>SnapshotTable[[#This Row],[Equity Value]] - SnapshotTable[[#This Row],[Equity Basis Total]]</f>
        <v>0</v>
      </c>
      <c r="U256" s="270" t="str">
        <f>IF(SnapshotTable[[#This Row],[Equity Basis Total]] &gt; 0, SnapshotTable[[#This Row],[Equity G/L]] / SnapshotTable[[#This Row],[Equity Basis Total]], "")</f>
        <v/>
      </c>
      <c r="V256" s="268">
        <v>75</v>
      </c>
      <c r="W256" s="268">
        <v>63.05</v>
      </c>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7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0"/>
      <c r="AD256" s="151"/>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1"/>
      <c r="AI256" s="5"/>
      <c r="AJ256" s="138">
        <v>77.12</v>
      </c>
      <c r="AK256" s="152" t="str">
        <f>IF(ISNUMBER( SnapshotTable[[#This Row],[EBF Target]]),(SnapshotTable[[#This Row],[EBF Target]] - SnapshotTable[[#This Row],[Last Price]]) / SnapshotTable[[#This Row],[Last Price]], "")</f>
        <v/>
      </c>
      <c r="AL256" s="152"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2">
        <f>IF(AND(ISNUMBER( SnapshotTable[[#This Row],[Long Term Target]]), ISNUMBER(SnapshotTable[[#This Row],[Last Price]])),(SnapshotTable[[#This Row],[Long Term Target]] - SnapshotTable[[#This Row],[Last Price]]) / SnapshotTable[[#This Row],[Last Price]], "")</f>
        <v>16.252796420581657</v>
      </c>
      <c r="AP256" s="5">
        <v>75</v>
      </c>
      <c r="AQ256" s="38" t="s">
        <v>89</v>
      </c>
      <c r="AR256" s="5">
        <v>63.05</v>
      </c>
      <c r="AS256" s="38" t="s">
        <v>32</v>
      </c>
      <c r="AT256" s="146"/>
      <c r="AU256" s="187" t="str">
        <f>IF(OR(SnapshotTable[[#This Row],[LP No Fill]]="Y",SnapshotTable[[#This Row],[SP Is Filled]],SnapshotTable[[#This Row],[LC Not Filled]]="Y",SnapshotTable[[#This Row],[SC Is Filled]]),"Y","")</f>
        <v/>
      </c>
      <c r="AV256" s="219"/>
      <c r="AW256" s="225">
        <v>3.4329999999999998</v>
      </c>
      <c r="AX256" s="220">
        <v>44127</v>
      </c>
      <c r="AY256" s="219">
        <f>IF(SnapshotTable[[#This Row],[Implied Move]]&gt;0, SnapshotTable[[#This Row],[Last Price]]-SnapshotTable[[#This Row],[Implied Move]],"")</f>
        <v>1.0369999999999999</v>
      </c>
      <c r="AZ256" s="219">
        <f>IF(SnapshotTable[[#This Row],[Implied Move]]&gt;0, SnapshotTable[[#This Row],[Last Price]] + SnapshotTable[[#This Row],[Implied Move]],"")</f>
        <v>7.9029999999999996</v>
      </c>
      <c r="BA256" s="331">
        <v>66.48</v>
      </c>
      <c r="BB256" s="347"/>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51"/>
      <c r="BE256" s="5"/>
      <c r="BF256" s="14"/>
      <c r="BG256" s="13"/>
      <c r="BH256" s="13"/>
      <c r="BI256" s="5"/>
      <c r="BJ256" s="136">
        <f>IF(SnapshotTable[[#This Row],[LP Qty]] &gt; 0, SnapshotTable[[#This Row],[LP Qty]] * SnapshotTable[[#This Row],[LP Book Price]] * 100,0)</f>
        <v>0</v>
      </c>
      <c r="BK256" s="136">
        <f>IF(SnapshotTable[[#This Row],[LP Premium]] &gt; 0, SnapshotTable[[#This Row],[LP Qty]] * SnapshotTable[[#This Row],[LP Strike Price]] * 100,0)</f>
        <v>0</v>
      </c>
      <c r="BL256" s="154"/>
      <c r="BM256" s="385" t="str">
        <f>IF(SnapshotTable[[#This Row],[LP Premium]] &gt; 0,SnapshotTable[[#This Row],[LP Exp Date]]-MAX(SnapshotTable[[#This Row],[LP Book Date]], SnapshotTable[[#This Row],[LP Fill Date]]),"")</f>
        <v/>
      </c>
      <c r="BN256" s="385" t="str">
        <f>IF(ISNUMBER( SnapshotTable[[#This Row],[LP Term]]), SnapshotTable[[#This Row],[LP Exp Date]] - MockToday,"")</f>
        <v/>
      </c>
      <c r="BO256" s="163"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7"/>
      <c r="BU256" s="13"/>
      <c r="BV256" s="5"/>
      <c r="BW256" s="419" t="b">
        <f>AND(ISNUMBER(SnapshotTable[[#This Row],[SP Exp Date]]), ISNUMBER(SnapshotTable[[#This Row],[SP Strike Price]]), ISNUMBER(SnapshotTable[[#This Row],[SP Qty]]), ISNUMBER(SnapshotTable[[#This Row],[SP Book Date]]), ISNUMBER(SnapshotTable[[#This Row],[SP Book Price]]))</f>
        <v>0</v>
      </c>
      <c r="BX256" s="419" t="b">
        <f>AND(SnapshotTable[[#This Row],[SP Is Booked]], NOT(ISBLANK(SnapshotTable[[#This Row],[SP Fill Date]])))</f>
        <v>0</v>
      </c>
      <c r="BY256" s="33">
        <f>IF(SnapshotTable[[#This Row],[SP Is Booked]], SnapshotTable[[#This Row],[SP Qty]] * SnapshotTable[[#This Row],[SP Book Price]] * 100, 0)</f>
        <v>0</v>
      </c>
      <c r="BZ256" s="369"/>
      <c r="CA256" s="368">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3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44"/>
      <c r="CK256" s="31">
        <f>IF(ISNUMBER(SnapshotTable[[#This Row],[SP Potential Spend]]),IF(ISNUMBER(SnapshotTable[[#This Row],[SP POW]]), SnapshotTable[[#This Row],[SP POW]] * SnapshotTable[[#This Row],[SP Potential Spend]], SnapshotTable[[#This Row],[SP Potential Spend]]), "")</f>
        <v>0</v>
      </c>
      <c r="CL256" s="164">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8"/>
      <c r="CO256" s="369"/>
      <c r="CP256" s="4" t="str">
        <f>IF(SnapshotTable[[#This Row],[SP Is Filled]], btc_max_buyback_amount(SnapshotTable[[#This Row],[SP Fill Date]],SnapshotTable[[#This Row],[SP Exp Date]], SnapshotTable[[#This Row],[SP Book Price]]),"")</f>
        <v/>
      </c>
      <c r="CQ256" s="78"/>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5" t="str">
        <f>IF(SnapshotTable[[#This Row],[SP Is Filled]], btc_next_cutoff_date(SnapshotTable[[#This Row],[SP Fill Date]],SnapshotTable[[#This Row],[SP Exp Date]]),"")</f>
        <v/>
      </c>
      <c r="CT256" s="23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3"/>
      <c r="CV256" s="235"/>
      <c r="CW256" s="378"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294" t="str">
        <f>IF(ISNUMBER((SnapshotTable[[#This Row],[SP Total Value]])), SnapshotTable[[#This Row],[SP Gain Loss]] / SnapshotTable[[#This Row],[SP Premium]], "")</f>
        <v/>
      </c>
      <c r="DI256" s="406"/>
      <c r="DJ256" s="138"/>
      <c r="DK256" s="148"/>
      <c r="DL256" s="13"/>
      <c r="DM256" s="13"/>
      <c r="DO256" s="31">
        <f>IF(SnapshotTable[[#This Row],[LC Symbol Count]]=1, SnapshotTable[[#This Row],[LC Qty]] * SnapshotTable[[#This Row],[LC Book Price]] * 100, 0)</f>
        <v>0</v>
      </c>
      <c r="DP256" s="163" t="str">
        <f>IF(AND(SnapshotTable[[#This Row],[LC Exp Date]]&gt;0, SnapshotTable[[#This Row],[LC Strike Price]]&gt;0,SnapshotTable[[#This Row],[LC Qty]]&gt;0,SnapshotTable[[#This Row],[LC Book Date]]&gt;0,SnapshotTable[[#This Row],[LC Book Price]]&gt;0,SnapshotTable[[#This Row],[LC Fill Date]]=0),"Y","")</f>
        <v/>
      </c>
      <c r="DQ256" s="386" t="str">
        <f>IF(SnapshotTable[[#This Row],[LC Premium]] &gt; 0,SnapshotTable[[#This Row],[LC Exp Date]]-MAX(SnapshotTable[[#This Row],[LC Book Date]], SnapshotTable[[#This Row],[LC Fill Date]]),"")</f>
        <v/>
      </c>
      <c r="DR256" s="386" t="str">
        <f>IF(ISNUMBER(SnapshotTable[[#This Row],[LC Term]]), SnapshotTable[[#This Row],[LC Exp Date]] - MockToday, "")</f>
        <v/>
      </c>
      <c r="DS256" s="23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40" t="str">
        <f>IF(ISNUMBER(SnapshotTable[[#This Row],[LC Actual Gain Loss]]), SnapshotTable[[#This Row],[LC Actual Gain Loss]] / SnapshotTable[[#This Row],[LC Premium]],"")</f>
        <v/>
      </c>
      <c r="DX256" s="284" t="str">
        <f>IF(ISNUMBER(SnapshotTable[[#This Row],[LC Book Price]]),SnapshotTable[[#This Row],[LC Book Price]] * 1.5,"")</f>
        <v/>
      </c>
      <c r="DY256" s="265" t="str">
        <f>IF(SnapshotTable[[#This Row],[LC Premium]]&gt;0, SnapshotTable[[#This Row],[LC Next Target]] * SnapshotTable[[#This Row],[LC Qty]] * 100,"")</f>
        <v/>
      </c>
      <c r="DZ256" s="265" t="str">
        <f>IF(ISNUMBER(SnapshotTable[[#This Row],[LC Target Gross]]), SnapshotTable[[#This Row],[LC Target Gross]] - SnapshotTable[[#This Row],[LC Premium]], "")</f>
        <v/>
      </c>
      <c r="EA256" s="305" t="str">
        <f>IF(ISNUMBER(SnapshotTable[[#This Row],[LC Target Gain Loss]]), SnapshotTable[[#This Row],[LC Target Gain Loss]]/SnapshotTable[[#This Row],[LC Premium]], "")</f>
        <v/>
      </c>
      <c r="EB256" s="262"/>
      <c r="EC256" s="283" t="str">
        <f>IF(SnapshotTable[[#This Row],[LC Premium]]&gt;0, SnapshotTable[[#This Row],[LC Book Price]] * (1 - LC_StopLoss_Pct),"")</f>
        <v/>
      </c>
      <c r="ED256" s="284"/>
      <c r="EE256" s="28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4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7"/>
      <c r="EL256" s="138"/>
      <c r="EM256" s="148"/>
      <c r="EN256" s="147"/>
      <c r="EO256" s="147"/>
      <c r="EP256" s="138"/>
      <c r="EQ256" s="419" t="b">
        <f>AND(ISNUMBER(SnapshotTable[[#This Row],[SC Exp Date]]), ISNUMBER(SnapshotTable[[#This Row],[SC Strike Price]]), ISNUMBER(SnapshotTable[[#This Row],[SC Qty]]), ISNUMBER(SnapshotTable[[#This Row],[SC Book Date]]), ISNUMBER(SnapshotTable[[#This Row],[SC Book Price]]))</f>
        <v>0</v>
      </c>
      <c r="ER256" s="419" t="b">
        <f>AND(SnapshotTable[[#This Row],[SC Is Booked]], NOT(ISBLANK(SnapshotTable[[#This Row],[SC Fill Date]])))</f>
        <v>0</v>
      </c>
      <c r="ES256" s="370"/>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3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283"/>
      <c r="FA256" s="218"/>
      <c r="FB256" s="370"/>
      <c r="FC256" s="4">
        <f>IF(SnapshotTable[[#This Row],[SC Is Filled]], btc_max_buyback_amount(SnapshotTable[[#This Row],[SC Fill Date]],SnapshotTable[[#This Row],[SC Exp Date]], SnapshotTable[[#This Row],[SC Book Price]]),0)</f>
        <v>0</v>
      </c>
      <c r="FD256" s="5"/>
      <c r="FE256" s="144"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382">
        <f>IF(SnapshotTable[[#This Row],[SC Is Filled]], IF(ISNUMBER(SnapshotTable[[#This Row],[SC Current Ask]]), SnapshotTable[[#This Row],[SC Current Ask]], SnapshotTable[[#This Row],[SC Book Price]]) - SnapshotTable[[#This Row],[SC Intrinsic Value]], 0)</f>
        <v>0</v>
      </c>
      <c r="FI256" s="143"/>
      <c r="FJ256" s="32" t="str">
        <f>IF(SnapshotTable[[#This Row],[SC Is Filled]],100 * SnapshotTable[[#This Row],[SC Qty]] * IF(ISNUMBER(SnapshotTable[[#This Row],[SC Buyback Override]]), SnapshotTable[[#This Row],[SC Buyback Override]], SnapshotTable[[#This Row],[SC Current Ask]]), "")</f>
        <v/>
      </c>
      <c r="FK256" s="250" t="str">
        <f>IF(SnapshotTable[[#This Row],[SC Time Val]]&gt;0, SnapshotTable[[#This Row],[SC Time Val]] / SnapshotTable[[#This Row],[Last Price]],"")</f>
        <v/>
      </c>
      <c r="FL256" s="302" t="str">
        <f>IF(SnapshotTable[[#This Row],[SC Is Booked]], ((SnapshotTable[[#This Row],[Last Price]] -SnapshotTable[[#This Row],[SC Strike Price]]) / SnapshotTable[[#This Row],[Last Price]]) * -1, "")</f>
        <v/>
      </c>
      <c r="FM256" s="157"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33"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36" t="str">
        <f>IF(AND(ISNUMBER(SnapshotTable[[#This Row],[SC Simple ROO]]),SnapshotTable[[#This Row],[SC Simple ROO]] &gt; 0), SnapshotTable[[#This Row],[SC Premium]] + (SnapshotTable[[#This Row],[SC Qty]] * SnapshotTable[[#This Row],[SC Upside Potential]]), "")</f>
        <v/>
      </c>
      <c r="FX256" s="302" t="str" cm="1">
        <f t="array" ref="FX256">IF(ISNUMBER(SnapshotTable[[#This Row],[SC Max Dollars]]), annualize(SnapshotTable[[#This Row],[SC Term]],(SnapshotTable[[#This Row],[SC Max Dollars]]/SnapshotTable[[#This Row],[SC Basis]])),"")</f>
        <v/>
      </c>
      <c r="FY256" s="23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294" t="str">
        <f>IFERROR( IF(ISNUMBER((SnapshotTable[[#This Row],[SC Current Value]])), SnapshotTable[[#This Row],[SC Gain Loss]] / SnapshotTable[[#This Row],[SC Premium]], ""), "")</f>
        <v/>
      </c>
      <c r="GB256" s="42">
        <f>SnapshotTable[[#This Row],[Equity Shares]] * SaleSharesToConsiderPercentage</f>
        <v>0</v>
      </c>
      <c r="GC256" s="40">
        <f>SnapshotTable[[#This Row],[Long Term Target]] * SellingPriceToConsiderBasedOnTargetPercentage</f>
        <v>73.263999999999996</v>
      </c>
      <c r="GD256" s="40">
        <f>SnapshotTable[[#This Row],[Last Price]] * (1+ SellingPriceToConsiderBasedOnTargetPercentage)</f>
        <v>8.7164999999999999</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717</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31">
        <f>MAX(SnapshotTable[[#This Row],[Equity Basis Total]],SnapshotTable[[#This Row],[Equity Value]]) + (SnapshotTable[[#This Row],[SP Potential Spend]]- SnapshotTable[[#This Row],[SP Premium]] + SnapshotTable[[#This Row],[LP Premium]])+ (SnapshotTable[[#This Row],[LC Premium]] - SnapshotTable[[#This Row],[SC Premium]])</f>
        <v>0</v>
      </c>
      <c r="GW256" s="139" t="str">
        <f>IF(AND(SnapshotTable[[#This Row],[Exposure]] &lt;&gt; 0),SnapshotTable[[#This Row],[Exposure]] / SnapshotTable[[#Totals],[Exposure]], "")</f>
        <v/>
      </c>
      <c r="HK256" s="1"/>
      <c r="HL256" s="1"/>
      <c r="HM256" s="1"/>
      <c r="HN256" s="1"/>
      <c r="HO256" s="1"/>
      <c r="HP256" s="1"/>
    </row>
    <row r="257" spans="2:224" ht="12.75" hidden="1" customHeight="1" x14ac:dyDescent="0.25">
      <c r="B257" s="12" t="s">
        <v>1266</v>
      </c>
      <c r="C257" s="422">
        <v>8.9700000000000006</v>
      </c>
      <c r="D257" s="208"/>
      <c r="E257" s="39">
        <f>SnapshotTable[[#This Row],[Last Price]]*(1 -CrashDiscount)</f>
        <v>7.6245000000000003</v>
      </c>
      <c r="F257" s="325" t="s">
        <v>932</v>
      </c>
      <c r="G257" s="325" t="s">
        <v>4</v>
      </c>
      <c r="H257" s="149"/>
      <c r="I257" s="194"/>
      <c r="J257" s="195"/>
      <c r="K257" s="196"/>
      <c r="L257" s="326"/>
      <c r="M257" s="140"/>
      <c r="N257" s="140"/>
      <c r="O257" s="140"/>
      <c r="P257" s="22">
        <v>1000</v>
      </c>
      <c r="Q257" s="25">
        <v>15000</v>
      </c>
      <c r="R257" s="4">
        <f>IF(SnapshotTable[[#This Row],[Equity Basis Total]] &gt; 0, SnapshotTable[[#This Row],[Equity Basis Total]] / SnapshotTable[[#This Row],[Equity Shares]], "")</f>
        <v>15</v>
      </c>
      <c r="S257" s="269">
        <f>SnapshotTable[[#This Row],[Last Price]] * SnapshotTable[[#This Row],[Equity Shares]]</f>
        <v>8970</v>
      </c>
      <c r="T257" s="269">
        <f>SnapshotTable[[#This Row],[Equity Value]] - SnapshotTable[[#This Row],[Equity Basis Total]]</f>
        <v>-6030</v>
      </c>
      <c r="U257" s="270">
        <f>IF(SnapshotTable[[#This Row],[Equity Basis Total]] &gt; 0, SnapshotTable[[#This Row],[Equity G/L]] / SnapshotTable[[#This Row],[Equity Basis Total]], "")</f>
        <v>-0.40200000000000002</v>
      </c>
      <c r="V257" s="268"/>
      <c r="W257" s="26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7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0"/>
      <c r="AD257" s="151"/>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1"/>
      <c r="AI257" s="5"/>
      <c r="AJ257" s="138"/>
      <c r="AK257" s="152" t="str">
        <f>IF(ISNUMBER( SnapshotTable[[#This Row],[EBF Target]]),(SnapshotTable[[#This Row],[EBF Target]] - SnapshotTable[[#This Row],[Last Price]]) / SnapshotTable[[#This Row],[Last Price]], "")</f>
        <v/>
      </c>
      <c r="AL257" s="152"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2" t="str">
        <f>IF(AND(ISNUMBER( SnapshotTable[[#This Row],[Long Term Target]]), ISNUMBER(SnapshotTable[[#This Row],[Last Price]])),(SnapshotTable[[#This Row],[Long Term Target]] - SnapshotTable[[#This Row],[Last Price]]) / SnapshotTable[[#This Row],[Last Price]], "")</f>
        <v/>
      </c>
      <c r="AP257" s="5"/>
      <c r="AQ257" s="38"/>
      <c r="AR257" s="5"/>
      <c r="AS257" s="38"/>
      <c r="AT257" s="146"/>
      <c r="AU257" s="187" t="str">
        <f>IF(OR(SnapshotTable[[#This Row],[LP No Fill]]="Y",SnapshotTable[[#This Row],[SP Is Filled]],SnapshotTable[[#This Row],[LC Not Filled]]="Y",SnapshotTable[[#This Row],[SC Is Filled]]),"Y","")</f>
        <v/>
      </c>
      <c r="AV257" s="219"/>
      <c r="AW257" s="225"/>
      <c r="AX257" s="220"/>
      <c r="AY257" s="219" t="str">
        <f>IF(SnapshotTable[[#This Row],[Implied Move]]&gt;0, SnapshotTable[[#This Row],[Last Price]]-SnapshotTable[[#This Row],[Implied Move]],"")</f>
        <v/>
      </c>
      <c r="AZ257" s="219" t="str">
        <f>IF(SnapshotTable[[#This Row],[Implied Move]]&gt;0, SnapshotTable[[#This Row],[Last Price]] + SnapshotTable[[#This Row],[Implied Move]],"")</f>
        <v/>
      </c>
      <c r="BA257" s="331">
        <v>9.5399999999999991</v>
      </c>
      <c r="BB257" s="404"/>
      <c r="BC2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7" s="351"/>
      <c r="BE257" s="5"/>
      <c r="BF257" s="14"/>
      <c r="BG257" s="13"/>
      <c r="BH257" s="13"/>
      <c r="BI257" s="5"/>
      <c r="BJ257" s="136">
        <f>IF(SnapshotTable[[#This Row],[LP Qty]] &gt; 0, SnapshotTable[[#This Row],[LP Qty]] * SnapshotTable[[#This Row],[LP Book Price]] * 100,0)</f>
        <v>0</v>
      </c>
      <c r="BK257" s="136">
        <f>IF(SnapshotTable[[#This Row],[LP Premium]] &gt; 0, SnapshotTable[[#This Row],[LP Qty]] * SnapshotTable[[#This Row],[LP Strike Price]] * 100,0)</f>
        <v>0</v>
      </c>
      <c r="BL257" s="154"/>
      <c r="BM257" s="385" t="str">
        <f>IF(SnapshotTable[[#This Row],[LP Premium]] &gt; 0,SnapshotTable[[#This Row],[LP Exp Date]]-MAX(SnapshotTable[[#This Row],[LP Book Date]], SnapshotTable[[#This Row],[LP Fill Date]]),"")</f>
        <v/>
      </c>
      <c r="BN257" s="385" t="str">
        <f>IF(ISNUMBER( SnapshotTable[[#This Row],[LP Term]]), SnapshotTable[[#This Row],[LP Exp Date]] - MockToday,"")</f>
        <v/>
      </c>
      <c r="BO257" s="163"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c r="BR257" s="5"/>
      <c r="BS257" s="36"/>
      <c r="BT257" s="147"/>
      <c r="BU257" s="13"/>
      <c r="BV257" s="5"/>
      <c r="BW257" s="419" t="b">
        <f>AND(ISNUMBER(SnapshotTable[[#This Row],[SP Exp Date]]), ISNUMBER(SnapshotTable[[#This Row],[SP Strike Price]]), ISNUMBER(SnapshotTable[[#This Row],[SP Qty]]), ISNUMBER(SnapshotTable[[#This Row],[SP Book Date]]), ISNUMBER(SnapshotTable[[#This Row],[SP Book Price]]))</f>
        <v>0</v>
      </c>
      <c r="BX257" s="419" t="b">
        <f>AND(SnapshotTable[[#This Row],[SP Is Booked]], NOT(ISBLANK(SnapshotTable[[#This Row],[SP Fill Date]])))</f>
        <v>0</v>
      </c>
      <c r="BY257" s="33">
        <f>IF(SnapshotTable[[#This Row],[SP Is Booked]], SnapshotTable[[#This Row],[SP Qty]] * SnapshotTable[[#This Row],[SP Book Price]] * 100, 0)</f>
        <v>0</v>
      </c>
      <c r="BZ257" s="369">
        <v>0.42</v>
      </c>
      <c r="CA257" s="368">
        <f>SnapshotTable[[#This Row],[LP Qty]]</f>
        <v>0</v>
      </c>
      <c r="CB257" s="4" t="str">
        <f>IF(SnapshotTable[[#This Row],[SP Is Booked]], SnapshotTable[[#This Row],[SP Strike Price]] - SnapshotTable[[#This Row],[SP Book Price]], "")</f>
        <v/>
      </c>
      <c r="CC257" s="19" t="str">
        <f>IF(SnapshotTable[[#This Row],[SP Is Booked]],SnapshotTable[[#This Row],[SP Exp Date]]-MAX(SnapshotTable[[#This Row],[SP Book Date]], SnapshotTable[[#This Row],[SP Fill Date]]),"")</f>
        <v/>
      </c>
      <c r="CD257" s="7" t="str">
        <f>IF(SnapshotTable[[#This Row],[SP Is Booked]], SnapshotTable[[#This Row],[SP Book Price]]/SnapshotTable[[#This Row],[SP Strike Price]], "")</f>
        <v/>
      </c>
      <c r="CE257" s="7" t="str">
        <f>IF(ISNUMBER(SnapshotTable[[#This Row],[SP ROO Term]]),SnapshotTable[[#This Row],[SP ROO Term]]*(365/SnapshotTable[[#This Row],[SP Term]]),"")</f>
        <v/>
      </c>
      <c r="CF257" s="236">
        <f>SnapshotTable[[#This Row],[LP Strike Price]] * SnapshotTable[[#This Row],[LP Qty]] * 100</f>
        <v>0</v>
      </c>
      <c r="CG257" s="31">
        <f>IF(ISNUMBER(SnapshotTable[[#This Row],[SP Premium]]), (SnapshotTable[[#This Row],[SP Qty]] * SnapshotTable[[#This Row],[SP Strike Price]]* 100) - SnapshotTable[[#This Row],[LP Protection]], 0)</f>
        <v>0</v>
      </c>
      <c r="CH257" s="7" t="str">
        <f>IF(ISNUMBER(SnapshotTable[[#This Row],[SP Break Even]]),-1 * (SnapshotTable[[#This Row],[SP Break Even]] - SnapshotTable[[#This Row],[Last Price]]) / SnapshotTable[[#This Row],[Last Price]], "")</f>
        <v/>
      </c>
      <c r="CI257" s="31">
        <f>IF(AND(ISNUMBER((SnapshotTable[[#This Row],[SP Potential Spend]])), SnapshotTable[[#This Row],[SP Strike Price]] &gt; SnapshotTable[[#This Row],[Last Price]], SnapshotTable[[#This Row],[SP Is Filled]]), SnapshotTable[[#This Row],[SP Potential Spend]] -  SnapshotTable[[#This Row],[LP Max Value]], 0)</f>
        <v>0</v>
      </c>
      <c r="CJ257" s="244"/>
      <c r="CK257" s="31">
        <f>IF(ISNUMBER(SnapshotTable[[#This Row],[SP Potential Spend]]),IF(ISNUMBER(SnapshotTable[[#This Row],[SP POW]]), SnapshotTable[[#This Row],[SP POW]] * SnapshotTable[[#This Row],[SP Potential Spend]], SnapshotTable[[#This Row],[SP Potential Spend]]), "")</f>
        <v>0</v>
      </c>
      <c r="CL257" s="164">
        <f>IF(NOT(SnapshotTable[[#This Row],[SP Is Filled]]),(SnapshotTable[[#This Row],[SP Qty]] * SnapshotTable[[#This Row],[SP Strike Price]] * 100) - SnapshotTable[[#This Row],[LP Max Value]],"")</f>
        <v>0</v>
      </c>
      <c r="CM257" s="31" t="str">
        <f>IF(SnapshotTable[[#This Row],[SP Actual Spend]]&lt;&gt;0, ((SnapshotTable[[#This Row],[SP Strike Price]]-SnapshotTable[[#This Row],[Last Price]]) *(SnapshotTable[[#This Row],[SP Qty]]*100) - SnapshotTable[[#This Row],[SP Premium]]) * - 1, "")</f>
        <v/>
      </c>
      <c r="CN257" s="78"/>
      <c r="CO257" s="369"/>
      <c r="CP257" s="4" t="str">
        <f>IF(SnapshotTable[[#This Row],[SP Is Filled]], btc_max_buyback_amount(SnapshotTable[[#This Row],[SP Fill Date]],SnapshotTable[[#This Row],[SP Exp Date]], SnapshotTable[[#This Row],[SP Book Price]]),"")</f>
        <v/>
      </c>
      <c r="CQ257" s="78"/>
      <c r="CR2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7" s="155" t="str">
        <f>IF(SnapshotTable[[#This Row],[SP Is Filled]], btc_next_cutoff_date(SnapshotTable[[#This Row],[SP Fill Date]],SnapshotTable[[#This Row],[SP Exp Date]]),"")</f>
        <v/>
      </c>
      <c r="CT257" s="235" t="str" cm="1">
        <f t="array" ref="CT257">IF(SnapshotTable[[#This Row],[SP Is Filled]], btc_should_buy_back(SnapshotTable[[#This Row],[SP Fill Date]], SnapshotTable[[#This Row],[SP Exp Date]], SnapshotTable[[#This Row],[SP Book Price]], SnapshotTable[[#This Row],[SP Current Ask]], MockToday, SnapshotTable[[#This Row],[SP Buyback Override]]),"")</f>
        <v/>
      </c>
      <c r="CU257" s="143"/>
      <c r="CV257" s="235"/>
      <c r="CW257" s="378" t="str">
        <f>IF(ISNUMBER( SnapshotTable[[#This Row],[SP Term]]), SnapshotTable[[#This Row],[SP Exp Date]] - MockToday,"")</f>
        <v/>
      </c>
      <c r="CX257" s="31" t="str">
        <f>IF(SnapshotTable[[#This Row],[SP Is Filled]],SnapshotTable[[#This Row],[SP Buyback Price to Use]] * 100 * SnapshotTable[[#This Row],[SP Qty]], "")</f>
        <v/>
      </c>
      <c r="CY257" s="4" t="str">
        <f>IF(ISNUMBER(SnapshotTable[[#This Row],[SP Strike Price]]), SnapshotTable[[#This Row],[SP Strike Price]] * (1 - SP_MaxLoss_StrikePct), "")</f>
        <v/>
      </c>
      <c r="CZ257" s="31" t="str">
        <f>IF(ISNUMBER(SnapshotTable[[#This Row],[SP Strike  Stop Per Share]]),SnapshotTable[[#This Row],[SP Premium]] - ((SnapshotTable[[#This Row],[SP Strike Price]]-SnapshotTable[[#This Row],[SP Strike  Stop Per Share]]) *(SnapshotTable[[#This Row],[SP Qty]] * 100)),"")</f>
        <v/>
      </c>
      <c r="DA257" s="4" t="str">
        <f>IF(AND(ISNUMBER(SnapshotTable[[#This Row],[SP Premium]]),SnapshotTable[[#This Row],[SP Premium]]&gt;0), SnapshotTable[[#This Row],[SP Book Price]] * (1 + SP_MaxLoss_OptionPct), "")</f>
        <v/>
      </c>
      <c r="DB257" s="31" t="str">
        <f>IF(ISNUMBER(SnapshotTable[[#This Row],[SP Option  Stop Contract]]),(SnapshotTable[[#This Row],[SP Option  Stop Contract]] *(SnapshotTable[[#This Row],[SP Qty]] * 100) - SnapshotTable[[#This Row],[SP Premium]]),"")</f>
        <v/>
      </c>
      <c r="DC257" s="4"/>
      <c r="DD257" s="4"/>
      <c r="DE257" s="4" t="str">
        <f>IF(AND(SnapshotTable[[#This Row],[SP Qty]]&gt;0, SnapshotTable[[#This Row],[SP Stop To Use]]&gt;0),SnapshotTable[[#This Row],[SP Premium]] - ( SnapshotTable[[#This Row],[SP Qty]] * SnapshotTable[[#This Row],[SP Stop To Use]] * 100), "")</f>
        <v/>
      </c>
      <c r="DF257" s="31" t="str">
        <f>IF(AND(SnapshotTable[[#This Row],[SP Qty]]&gt;0,SnapshotTable[[#This Row],[SP Current Ask]]&gt;0), SnapshotTable[[#This Row],[SP Qty]] * SnapshotTable[[#This Row],[SP Current Ask]] * -100, "")</f>
        <v/>
      </c>
      <c r="DG257" s="31" t="str">
        <f>IF(ISNUMBER((SnapshotTable[[#This Row],[SP Total Value]])), SnapshotTable[[#This Row],[SP Premium]] + SnapshotTable[[#This Row],[SP Total Value]], "")</f>
        <v/>
      </c>
      <c r="DH257" s="294" t="str">
        <f>IF(ISNUMBER((SnapshotTable[[#This Row],[SP Total Value]])), SnapshotTable[[#This Row],[SP Gain Loss]] / SnapshotTable[[#This Row],[SP Premium]], "")</f>
        <v/>
      </c>
      <c r="DI257" s="406"/>
      <c r="DJ257" s="138"/>
      <c r="DK257" s="148"/>
      <c r="DL257" s="13"/>
      <c r="DM257" s="13"/>
      <c r="DO257" s="31">
        <f>IF(SnapshotTable[[#This Row],[LC Symbol Count]]=1, SnapshotTable[[#This Row],[LC Qty]] * SnapshotTable[[#This Row],[LC Book Price]] * 100, 0)</f>
        <v>0</v>
      </c>
      <c r="DP257" s="163" t="str">
        <f>IF(AND(SnapshotTable[[#This Row],[LC Exp Date]]&gt;0, SnapshotTable[[#This Row],[LC Strike Price]]&gt;0,SnapshotTable[[#This Row],[LC Qty]]&gt;0,SnapshotTable[[#This Row],[LC Book Date]]&gt;0,SnapshotTable[[#This Row],[LC Book Price]]&gt;0,SnapshotTable[[#This Row],[LC Fill Date]]=0),"Y","")</f>
        <v/>
      </c>
      <c r="DQ257" s="386" t="str">
        <f>IF(SnapshotTable[[#This Row],[LC Premium]] &gt; 0,SnapshotTable[[#This Row],[LC Exp Date]]-MAX(SnapshotTable[[#This Row],[LC Book Date]], SnapshotTable[[#This Row],[LC Fill Date]]),"")</f>
        <v/>
      </c>
      <c r="DR257" s="386" t="str">
        <f>IF(ISNUMBER(SnapshotTable[[#This Row],[LC Term]]), SnapshotTable[[#This Row],[LC Exp Date]] - MockToday, "")</f>
        <v/>
      </c>
      <c r="DS257" s="23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40" t="str">
        <f>IF(ISNUMBER(SnapshotTable[[#This Row],[LC Actual Gain Loss]]), SnapshotTable[[#This Row],[LC Actual Gain Loss]] / SnapshotTable[[#This Row],[LC Premium]],"")</f>
        <v/>
      </c>
      <c r="DX257" s="284" t="str">
        <f>IF(ISNUMBER(SnapshotTable[[#This Row],[LC Book Price]]),SnapshotTable[[#This Row],[LC Book Price]] * 1.5,"")</f>
        <v/>
      </c>
      <c r="DY257" s="265" t="str">
        <f>IF(SnapshotTable[[#This Row],[LC Premium]]&gt;0, SnapshotTable[[#This Row],[LC Next Target]] * SnapshotTable[[#This Row],[LC Qty]] * 100,"")</f>
        <v/>
      </c>
      <c r="DZ257" s="265" t="str">
        <f>IF(ISNUMBER(SnapshotTable[[#This Row],[LC Target Gross]]), SnapshotTable[[#This Row],[LC Target Gross]] - SnapshotTable[[#This Row],[LC Premium]], "")</f>
        <v/>
      </c>
      <c r="EA257" s="305" t="str">
        <f>IF(ISNUMBER(SnapshotTable[[#This Row],[LC Target Gain Loss]]), SnapshotTable[[#This Row],[LC Target Gain Loss]]/SnapshotTable[[#This Row],[LC Premium]], "")</f>
        <v/>
      </c>
      <c r="EB257" s="262"/>
      <c r="EC257" s="283" t="str">
        <f>IF(SnapshotTable[[#This Row],[LC Premium]]&gt;0, SnapshotTable[[#This Row],[LC Book Price]] * (1 - LC_StopLoss_Pct),"")</f>
        <v/>
      </c>
      <c r="ED257" s="284"/>
      <c r="EE257" s="28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4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7"/>
      <c r="EL257" s="138"/>
      <c r="EM257" s="148"/>
      <c r="EN257" s="147"/>
      <c r="EO257" s="147"/>
      <c r="EP257" s="138"/>
      <c r="EQ257" s="419" t="b">
        <f>AND(ISNUMBER(SnapshotTable[[#This Row],[SC Exp Date]]), ISNUMBER(SnapshotTable[[#This Row],[SC Strike Price]]), ISNUMBER(SnapshotTable[[#This Row],[SC Qty]]), ISNUMBER(SnapshotTable[[#This Row],[SC Book Date]]), ISNUMBER(SnapshotTable[[#This Row],[SC Book Price]]))</f>
        <v>0</v>
      </c>
      <c r="ER257" s="419" t="b">
        <f>AND(SnapshotTable[[#This Row],[SC Is Booked]], NOT(ISBLANK(SnapshotTable[[#This Row],[SC Fill Date]])))</f>
        <v>0</v>
      </c>
      <c r="ES257" s="370"/>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3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283"/>
      <c r="FA257" s="218"/>
      <c r="FB257" s="370"/>
      <c r="FC257" s="4">
        <f>IF(SnapshotTable[[#This Row],[SC Is Filled]], btc_max_buyback_amount(SnapshotTable[[#This Row],[SC Fill Date]],SnapshotTable[[#This Row],[SC Exp Date]], SnapshotTable[[#This Row],[SC Book Price]]),0)</f>
        <v>0</v>
      </c>
      <c r="FD257" s="5"/>
      <c r="FE257" s="144"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382">
        <f>IF(SnapshotTable[[#This Row],[SC Is Filled]], IF(ISNUMBER(SnapshotTable[[#This Row],[SC Current Ask]]), SnapshotTable[[#This Row],[SC Current Ask]], SnapshotTable[[#This Row],[SC Book Price]]) - SnapshotTable[[#This Row],[SC Intrinsic Value]], 0)</f>
        <v>0</v>
      </c>
      <c r="FI257" s="143"/>
      <c r="FJ257" s="32" t="str">
        <f>IF(SnapshotTable[[#This Row],[SC Is Filled]],100 * SnapshotTable[[#This Row],[SC Qty]] * IF(ISNUMBER(SnapshotTable[[#This Row],[SC Buyback Override]]), SnapshotTable[[#This Row],[SC Buyback Override]], SnapshotTable[[#This Row],[SC Current Ask]]), "")</f>
        <v/>
      </c>
      <c r="FK257" s="250" t="str">
        <f>IF(SnapshotTable[[#This Row],[SC Time Val]]&gt;0, SnapshotTable[[#This Row],[SC Time Val]] / SnapshotTable[[#This Row],[Last Price]],"")</f>
        <v/>
      </c>
      <c r="FL257" s="302" t="str">
        <f>IF(SnapshotTable[[#This Row],[SC Is Booked]], ((SnapshotTable[[#This Row],[Last Price]] -SnapshotTable[[#This Row],[SC Strike Price]]) / SnapshotTable[[#This Row],[Last Price]]) * -1, "")</f>
        <v/>
      </c>
      <c r="FM257" s="157"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33"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36" t="str">
        <f>IF(AND(ISNUMBER(SnapshotTable[[#This Row],[SC Simple ROO]]),SnapshotTable[[#This Row],[SC Simple ROO]] &gt; 0), SnapshotTable[[#This Row],[SC Premium]] + (SnapshotTable[[#This Row],[SC Qty]] * SnapshotTable[[#This Row],[SC Upside Potential]]), "")</f>
        <v/>
      </c>
      <c r="FX257" s="302" t="str" cm="1">
        <f t="array" ref="FX257">IF(ISNUMBER(SnapshotTable[[#This Row],[SC Max Dollars]]), annualize(SnapshotTable[[#This Row],[SC Term]],(SnapshotTable[[#This Row],[SC Max Dollars]]/SnapshotTable[[#This Row],[SC Basis]])),"")</f>
        <v/>
      </c>
      <c r="FY257" s="23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29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17.491500000000002</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
      </c>
      <c r="GO257" s="30" t="str">
        <f>IF(LEN(SnapshotTable[[#This Row],[SP Symbol]])&gt;0, 1, "")</f>
        <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57" s="231">
        <f>MAX(SnapshotTable[[#This Row],[Equity Basis Total]],SnapshotTable[[#This Row],[Equity Value]]) + (SnapshotTable[[#This Row],[SP Potential Spend]]- SnapshotTable[[#This Row],[SP Premium]] + SnapshotTable[[#This Row],[LP Premium]])+ (SnapshotTable[[#This Row],[LC Premium]] - SnapshotTable[[#This Row],[SC Premium]])</f>
        <v>15000</v>
      </c>
      <c r="GW257" s="139">
        <f ca="1">IF(AND(SnapshotTable[[#This Row],[Exposure]] &lt;&gt; 0),SnapshotTable[[#This Row],[Exposure]] / SnapshotTable[[#Totals],[Exposure]], "")</f>
        <v>7.0605725578326797E-2</v>
      </c>
      <c r="GX257" s="13"/>
      <c r="HK257" s="1"/>
      <c r="HL257" s="1"/>
      <c r="HM257" s="1"/>
      <c r="HN257" s="1"/>
      <c r="HO257" s="1"/>
      <c r="HP257" s="1"/>
    </row>
    <row r="258" spans="2:224" ht="12.75" hidden="1" customHeight="1" x14ac:dyDescent="0.25">
      <c r="B258" s="12" t="s">
        <v>1261</v>
      </c>
      <c r="C258" s="422">
        <v>36.35</v>
      </c>
      <c r="D258" s="208" t="s">
        <v>1207</v>
      </c>
      <c r="E258" s="39">
        <f>SnapshotTable[[#This Row],[Last Price]]*(1 -CrashDiscount)</f>
        <v>30.897500000000001</v>
      </c>
      <c r="F258" s="325" t="s">
        <v>5</v>
      </c>
      <c r="G258" s="325" t="s">
        <v>4</v>
      </c>
      <c r="H258" s="149"/>
      <c r="I258" s="194"/>
      <c r="J258" s="195"/>
      <c r="K258" s="196"/>
      <c r="L258" s="326"/>
      <c r="M258" s="140"/>
      <c r="N258" s="140"/>
      <c r="O258" s="140"/>
      <c r="P258" s="22"/>
      <c r="Q258" s="25"/>
      <c r="R258" s="4" t="str">
        <f>IF(SnapshotTable[[#This Row],[Equity Basis Total]] &gt; 0, SnapshotTable[[#This Row],[Equity Basis Total]] / SnapshotTable[[#This Row],[Equity Shares]], "")</f>
        <v/>
      </c>
      <c r="S258" s="269">
        <f>SnapshotTable[[#This Row],[Last Price]] * SnapshotTable[[#This Row],[Equity Shares]]</f>
        <v>0</v>
      </c>
      <c r="T258" s="269">
        <f>SnapshotTable[[#This Row],[Equity Value]] - SnapshotTable[[#This Row],[Equity Basis Total]]</f>
        <v>0</v>
      </c>
      <c r="U258" s="270" t="str">
        <f>IF(SnapshotTable[[#This Row],[Equity Basis Total]] &gt; 0, SnapshotTable[[#This Row],[Equity G/L]] / SnapshotTable[[#This Row],[Equity Basis Total]], "")</f>
        <v/>
      </c>
      <c r="V258" s="268">
        <v>68</v>
      </c>
      <c r="W258" s="26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7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0"/>
      <c r="AD258" s="151"/>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1"/>
      <c r="AI258" s="5"/>
      <c r="AJ258" s="138"/>
      <c r="AK258" s="152" t="str">
        <f>IF(ISNUMBER( SnapshotTable[[#This Row],[EBF Target]]),(SnapshotTable[[#This Row],[EBF Target]] - SnapshotTable[[#This Row],[Last Price]]) / SnapshotTable[[#This Row],[Last Price]], "")</f>
        <v/>
      </c>
      <c r="AL258" s="152"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2" t="str">
        <f>IF(AND(ISNUMBER( SnapshotTable[[#This Row],[Long Term Target]]), ISNUMBER(SnapshotTable[[#This Row],[Last Price]])),(SnapshotTable[[#This Row],[Long Term Target]] - SnapshotTable[[#This Row],[Last Price]]) / SnapshotTable[[#This Row],[Last Price]], "")</f>
        <v/>
      </c>
      <c r="AP258" s="5">
        <v>51.5</v>
      </c>
      <c r="AQ258" s="38" t="s">
        <v>38</v>
      </c>
      <c r="AR258" s="5">
        <v>51.5</v>
      </c>
      <c r="AS258" s="38" t="s">
        <v>26</v>
      </c>
      <c r="AT258" s="146" t="s">
        <v>538</v>
      </c>
      <c r="AU258" s="187" t="str">
        <f>IF(OR(SnapshotTable[[#This Row],[LP No Fill]]="Y",SnapshotTable[[#This Row],[SP Is Filled]],SnapshotTable[[#This Row],[LC Not Filled]]="Y",SnapshotTable[[#This Row],[SC Is Filled]]),"Y","")</f>
        <v/>
      </c>
      <c r="AV258" s="219"/>
      <c r="AW258" s="225"/>
      <c r="AX258" s="220"/>
      <c r="AY258" s="219" t="str">
        <f>IF(SnapshotTable[[#This Row],[Implied Move]]&gt;0, SnapshotTable[[#This Row],[Last Price]]-SnapshotTable[[#This Row],[Implied Move]],"")</f>
        <v/>
      </c>
      <c r="AZ258" s="219" t="str">
        <f>IF(SnapshotTable[[#This Row],[Implied Move]]&gt;0, SnapshotTable[[#This Row],[Last Price]] + SnapshotTable[[#This Row],[Implied Move]],"")</f>
        <v/>
      </c>
      <c r="BA258" s="331">
        <v>58.86</v>
      </c>
      <c r="BB258" s="347"/>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258" s="351"/>
      <c r="BE258" s="5"/>
      <c r="BF258" s="14"/>
      <c r="BG258" s="13"/>
      <c r="BH258" s="13"/>
      <c r="BI258" s="5"/>
      <c r="BJ258" s="136">
        <f>IF(SnapshotTable[[#This Row],[LP Qty]] &gt; 0, SnapshotTable[[#This Row],[LP Qty]] * SnapshotTable[[#This Row],[LP Book Price]] * 100,0)</f>
        <v>0</v>
      </c>
      <c r="BK258" s="136">
        <f>IF(SnapshotTable[[#This Row],[LP Premium]] &gt; 0, SnapshotTable[[#This Row],[LP Qty]] * SnapshotTable[[#This Row],[LP Strike Price]] * 100,0)</f>
        <v>0</v>
      </c>
      <c r="BL258" s="154"/>
      <c r="BM258" s="385" t="str">
        <f>IF(SnapshotTable[[#This Row],[LP Premium]] &gt; 0,SnapshotTable[[#This Row],[LP Exp Date]]-MAX(SnapshotTable[[#This Row],[LP Book Date]], SnapshotTable[[#This Row],[LP Fill Date]]),"")</f>
        <v/>
      </c>
      <c r="BN258" s="385" t="str">
        <f>IF(ISNUMBER( SnapshotTable[[#This Row],[LP Term]]), SnapshotTable[[#This Row],[LP Exp Date]] - MockToday,"")</f>
        <v/>
      </c>
      <c r="BO258" s="163"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c r="BR258" s="5"/>
      <c r="BS258" s="36"/>
      <c r="BT258" s="147"/>
      <c r="BU258" s="13"/>
      <c r="BV258" s="5"/>
      <c r="BW258" s="419" t="b">
        <f>AND(ISNUMBER(SnapshotTable[[#This Row],[SP Exp Date]]), ISNUMBER(SnapshotTable[[#This Row],[SP Strike Price]]), ISNUMBER(SnapshotTable[[#This Row],[SP Qty]]), ISNUMBER(SnapshotTable[[#This Row],[SP Book Date]]), ISNUMBER(SnapshotTable[[#This Row],[SP Book Price]]))</f>
        <v>0</v>
      </c>
      <c r="BX258" s="419" t="b">
        <f>AND(SnapshotTable[[#This Row],[SP Is Booked]], NOT(ISBLANK(SnapshotTable[[#This Row],[SP Fill Date]])))</f>
        <v>0</v>
      </c>
      <c r="BY258" s="33">
        <f>IF(SnapshotTable[[#This Row],[SP Is Booked]], SnapshotTable[[#This Row],[SP Qty]] * SnapshotTable[[#This Row],[SP Book Price]] * 100, 0)</f>
        <v>0</v>
      </c>
      <c r="BZ258" s="369"/>
      <c r="CA258" s="368">
        <f>SnapshotTable[[#This Row],[LP Qty]]</f>
        <v>0</v>
      </c>
      <c r="CB258" s="4" t="str">
        <f>IF(SnapshotTable[[#This Row],[SP Is Booked]], SnapshotTable[[#This Row],[SP Strike Price]] - SnapshotTable[[#This Row],[SP Book Price]], "")</f>
        <v/>
      </c>
      <c r="CC258" s="19" t="str">
        <f>IF(SnapshotTable[[#This Row],[SP Is Booked]],SnapshotTable[[#This Row],[SP Exp Date]]-MAX(SnapshotTable[[#This Row],[SP Book Date]], SnapshotTable[[#This Row],[SP Fill Date]]),"")</f>
        <v/>
      </c>
      <c r="CD258" s="7" t="str">
        <f>IF(SnapshotTable[[#This Row],[SP Is Booked]], SnapshotTable[[#This Row],[SP Book Price]]/SnapshotTable[[#This Row],[SP Strike Price]], "")</f>
        <v/>
      </c>
      <c r="CE258" s="7" t="str">
        <f>IF(ISNUMBER(SnapshotTable[[#This Row],[SP ROO Term]]),SnapshotTable[[#This Row],[SP ROO Term]]*(365/SnapshotTable[[#This Row],[SP Term]]),"")</f>
        <v/>
      </c>
      <c r="CF258" s="236">
        <f>SnapshotTable[[#This Row],[LP Strike Price]] * SnapshotTable[[#This Row],[LP Qty]] * 100</f>
        <v>0</v>
      </c>
      <c r="CG258" s="31">
        <f>IF(ISNUMBER(SnapshotTable[[#This Row],[SP Premium]]), (SnapshotTable[[#This Row],[SP Qty]] * SnapshotTable[[#This Row],[SP Strike Price]]* 100) - SnapshotTable[[#This Row],[LP Protection]], 0)</f>
        <v>0</v>
      </c>
      <c r="CH258" s="7" t="str">
        <f>IF(ISNUMBER(SnapshotTable[[#This Row],[SP Break Even]]),-1 * (SnapshotTable[[#This Row],[SP Break Even]] - SnapshotTable[[#This Row],[Last Price]]) / SnapshotTable[[#This Row],[Last Price]], "")</f>
        <v/>
      </c>
      <c r="CI258" s="31">
        <f>IF(AND(ISNUMBER((SnapshotTable[[#This Row],[SP Potential Spend]])), SnapshotTable[[#This Row],[SP Strike Price]] &gt; SnapshotTable[[#This Row],[Last Price]], SnapshotTable[[#This Row],[SP Is Filled]]), SnapshotTable[[#This Row],[SP Potential Spend]] -  SnapshotTable[[#This Row],[LP Max Value]], 0)</f>
        <v>0</v>
      </c>
      <c r="CJ258" s="244"/>
      <c r="CK258" s="31">
        <f>IF(ISNUMBER(SnapshotTable[[#This Row],[SP Potential Spend]]),IF(ISNUMBER(SnapshotTable[[#This Row],[SP POW]]), SnapshotTable[[#This Row],[SP POW]] * SnapshotTable[[#This Row],[SP Potential Spend]], SnapshotTable[[#This Row],[SP Potential Spend]]), "")</f>
        <v>0</v>
      </c>
      <c r="CL258" s="164">
        <f>IF(NOT(SnapshotTable[[#This Row],[SP Is Filled]]),(SnapshotTable[[#This Row],[SP Qty]] * SnapshotTable[[#This Row],[SP Strike Price]] * 100) - SnapshotTable[[#This Row],[LP Max Value]],"")</f>
        <v>0</v>
      </c>
      <c r="CM258" s="31" t="str">
        <f>IF(SnapshotTable[[#This Row],[SP Actual Spend]]&lt;&gt;0, ((SnapshotTable[[#This Row],[SP Strike Price]]-SnapshotTable[[#This Row],[Last Price]]) *(SnapshotTable[[#This Row],[SP Qty]]*100) - SnapshotTable[[#This Row],[SP Premium]]) * - 1, "")</f>
        <v/>
      </c>
      <c r="CN258" s="78"/>
      <c r="CO258" s="369"/>
      <c r="CP258" s="4" t="str">
        <f>IF(SnapshotTable[[#This Row],[SP Is Filled]], btc_max_buyback_amount(SnapshotTable[[#This Row],[SP Fill Date]],SnapshotTable[[#This Row],[SP Exp Date]], SnapshotTable[[#This Row],[SP Book Price]]),"")</f>
        <v/>
      </c>
      <c r="CQ258" s="78"/>
      <c r="CR2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8" s="155" t="str">
        <f>IF(SnapshotTable[[#This Row],[SP Is Filled]], btc_next_cutoff_date(SnapshotTable[[#This Row],[SP Fill Date]],SnapshotTable[[#This Row],[SP Exp Date]]),"")</f>
        <v/>
      </c>
      <c r="CT258" s="235" t="str" cm="1">
        <f t="array" ref="CT258">IF(SnapshotTable[[#This Row],[SP Is Filled]], btc_should_buy_back(SnapshotTable[[#This Row],[SP Fill Date]], SnapshotTable[[#This Row],[SP Exp Date]], SnapshotTable[[#This Row],[SP Book Price]], SnapshotTable[[#This Row],[SP Current Ask]], MockToday, SnapshotTable[[#This Row],[SP Buyback Override]]),"")</f>
        <v/>
      </c>
      <c r="CU258" s="143"/>
      <c r="CV258" s="235"/>
      <c r="CW258" s="378" t="str">
        <f>IF(ISNUMBER( SnapshotTable[[#This Row],[SP Term]]), SnapshotTable[[#This Row],[SP Exp Date]] - MockToday,"")</f>
        <v/>
      </c>
      <c r="CX258" s="31" t="str">
        <f>IF(SnapshotTable[[#This Row],[SP Is Filled]],SnapshotTable[[#This Row],[SP Buyback Price to Use]] * 100 * SnapshotTable[[#This Row],[SP Qty]], "")</f>
        <v/>
      </c>
      <c r="CY258" s="4" t="str">
        <f>IF(ISNUMBER(SnapshotTable[[#This Row],[SP Strike Price]]), SnapshotTable[[#This Row],[SP Strike Price]] * (1 - SP_MaxLoss_StrikePct), "")</f>
        <v/>
      </c>
      <c r="CZ258" s="31" t="str">
        <f>IF(ISNUMBER(SnapshotTable[[#This Row],[SP Strike  Stop Per Share]]),SnapshotTable[[#This Row],[SP Premium]] - ((SnapshotTable[[#This Row],[SP Strike Price]]-SnapshotTable[[#This Row],[SP Strike  Stop Per Share]]) *(SnapshotTable[[#This Row],[SP Qty]] * 100)),"")</f>
        <v/>
      </c>
      <c r="DA258" s="4" t="str">
        <f>IF(AND(ISNUMBER(SnapshotTable[[#This Row],[SP Premium]]),SnapshotTable[[#This Row],[SP Premium]]&gt;0), SnapshotTable[[#This Row],[SP Book Price]] * (1 + SP_MaxLoss_OptionPct), "")</f>
        <v/>
      </c>
      <c r="DB258" s="31" t="str">
        <f>IF(ISNUMBER(SnapshotTable[[#This Row],[SP Option  Stop Contract]]),(SnapshotTable[[#This Row],[SP Option  Stop Contract]] *(SnapshotTable[[#This Row],[SP Qty]] * 100) - SnapshotTable[[#This Row],[SP Premium]]),"")</f>
        <v/>
      </c>
      <c r="DC258" s="4"/>
      <c r="DD258" s="4"/>
      <c r="DE258" s="4" t="str">
        <f>IF(AND(SnapshotTable[[#This Row],[SP Qty]]&gt;0, SnapshotTable[[#This Row],[SP Stop To Use]]&gt;0),SnapshotTable[[#This Row],[SP Premium]] - ( SnapshotTable[[#This Row],[SP Qty]] * SnapshotTable[[#This Row],[SP Stop To Use]] * 100), "")</f>
        <v/>
      </c>
      <c r="DF258" s="31" t="str">
        <f>IF(AND(SnapshotTable[[#This Row],[SP Qty]]&gt;0,SnapshotTable[[#This Row],[SP Current Ask]]&gt;0), SnapshotTable[[#This Row],[SP Qty]] * SnapshotTable[[#This Row],[SP Current Ask]] * -100, "")</f>
        <v/>
      </c>
      <c r="DG258" s="31" t="str">
        <f>IF(ISNUMBER((SnapshotTable[[#This Row],[SP Total Value]])), SnapshotTable[[#This Row],[SP Premium]] + SnapshotTable[[#This Row],[SP Total Value]], "")</f>
        <v/>
      </c>
      <c r="DH258" s="294" t="str">
        <f>IF(ISNUMBER((SnapshotTable[[#This Row],[SP Total Value]])), SnapshotTable[[#This Row],[SP Gain Loss]] / SnapshotTable[[#This Row],[SP Premium]], "")</f>
        <v/>
      </c>
      <c r="DI258" s="406">
        <v>46920</v>
      </c>
      <c r="DJ258" s="138">
        <v>40</v>
      </c>
      <c r="DK258" s="148">
        <v>10</v>
      </c>
      <c r="DL258" s="13">
        <v>46079</v>
      </c>
      <c r="DM258" s="13">
        <v>46079</v>
      </c>
      <c r="DN258" s="5">
        <v>14.46</v>
      </c>
      <c r="DO258" s="31">
        <f>IF(SnapshotTable[[#This Row],[LC Symbol Count]]=1, SnapshotTable[[#This Row],[LC Qty]] * SnapshotTable[[#This Row],[LC Book Price]] * 100, 0)</f>
        <v>14460.000000000002</v>
      </c>
      <c r="DP258" s="163" t="str">
        <f>IF(AND(SnapshotTable[[#This Row],[LC Exp Date]]&gt;0, SnapshotTable[[#This Row],[LC Strike Price]]&gt;0,SnapshotTable[[#This Row],[LC Qty]]&gt;0,SnapshotTable[[#This Row],[LC Book Date]]&gt;0,SnapshotTable[[#This Row],[LC Book Price]]&gt;0,SnapshotTable[[#This Row],[LC Fill Date]]=0),"Y","")</f>
        <v/>
      </c>
      <c r="DQ258" s="386">
        <f>IF(SnapshotTable[[#This Row],[LC Premium]] &gt; 0,SnapshotTable[[#This Row],[LC Exp Date]]-MAX(SnapshotTable[[#This Row],[LC Book Date]], SnapshotTable[[#This Row],[LC Fill Date]]),"")</f>
        <v>841</v>
      </c>
      <c r="DR258" s="386">
        <f ca="1">IF(ISNUMBER(SnapshotTable[[#This Row],[LC Term]]), SnapshotTable[[#This Row],[LC Exp Date]] - MockToday, "")</f>
        <v>687</v>
      </c>
      <c r="DS258" s="234">
        <f>IF(SnapshotTable[[#This Row],[LC Premium]]&gt;0,SnapshotTable[[#This Row],[LC Strike Price]] + SnapshotTable[[#This Row],[LC Book Price]],"")</f>
        <v>54.46</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40" t="str">
        <f>IF(ISNUMBER(SnapshotTable[[#This Row],[LC Actual Gain Loss]]), SnapshotTable[[#This Row],[LC Actual Gain Loss]] / SnapshotTable[[#This Row],[LC Premium]],"")</f>
        <v/>
      </c>
      <c r="DX258" s="284">
        <f>IF(ISNUMBER(SnapshotTable[[#This Row],[LC Book Price]]),SnapshotTable[[#This Row],[LC Book Price]] * 1.5,"")</f>
        <v>21.69</v>
      </c>
      <c r="DY258" s="265">
        <f>IF(SnapshotTable[[#This Row],[LC Premium]]&gt;0, SnapshotTable[[#This Row],[LC Next Target]] * SnapshotTable[[#This Row],[LC Qty]] * 100,"")</f>
        <v>21690</v>
      </c>
      <c r="DZ258" s="265">
        <f>IF(ISNUMBER(SnapshotTable[[#This Row],[LC Target Gross]]), SnapshotTable[[#This Row],[LC Target Gross]] - SnapshotTable[[#This Row],[LC Premium]], "")</f>
        <v>7229.9999999999982</v>
      </c>
      <c r="EA258" s="305">
        <f>IF(ISNUMBER(SnapshotTable[[#This Row],[LC Target Gain Loss]]), SnapshotTable[[#This Row],[LC Target Gain Loss]]/SnapshotTable[[#This Row],[LC Premium]], "")</f>
        <v>0.49999999999999983</v>
      </c>
      <c r="EB258" s="262"/>
      <c r="EC258" s="283">
        <f>IF(SnapshotTable[[#This Row],[LC Premium]]&gt;0, SnapshotTable[[#This Row],[LC Book Price]] * (1 - LC_StopLoss_Pct),"")</f>
        <v>10.845000000000001</v>
      </c>
      <c r="ED258" s="284"/>
      <c r="EE258" s="28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40000</v>
      </c>
      <c r="EI258" s="24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10</v>
      </c>
      <c r="EK258" s="147"/>
      <c r="EL258" s="138">
        <v>47</v>
      </c>
      <c r="EM258" s="148">
        <v>10</v>
      </c>
      <c r="EN258" s="147">
        <v>46143</v>
      </c>
      <c r="EO258" s="147"/>
      <c r="EP258" s="138">
        <v>0.22</v>
      </c>
      <c r="EQ258" s="419" t="b">
        <f>AND(ISNUMBER(SnapshotTable[[#This Row],[SC Exp Date]]), ISNUMBER(SnapshotTable[[#This Row],[SC Strike Price]]), ISNUMBER(SnapshotTable[[#This Row],[SC Qty]]), ISNUMBER(SnapshotTable[[#This Row],[SC Book Date]]), ISNUMBER(SnapshotTable[[#This Row],[SC Book Price]]))</f>
        <v>0</v>
      </c>
      <c r="ER258" s="419" t="b">
        <f>AND(SnapshotTable[[#This Row],[SC Is Booked]], NOT(ISBLANK(SnapshotTable[[#This Row],[SC Fill Date]])))</f>
        <v>0</v>
      </c>
      <c r="ES258" s="370">
        <v>0.15</v>
      </c>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f>IF(AND(ISNUMBER(SnapshotTable[[#This Row],[Last Price]]), ISNUMBER( SnapshotTable[[#This Row],[SC Book Price]])), SnapshotTable[[#This Row],[Last Price]] - SnapshotTable[[#This Row],[SC Book Price]],"")</f>
        <v>36.130000000000003</v>
      </c>
      <c r="EX258" s="23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283"/>
      <c r="FA258" s="218"/>
      <c r="FB258" s="370"/>
      <c r="FC258" s="4">
        <f>IF(SnapshotTable[[#This Row],[SC Is Filled]], btc_max_buyback_amount(SnapshotTable[[#This Row],[SC Fill Date]],SnapshotTable[[#This Row],[SC Exp Date]], SnapshotTable[[#This Row],[SC Book Price]]),0)</f>
        <v>0</v>
      </c>
      <c r="FD258" s="5"/>
      <c r="FE258" s="144"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382">
        <f>IF(SnapshotTable[[#This Row],[SC Is Filled]], IF(ISNUMBER(SnapshotTable[[#This Row],[SC Current Ask]]), SnapshotTable[[#This Row],[SC Current Ask]], SnapshotTable[[#This Row],[SC Book Price]]) - SnapshotTable[[#This Row],[SC Intrinsic Value]], 0)</f>
        <v>0</v>
      </c>
      <c r="FI258" s="143"/>
      <c r="FJ258" s="32" t="str">
        <f>IF(SnapshotTable[[#This Row],[SC Is Filled]],100 * SnapshotTable[[#This Row],[SC Qty]] * IF(ISNUMBER(SnapshotTable[[#This Row],[SC Buyback Override]]), SnapshotTable[[#This Row],[SC Buyback Override]], SnapshotTable[[#This Row],[SC Current Ask]]), "")</f>
        <v/>
      </c>
      <c r="FK258" s="250" t="str">
        <f>IF(SnapshotTable[[#This Row],[SC Time Val]]&gt;0, SnapshotTable[[#This Row],[SC Time Val]] / SnapshotTable[[#This Row],[Last Price]],"")</f>
        <v/>
      </c>
      <c r="FL258" s="302" t="str">
        <f>IF(SnapshotTable[[#This Row],[SC Is Booked]], ((SnapshotTable[[#This Row],[Last Price]] -SnapshotTable[[#This Row],[SC Strike Price]]) / SnapshotTable[[#This Row],[Last Price]]) * -1, "")</f>
        <v/>
      </c>
      <c r="FM258" s="157"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10.649999999999999</v>
      </c>
      <c r="FT258" s="27">
        <f>IF(AND(ISNUMBER(SnapshotTable[[#This Row],[SC Upside Potential]]), SnapshotTable[[#This Row],[SC Upside Potential]] &gt; 0),(SnapshotTable[[#This Row],[SC Upside Potential]]/ SnapshotTable[[#This Row],[ACB]]),"")</f>
        <v>0.18093781855249744</v>
      </c>
      <c r="FU258" s="333"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36" t="str">
        <f>IF(AND(ISNUMBER(SnapshotTable[[#This Row],[SC Simple ROO]]),SnapshotTable[[#This Row],[SC Simple ROO]] &gt; 0), SnapshotTable[[#This Row],[SC Premium]] + (SnapshotTable[[#This Row],[SC Qty]] * SnapshotTable[[#This Row],[SC Upside Potential]]), "")</f>
        <v/>
      </c>
      <c r="FX258" s="302" t="str" cm="1">
        <f t="array" ref="FX258">IF(ISNUMBER(SnapshotTable[[#This Row],[SC Max Dollars]]), annualize(SnapshotTable[[#This Row],[SC Term]],(SnapshotTable[[#This Row],[SC Max Dollars]]/SnapshotTable[[#This Row],[SC Basis]])),"")</f>
        <v/>
      </c>
      <c r="FY258" s="23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29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70.882500000000007</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
      </c>
      <c r="GO258" s="30" t="str">
        <f>IF(LEN(SnapshotTable[[#This Row],[SP Symbol]])&gt;0, 1, "")</f>
        <v/>
      </c>
      <c r="GP258" s="43" t="str">
        <f>IF(AND(SnapshotTable[[#This Row],[LC Exp Date]]&gt;0,SnapshotTable[[#This Row],[LC Strike Price]]&gt;0), [1]!ToOptionSymbol(SnapshotTable[[#This Row],[Symbol]], SnapshotTable[[#This Row],[LC Strike Price]],SnapshotTable[[#This Row],[LC Exp Date]],0), "")</f>
        <v>IBIT280616C00040000</v>
      </c>
      <c r="GQ258" s="30">
        <f>IF(LEN(SnapshotTable[[#This Row],[LC Symbol]])&gt;0, 1, "")</f>
        <v>1</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58" s="231">
        <f>MAX(SnapshotTable[[#This Row],[Equity Basis Total]],SnapshotTable[[#This Row],[Equity Value]]) + (SnapshotTable[[#This Row],[SP Potential Spend]]- SnapshotTable[[#This Row],[SP Premium]] + SnapshotTable[[#This Row],[LP Premium]])+ (SnapshotTable[[#This Row],[LC Premium]] - SnapshotTable[[#This Row],[SC Premium]])</f>
        <v>14460.000000000002</v>
      </c>
      <c r="GW258" s="139">
        <f ca="1">IF(AND(SnapshotTable[[#This Row],[Exposure]] &lt;&gt; 0),SnapshotTable[[#This Row],[Exposure]] / SnapshotTable[[#Totals],[Exposure]], "")</f>
        <v>6.8063919457507047E-2</v>
      </c>
      <c r="GX258" s="13"/>
      <c r="HK258" s="1"/>
      <c r="HL258" s="1"/>
      <c r="HM258" s="1"/>
      <c r="HN258" s="1"/>
      <c r="HO258" s="1"/>
      <c r="HP258" s="1"/>
    </row>
    <row r="259" spans="2:224" ht="12.75" hidden="1" customHeight="1" x14ac:dyDescent="0.25">
      <c r="B259" s="12" t="s">
        <v>1191</v>
      </c>
      <c r="C259" s="422">
        <v>108.1</v>
      </c>
      <c r="D259" s="208" t="s">
        <v>258</v>
      </c>
      <c r="E259" s="39">
        <f>SnapshotTable[[#This Row],[Last Price]]*(1 -CrashDiscount)</f>
        <v>91.884999999999991</v>
      </c>
      <c r="F259" s="325" t="s">
        <v>5</v>
      </c>
      <c r="G259" s="325" t="s">
        <v>4</v>
      </c>
      <c r="H259" s="149"/>
      <c r="I259" s="194"/>
      <c r="J259" s="195"/>
      <c r="K259" s="196"/>
      <c r="L259" s="327"/>
      <c r="M259" s="140"/>
      <c r="N259" s="140"/>
      <c r="O259" s="140"/>
      <c r="P259" s="22">
        <v>30</v>
      </c>
      <c r="Q259" s="25">
        <v>2618.8900000000003</v>
      </c>
      <c r="R259" s="4">
        <f>IF(SnapshotTable[[#This Row],[Equity Basis Total]] &gt; 0, SnapshotTable[[#This Row],[Equity Basis Total]] / SnapshotTable[[#This Row],[Equity Shares]], "")</f>
        <v>87.296333333333351</v>
      </c>
      <c r="S259" s="329">
        <f>SnapshotTable[[#This Row],[Last Price]] * SnapshotTable[[#This Row],[Equity Shares]]</f>
        <v>3243</v>
      </c>
      <c r="T259" s="269">
        <f>SnapshotTable[[#This Row],[Equity Value]] - SnapshotTable[[#This Row],[Equity Basis Total]]</f>
        <v>624.10999999999967</v>
      </c>
      <c r="U259" s="270">
        <f>IF(SnapshotTable[[#This Row],[Equity Basis Total]] &gt; 0, SnapshotTable[[#This Row],[Equity G/L]] / SnapshotTable[[#This Row],[Equity Basis Total]], "")</f>
        <v>0.23831088743704379</v>
      </c>
      <c r="V259" s="268"/>
      <c r="W259" s="26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7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0"/>
      <c r="AD259" s="151"/>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1"/>
      <c r="AI259" s="330"/>
      <c r="AJ259" s="138"/>
      <c r="AK259" s="152" t="str">
        <f>IF(ISNUMBER( SnapshotTable[[#This Row],[EBF Target]]),(SnapshotTable[[#This Row],[EBF Target]] - SnapshotTable[[#This Row],[Last Price]]) / SnapshotTable[[#This Row],[Last Price]], "")</f>
        <v/>
      </c>
      <c r="AL259" s="152"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2" t="str">
        <f>IF(AND(ISNUMBER( SnapshotTable[[#This Row],[Long Term Target]]), ISNUMBER(SnapshotTable[[#This Row],[Last Price]])),(SnapshotTable[[#This Row],[Long Term Target]] - SnapshotTable[[#This Row],[Last Price]]) / SnapshotTable[[#This Row],[Last Price]], "")</f>
        <v/>
      </c>
      <c r="AP259" s="5"/>
      <c r="AQ259" s="38"/>
      <c r="AR259" s="5"/>
      <c r="AS259" s="38"/>
      <c r="AT259" s="146" t="s">
        <v>1132</v>
      </c>
      <c r="AU259" s="187" t="str">
        <f>IF(OR(SnapshotTable[[#This Row],[LP No Fill]]="Y",SnapshotTable[[#This Row],[SP Is Filled]],SnapshotTable[[#This Row],[LC Not Filled]]="Y",SnapshotTable[[#This Row],[SC Is Filled]]),"Y","")</f>
        <v/>
      </c>
      <c r="AV259" s="338" t="s">
        <v>1138</v>
      </c>
      <c r="AW259" s="339"/>
      <c r="AX259" s="220"/>
      <c r="AY259" s="219" t="str">
        <f>IF(SnapshotTable[[#This Row],[Implied Move]]&gt;0, SnapshotTable[[#This Row],[Last Price]]-SnapshotTable[[#This Row],[Implied Move]],"")</f>
        <v/>
      </c>
      <c r="AZ259" s="219" t="str">
        <f>IF(SnapshotTable[[#This Row],[Implied Move]]&gt;0, SnapshotTable[[#This Row],[Last Price]] + SnapshotTable[[#This Row],[Implied Move]],"")</f>
        <v/>
      </c>
      <c r="BA259" s="331">
        <v>88.5</v>
      </c>
      <c r="BB259" s="347"/>
      <c r="BC2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9" s="351"/>
      <c r="BE259" s="138"/>
      <c r="BF259" s="166"/>
      <c r="BG259" s="167"/>
      <c r="BH259" s="167"/>
      <c r="BI259" s="221"/>
      <c r="BJ259" s="153">
        <f>IF(SnapshotTable[[#This Row],[LP Qty]] &gt; 0, SnapshotTable[[#This Row],[LP Qty]] * SnapshotTable[[#This Row],[LP Book Price]] * 100,0)</f>
        <v>0</v>
      </c>
      <c r="BK259" s="136">
        <f>IF(SnapshotTable[[#This Row],[LP Premium]] &gt; 0, SnapshotTable[[#This Row],[LP Qty]] * SnapshotTable[[#This Row],[LP Strike Price]] * 100,0)</f>
        <v>0</v>
      </c>
      <c r="BL259" s="154"/>
      <c r="BM259" s="385" t="str">
        <f>IF(SnapshotTable[[#This Row],[LP Premium]] &gt; 0,SnapshotTable[[#This Row],[LP Exp Date]]-MAX(SnapshotTable[[#This Row],[LP Book Date]], SnapshotTable[[#This Row],[LP Fill Date]]),"")</f>
        <v/>
      </c>
      <c r="BN259" s="385" t="str">
        <f>IF(ISNUMBER( SnapshotTable[[#This Row],[LP Term]]), SnapshotTable[[#This Row],[LP Exp Date]] - MockToday,"")</f>
        <v/>
      </c>
      <c r="BO259" s="163"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c r="BR259" s="5"/>
      <c r="BS259" s="36"/>
      <c r="BT259" s="147"/>
      <c r="BU259" s="13"/>
      <c r="BV259" s="5"/>
      <c r="BW259" s="419" t="b">
        <f>AND(ISNUMBER(SnapshotTable[[#This Row],[SP Exp Date]]), ISNUMBER(SnapshotTable[[#This Row],[SP Strike Price]]), ISNUMBER(SnapshotTable[[#This Row],[SP Qty]]), ISNUMBER(SnapshotTable[[#This Row],[SP Book Date]]), ISNUMBER(SnapshotTable[[#This Row],[SP Book Price]]))</f>
        <v>0</v>
      </c>
      <c r="BX259" s="419" t="b">
        <f>AND(SnapshotTable[[#This Row],[SP Is Booked]], NOT(ISBLANK(SnapshotTable[[#This Row],[SP Fill Date]])))</f>
        <v>0</v>
      </c>
      <c r="BY259" s="33">
        <f>IF(SnapshotTable[[#This Row],[SP Is Booked]], SnapshotTable[[#This Row],[SP Qty]] * SnapshotTable[[#This Row],[SP Book Price]] * 100, 0)</f>
        <v>0</v>
      </c>
      <c r="BZ259" s="369"/>
      <c r="CA259" s="368">
        <f>SnapshotTable[[#This Row],[LP Qty]]</f>
        <v>0</v>
      </c>
      <c r="CB259" s="4" t="str">
        <f>IF(SnapshotTable[[#This Row],[SP Is Booked]], SnapshotTable[[#This Row],[SP Strike Price]] - SnapshotTable[[#This Row],[SP Book Price]], "")</f>
        <v/>
      </c>
      <c r="CC259" s="19" t="str">
        <f>IF(SnapshotTable[[#This Row],[SP Is Booked]],SnapshotTable[[#This Row],[SP Exp Date]]-MAX(SnapshotTable[[#This Row],[SP Book Date]], SnapshotTable[[#This Row],[SP Fill Date]]),"")</f>
        <v/>
      </c>
      <c r="CD259" s="7" t="str">
        <f>IF(SnapshotTable[[#This Row],[SP Is Booked]], SnapshotTable[[#This Row],[SP Book Price]]/SnapshotTable[[#This Row],[SP Strike Price]], "")</f>
        <v/>
      </c>
      <c r="CE259" s="7" t="str">
        <f>IF(ISNUMBER(SnapshotTable[[#This Row],[SP ROO Term]]),SnapshotTable[[#This Row],[SP ROO Term]]*(365/SnapshotTable[[#This Row],[SP Term]]),"")</f>
        <v/>
      </c>
      <c r="CF259" s="236">
        <f>SnapshotTable[[#This Row],[LP Strike Price]] * SnapshotTable[[#This Row],[LP Qty]] * 100</f>
        <v>0</v>
      </c>
      <c r="CG259" s="31">
        <f>IF(ISNUMBER(SnapshotTable[[#This Row],[SP Premium]]), (SnapshotTable[[#This Row],[SP Qty]] * SnapshotTable[[#This Row],[SP Strike Price]]* 100) - SnapshotTable[[#This Row],[LP Protection]], 0)</f>
        <v>0</v>
      </c>
      <c r="CH259" s="7" t="str">
        <f>IF(ISNUMBER(SnapshotTable[[#This Row],[SP Break Even]]),-1 * (SnapshotTable[[#This Row],[SP Break Even]] - SnapshotTable[[#This Row],[Last Price]]) / SnapshotTable[[#This Row],[Last Price]], "")</f>
        <v/>
      </c>
      <c r="CI259" s="31">
        <f>IF(AND(ISNUMBER((SnapshotTable[[#This Row],[SP Potential Spend]])), SnapshotTable[[#This Row],[SP Strike Price]] &gt; SnapshotTable[[#This Row],[Last Price]], SnapshotTable[[#This Row],[SP Is Filled]]), SnapshotTable[[#This Row],[SP Potential Spend]] -  SnapshotTable[[#This Row],[LP Max Value]], 0)</f>
        <v>0</v>
      </c>
      <c r="CJ259" s="244"/>
      <c r="CK259" s="31">
        <f>IF(ISNUMBER(SnapshotTable[[#This Row],[SP Potential Spend]]),IF(ISNUMBER(SnapshotTable[[#This Row],[SP POW]]), SnapshotTable[[#This Row],[SP POW]] * SnapshotTable[[#This Row],[SP Potential Spend]], SnapshotTable[[#This Row],[SP Potential Spend]]), "")</f>
        <v>0</v>
      </c>
      <c r="CL259" s="164">
        <f>IF(NOT(SnapshotTable[[#This Row],[SP Is Filled]]),(SnapshotTable[[#This Row],[SP Qty]] * SnapshotTable[[#This Row],[SP Strike Price]] * 100) - SnapshotTable[[#This Row],[LP Max Value]],"")</f>
        <v>0</v>
      </c>
      <c r="CM259" s="31" t="str">
        <f>IF(SnapshotTable[[#This Row],[SP Actual Spend]]&lt;&gt;0, ((SnapshotTable[[#This Row],[SP Strike Price]]-SnapshotTable[[#This Row],[Last Price]]) *(SnapshotTable[[#This Row],[SP Qty]]*100) - SnapshotTable[[#This Row],[SP Premium]]) * - 1, "")</f>
        <v/>
      </c>
      <c r="CN259" s="154"/>
      <c r="CO259" s="369"/>
      <c r="CP259" s="320" t="str">
        <f>IF(SnapshotTable[[#This Row],[SP Is Filled]], btc_max_buyback_amount(SnapshotTable[[#This Row],[SP Fill Date]],SnapshotTable[[#This Row],[SP Exp Date]], SnapshotTable[[#This Row],[SP Book Price]]),"")</f>
        <v/>
      </c>
      <c r="CQ259" s="78"/>
      <c r="CR259"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9" s="155" t="str">
        <f>IF(SnapshotTable[[#This Row],[SP Is Filled]], btc_next_cutoff_date(SnapshotTable[[#This Row],[SP Fill Date]],SnapshotTable[[#This Row],[SP Exp Date]]),"")</f>
        <v/>
      </c>
      <c r="CT259" s="235" t="str" cm="1">
        <f t="array" ref="CT259">IF(SnapshotTable[[#This Row],[SP Is Filled]], btc_should_buy_back(SnapshotTable[[#This Row],[SP Fill Date]], SnapshotTable[[#This Row],[SP Exp Date]], SnapshotTable[[#This Row],[SP Book Price]], SnapshotTable[[#This Row],[SP Current Ask]], MockToday, SnapshotTable[[#This Row],[SP Buyback Override]]),"")</f>
        <v/>
      </c>
      <c r="CU259" s="143"/>
      <c r="CV259" s="235"/>
      <c r="CW259" s="378" t="str">
        <f>IF(ISNUMBER( SnapshotTable[[#This Row],[SP Term]]), SnapshotTable[[#This Row],[SP Exp Date]] - MockToday,"")</f>
        <v/>
      </c>
      <c r="CX259" s="31" t="str">
        <f>IF(SnapshotTable[[#This Row],[SP Is Filled]],SnapshotTable[[#This Row],[SP Buyback Price to Use]] * 100 * SnapshotTable[[#This Row],[SP Qty]], "")</f>
        <v/>
      </c>
      <c r="CY259" s="4" t="str">
        <f>IF(ISNUMBER(SnapshotTable[[#This Row],[SP Strike Price]]), SnapshotTable[[#This Row],[SP Strike Price]] * (1 - SP_MaxLoss_StrikePct), "")</f>
        <v/>
      </c>
      <c r="CZ259" s="31" t="str">
        <f>IF(ISNUMBER(SnapshotTable[[#This Row],[SP Strike  Stop Per Share]]),SnapshotTable[[#This Row],[SP Premium]] - ((SnapshotTable[[#This Row],[SP Strike Price]]-SnapshotTable[[#This Row],[SP Strike  Stop Per Share]]) *(SnapshotTable[[#This Row],[SP Qty]] * 100)),"")</f>
        <v/>
      </c>
      <c r="DA259" s="4" t="str">
        <f>IF(AND(ISNUMBER(SnapshotTable[[#This Row],[SP Premium]]),SnapshotTable[[#This Row],[SP Premium]]&gt;0), SnapshotTable[[#This Row],[SP Book Price]] * (1 + SP_MaxLoss_OptionPct), "")</f>
        <v/>
      </c>
      <c r="DB259" s="31" t="str">
        <f>IF(ISNUMBER(SnapshotTable[[#This Row],[SP Option  Stop Contract]]),(SnapshotTable[[#This Row],[SP Option  Stop Contract]] *(SnapshotTable[[#This Row],[SP Qty]] * 100) - SnapshotTable[[#This Row],[SP Premium]]),"")</f>
        <v/>
      </c>
      <c r="DC259" s="4"/>
      <c r="DD259" s="4"/>
      <c r="DE259" s="4" t="str">
        <f>IF(AND(SnapshotTable[[#This Row],[SP Qty]]&gt;0, SnapshotTable[[#This Row],[SP Stop To Use]]&gt;0),SnapshotTable[[#This Row],[SP Premium]] - ( SnapshotTable[[#This Row],[SP Qty]] * SnapshotTable[[#This Row],[SP Stop To Use]] * 100), "")</f>
        <v/>
      </c>
      <c r="DF259" s="31" t="str">
        <f>IF(AND(SnapshotTable[[#This Row],[SP Qty]]&gt;0,SnapshotTable[[#This Row],[SP Current Ask]]&gt;0), SnapshotTable[[#This Row],[SP Qty]] * SnapshotTable[[#This Row],[SP Current Ask]] * -100, "")</f>
        <v/>
      </c>
      <c r="DG259" s="31" t="str">
        <f>IF(ISNUMBER((SnapshotTable[[#This Row],[SP Total Value]])), SnapshotTable[[#This Row],[SP Premium]] + SnapshotTable[[#This Row],[SP Total Value]], "")</f>
        <v/>
      </c>
      <c r="DH259" s="294" t="str">
        <f>IF(ISNUMBER((SnapshotTable[[#This Row],[SP Total Value]])), SnapshotTable[[#This Row],[SP Gain Loss]] / SnapshotTable[[#This Row],[SP Premium]], "")</f>
        <v/>
      </c>
      <c r="DI259" s="406"/>
      <c r="DJ259" s="138"/>
      <c r="DK259" s="166"/>
      <c r="DL259" s="167"/>
      <c r="DM259" s="167"/>
      <c r="DO259" s="31">
        <f>IF(SnapshotTable[[#This Row],[LC Symbol Count]]=1, SnapshotTable[[#This Row],[LC Qty]] * SnapshotTable[[#This Row],[LC Book Price]] * 100, 0)</f>
        <v>0</v>
      </c>
      <c r="DP259" s="289" t="str">
        <f>IF(AND(SnapshotTable[[#This Row],[LC Exp Date]]&gt;0, SnapshotTable[[#This Row],[LC Strike Price]]&gt;0,SnapshotTable[[#This Row],[LC Qty]]&gt;0,SnapshotTable[[#This Row],[LC Book Date]]&gt;0,SnapshotTable[[#This Row],[LC Book Price]]&gt;0,SnapshotTable[[#This Row],[LC Fill Date]]=0),"Y","")</f>
        <v/>
      </c>
      <c r="DQ259" s="386" t="str">
        <f>IF(SnapshotTable[[#This Row],[LC Premium]] &gt; 0,SnapshotTable[[#This Row],[LC Exp Date]]-MAX(SnapshotTable[[#This Row],[LC Book Date]], SnapshotTable[[#This Row],[LC Fill Date]]),"")</f>
        <v/>
      </c>
      <c r="DR259" s="386" t="str">
        <f>IF(ISNUMBER(SnapshotTable[[#This Row],[LC Term]]), SnapshotTable[[#This Row],[LC Exp Date]] - MockToday, "")</f>
        <v/>
      </c>
      <c r="DS259" s="23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40" t="str">
        <f>IF(ISNUMBER(SnapshotTable[[#This Row],[LC Actual Gain Loss]]), SnapshotTable[[#This Row],[LC Actual Gain Loss]] / SnapshotTable[[#This Row],[LC Premium]],"")</f>
        <v/>
      </c>
      <c r="DX259" s="284" t="str">
        <f>IF(ISNUMBER(SnapshotTable[[#This Row],[LC Book Price]]),SnapshotTable[[#This Row],[LC Book Price]] * 1.5,"")</f>
        <v/>
      </c>
      <c r="DY259" s="265" t="str">
        <f>IF(SnapshotTable[[#This Row],[LC Premium]]&gt;0, SnapshotTable[[#This Row],[LC Next Target]] * SnapshotTable[[#This Row],[LC Qty]] * 100,"")</f>
        <v/>
      </c>
      <c r="DZ259" s="265" t="str">
        <f>IF(ISNUMBER(SnapshotTable[[#This Row],[LC Target Gross]]), SnapshotTable[[#This Row],[LC Target Gross]] - SnapshotTable[[#This Row],[LC Premium]], "")</f>
        <v/>
      </c>
      <c r="EA259" s="305" t="str">
        <f>IF(ISNUMBER(SnapshotTable[[#This Row],[LC Target Gain Loss]]), SnapshotTable[[#This Row],[LC Target Gain Loss]]/SnapshotTable[[#This Row],[LC Premium]], "")</f>
        <v/>
      </c>
      <c r="EB259" s="262"/>
      <c r="EC259" s="290" t="str">
        <f>IF(SnapshotTable[[#This Row],[LC Premium]]&gt;0, SnapshotTable[[#This Row],[LC Book Price]] * (1 - LC_StopLoss_Pct),"")</f>
        <v/>
      </c>
      <c r="ED259" s="284"/>
      <c r="EE259" s="290" t="str">
        <f>IF(ISNUMBER(SnapshotTable[[#This Row],[LC Contract Value]]),IF(ISNUMBER(SnapshotTable[[#This Row],[LC Stop Loss Override]]), SnapshotTable[[#This Row],[LC Stop Loss Override]],SnapshotTable[[#This Row],[LC Stop Loss Calc Target]]),"")</f>
        <v/>
      </c>
      <c r="EF259" s="32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4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7"/>
      <c r="EL259" s="138"/>
      <c r="EM259" s="148"/>
      <c r="EN259" s="147"/>
      <c r="EO259" s="147"/>
      <c r="EP259" s="138"/>
      <c r="EQ259" s="419" t="b">
        <f>AND(ISNUMBER(SnapshotTable[[#This Row],[SC Exp Date]]), ISNUMBER(SnapshotTable[[#This Row],[SC Strike Price]]), ISNUMBER(SnapshotTable[[#This Row],[SC Qty]]), ISNUMBER(SnapshotTable[[#This Row],[SC Book Date]]), ISNUMBER(SnapshotTable[[#This Row],[SC Book Price]]))</f>
        <v>0</v>
      </c>
      <c r="ER259" s="419" t="b">
        <f>AND(SnapshotTable[[#This Row],[SC Is Booked]], NOT(ISBLANK(SnapshotTable[[#This Row],[SC Fill Date]])))</f>
        <v>0</v>
      </c>
      <c r="ES259" s="370"/>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3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283"/>
      <c r="FA259" s="218"/>
      <c r="FB259" s="370"/>
      <c r="FC259" s="4">
        <f>IF(SnapshotTable[[#This Row],[SC Is Filled]], btc_max_buyback_amount(SnapshotTable[[#This Row],[SC Fill Date]],SnapshotTable[[#This Row],[SC Exp Date]], SnapshotTable[[#This Row],[SC Book Price]]),0)</f>
        <v>0</v>
      </c>
      <c r="FD259" s="5"/>
      <c r="FE259" s="144"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382">
        <f>IF(SnapshotTable[[#This Row],[SC Is Filled]], IF(ISNUMBER(SnapshotTable[[#This Row],[SC Current Ask]]), SnapshotTable[[#This Row],[SC Current Ask]], SnapshotTable[[#This Row],[SC Book Price]]) - SnapshotTable[[#This Row],[SC Intrinsic Value]], 0)</f>
        <v>0</v>
      </c>
      <c r="FI259" s="143">
        <v>45786</v>
      </c>
      <c r="FJ259" s="32" t="str">
        <f>IF(SnapshotTable[[#This Row],[SC Is Filled]],100 * SnapshotTable[[#This Row],[SC Qty]] * IF(ISNUMBER(SnapshotTable[[#This Row],[SC Buyback Override]]), SnapshotTable[[#This Row],[SC Buyback Override]], SnapshotTable[[#This Row],[SC Current Ask]]), "")</f>
        <v/>
      </c>
      <c r="FK259" s="250" t="str">
        <f>IF(SnapshotTable[[#This Row],[SC Time Val]]&gt;0, SnapshotTable[[#This Row],[SC Time Val]] / SnapshotTable[[#This Row],[Last Price]],"")</f>
        <v/>
      </c>
      <c r="FL259" s="302" t="str">
        <f>IF(SnapshotTable[[#This Row],[SC Is Booked]], ((SnapshotTable[[#This Row],[Last Price]] -SnapshotTable[[#This Row],[SC Strike Price]]) / SnapshotTable[[#This Row],[Last Price]]) * -1, "")</f>
        <v/>
      </c>
      <c r="FM259" s="157" t="str">
        <f>IF(SnapshotTable[[#This Row],[SC Is Booked]],  (SnapshotTable[[#This Row],[SC Qty]] * 100 * SnapshotTable[[#This Row],[SC Strike Price]]) - SnapshotTable[[#This Row],[SC Current Ask]], "")</f>
        <v/>
      </c>
      <c r="FN2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157"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33"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36" t="str">
        <f>IF(AND(ISNUMBER(SnapshotTable[[#This Row],[SC Simple ROO]]),SnapshotTable[[#This Row],[SC Simple ROO]] &gt; 0), SnapshotTable[[#This Row],[SC Premium]] + (SnapshotTable[[#This Row],[SC Qty]] * SnapshotTable[[#This Row],[SC Upside Potential]]), "")</f>
        <v/>
      </c>
      <c r="FX259" s="302" t="str" cm="1">
        <f t="array" ref="FX259">IF(ISNUMBER(SnapshotTable[[#This Row],[SC Max Dollars]]), annualize(SnapshotTable[[#This Row],[SC Term]],(SnapshotTable[[#This Row],[SC Max Dollars]]/SnapshotTable[[#This Row],[SC Basis]])),"")</f>
        <v/>
      </c>
      <c r="FY259" s="236" t="str">
        <f>IF(AND(SnapshotTable[[#This Row],[SC Qty]]&gt;0,SnapshotTable[[#This Row],[SC Current Ask]]&gt;0), SnapshotTable[[#This Row],[SC Qty]] * SnapshotTable[[#This Row],[SC Current Ask]] * -100, "")</f>
        <v/>
      </c>
      <c r="FZ259" s="235" t="str">
        <f>IF(ISNUMBER((SnapshotTable[[#This Row],[SC Current Value]])), SnapshotTable[[#This Row],[SC Premium]] + SnapshotTable[[#This Row],[SC Current Value]], "")</f>
        <v/>
      </c>
      <c r="GA259" s="294" t="str">
        <f>IFERROR( IF(ISNUMBER((SnapshotTable[[#This Row],[SC Current Value]])), SnapshotTable[[#This Row],[SC Gain Loss]] / SnapshotTable[[#This Row],[SC Premium]], ""), "")</f>
        <v/>
      </c>
      <c r="GB259" s="42">
        <f>SnapshotTable[[#This Row],[Equity Shares]] * SaleSharesToConsiderPercentage</f>
        <v>6</v>
      </c>
      <c r="GC259" s="40">
        <f>SnapshotTable[[#This Row],[Long Term Target]] * SellingPriceToConsiderBasedOnTargetPercentage</f>
        <v>0</v>
      </c>
      <c r="GD259" s="40">
        <f>SnapshotTable[[#This Row],[Last Price]] * (1+ SellingPriceToConsiderBasedOnTargetPercentage)</f>
        <v>210.79499999999999</v>
      </c>
      <c r="GE259" s="41"/>
      <c r="GF259" s="40"/>
      <c r="GG259" s="31">
        <f>SnapshotTable[[#This Row],[Booked Sale Shares]] * SnapshotTable[[#This Row],[Booked Sale Price]]</f>
        <v>0</v>
      </c>
      <c r="GH259" s="31">
        <f>IF(SnapshotTable[[#This Row],[Equity Basis Total]] &gt; 0, SnapshotTable[[#This Row],[Equity Basis Per Share]] * SnapshotTable[[#This Row],[Booked Sale Shares]], "")</f>
        <v>0</v>
      </c>
      <c r="GI259" s="31">
        <f>IF(SnapshotTable[[#This Row],[Sale Proceeds]]&gt;0, SnapshotTable[[#This Row],[Sale Proceeds]] - SnapshotTable[[#This Row],[Sale Basis]], 0)</f>
        <v>0</v>
      </c>
      <c r="GJ259" s="158" t="str">
        <f>IF(SnapshotTable[[#This Row],[Sale G/L]]&gt;0, SnapshotTable[[#This Row],[Sale G/L]] / SnapshotTable[[#This Row],[Sale Basis]], IF(ISNUMBER(SnapshotTable[[#This Row],[SC Exercise P&amp;L (TAX)]]), SnapshotTable[[#This Row],[SC Exercise P&amp;L (TAX)]] / SnapshotTable[[#This Row],[SC Basis]], ""))</f>
        <v/>
      </c>
      <c r="GK259" s="27"/>
      <c r="GL259" s="159"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
      </c>
      <c r="GO259" s="30" t="str">
        <f>IF(LEN(SnapshotTable[[#This Row],[SP Symbol]])&gt;0, 1, "")</f>
        <v/>
      </c>
      <c r="GP259" s="159" t="str">
        <f>IF(AND(SnapshotTable[[#This Row],[LC Exp Date]]&gt;0,SnapshotTable[[#This Row],[LC Strike Price]]&gt;0), [1]!ToOptionSymbol(SnapshotTable[[#This Row],[Symbol]], SnapshotTable[[#This Row],[LC Strike Price]],SnapshotTable[[#This Row],[LC Exp Date]],0), "")</f>
        <v/>
      </c>
      <c r="GQ259" s="160" t="str">
        <f>IF(LEN(SnapshotTable[[#This Row],[LC Symbol]])&gt;0, 1, "")</f>
        <v/>
      </c>
      <c r="GR259" s="159" t="str">
        <f>IF(AND(SnapshotTable[[#This Row],[SC Exp Date]]&gt;0,SnapshotTable[[#This Row],[SC Strike Price]]&gt;0), [1]!ToOptionSymbol(SnapshotTable[[#This Row],[Symbol]], SnapshotTable[[#This Row],[SC Strike Price]],SnapshotTable[[#This Row],[SC Exp Date]],0), "")</f>
        <v/>
      </c>
      <c r="GS259" s="160" t="str">
        <f>IF(LEN(SnapshotTable[[#This Row],[SC Symbol]])&gt;0, 1, "")</f>
        <v/>
      </c>
      <c r="GT259" s="161" t="str">
        <f>IF(COUNT(SnapshotTable[[#This Row],[LP Symbol Count]],SnapshotTable[[#This Row],[SP Symbol Count]],SnapshotTable[[#This Row],[LC Symbol Count]],SnapshotTable[[#This Row],[SC Symbol Count]])&gt;0, "Y", "")</f>
        <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59" s="231">
        <f>MAX(SnapshotTable[[#This Row],[Equity Basis Total]],SnapshotTable[[#This Row],[Equity Value]]) + (SnapshotTable[[#This Row],[SP Potential Spend]]- SnapshotTable[[#This Row],[SP Premium]] + SnapshotTable[[#This Row],[LP Premium]])+ (SnapshotTable[[#This Row],[LC Premium]] - SnapshotTable[[#This Row],[SC Premium]])</f>
        <v>3243</v>
      </c>
      <c r="GW259" s="139">
        <f ca="1">IF(AND(SnapshotTable[[#This Row],[Exposure]] &lt;&gt; 0),SnapshotTable[[#This Row],[Exposure]] / SnapshotTable[[#Totals],[Exposure]], "")</f>
        <v>1.5264957870034254E-2</v>
      </c>
      <c r="HK259" s="1"/>
      <c r="HL259" s="1"/>
      <c r="HM259" s="1"/>
      <c r="HN259" s="1"/>
      <c r="HO259" s="1"/>
      <c r="HP259" s="1"/>
    </row>
    <row r="260" spans="2:224" ht="12.75" hidden="1" customHeight="1" x14ac:dyDescent="0.25">
      <c r="B260" s="12" t="s">
        <v>1175</v>
      </c>
      <c r="C260" s="422">
        <v>69.75</v>
      </c>
      <c r="D260" s="208" t="s">
        <v>258</v>
      </c>
      <c r="E260" s="39">
        <f>SnapshotTable[[#This Row],[Last Price]]*(1 -CrashDiscount)</f>
        <v>59.287500000000001</v>
      </c>
      <c r="F260" s="26" t="s">
        <v>970</v>
      </c>
      <c r="G260" s="325" t="s">
        <v>872</v>
      </c>
      <c r="H260" s="149"/>
      <c r="I260" s="194"/>
      <c r="J260" s="195"/>
      <c r="K260" s="196"/>
      <c r="L260" s="326"/>
      <c r="M260" s="140"/>
      <c r="N260" s="140"/>
      <c r="O260" s="140"/>
      <c r="P260" s="22"/>
      <c r="Q260" s="25"/>
      <c r="R260" s="4" t="str">
        <f>IF(SnapshotTable[[#This Row],[Equity Basis Total]] &gt; 0, SnapshotTable[[#This Row],[Equity Basis Total]] / SnapshotTable[[#This Row],[Equity Shares]], "")</f>
        <v/>
      </c>
      <c r="S260" s="269">
        <f>SnapshotTable[[#This Row],[Last Price]] * SnapshotTable[[#This Row],[Equity Shares]]</f>
        <v>0</v>
      </c>
      <c r="T260" s="269">
        <f>SnapshotTable[[#This Row],[Equity Value]] - SnapshotTable[[#This Row],[Equity Basis Total]]</f>
        <v>0</v>
      </c>
      <c r="U260" s="270" t="str">
        <f>IF(SnapshotTable[[#This Row],[Equity Basis Total]] &gt; 0, SnapshotTable[[#This Row],[Equity G/L]] / SnapshotTable[[#This Row],[Equity Basis Total]], "")</f>
        <v/>
      </c>
      <c r="V260" s="268"/>
      <c r="W260" s="268">
        <v>17.2</v>
      </c>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7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0"/>
      <c r="AD260" s="151"/>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1"/>
      <c r="AI260" s="5"/>
      <c r="AJ260" s="138"/>
      <c r="AK260" s="152" t="str">
        <f>IF(ISNUMBER( SnapshotTable[[#This Row],[EBF Target]]),(SnapshotTable[[#This Row],[EBF Target]] - SnapshotTable[[#This Row],[Last Price]]) / SnapshotTable[[#This Row],[Last Price]], "")</f>
        <v/>
      </c>
      <c r="AL260" s="152"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2" t="str">
        <f>IF(AND(ISNUMBER( SnapshotTable[[#This Row],[Long Term Target]]), ISNUMBER(SnapshotTable[[#This Row],[Last Price]])),(SnapshotTable[[#This Row],[Long Term Target]] - SnapshotTable[[#This Row],[Last Price]]) / SnapshotTable[[#This Row],[Last Price]], "")</f>
        <v/>
      </c>
      <c r="AP260" s="5">
        <v>40</v>
      </c>
      <c r="AQ260" s="38" t="s">
        <v>27</v>
      </c>
      <c r="AR260" s="5">
        <v>36</v>
      </c>
      <c r="AS260" s="38" t="s">
        <v>1083</v>
      </c>
      <c r="AT260" s="146" t="s">
        <v>1185</v>
      </c>
      <c r="AU260" s="187" t="str">
        <f>IF(OR(SnapshotTable[[#This Row],[LP No Fill]]="Y",SnapshotTable[[#This Row],[SP Is Filled]],SnapshotTable[[#This Row],[LC Not Filled]]="Y",SnapshotTable[[#This Row],[SC Is Filled]]),"Y","")</f>
        <v/>
      </c>
      <c r="AV260" s="219"/>
      <c r="AW260" s="225"/>
      <c r="AX260" s="220"/>
      <c r="AY260" s="219" t="str">
        <f>IF(SnapshotTable[[#This Row],[Implied Move]]&gt;0, SnapshotTable[[#This Row],[Last Price]]-SnapshotTable[[#This Row],[Implied Move]],"")</f>
        <v/>
      </c>
      <c r="AZ260" s="219" t="str">
        <f>IF(SnapshotTable[[#This Row],[Implied Move]]&gt;0, SnapshotTable[[#This Row],[Last Price]] + SnapshotTable[[#This Row],[Implied Move]],"")</f>
        <v/>
      </c>
      <c r="BA260" s="331">
        <v>35.22</v>
      </c>
      <c r="BB260" s="347"/>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51"/>
      <c r="BE260" s="5"/>
      <c r="BF260" s="14"/>
      <c r="BG260" s="13"/>
      <c r="BH260" s="13"/>
      <c r="BI260" s="5"/>
      <c r="BJ260" s="136">
        <f>IF(SnapshotTable[[#This Row],[LP Qty]] &gt; 0, SnapshotTable[[#This Row],[LP Qty]] * SnapshotTable[[#This Row],[LP Book Price]] * 100,0)</f>
        <v>0</v>
      </c>
      <c r="BK260" s="136">
        <f>IF(SnapshotTable[[#This Row],[LP Premium]] &gt; 0, SnapshotTable[[#This Row],[LP Qty]] * SnapshotTable[[#This Row],[LP Strike Price]] * 100,0)</f>
        <v>0</v>
      </c>
      <c r="BL260" s="154"/>
      <c r="BM260" s="385" t="str">
        <f>IF(SnapshotTable[[#This Row],[LP Premium]] &gt; 0,SnapshotTable[[#This Row],[LP Exp Date]]-MAX(SnapshotTable[[#This Row],[LP Book Date]], SnapshotTable[[#This Row],[LP Fill Date]]),"")</f>
        <v/>
      </c>
      <c r="BN260" s="385" t="str">
        <f>IF(ISNUMBER( SnapshotTable[[#This Row],[LP Term]]), SnapshotTable[[#This Row],[LP Exp Date]] - MockToday,"")</f>
        <v/>
      </c>
      <c r="BO260" s="163" t="str">
        <f>IF(AND(SnapshotTable[[#This Row],[LP Exp Date]]&gt;0, SnapshotTable[[#This Row],[LP Strike Price]]&gt;0,SnapshotTable[[#This Row],[LP Qty]]&gt;0,SnapshotTable[[#This Row],[LP Book Date]]&gt;0,SnapshotTable[[#This Row],[LP Book Price]]&gt;0,SnapshotTable[[#This Row],[LP Fill Date]]=0),"Y","")</f>
        <v/>
      </c>
      <c r="BP260" s="31"/>
      <c r="BQ260" s="13"/>
      <c r="BR260" s="5"/>
      <c r="BS260" s="36"/>
      <c r="BT260" s="147"/>
      <c r="BU260" s="13"/>
      <c r="BV260" s="5"/>
      <c r="BW260" s="419" t="b">
        <f>AND(ISNUMBER(SnapshotTable[[#This Row],[SP Exp Date]]), ISNUMBER(SnapshotTable[[#This Row],[SP Strike Price]]), ISNUMBER(SnapshotTable[[#This Row],[SP Qty]]), ISNUMBER(SnapshotTable[[#This Row],[SP Book Date]]), ISNUMBER(SnapshotTable[[#This Row],[SP Book Price]]))</f>
        <v>0</v>
      </c>
      <c r="BX260" s="419" t="b">
        <f>AND(SnapshotTable[[#This Row],[SP Is Booked]], NOT(ISBLANK(SnapshotTable[[#This Row],[SP Fill Date]])))</f>
        <v>0</v>
      </c>
      <c r="BY260" s="33">
        <f>IF(SnapshotTable[[#This Row],[SP Is Booked]], SnapshotTable[[#This Row],[SP Qty]] * SnapshotTable[[#This Row],[SP Book Price]] * 100, 0)</f>
        <v>0</v>
      </c>
      <c r="BZ260" s="369"/>
      <c r="CA260" s="368">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3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44"/>
      <c r="CK260" s="31">
        <f>IF(ISNUMBER(SnapshotTable[[#This Row],[SP Potential Spend]]),IF(ISNUMBER(SnapshotTable[[#This Row],[SP POW]]), SnapshotTable[[#This Row],[SP POW]] * SnapshotTable[[#This Row],[SP Potential Spend]], SnapshotTable[[#This Row],[SP Potential Spend]]), "")</f>
        <v>0</v>
      </c>
      <c r="CL260" s="164">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8"/>
      <c r="CO260" s="369"/>
      <c r="CP260" s="4" t="str">
        <f>IF(SnapshotTable[[#This Row],[SP Is Filled]], btc_max_buyback_amount(SnapshotTable[[#This Row],[SP Fill Date]],SnapshotTable[[#This Row],[SP Exp Date]], SnapshotTable[[#This Row],[SP Book Price]]),"")</f>
        <v/>
      </c>
      <c r="CQ260" s="78"/>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5" t="str">
        <f>IF(SnapshotTable[[#This Row],[SP Is Filled]], btc_next_cutoff_date(SnapshotTable[[#This Row],[SP Fill Date]],SnapshotTable[[#This Row],[SP Exp Date]]),"")</f>
        <v/>
      </c>
      <c r="CT260" s="23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56"/>
      <c r="CV260" s="235"/>
      <c r="CW260" s="378"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294" t="str">
        <f>IF(ISNUMBER((SnapshotTable[[#This Row],[SP Total Value]])), SnapshotTable[[#This Row],[SP Gain Loss]] / SnapshotTable[[#This Row],[SP Premium]], "")</f>
        <v/>
      </c>
      <c r="DI260" s="406"/>
      <c r="DJ260" s="138"/>
      <c r="DK260" s="148"/>
      <c r="DL260" s="13"/>
      <c r="DM260" s="13"/>
      <c r="DO260" s="31">
        <f>IF(SnapshotTable[[#This Row],[LC Symbol Count]]=1, SnapshotTable[[#This Row],[LC Qty]] * SnapshotTable[[#This Row],[LC Book Price]] * 100, 0)</f>
        <v>0</v>
      </c>
      <c r="DP260" s="163" t="str">
        <f>IF(AND(SnapshotTable[[#This Row],[LC Exp Date]]&gt;0, SnapshotTable[[#This Row],[LC Strike Price]]&gt;0,SnapshotTable[[#This Row],[LC Qty]]&gt;0,SnapshotTable[[#This Row],[LC Book Date]]&gt;0,SnapshotTable[[#This Row],[LC Book Price]]&gt;0,SnapshotTable[[#This Row],[LC Fill Date]]=0),"Y","")</f>
        <v/>
      </c>
      <c r="DQ260" s="386" t="str">
        <f>IF(SnapshotTable[[#This Row],[LC Premium]] &gt; 0,SnapshotTable[[#This Row],[LC Exp Date]]-MAX(SnapshotTable[[#This Row],[LC Book Date]], SnapshotTable[[#This Row],[LC Fill Date]]),"")</f>
        <v/>
      </c>
      <c r="DR260" s="386" t="str">
        <f>IF(ISNUMBER(SnapshotTable[[#This Row],[LC Term]]), SnapshotTable[[#This Row],[LC Exp Date]] - MockToday, "")</f>
        <v/>
      </c>
      <c r="DS260" s="234" t="str">
        <f>IF(SnapshotTable[[#This Row],[LC Premium]]&gt;0,SnapshotTable[[#This Row],[LC Strike Price]] + SnapshotTable[[#This Row],[LC Book Price]],"")</f>
        <v/>
      </c>
      <c r="DT260" s="5">
        <v>12.15</v>
      </c>
      <c r="DU260" s="9">
        <f>IF(AND(SnapshotTable[[#This Row],[LC Symbol Count]]&gt;0, SnapshotTable[[#This Row],[LC Contract Value]]&gt;0), SnapshotTable[[#This Row],[LC Contract Value]] * SnapshotTable[[#This Row],[LC Qty]] * 100, "")</f>
        <v>0</v>
      </c>
      <c r="DV260" s="9">
        <f>IF(AND(ISNUMBER(SnapshotTable[[#This Row],[LC Total Value]]), SnapshotTable[[#This Row],[LC Not Filled]]&lt;&gt;"Y"), SnapshotTable[[#This Row],[LC Total Value]]-SnapshotTable[[#This Row],[LC Premium]],"")</f>
        <v>0</v>
      </c>
      <c r="DW260" s="240" t="e">
        <f>IF(ISNUMBER(SnapshotTable[[#This Row],[LC Actual Gain Loss]]), SnapshotTable[[#This Row],[LC Actual Gain Loss]] / SnapshotTable[[#This Row],[LC Premium]],"")</f>
        <v>#DIV/0!</v>
      </c>
      <c r="DX260" s="284" t="str">
        <f>IF(ISNUMBER(SnapshotTable[[#This Row],[LC Book Price]]),SnapshotTable[[#This Row],[LC Book Price]] * 1.5,"")</f>
        <v/>
      </c>
      <c r="DY260" s="265" t="str">
        <f>IF(SnapshotTable[[#This Row],[LC Premium]]&gt;0, SnapshotTable[[#This Row],[LC Next Target]] * SnapshotTable[[#This Row],[LC Qty]] * 100,"")</f>
        <v/>
      </c>
      <c r="DZ260" s="265" t="str">
        <f>IF(ISNUMBER(SnapshotTable[[#This Row],[LC Target Gross]]), SnapshotTable[[#This Row],[LC Target Gross]] - SnapshotTable[[#This Row],[LC Premium]], "")</f>
        <v/>
      </c>
      <c r="EA260" s="305" t="str">
        <f>IF(ISNUMBER(SnapshotTable[[#This Row],[LC Target Gain Loss]]), SnapshotTable[[#This Row],[LC Target Gain Loss]]/SnapshotTable[[#This Row],[LC Premium]], "")</f>
        <v/>
      </c>
      <c r="EB260" s="262"/>
      <c r="EC260" s="283" t="str">
        <f>IF(SnapshotTable[[#This Row],[LC Premium]]&gt;0, SnapshotTable[[#This Row],[LC Book Price]] * (1 - LC_StopLoss_Pct),"")</f>
        <v/>
      </c>
      <c r="ED260" s="284"/>
      <c r="EE260" s="28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e">
        <f>IF(ISNUMBER(SnapshotTable[[#This Row],[LC Total Value]]),SnapshotTable[[#This Row],[LC Stop Loss Amount]] - SnapshotTable[[#This Row],[LC Premium]],"")</f>
        <v>#VALUE!</v>
      </c>
      <c r="EH260" s="9">
        <f>IF(ISNUMBER(SnapshotTable[[#This Row],[LC Premium]]), SnapshotTable[[#This Row],[LC Qty]] * 100 * SnapshotTable[[#This Row],[LC Strike Price]], "")</f>
        <v>0</v>
      </c>
      <c r="EI260" s="24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7"/>
      <c r="EL260" s="138"/>
      <c r="EM260" s="148"/>
      <c r="EN260" s="147"/>
      <c r="EO260" s="147"/>
      <c r="EP260" s="138"/>
      <c r="EQ260" s="419" t="b">
        <f>AND(ISNUMBER(SnapshotTable[[#This Row],[SC Exp Date]]), ISNUMBER(SnapshotTable[[#This Row],[SC Strike Price]]), ISNUMBER(SnapshotTable[[#This Row],[SC Qty]]), ISNUMBER(SnapshotTable[[#This Row],[SC Book Date]]), ISNUMBER(SnapshotTable[[#This Row],[SC Book Price]]))</f>
        <v>0</v>
      </c>
      <c r="ER260" s="419" t="b">
        <f>AND(SnapshotTable[[#This Row],[SC Is Booked]], NOT(ISBLANK(SnapshotTable[[#This Row],[SC Fill Date]])))</f>
        <v>0</v>
      </c>
      <c r="ES260" s="370"/>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3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283"/>
      <c r="FA260" s="218"/>
      <c r="FB260" s="370"/>
      <c r="FC260" s="4">
        <f>IF(SnapshotTable[[#This Row],[SC Is Filled]], btc_max_buyback_amount(SnapshotTable[[#This Row],[SC Fill Date]],SnapshotTable[[#This Row],[SC Exp Date]], SnapshotTable[[#This Row],[SC Book Price]]),0)</f>
        <v>0</v>
      </c>
      <c r="FD260" s="5"/>
      <c r="FE260" s="144"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382">
        <f>IF(SnapshotTable[[#This Row],[SC Is Filled]], IF(ISNUMBER(SnapshotTable[[#This Row],[SC Current Ask]]), SnapshotTable[[#This Row],[SC Current Ask]], SnapshotTable[[#This Row],[SC Book Price]]) - SnapshotTable[[#This Row],[SC Intrinsic Value]], 0)</f>
        <v>0</v>
      </c>
      <c r="FI260" s="143"/>
      <c r="FJ260" s="32" t="str">
        <f>IF(SnapshotTable[[#This Row],[SC Is Filled]],100 * SnapshotTable[[#This Row],[SC Qty]] * IF(ISNUMBER(SnapshotTable[[#This Row],[SC Buyback Override]]), SnapshotTable[[#This Row],[SC Buyback Override]], SnapshotTable[[#This Row],[SC Current Ask]]), "")</f>
        <v/>
      </c>
      <c r="FK260" s="250" t="str">
        <f>IF(SnapshotTable[[#This Row],[SC Time Val]]&gt;0, SnapshotTable[[#This Row],[SC Time Val]] / SnapshotTable[[#This Row],[Last Price]],"")</f>
        <v/>
      </c>
      <c r="FL260" s="302" t="str">
        <f>IF(SnapshotTable[[#This Row],[SC Is Booked]], ((SnapshotTable[[#This Row],[Last Price]] -SnapshotTable[[#This Row],[SC Strike Price]]) / SnapshotTable[[#This Row],[Last Price]]) * -1, "")</f>
        <v/>
      </c>
      <c r="FM260" s="157"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33"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36" t="str">
        <f>IF(AND(ISNUMBER(SnapshotTable[[#This Row],[SC Simple ROO]]),SnapshotTable[[#This Row],[SC Simple ROO]] &gt; 0), SnapshotTable[[#This Row],[SC Premium]] + (SnapshotTable[[#This Row],[SC Qty]] * SnapshotTable[[#This Row],[SC Upside Potential]]), "")</f>
        <v/>
      </c>
      <c r="FX260" s="302" t="str" cm="1">
        <f t="array" ref="FX260">IF(ISNUMBER(SnapshotTable[[#This Row],[SC Max Dollars]]), annualize(SnapshotTable[[#This Row],[SC Term]],(SnapshotTable[[#This Row],[SC Max Dollars]]/SnapshotTable[[#This Row],[SC Basis]])),"")</f>
        <v/>
      </c>
      <c r="FY260" s="23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294" t="str">
        <f>IFERROR( IF(ISNUMBER((SnapshotTable[[#This Row],[SC Current Value]])), SnapshotTable[[#This Row],[SC Gain Loss]] / SnapshotTable[[#This Row],[SC Premium]], ""), "")</f>
        <v/>
      </c>
      <c r="GB260" s="42">
        <f>SnapshotTable[[#This Row],[Equity Shares]] * SaleSharesToConsiderPercentage</f>
        <v>0</v>
      </c>
      <c r="GC260" s="40">
        <f>SnapshotTable[[#This Row],[Long Term Target]] * SellingPriceToConsiderBasedOnTargetPercentage</f>
        <v>0</v>
      </c>
      <c r="GD260" s="40">
        <f>SnapshotTable[[#This Row],[Last Price]] * (1+ SellingPriceToConsiderBasedOnTargetPercentage)</f>
        <v>136.01249999999999</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31">
        <f>MAX(SnapshotTable[[#This Row],[Equity Basis Total]],SnapshotTable[[#This Row],[Equity Value]]) + (SnapshotTable[[#This Row],[SP Potential Spend]]- SnapshotTable[[#This Row],[SP Premium]] + SnapshotTable[[#This Row],[LP Premium]])+ (SnapshotTable[[#This Row],[LC Premium]] - SnapshotTable[[#This Row],[SC Premium]])</f>
        <v>0</v>
      </c>
      <c r="GW260" s="139" t="str">
        <f>IF(AND(SnapshotTable[[#This Row],[Exposure]] &lt;&gt; 0),SnapshotTable[[#This Row],[Exposure]] / SnapshotTable[[#Totals],[Exposure]], "")</f>
        <v/>
      </c>
      <c r="HK260" s="1"/>
      <c r="HL260" s="1"/>
      <c r="HM260" s="1"/>
      <c r="HN260" s="1"/>
      <c r="HO260" s="1"/>
      <c r="HP260" s="1"/>
    </row>
    <row r="261" spans="2:224" ht="12.75" hidden="1" customHeight="1" x14ac:dyDescent="0.25">
      <c r="B261" s="12" t="s">
        <v>1254</v>
      </c>
      <c r="C261" s="422">
        <v>2.81</v>
      </c>
      <c r="D261" s="208"/>
      <c r="E261" s="39">
        <f>SnapshotTable[[#This Row],[Last Price]]*(1 -CrashDiscount)</f>
        <v>2.3885000000000001</v>
      </c>
      <c r="F261" s="325" t="s">
        <v>1255</v>
      </c>
      <c r="G261" s="325" t="s">
        <v>41</v>
      </c>
      <c r="H261" s="149"/>
      <c r="I261" s="194"/>
      <c r="J261" s="195"/>
      <c r="K261" s="196"/>
      <c r="L261" s="326"/>
      <c r="M261" s="140"/>
      <c r="N261" s="140"/>
      <c r="O261" s="140"/>
      <c r="P261" s="328">
        <v>2000</v>
      </c>
      <c r="Q261" s="25">
        <v>13000</v>
      </c>
      <c r="R261" s="4">
        <f>IF(SnapshotTable[[#This Row],[Equity Basis Total]] &gt; 0, SnapshotTable[[#This Row],[Equity Basis Total]] / SnapshotTable[[#This Row],[Equity Shares]], "")</f>
        <v>6.5</v>
      </c>
      <c r="S261" s="269">
        <f>SnapshotTable[[#This Row],[Last Price]] * SnapshotTable[[#This Row],[Equity Shares]]</f>
        <v>5620</v>
      </c>
      <c r="T261" s="269">
        <f>SnapshotTable[[#This Row],[Equity Value]] - SnapshotTable[[#This Row],[Equity Basis Total]]</f>
        <v>-7380</v>
      </c>
      <c r="U261" s="270">
        <f>IF(SnapshotTable[[#This Row],[Equity Basis Total]] &gt; 0, SnapshotTable[[#This Row],[Equity G/L]] / SnapshotTable[[#This Row],[Equity Basis Total]], "")</f>
        <v>-0.56769230769230772</v>
      </c>
      <c r="V261" s="268"/>
      <c r="W261" s="268"/>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7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0"/>
      <c r="AD261" s="151"/>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1"/>
      <c r="AI261" s="5"/>
      <c r="AJ261" s="138"/>
      <c r="AK261" s="152" t="str">
        <f>IF(ISNUMBER( SnapshotTable[[#This Row],[EBF Target]]),(SnapshotTable[[#This Row],[EBF Target]] - SnapshotTable[[#This Row],[Last Price]]) / SnapshotTable[[#This Row],[Last Price]], "")</f>
        <v/>
      </c>
      <c r="AL261" s="152"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2" t="str">
        <f>IF(AND(ISNUMBER( SnapshotTable[[#This Row],[Long Term Target]]), ISNUMBER(SnapshotTable[[#This Row],[Last Price]])),(SnapshotTable[[#This Row],[Long Term Target]] - SnapshotTable[[#This Row],[Last Price]]) / SnapshotTable[[#This Row],[Last Price]], "")</f>
        <v/>
      </c>
      <c r="AP261" s="5"/>
      <c r="AQ261" s="38"/>
      <c r="AR261" s="5"/>
      <c r="AS261" s="38"/>
      <c r="AT261" s="146"/>
      <c r="AU261" s="187" t="str">
        <f>IF(OR(SnapshotTable[[#This Row],[LP No Fill]]="Y",SnapshotTable[[#This Row],[SP Is Filled]],SnapshotTable[[#This Row],[LC Not Filled]]="Y",SnapshotTable[[#This Row],[SC Is Filled]]),"Y","")</f>
        <v/>
      </c>
      <c r="AV261" s="219"/>
      <c r="AW261" s="225"/>
      <c r="AX261" s="220"/>
      <c r="AY261" s="219" t="str">
        <f>IF(SnapshotTable[[#This Row],[Implied Move]]&gt;0, SnapshotTable[[#This Row],[Last Price]]-SnapshotTable[[#This Row],[Implied Move]],"")</f>
        <v/>
      </c>
      <c r="AZ261" s="219" t="str">
        <f>IF(SnapshotTable[[#This Row],[Implied Move]]&gt;0, SnapshotTable[[#This Row],[Last Price]] + SnapshotTable[[#This Row],[Implied Move]],"")</f>
        <v/>
      </c>
      <c r="BA261" s="331">
        <v>4.93</v>
      </c>
      <c r="BB261" s="347"/>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51"/>
      <c r="BE261" s="5"/>
      <c r="BF261" s="14"/>
      <c r="BG261" s="13"/>
      <c r="BH261" s="13"/>
      <c r="BI261" s="5"/>
      <c r="BJ261" s="136">
        <f>IF(SnapshotTable[[#This Row],[LP Qty]] &gt; 0, SnapshotTable[[#This Row],[LP Qty]] * SnapshotTable[[#This Row],[LP Book Price]] * 100,0)</f>
        <v>0</v>
      </c>
      <c r="BK261" s="136">
        <f>IF(SnapshotTable[[#This Row],[LP Premium]] &gt; 0, SnapshotTable[[#This Row],[LP Qty]] * SnapshotTable[[#This Row],[LP Strike Price]] * 100,0)</f>
        <v>0</v>
      </c>
      <c r="BL261" s="154"/>
      <c r="BM261" s="385" t="str">
        <f>IF(SnapshotTable[[#This Row],[LP Premium]] &gt; 0,SnapshotTable[[#This Row],[LP Exp Date]]-MAX(SnapshotTable[[#This Row],[LP Book Date]], SnapshotTable[[#This Row],[LP Fill Date]]),"")</f>
        <v/>
      </c>
      <c r="BN261" s="385" t="str">
        <f>IF(ISNUMBER( SnapshotTable[[#This Row],[LP Term]]), SnapshotTable[[#This Row],[LP Exp Date]] - MockToday,"")</f>
        <v/>
      </c>
      <c r="BO261" s="163"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7"/>
      <c r="BU261" s="13"/>
      <c r="BV261" s="5"/>
      <c r="BW261" s="419" t="b">
        <f>AND(ISNUMBER(SnapshotTable[[#This Row],[SP Exp Date]]), ISNUMBER(SnapshotTable[[#This Row],[SP Strike Price]]), ISNUMBER(SnapshotTable[[#This Row],[SP Qty]]), ISNUMBER(SnapshotTable[[#This Row],[SP Book Date]]), ISNUMBER(SnapshotTable[[#This Row],[SP Book Price]]))</f>
        <v>0</v>
      </c>
      <c r="BX261" s="419" t="b">
        <f>AND(SnapshotTable[[#This Row],[SP Is Booked]], NOT(ISBLANK(SnapshotTable[[#This Row],[SP Fill Date]])))</f>
        <v>0</v>
      </c>
      <c r="BY261" s="33">
        <f>IF(SnapshotTable[[#This Row],[SP Is Booked]], SnapshotTable[[#This Row],[SP Qty]] * SnapshotTable[[#This Row],[SP Book Price]] * 100, 0)</f>
        <v>0</v>
      </c>
      <c r="BZ261" s="369"/>
      <c r="CA261" s="368">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3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44">
        <v>0.5</v>
      </c>
      <c r="CK261" s="31">
        <f>IF(ISNUMBER(SnapshotTable[[#This Row],[SP Potential Spend]]),IF(ISNUMBER(SnapshotTable[[#This Row],[SP POW]]), SnapshotTable[[#This Row],[SP POW]] * SnapshotTable[[#This Row],[SP Potential Spend]], SnapshotTable[[#This Row],[SP Potential Spend]]), "")</f>
        <v>0</v>
      </c>
      <c r="CL261" s="164">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8"/>
      <c r="CO261" s="369"/>
      <c r="CP261" s="4" t="str">
        <f>IF(SnapshotTable[[#This Row],[SP Is Filled]], btc_max_buyback_amount(SnapshotTable[[#This Row],[SP Fill Date]],SnapshotTable[[#This Row],[SP Exp Date]], SnapshotTable[[#This Row],[SP Book Price]]),"")</f>
        <v/>
      </c>
      <c r="CQ261" s="78"/>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5" t="str">
        <f>IF(SnapshotTable[[#This Row],[SP Is Filled]], btc_next_cutoff_date(SnapshotTable[[#This Row],[SP Fill Date]],SnapshotTable[[#This Row],[SP Exp Date]]),"")</f>
        <v/>
      </c>
      <c r="CT261" s="23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3"/>
      <c r="CV261" s="235"/>
      <c r="CW261" s="378"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294" t="str">
        <f>IF(ISNUMBER((SnapshotTable[[#This Row],[SP Total Value]])), SnapshotTable[[#This Row],[SP Gain Loss]] / SnapshotTable[[#This Row],[SP Premium]], "")</f>
        <v/>
      </c>
      <c r="DI261" s="406"/>
      <c r="DJ261" s="138"/>
      <c r="DK261" s="148"/>
      <c r="DL261" s="147"/>
      <c r="DM261" s="147"/>
      <c r="DO261" s="31">
        <f>IF(SnapshotTable[[#This Row],[LC Symbol Count]]=1, SnapshotTable[[#This Row],[LC Qty]] * SnapshotTable[[#This Row],[LC Book Price]] * 100, 0)</f>
        <v>0</v>
      </c>
      <c r="DP261" s="163" t="str">
        <f>IF(AND(SnapshotTable[[#This Row],[LC Exp Date]]&gt;0, SnapshotTable[[#This Row],[LC Strike Price]]&gt;0,SnapshotTable[[#This Row],[LC Qty]]&gt;0,SnapshotTable[[#This Row],[LC Book Date]]&gt;0,SnapshotTable[[#This Row],[LC Book Price]]&gt;0,SnapshotTable[[#This Row],[LC Fill Date]]=0),"Y","")</f>
        <v/>
      </c>
      <c r="DQ261" s="386" t="str">
        <f>IF(SnapshotTable[[#This Row],[LC Premium]] &gt; 0,SnapshotTable[[#This Row],[LC Exp Date]]-MAX(SnapshotTable[[#This Row],[LC Book Date]], SnapshotTable[[#This Row],[LC Fill Date]]),"")</f>
        <v/>
      </c>
      <c r="DR261" s="386" t="str">
        <f>IF(ISNUMBER(SnapshotTable[[#This Row],[LC Term]]), SnapshotTable[[#This Row],[LC Exp Date]] - MockToday, "")</f>
        <v/>
      </c>
      <c r="DS261" s="23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40" t="str">
        <f>IF(ISNUMBER(SnapshotTable[[#This Row],[LC Actual Gain Loss]]), SnapshotTable[[#This Row],[LC Actual Gain Loss]] / SnapshotTable[[#This Row],[LC Premium]],"")</f>
        <v/>
      </c>
      <c r="DX261" s="284" t="str">
        <f>IF(ISNUMBER(SnapshotTable[[#This Row],[LC Book Price]]),SnapshotTable[[#This Row],[LC Book Price]] * 1.5,"")</f>
        <v/>
      </c>
      <c r="DY261" s="265" t="str">
        <f>IF(SnapshotTable[[#This Row],[LC Premium]]&gt;0, SnapshotTable[[#This Row],[LC Next Target]] * SnapshotTable[[#This Row],[LC Qty]] * 100,"")</f>
        <v/>
      </c>
      <c r="DZ261" s="265" t="str">
        <f>IF(ISNUMBER(SnapshotTable[[#This Row],[LC Target Gross]]), SnapshotTable[[#This Row],[LC Target Gross]] - SnapshotTable[[#This Row],[LC Premium]], "")</f>
        <v/>
      </c>
      <c r="EA261" s="305" t="str">
        <f>IF(ISNUMBER(SnapshotTable[[#This Row],[LC Target Gain Loss]]), SnapshotTable[[#This Row],[LC Target Gain Loss]]/SnapshotTable[[#This Row],[LC Premium]], "")</f>
        <v/>
      </c>
      <c r="EB261" s="262"/>
      <c r="EC261" s="283" t="str">
        <f>IF(SnapshotTable[[#This Row],[LC Premium]]&gt;0, SnapshotTable[[#This Row],[LC Book Price]] * (1 - LC_StopLoss_Pct),"")</f>
        <v/>
      </c>
      <c r="ED261" s="284"/>
      <c r="EE261" s="28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4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20</v>
      </c>
      <c r="EK261" s="147"/>
      <c r="EL261" s="138"/>
      <c r="EM261" s="148"/>
      <c r="EN261" s="147"/>
      <c r="EO261" s="147"/>
      <c r="EP261" s="138"/>
      <c r="EQ261" s="419" t="b">
        <f>AND(ISNUMBER(SnapshotTable[[#This Row],[SC Exp Date]]), ISNUMBER(SnapshotTable[[#This Row],[SC Strike Price]]), ISNUMBER(SnapshotTable[[#This Row],[SC Qty]]), ISNUMBER(SnapshotTable[[#This Row],[SC Book Date]]), ISNUMBER(SnapshotTable[[#This Row],[SC Book Price]]))</f>
        <v>0</v>
      </c>
      <c r="ER261" s="419" t="b">
        <f>AND(SnapshotTable[[#This Row],[SC Is Booked]], NOT(ISBLANK(SnapshotTable[[#This Row],[SC Fill Date]])))</f>
        <v>0</v>
      </c>
      <c r="ES261" s="370"/>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3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283"/>
      <c r="FA261" s="218"/>
      <c r="FB261" s="370"/>
      <c r="FC261" s="4">
        <f>IF(SnapshotTable[[#This Row],[SC Is Filled]], btc_max_buyback_amount(SnapshotTable[[#This Row],[SC Fill Date]],SnapshotTable[[#This Row],[SC Exp Date]], SnapshotTable[[#This Row],[SC Book Price]]),0)</f>
        <v>0</v>
      </c>
      <c r="FD261" s="5"/>
      <c r="FE261" s="144"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382">
        <f>IF(SnapshotTable[[#This Row],[SC Is Filled]], IF(ISNUMBER(SnapshotTable[[#This Row],[SC Current Ask]]), SnapshotTable[[#This Row],[SC Current Ask]], SnapshotTable[[#This Row],[SC Book Price]]) - SnapshotTable[[#This Row],[SC Intrinsic Value]], 0)</f>
        <v>0</v>
      </c>
      <c r="FI261" s="143"/>
      <c r="FJ261" s="32" t="str">
        <f>IF(SnapshotTable[[#This Row],[SC Is Filled]],100 * SnapshotTable[[#This Row],[SC Qty]] * IF(ISNUMBER(SnapshotTable[[#This Row],[SC Buyback Override]]), SnapshotTable[[#This Row],[SC Buyback Override]], SnapshotTable[[#This Row],[SC Current Ask]]), "")</f>
        <v/>
      </c>
      <c r="FK261" s="250" t="str">
        <f>IF(SnapshotTable[[#This Row],[SC Time Val]]&gt;0, SnapshotTable[[#This Row],[SC Time Val]] / SnapshotTable[[#This Row],[Last Price]],"")</f>
        <v/>
      </c>
      <c r="FL261" s="302" t="str">
        <f>IF(SnapshotTable[[#This Row],[SC Is Booked]], ((SnapshotTable[[#This Row],[Last Price]] -SnapshotTable[[#This Row],[SC Strike Price]]) / SnapshotTable[[#This Row],[Last Price]]) * -1, "")</f>
        <v/>
      </c>
      <c r="FM261" s="157"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33"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36" t="str">
        <f>IF(AND(ISNUMBER(SnapshotTable[[#This Row],[SC Simple ROO]]),SnapshotTable[[#This Row],[SC Simple ROO]] &gt; 0), SnapshotTable[[#This Row],[SC Premium]] + (SnapshotTable[[#This Row],[SC Qty]] * SnapshotTable[[#This Row],[SC Upside Potential]]), "")</f>
        <v/>
      </c>
      <c r="FX261" s="302" t="str" cm="1">
        <f t="array" ref="FX261">IF(ISNUMBER(SnapshotTable[[#This Row],[SC Max Dollars]]), annualize(SnapshotTable[[#This Row],[SC Term]],(SnapshotTable[[#This Row],[SC Max Dollars]]/SnapshotTable[[#This Row],[SC Basis]])),"")</f>
        <v/>
      </c>
      <c r="FY261" s="23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294" t="str">
        <f>IFERROR( IF(ISNUMBER((SnapshotTable[[#This Row],[SC Current Value]])), SnapshotTable[[#This Row],[SC Gain Loss]] / SnapshotTable[[#This Row],[SC Premium]], ""), "")</f>
        <v/>
      </c>
      <c r="GB261" s="42">
        <f>SnapshotTable[[#This Row],[Equity Shares]] * SaleSharesToConsiderPercentage</f>
        <v>400</v>
      </c>
      <c r="GC261" s="40">
        <f>SnapshotTable[[#This Row],[Long Term Target]] * SellingPriceToConsiderBasedOnTargetPercentage</f>
        <v>0</v>
      </c>
      <c r="GD261" s="40">
        <f>SnapshotTable[[#This Row],[Last Price]] * (1+ SellingPriceToConsiderBasedOnTargetPercentage)</f>
        <v>5.4794999999999998</v>
      </c>
      <c r="GE261" s="41"/>
      <c r="GF261" s="40"/>
      <c r="GG261" s="31">
        <f>SnapshotTable[[#This Row],[Booked Sale Shares]] * SnapshotTable[[#This Row],[Booked Sale Price]]</f>
        <v>0</v>
      </c>
      <c r="GH261" s="31">
        <f>IF(SnapshotTable[[#This Row],[Equity Basis Total]] &gt; 0, SnapshotTable[[#This Row],[Equity Basis Per Share]] * SnapshotTable[[#This Row],[Booked Sale Shares]], "")</f>
        <v>0</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61" s="231">
        <f>MAX(SnapshotTable[[#This Row],[Equity Basis Total]],SnapshotTable[[#This Row],[Equity Value]]) + (SnapshotTable[[#This Row],[SP Potential Spend]]- SnapshotTable[[#This Row],[SP Premium]] + SnapshotTable[[#This Row],[LP Premium]])+ (SnapshotTable[[#This Row],[LC Premium]] - SnapshotTable[[#This Row],[SC Premium]])</f>
        <v>13000</v>
      </c>
      <c r="GW261" s="139">
        <f ca="1">IF(AND(SnapshotTable[[#This Row],[Exposure]] &lt;&gt; 0),SnapshotTable[[#This Row],[Exposure]] / SnapshotTable[[#Totals],[Exposure]], "")</f>
        <v>6.1191628834549892E-2</v>
      </c>
      <c r="HK261" s="1"/>
      <c r="HL261" s="1"/>
      <c r="HM261" s="1"/>
      <c r="HN261" s="1"/>
      <c r="HO261" s="1"/>
      <c r="HP261" s="1"/>
    </row>
    <row r="262" spans="2:224" ht="12.75" hidden="1" customHeight="1" x14ac:dyDescent="0.25">
      <c r="B262" s="12" t="s">
        <v>957</v>
      </c>
      <c r="C262" s="422">
        <v>7.27</v>
      </c>
      <c r="D262" s="208" t="s">
        <v>885</v>
      </c>
      <c r="E262" s="39">
        <f>SnapshotTable[[#This Row],[Last Price]]*(1 -CrashDiscount)</f>
        <v>6.1794999999999991</v>
      </c>
      <c r="F262" s="26" t="s">
        <v>905</v>
      </c>
      <c r="G262" s="26" t="s">
        <v>610</v>
      </c>
      <c r="H262" s="149"/>
      <c r="I262" s="194">
        <v>44784.690972222219</v>
      </c>
      <c r="J262" s="195">
        <v>44784.690972222219</v>
      </c>
      <c r="K262" s="196"/>
      <c r="L262" s="326"/>
      <c r="M262" s="140"/>
      <c r="N262" s="140"/>
      <c r="O262" s="140"/>
      <c r="P262" s="22"/>
      <c r="Q262" s="25"/>
      <c r="R262" s="4" t="str">
        <f>IF(SnapshotTable[[#This Row],[Equity Basis Total]] &gt; 0, SnapshotTable[[#This Row],[Equity Basis Total]] / SnapshotTable[[#This Row],[Equity Shares]], "")</f>
        <v/>
      </c>
      <c r="S262" s="269">
        <f>SnapshotTable[[#This Row],[Last Price]] * SnapshotTable[[#This Row],[Equity Shares]]</f>
        <v>0</v>
      </c>
      <c r="T262" s="269">
        <f>SnapshotTable[[#This Row],[Equity Value]] - SnapshotTable[[#This Row],[Equity Basis Total]]</f>
        <v>0</v>
      </c>
      <c r="U262" s="270" t="str">
        <f>IF(SnapshotTable[[#This Row],[Equity Basis Total]] &gt; 0, SnapshotTable[[#This Row],[Equity G/L]] / SnapshotTable[[#This Row],[Equity Basis Total]], "")</f>
        <v/>
      </c>
      <c r="V262" s="268"/>
      <c r="W262" s="26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7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0"/>
      <c r="AD262" s="151"/>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0</v>
      </c>
      <c r="AH262" s="151"/>
      <c r="AI262" s="5"/>
      <c r="AJ262" s="138" t="s">
        <v>164</v>
      </c>
      <c r="AK262" s="152" t="str">
        <f>IF(ISNUMBER( SnapshotTable[[#This Row],[EBF Target]]),(SnapshotTable[[#This Row],[EBF Target]] - SnapshotTable[[#This Row],[Last Price]]) / SnapshotTable[[#This Row],[Last Price]], "")</f>
        <v/>
      </c>
      <c r="AL262" s="152"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2" t="str">
        <f>IF(AND(ISNUMBER( SnapshotTable[[#This Row],[Long Term Target]]), ISNUMBER(SnapshotTable[[#This Row],[Last Price]])),(SnapshotTable[[#This Row],[Long Term Target]] - SnapshotTable[[#This Row],[Last Price]]) / SnapshotTable[[#This Row],[Last Price]], "")</f>
        <v/>
      </c>
      <c r="AP262" s="5">
        <v>10</v>
      </c>
      <c r="AQ262" s="38" t="s">
        <v>27</v>
      </c>
      <c r="AR262" s="5">
        <v>10</v>
      </c>
      <c r="AS262" s="38" t="s">
        <v>38</v>
      </c>
      <c r="AT262" s="146" t="s">
        <v>542</v>
      </c>
      <c r="AU262" s="187" t="str">
        <f>IF(OR(SnapshotTable[[#This Row],[LP No Fill]]="Y",SnapshotTable[[#This Row],[SP Is Filled]],SnapshotTable[[#This Row],[LC Not Filled]]="Y",SnapshotTable[[#This Row],[SC Is Filled]]),"Y","")</f>
        <v/>
      </c>
      <c r="AV262" s="219"/>
      <c r="AW262" s="225"/>
      <c r="AX262" s="220"/>
      <c r="AY262" s="219" t="str">
        <f>IF(SnapshotTable[[#This Row],[Implied Move]]&gt;0, SnapshotTable[[#This Row],[Last Price]]-SnapshotTable[[#This Row],[Implied Move]],"")</f>
        <v/>
      </c>
      <c r="AZ262" s="219" t="str">
        <f>IF(SnapshotTable[[#This Row],[Implied Move]]&gt;0, SnapshotTable[[#This Row],[Last Price]] + SnapshotTable[[#This Row],[Implied Move]],"")</f>
        <v/>
      </c>
      <c r="BA262" s="331"/>
      <c r="BB262" s="347"/>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51"/>
      <c r="BE262" s="5"/>
      <c r="BF262" s="14"/>
      <c r="BG262" s="13"/>
      <c r="BH262" s="13"/>
      <c r="BI262" s="5"/>
      <c r="BJ262" s="136">
        <f>IF(SnapshotTable[[#This Row],[LP Qty]] &gt; 0, SnapshotTable[[#This Row],[LP Qty]] * SnapshotTable[[#This Row],[LP Book Price]] * 100,0)</f>
        <v>0</v>
      </c>
      <c r="BK262" s="136">
        <f>IF(SnapshotTable[[#This Row],[LP Premium]] &gt; 0, SnapshotTable[[#This Row],[LP Qty]] * SnapshotTable[[#This Row],[LP Strike Price]] * 100,0)</f>
        <v>0</v>
      </c>
      <c r="BL262" s="154"/>
      <c r="BM262" s="385" t="str">
        <f>IF(SnapshotTable[[#This Row],[LP Premium]] &gt; 0,SnapshotTable[[#This Row],[LP Exp Date]]-MAX(SnapshotTable[[#This Row],[LP Book Date]], SnapshotTable[[#This Row],[LP Fill Date]]),"")</f>
        <v/>
      </c>
      <c r="BN262" s="385" t="str">
        <f>IF(ISNUMBER( SnapshotTable[[#This Row],[LP Term]]), SnapshotTable[[#This Row],[LP Exp Date]] - MockToday,"")</f>
        <v/>
      </c>
      <c r="BO262" s="163"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7"/>
      <c r="BU262" s="13"/>
      <c r="BV262" s="5"/>
      <c r="BW262" s="419" t="b">
        <f>AND(ISNUMBER(SnapshotTable[[#This Row],[SP Exp Date]]), ISNUMBER(SnapshotTable[[#This Row],[SP Strike Price]]), ISNUMBER(SnapshotTable[[#This Row],[SP Qty]]), ISNUMBER(SnapshotTable[[#This Row],[SP Book Date]]), ISNUMBER(SnapshotTable[[#This Row],[SP Book Price]]))</f>
        <v>0</v>
      </c>
      <c r="BX262" s="419" t="b">
        <f>AND(SnapshotTable[[#This Row],[SP Is Booked]], NOT(ISBLANK(SnapshotTable[[#This Row],[SP Fill Date]])))</f>
        <v>0</v>
      </c>
      <c r="BY262" s="33">
        <f>IF(SnapshotTable[[#This Row],[SP Is Booked]], SnapshotTable[[#This Row],[SP Qty]] * SnapshotTable[[#This Row],[SP Book Price]] * 100, 0)</f>
        <v>0</v>
      </c>
      <c r="BZ262" s="369"/>
      <c r="CA262" s="368">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3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44"/>
      <c r="CK262" s="31">
        <f>IF(ISNUMBER(SnapshotTable[[#This Row],[SP Potential Spend]]),IF(ISNUMBER(SnapshotTable[[#This Row],[SP POW]]), SnapshotTable[[#This Row],[SP POW]] * SnapshotTable[[#This Row],[SP Potential Spend]], SnapshotTable[[#This Row],[SP Potential Spend]]), "")</f>
        <v>0</v>
      </c>
      <c r="CL262" s="164">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154"/>
      <c r="CO262" s="369"/>
      <c r="CP262" s="4" t="str">
        <f>IF(SnapshotTable[[#This Row],[SP Is Filled]], btc_max_buyback_amount(SnapshotTable[[#This Row],[SP Fill Date]],SnapshotTable[[#This Row],[SP Exp Date]], SnapshotTable[[#This Row],[SP Book Price]]),"")</f>
        <v/>
      </c>
      <c r="CQ262" s="78"/>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5" t="str">
        <f>IF(SnapshotTable[[#This Row],[SP Is Filled]], btc_next_cutoff_date(SnapshotTable[[#This Row],[SP Fill Date]],SnapshotTable[[#This Row],[SP Exp Date]]),"")</f>
        <v/>
      </c>
      <c r="CT262" s="23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3"/>
      <c r="CV262" s="235"/>
      <c r="CW262" s="378"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294" t="str">
        <f>IF(ISNUMBER((SnapshotTable[[#This Row],[SP Total Value]])), SnapshotTable[[#This Row],[SP Gain Loss]] / SnapshotTable[[#This Row],[SP Premium]], "")</f>
        <v/>
      </c>
      <c r="DI262" s="406"/>
      <c r="DJ262" s="138"/>
      <c r="DK262" s="148"/>
      <c r="DL262" s="13"/>
      <c r="DM262" s="13"/>
      <c r="DO262" s="31">
        <f>IF(SnapshotTable[[#This Row],[LC Symbol Count]]=1, SnapshotTable[[#This Row],[LC Qty]] * SnapshotTable[[#This Row],[LC Book Price]] * 100, 0)</f>
        <v>0</v>
      </c>
      <c r="DP262" s="163" t="str">
        <f>IF(AND(SnapshotTable[[#This Row],[LC Exp Date]]&gt;0, SnapshotTable[[#This Row],[LC Strike Price]]&gt;0,SnapshotTable[[#This Row],[LC Qty]]&gt;0,SnapshotTable[[#This Row],[LC Book Date]]&gt;0,SnapshotTable[[#This Row],[LC Book Price]]&gt;0,SnapshotTable[[#This Row],[LC Fill Date]]=0),"Y","")</f>
        <v/>
      </c>
      <c r="DQ262" s="386" t="str">
        <f>IF(SnapshotTable[[#This Row],[LC Premium]] &gt; 0,SnapshotTable[[#This Row],[LC Exp Date]]-MAX(SnapshotTable[[#This Row],[LC Book Date]], SnapshotTable[[#This Row],[LC Fill Date]]),"")</f>
        <v/>
      </c>
      <c r="DR262" s="386" t="str">
        <f>IF(ISNUMBER(SnapshotTable[[#This Row],[LC Term]]), SnapshotTable[[#This Row],[LC Exp Date]] - MockToday, "")</f>
        <v/>
      </c>
      <c r="DS262" s="23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40" t="str">
        <f>IF(ISNUMBER(SnapshotTable[[#This Row],[LC Actual Gain Loss]]), SnapshotTable[[#This Row],[LC Actual Gain Loss]] / SnapshotTable[[#This Row],[LC Premium]],"")</f>
        <v/>
      </c>
      <c r="DX262" s="284" t="str">
        <f>IF(ISNUMBER(SnapshotTable[[#This Row],[LC Book Price]]),SnapshotTable[[#This Row],[LC Book Price]] * 1.5,"")</f>
        <v/>
      </c>
      <c r="DY262" s="265" t="str">
        <f>IF(SnapshotTable[[#This Row],[LC Premium]]&gt;0, SnapshotTable[[#This Row],[LC Next Target]] * SnapshotTable[[#This Row],[LC Qty]] * 100,"")</f>
        <v/>
      </c>
      <c r="DZ262" s="265" t="str">
        <f>IF(ISNUMBER(SnapshotTable[[#This Row],[LC Target Gross]]), SnapshotTable[[#This Row],[LC Target Gross]] - SnapshotTable[[#This Row],[LC Premium]], "")</f>
        <v/>
      </c>
      <c r="EA262" s="305" t="str">
        <f>IF(ISNUMBER(SnapshotTable[[#This Row],[LC Target Gain Loss]]), SnapshotTable[[#This Row],[LC Target Gain Loss]]/SnapshotTable[[#This Row],[LC Premium]], "")</f>
        <v/>
      </c>
      <c r="EB262" s="262"/>
      <c r="EC262" s="283" t="str">
        <f>IF(SnapshotTable[[#This Row],[LC Premium]]&gt;0, SnapshotTable[[#This Row],[LC Book Price]] * (1 - LC_StopLoss_Pct),"")</f>
        <v/>
      </c>
      <c r="ED262" s="284"/>
      <c r="EE262" s="28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4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7"/>
      <c r="EL262" s="138"/>
      <c r="EM262" s="148"/>
      <c r="EN262" s="147"/>
      <c r="EO262" s="147"/>
      <c r="EP262" s="138"/>
      <c r="EQ262" s="419" t="b">
        <f>AND(ISNUMBER(SnapshotTable[[#This Row],[SC Exp Date]]), ISNUMBER(SnapshotTable[[#This Row],[SC Strike Price]]), ISNUMBER(SnapshotTable[[#This Row],[SC Qty]]), ISNUMBER(SnapshotTable[[#This Row],[SC Book Date]]), ISNUMBER(SnapshotTable[[#This Row],[SC Book Price]]))</f>
        <v>0</v>
      </c>
      <c r="ER262" s="419" t="b">
        <f>AND(SnapshotTable[[#This Row],[SC Is Booked]], NOT(ISBLANK(SnapshotTable[[#This Row],[SC Fill Date]])))</f>
        <v>0</v>
      </c>
      <c r="ES262" s="370"/>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3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283"/>
      <c r="FA262" s="218"/>
      <c r="FB262" s="370"/>
      <c r="FC262" s="4">
        <f>IF(SnapshotTable[[#This Row],[SC Is Filled]], btc_max_buyback_amount(SnapshotTable[[#This Row],[SC Fill Date]],SnapshotTable[[#This Row],[SC Exp Date]], SnapshotTable[[#This Row],[SC Book Price]]),0)</f>
        <v>0</v>
      </c>
      <c r="FD262" s="5"/>
      <c r="FE262" s="144"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382">
        <f>IF(SnapshotTable[[#This Row],[SC Is Filled]], IF(ISNUMBER(SnapshotTable[[#This Row],[SC Current Ask]]), SnapshotTable[[#This Row],[SC Current Ask]], SnapshotTable[[#This Row],[SC Book Price]]) - SnapshotTable[[#This Row],[SC Intrinsic Value]], 0)</f>
        <v>0</v>
      </c>
      <c r="FI262" s="143"/>
      <c r="FJ262" s="32" t="str">
        <f>IF(SnapshotTable[[#This Row],[SC Is Filled]],100 * SnapshotTable[[#This Row],[SC Qty]] * IF(ISNUMBER(SnapshotTable[[#This Row],[SC Buyback Override]]), SnapshotTable[[#This Row],[SC Buyback Override]], SnapshotTable[[#This Row],[SC Current Ask]]), "")</f>
        <v/>
      </c>
      <c r="FK262" s="250" t="str">
        <f>IF(SnapshotTable[[#This Row],[SC Time Val]]&gt;0, SnapshotTable[[#This Row],[SC Time Val]] / SnapshotTable[[#This Row],[Last Price]],"")</f>
        <v/>
      </c>
      <c r="FL262" s="302" t="str">
        <f>IF(SnapshotTable[[#This Row],[SC Is Booked]], ((SnapshotTable[[#This Row],[Last Price]] -SnapshotTable[[#This Row],[SC Strike Price]]) / SnapshotTable[[#This Row],[Last Price]]) * -1, "")</f>
        <v/>
      </c>
      <c r="FM262" s="157"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33"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36" t="str">
        <f>IF(AND(ISNUMBER(SnapshotTable[[#This Row],[SC Simple ROO]]),SnapshotTable[[#This Row],[SC Simple ROO]] &gt; 0), SnapshotTable[[#This Row],[SC Premium]] + (SnapshotTable[[#This Row],[SC Qty]] * SnapshotTable[[#This Row],[SC Upside Potential]]), "")</f>
        <v/>
      </c>
      <c r="FX262" s="302" t="str" cm="1">
        <f t="array" ref="FX262">IF(ISNUMBER(SnapshotTable[[#This Row],[SC Max Dollars]]), annualize(SnapshotTable[[#This Row],[SC Term]],(SnapshotTable[[#This Row],[SC Max Dollars]]/SnapshotTable[[#This Row],[SC Basis]])),"")</f>
        <v/>
      </c>
      <c r="FY262" s="23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294" t="str">
        <f>IFERROR( IF(ISNUMBER((SnapshotTable[[#This Row],[SC Current Value]])), SnapshotTable[[#This Row],[SC Gain Loss]] / SnapshotTable[[#This Row],[SC Premium]], ""), "")</f>
        <v/>
      </c>
      <c r="GB262" s="42">
        <f>SnapshotTable[[#This Row],[Equity Shares]] * SaleSharesToConsiderPercentage</f>
        <v>0</v>
      </c>
      <c r="GC262" s="40" t="e">
        <f>SnapshotTable[[#This Row],[Long Term Target]] * SellingPriceToConsiderBasedOnTargetPercentage</f>
        <v>#VALUE!</v>
      </c>
      <c r="GD262" s="40">
        <f>SnapshotTable[[#This Row],[Last Price]] * (1+ SellingPriceToConsiderBasedOnTargetPercentage)</f>
        <v>14.176499999999999</v>
      </c>
      <c r="GE262" s="41"/>
      <c r="GF262" s="40"/>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31">
        <f>MAX(SnapshotTable[[#This Row],[Equity Basis Total]],SnapshotTable[[#This Row],[Equity Value]]) + (SnapshotTable[[#This Row],[SP Potential Spend]]- SnapshotTable[[#This Row],[SP Premium]] + SnapshotTable[[#This Row],[LP Premium]])+ (SnapshotTable[[#This Row],[LC Premium]] - SnapshotTable[[#This Row],[SC Premium]])</f>
        <v>0</v>
      </c>
      <c r="GW262" s="139" t="str">
        <f>IF(AND(SnapshotTable[[#This Row],[Exposure]] &lt;&gt; 0),SnapshotTable[[#This Row],[Exposure]] / SnapshotTable[[#Totals],[Exposure]], "")</f>
        <v/>
      </c>
      <c r="GX262" s="13"/>
      <c r="HK262" s="1"/>
      <c r="HL262" s="1"/>
      <c r="HM262" s="1"/>
      <c r="HN262" s="1"/>
      <c r="HO262" s="1"/>
      <c r="HP262" s="1"/>
    </row>
    <row r="263" spans="2:224" ht="12.75" hidden="1" customHeight="1" x14ac:dyDescent="0.25">
      <c r="B263" s="12" t="s">
        <v>1259</v>
      </c>
      <c r="C263" s="422">
        <v>52.59</v>
      </c>
      <c r="D263" s="208" t="s">
        <v>258</v>
      </c>
      <c r="E263" s="39">
        <f>SnapshotTable[[#This Row],[Last Price]]*(1 -CrashDiscount)</f>
        <v>44.701500000000003</v>
      </c>
      <c r="F263" s="26" t="s">
        <v>5</v>
      </c>
      <c r="G263" s="26" t="s">
        <v>4</v>
      </c>
      <c r="H263" s="149"/>
      <c r="I263" s="194"/>
      <c r="J263" s="195"/>
      <c r="K263" s="196"/>
      <c r="L263" s="326"/>
      <c r="M263" s="140"/>
      <c r="N263" s="140"/>
      <c r="O263" s="140"/>
      <c r="P263" s="22"/>
      <c r="Q263" s="25"/>
      <c r="R263" s="4" t="str">
        <f>IF(SnapshotTable[[#This Row],[Equity Basis Total]] &gt; 0, SnapshotTable[[#This Row],[Equity Basis Total]] / SnapshotTable[[#This Row],[Equity Shares]], "")</f>
        <v/>
      </c>
      <c r="S263" s="269">
        <f>SnapshotTable[[#This Row],[Last Price]] * SnapshotTable[[#This Row],[Equity Shares]]</f>
        <v>0</v>
      </c>
      <c r="T263" s="269">
        <f>SnapshotTable[[#This Row],[Equity Value]] - SnapshotTable[[#This Row],[Equity Basis Total]]</f>
        <v>0</v>
      </c>
      <c r="U263" s="270" t="str">
        <f>IF(SnapshotTable[[#This Row],[Equity Basis Total]] &gt; 0, SnapshotTable[[#This Row],[Equity G/L]] / SnapshotTable[[#This Row],[Equity Basis Total]], "")</f>
        <v/>
      </c>
      <c r="V263" s="268"/>
      <c r="W263" s="26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7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0"/>
      <c r="AD263" s="151"/>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1"/>
      <c r="AI263" s="5"/>
      <c r="AJ263" s="138"/>
      <c r="AK263" s="152" t="str">
        <f>IF(ISNUMBER( SnapshotTable[[#This Row],[EBF Target]]),(SnapshotTable[[#This Row],[EBF Target]] - SnapshotTable[[#This Row],[Last Price]]) / SnapshotTable[[#This Row],[Last Price]], "")</f>
        <v/>
      </c>
      <c r="AL263" s="152"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2" t="str">
        <f>IF(AND(ISNUMBER( SnapshotTable[[#This Row],[Long Term Target]]), ISNUMBER(SnapshotTable[[#This Row],[Last Price]])),(SnapshotTable[[#This Row],[Long Term Target]] - SnapshotTable[[#This Row],[Last Price]]) / SnapshotTable[[#This Row],[Last Price]], "")</f>
        <v/>
      </c>
      <c r="AP263" s="5"/>
      <c r="AQ263" s="38"/>
      <c r="AR263" s="5"/>
      <c r="AS263" s="38"/>
      <c r="AT263" s="146"/>
      <c r="AU263" s="187" t="str">
        <f>IF(OR(SnapshotTable[[#This Row],[LP No Fill]]="Y",SnapshotTable[[#This Row],[SP Is Filled]],SnapshotTable[[#This Row],[LC Not Filled]]="Y",SnapshotTable[[#This Row],[SC Is Filled]]),"Y","")</f>
        <v/>
      </c>
      <c r="AV263" s="219"/>
      <c r="AW263" s="225"/>
      <c r="AX263" s="220"/>
      <c r="AY263" s="219" t="str">
        <f>IF(SnapshotTable[[#This Row],[Implied Move]]&gt;0, SnapshotTable[[#This Row],[Last Price]]-SnapshotTable[[#This Row],[Implied Move]],"")</f>
        <v/>
      </c>
      <c r="AZ263" s="219" t="str">
        <f>IF(SnapshotTable[[#This Row],[Implied Move]]&gt;0, SnapshotTable[[#This Row],[Last Price]] + SnapshotTable[[#This Row],[Implied Move]],"")</f>
        <v/>
      </c>
      <c r="BA263" s="331">
        <v>117.9</v>
      </c>
      <c r="BB263" s="347"/>
      <c r="BC26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263" s="351"/>
      <c r="BE263" s="5"/>
      <c r="BF263" s="14"/>
      <c r="BG263" s="13"/>
      <c r="BH263" s="13"/>
      <c r="BI263" s="5"/>
      <c r="BJ263" s="136">
        <f>IF(SnapshotTable[[#This Row],[LP Qty]] &gt; 0, SnapshotTable[[#This Row],[LP Qty]] * SnapshotTable[[#This Row],[LP Book Price]] * 100,0)</f>
        <v>0</v>
      </c>
      <c r="BK263" s="136">
        <f>IF(SnapshotTable[[#This Row],[LP Premium]] &gt; 0, SnapshotTable[[#This Row],[LP Qty]] * SnapshotTable[[#This Row],[LP Strike Price]] * 100,0)</f>
        <v>0</v>
      </c>
      <c r="BL263" s="154"/>
      <c r="BM263" s="385" t="str">
        <f>IF(SnapshotTable[[#This Row],[LP Premium]] &gt; 0,SnapshotTable[[#This Row],[LP Exp Date]]-MAX(SnapshotTable[[#This Row],[LP Book Date]], SnapshotTable[[#This Row],[LP Fill Date]]),"")</f>
        <v/>
      </c>
      <c r="BN263" s="385" t="str">
        <f>IF(ISNUMBER( SnapshotTable[[#This Row],[LP Term]]), SnapshotTable[[#This Row],[LP Exp Date]] - MockToday,"")</f>
        <v/>
      </c>
      <c r="BO263" s="163"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7"/>
      <c r="BU263" s="13"/>
      <c r="BV263" s="5"/>
      <c r="BW263" s="419" t="b">
        <f>AND(ISNUMBER(SnapshotTable[[#This Row],[SP Exp Date]]), ISNUMBER(SnapshotTable[[#This Row],[SP Strike Price]]), ISNUMBER(SnapshotTable[[#This Row],[SP Qty]]), ISNUMBER(SnapshotTable[[#This Row],[SP Book Date]]), ISNUMBER(SnapshotTable[[#This Row],[SP Book Price]]))</f>
        <v>0</v>
      </c>
      <c r="BX263" s="419" t="b">
        <f>AND(SnapshotTable[[#This Row],[SP Is Booked]], NOT(ISBLANK(SnapshotTable[[#This Row],[SP Fill Date]])))</f>
        <v>0</v>
      </c>
      <c r="BY263" s="33">
        <f>IF(SnapshotTable[[#This Row],[SP Is Booked]], SnapshotTable[[#This Row],[SP Qty]] * SnapshotTable[[#This Row],[SP Book Price]] * 100, 0)</f>
        <v>0</v>
      </c>
      <c r="BZ263" s="369"/>
      <c r="CA263" s="368">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3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44"/>
      <c r="CK263" s="31">
        <f>IF(ISNUMBER(SnapshotTable[[#This Row],[SP Potential Spend]]),IF(ISNUMBER(SnapshotTable[[#This Row],[SP POW]]), SnapshotTable[[#This Row],[SP POW]] * SnapshotTable[[#This Row],[SP Potential Spend]], SnapshotTable[[#This Row],[SP Potential Spend]]), "")</f>
        <v>0</v>
      </c>
      <c r="CL263" s="164">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18"/>
      <c r="CO263" s="369"/>
      <c r="CP263" s="4" t="str">
        <f>IF(SnapshotTable[[#This Row],[SP Is Filled]], btc_max_buyback_amount(SnapshotTable[[#This Row],[SP Fill Date]],SnapshotTable[[#This Row],[SP Exp Date]], SnapshotTable[[#This Row],[SP Book Price]]),"")</f>
        <v/>
      </c>
      <c r="CQ263" s="78"/>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5" t="str">
        <f>IF(SnapshotTable[[#This Row],[SP Is Filled]], btc_next_cutoff_date(SnapshotTable[[#This Row],[SP Fill Date]],SnapshotTable[[#This Row],[SP Exp Date]]),"")</f>
        <v/>
      </c>
      <c r="CT263" s="23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6"/>
      <c r="CV263" s="235"/>
      <c r="CW263" s="378"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294" t="str">
        <f>IF(ISNUMBER((SnapshotTable[[#This Row],[SP Total Value]])), SnapshotTable[[#This Row],[SP Gain Loss]] / SnapshotTable[[#This Row],[SP Premium]], "")</f>
        <v/>
      </c>
      <c r="DI263" s="406">
        <v>46283</v>
      </c>
      <c r="DJ263" s="138">
        <v>105</v>
      </c>
      <c r="DK263" s="148">
        <v>10</v>
      </c>
      <c r="DL263" s="13">
        <v>46076</v>
      </c>
      <c r="DM263" s="13">
        <v>46076</v>
      </c>
      <c r="DN263" s="5">
        <v>12.9</v>
      </c>
      <c r="DO263" s="31">
        <f>IF(SnapshotTable[[#This Row],[LC Symbol Count]]=1, SnapshotTable[[#This Row],[LC Qty]] * SnapshotTable[[#This Row],[LC Book Price]] * 100, 0)</f>
        <v>12900</v>
      </c>
      <c r="DP263" s="163" t="str">
        <f>IF(AND(SnapshotTable[[#This Row],[LC Exp Date]]&gt;0, SnapshotTable[[#This Row],[LC Strike Price]]&gt;0,SnapshotTable[[#This Row],[LC Qty]]&gt;0,SnapshotTable[[#This Row],[LC Book Date]]&gt;0,SnapshotTable[[#This Row],[LC Book Price]]&gt;0,SnapshotTable[[#This Row],[LC Fill Date]]=0),"Y","")</f>
        <v/>
      </c>
      <c r="DQ263" s="386">
        <f>IF(SnapshotTable[[#This Row],[LC Premium]] &gt; 0,SnapshotTable[[#This Row],[LC Exp Date]]-MAX(SnapshotTable[[#This Row],[LC Book Date]], SnapshotTable[[#This Row],[LC Fill Date]]),"")</f>
        <v>207</v>
      </c>
      <c r="DR263" s="386">
        <f ca="1">IF(ISNUMBER(SnapshotTable[[#This Row],[LC Term]]), SnapshotTable[[#This Row],[LC Exp Date]] - MockToday, "")</f>
        <v>50</v>
      </c>
      <c r="DS263" s="234">
        <f>IF(SnapshotTable[[#This Row],[LC Premium]]&gt;0,SnapshotTable[[#This Row],[LC Strike Price]] + SnapshotTable[[#This Row],[LC Book Price]],"")</f>
        <v>117.9</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40" t="str">
        <f>IF(ISNUMBER(SnapshotTable[[#This Row],[LC Actual Gain Loss]]), SnapshotTable[[#This Row],[LC Actual Gain Loss]] / SnapshotTable[[#This Row],[LC Premium]],"")</f>
        <v/>
      </c>
      <c r="DX263" s="284">
        <f>IF(ISNUMBER(SnapshotTable[[#This Row],[LC Book Price]]),SnapshotTable[[#This Row],[LC Book Price]] * 1.5,"")</f>
        <v>19.350000000000001</v>
      </c>
      <c r="DY263" s="265">
        <f>IF(SnapshotTable[[#This Row],[LC Premium]]&gt;0, SnapshotTable[[#This Row],[LC Next Target]] * SnapshotTable[[#This Row],[LC Qty]] * 100,"")</f>
        <v>19350</v>
      </c>
      <c r="DZ263" s="265">
        <f>IF(ISNUMBER(SnapshotTable[[#This Row],[LC Target Gross]]), SnapshotTable[[#This Row],[LC Target Gross]] - SnapshotTable[[#This Row],[LC Premium]], "")</f>
        <v>6450</v>
      </c>
      <c r="EA263" s="305">
        <f>IF(ISNUMBER(SnapshotTable[[#This Row],[LC Target Gain Loss]]), SnapshotTable[[#This Row],[LC Target Gain Loss]]/SnapshotTable[[#This Row],[LC Premium]], "")</f>
        <v>0.5</v>
      </c>
      <c r="EB263" s="262"/>
      <c r="EC263" s="283">
        <f>IF(SnapshotTable[[#This Row],[LC Premium]]&gt;0, SnapshotTable[[#This Row],[LC Book Price]] * (1 - LC_StopLoss_Pct),"")</f>
        <v>9.6750000000000007</v>
      </c>
      <c r="ED263" s="284"/>
      <c r="EE263" s="28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105000</v>
      </c>
      <c r="EI263" s="24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10</v>
      </c>
      <c r="EK263" s="147"/>
      <c r="EL263" s="138"/>
      <c r="EM263" s="148"/>
      <c r="EN263" s="147"/>
      <c r="EO263" s="147"/>
      <c r="EP263" s="138"/>
      <c r="EQ263" s="419" t="b">
        <f>AND(ISNUMBER(SnapshotTable[[#This Row],[SC Exp Date]]), ISNUMBER(SnapshotTable[[#This Row],[SC Strike Price]]), ISNUMBER(SnapshotTable[[#This Row],[SC Qty]]), ISNUMBER(SnapshotTable[[#This Row],[SC Book Date]]), ISNUMBER(SnapshotTable[[#This Row],[SC Book Price]]))</f>
        <v>0</v>
      </c>
      <c r="ER263" s="419" t="b">
        <f>AND(SnapshotTable[[#This Row],[SC Is Booked]], NOT(ISBLANK(SnapshotTable[[#This Row],[SC Fill Date]])))</f>
        <v>0</v>
      </c>
      <c r="ES263" s="370"/>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3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283"/>
      <c r="FA263" s="218"/>
      <c r="FB263" s="370"/>
      <c r="FC263" s="4">
        <f>IF(SnapshotTable[[#This Row],[SC Is Filled]], btc_max_buyback_amount(SnapshotTable[[#This Row],[SC Fill Date]],SnapshotTable[[#This Row],[SC Exp Date]], SnapshotTable[[#This Row],[SC Book Price]]),0)</f>
        <v>0</v>
      </c>
      <c r="FD263" s="5"/>
      <c r="FE263" s="144"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382">
        <f>IF(SnapshotTable[[#This Row],[SC Is Filled]], IF(ISNUMBER(SnapshotTable[[#This Row],[SC Current Ask]]), SnapshotTable[[#This Row],[SC Current Ask]], SnapshotTable[[#This Row],[SC Book Price]]) - SnapshotTable[[#This Row],[SC Intrinsic Value]], 0)</f>
        <v>0</v>
      </c>
      <c r="FI263" s="143"/>
      <c r="FJ263" s="32" t="str">
        <f>IF(SnapshotTable[[#This Row],[SC Is Filled]],100 * SnapshotTable[[#This Row],[SC Qty]] * IF(ISNUMBER(SnapshotTable[[#This Row],[SC Buyback Override]]), SnapshotTable[[#This Row],[SC Buyback Override]], SnapshotTable[[#This Row],[SC Current Ask]]), "")</f>
        <v/>
      </c>
      <c r="FK263" s="250" t="str">
        <f>IF(SnapshotTable[[#This Row],[SC Time Val]]&gt;0, SnapshotTable[[#This Row],[SC Time Val]] / SnapshotTable[[#This Row],[Last Price]],"")</f>
        <v/>
      </c>
      <c r="FL263" s="302" t="str">
        <f>IF(SnapshotTable[[#This Row],[SC Is Booked]], ((SnapshotTable[[#This Row],[Last Price]] -SnapshotTable[[#This Row],[SC Strike Price]]) / SnapshotTable[[#This Row],[Last Price]]) * -1, "")</f>
        <v/>
      </c>
      <c r="FM263" s="157" t="str">
        <f>IF(SnapshotTable[[#This Row],[SC Is Booked]],  (SnapshotTable[[#This Row],[SC Qty]] * 100 * SnapshotTable[[#This Row],[SC Strike Price]]) - SnapshotTable[[#This Row],[SC Current Ask]], "")</f>
        <v/>
      </c>
      <c r="FN2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31"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33"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36" t="str">
        <f>IF(AND(ISNUMBER(SnapshotTable[[#This Row],[SC Simple ROO]]),SnapshotTable[[#This Row],[SC Simple ROO]] &gt; 0), SnapshotTable[[#This Row],[SC Premium]] + (SnapshotTable[[#This Row],[SC Qty]] * SnapshotTable[[#This Row],[SC Upside Potential]]), "")</f>
        <v/>
      </c>
      <c r="FX263" s="302" t="str" cm="1">
        <f t="array" ref="FX263">IF(ISNUMBER(SnapshotTable[[#This Row],[SC Max Dollars]]), annualize(SnapshotTable[[#This Row],[SC Term]],(SnapshotTable[[#This Row],[SC Max Dollars]]/SnapshotTable[[#This Row],[SC Basis]])),"")</f>
        <v/>
      </c>
      <c r="FY263" s="236" t="str">
        <f>IF(AND(SnapshotTable[[#This Row],[SC Qty]]&gt;0,SnapshotTable[[#This Row],[SC Current Ask]]&gt;0), SnapshotTable[[#This Row],[SC Qty]] * SnapshotTable[[#This Row],[SC Current Ask]] * -100, "")</f>
        <v/>
      </c>
      <c r="FZ263" s="31" t="str">
        <f>IF(ISNUMBER((SnapshotTable[[#This Row],[SC Current Value]])), SnapshotTable[[#This Row],[SC Premium]] + SnapshotTable[[#This Row],[SC Current Value]], "")</f>
        <v/>
      </c>
      <c r="GA263" s="29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0</v>
      </c>
      <c r="GD263" s="40">
        <f>SnapshotTable[[#This Row],[Last Price]] * (1+ SellingPriceToConsiderBasedOnTargetPercentage)</f>
        <v>102.5505</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27" t="str">
        <f>IF(SnapshotTable[[#This Row],[Sale G/L]]&gt;0, SnapshotTable[[#This Row],[Sale G/L]] / SnapshotTable[[#This Row],[Sale Basis]], IF(ISNUMBER(SnapshotTable[[#This Row],[SC Exercise P&amp;L (TAX)]]), SnapshotTable[[#This Row],[SC Exercise P&amp;L (TAX)]] / SnapshotTable[[#This Row],[SC Basis]], ""))</f>
        <v/>
      </c>
      <c r="GK263" s="27"/>
      <c r="GL263" s="43"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43" t="str">
        <f>IF(AND(SnapshotTable[[#This Row],[LC Exp Date]]&gt;0,SnapshotTable[[#This Row],[LC Strike Price]]&gt;0), [1]!ToOptionSymbol(SnapshotTable[[#This Row],[Symbol]], SnapshotTable[[#This Row],[LC Strike Price]],SnapshotTable[[#This Row],[LC Exp Date]],0), "")</f>
        <v>SLV260918C00105000</v>
      </c>
      <c r="GQ263" s="30">
        <f>IF(LEN(SnapshotTable[[#This Row],[LC Symbol]])&gt;0, 1, "")</f>
        <v>1</v>
      </c>
      <c r="GR263" s="43" t="str">
        <f>IF(AND(SnapshotTable[[#This Row],[SC Exp Date]]&gt;0,SnapshotTable[[#This Row],[SC Strike Price]]&gt;0), [1]!ToOptionSymbol(SnapshotTable[[#This Row],[Symbol]], SnapshotTable[[#This Row],[SC Strike Price]],SnapshotTable[[#This Row],[SC Exp Date]],0), "")</f>
        <v/>
      </c>
      <c r="GS263" s="30" t="str">
        <f>IF(LEN(SnapshotTable[[#This Row],[SC Symbol]])&gt;0, 1, "")</f>
        <v/>
      </c>
      <c r="GT263" s="29" t="str">
        <f>IF(COUNT(SnapshotTable[[#This Row],[LP Symbol Count]],SnapshotTable[[#This Row],[SP Symbol Count]],SnapshotTable[[#This Row],[LC Symbol Count]],SnapshotTable[[#This Row],[SC Symbol Count]])&gt;0, "Y", "")</f>
        <v>Y</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3" s="231">
        <f>MAX(SnapshotTable[[#This Row],[Equity Basis Total]],SnapshotTable[[#This Row],[Equity Value]]) + (SnapshotTable[[#This Row],[SP Potential Spend]]- SnapshotTable[[#This Row],[SP Premium]] + SnapshotTable[[#This Row],[LP Premium]])+ (SnapshotTable[[#This Row],[LC Premium]] - SnapshotTable[[#This Row],[SC Premium]])</f>
        <v>12900</v>
      </c>
      <c r="GW263" s="139">
        <f ca="1">IF(AND(SnapshotTable[[#This Row],[Exposure]] &lt;&gt; 0),SnapshotTable[[#This Row],[Exposure]] / SnapshotTable[[#Totals],[Exposure]], "")</f>
        <v>6.0720923997361044E-2</v>
      </c>
      <c r="HK263" s="1"/>
      <c r="HL263" s="1"/>
      <c r="HM263" s="1"/>
      <c r="HN263" s="1"/>
      <c r="HO263" s="1"/>
      <c r="HP263" s="1"/>
    </row>
    <row r="264" spans="2:224" ht="12.75" hidden="1" customHeight="1" x14ac:dyDescent="0.25">
      <c r="B264" s="12" t="s">
        <v>1251</v>
      </c>
      <c r="C264" s="422">
        <v>5.85</v>
      </c>
      <c r="D264" s="208"/>
      <c r="E264" s="39">
        <f>SnapshotTable[[#This Row],[Last Price]]*(1 -CrashDiscount)</f>
        <v>4.9724999999999993</v>
      </c>
      <c r="F264" s="325" t="s">
        <v>1249</v>
      </c>
      <c r="G264" s="325" t="s">
        <v>872</v>
      </c>
      <c r="H264" s="149"/>
      <c r="I264" s="194"/>
      <c r="J264" s="195"/>
      <c r="K264" s="196"/>
      <c r="L264" s="326"/>
      <c r="M264" s="140"/>
      <c r="N264" s="140"/>
      <c r="O264" s="140"/>
      <c r="P264" s="22">
        <v>50</v>
      </c>
      <c r="Q264" s="25">
        <v>454</v>
      </c>
      <c r="R264" s="4">
        <f>IF(SnapshotTable[[#This Row],[Equity Basis Total]] &gt; 0, SnapshotTable[[#This Row],[Equity Basis Total]] / SnapshotTable[[#This Row],[Equity Shares]], "")</f>
        <v>9.08</v>
      </c>
      <c r="S264" s="269">
        <f>SnapshotTable[[#This Row],[Last Price]] * SnapshotTable[[#This Row],[Equity Shares]]</f>
        <v>292.5</v>
      </c>
      <c r="T264" s="269">
        <f>SnapshotTable[[#This Row],[Equity Value]] - SnapshotTable[[#This Row],[Equity Basis Total]]</f>
        <v>-161.5</v>
      </c>
      <c r="U264" s="270">
        <f>IF(SnapshotTable[[#This Row],[Equity Basis Total]] &gt; 0, SnapshotTable[[#This Row],[Equity G/L]] / SnapshotTable[[#This Row],[Equity Basis Total]], "")</f>
        <v>-0.35572687224669602</v>
      </c>
      <c r="V264" s="268"/>
      <c r="W264" s="26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7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0"/>
      <c r="AD264" s="151"/>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1"/>
      <c r="AI264" s="5"/>
      <c r="AJ264" s="138"/>
      <c r="AK264" s="152" t="str">
        <f>IF(ISNUMBER( SnapshotTable[[#This Row],[EBF Target]]),(SnapshotTable[[#This Row],[EBF Target]] - SnapshotTable[[#This Row],[Last Price]]) / SnapshotTable[[#This Row],[Last Price]], "")</f>
        <v/>
      </c>
      <c r="AL264" s="152"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2" t="str">
        <f>IF(AND(ISNUMBER( SnapshotTable[[#This Row],[Long Term Target]]), ISNUMBER(SnapshotTable[[#This Row],[Last Price]])),(SnapshotTable[[#This Row],[Long Term Target]] - SnapshotTable[[#This Row],[Last Price]]) / SnapshotTable[[#This Row],[Last Price]], "")</f>
        <v/>
      </c>
      <c r="AP264" s="5"/>
      <c r="AQ264" s="38"/>
      <c r="AR264" s="5"/>
      <c r="AS264" s="38"/>
      <c r="AT264" s="146"/>
      <c r="AU264" s="187" t="str">
        <f>IF(OR(SnapshotTable[[#This Row],[LP No Fill]]="Y",SnapshotTable[[#This Row],[SP Is Filled]],SnapshotTable[[#This Row],[LC Not Filled]]="Y",SnapshotTable[[#This Row],[SC Is Filled]]),"Y","")</f>
        <v/>
      </c>
      <c r="AV264" s="219"/>
      <c r="AW264" s="225"/>
      <c r="AX264" s="220"/>
      <c r="AY264" s="219" t="str">
        <f>IF(SnapshotTable[[#This Row],[Implied Move]]&gt;0, SnapshotTable[[#This Row],[Last Price]]-SnapshotTable[[#This Row],[Implied Move]],"")</f>
        <v/>
      </c>
      <c r="AZ264" s="219" t="str">
        <f>IF(SnapshotTable[[#This Row],[Implied Move]]&gt;0, SnapshotTable[[#This Row],[Last Price]] + SnapshotTable[[#This Row],[Implied Move]],"")</f>
        <v/>
      </c>
      <c r="BA264" s="331">
        <v>8.2899999999999991</v>
      </c>
      <c r="BB264" s="347"/>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51"/>
      <c r="BE264" s="5"/>
      <c r="BF264" s="14"/>
      <c r="BG264" s="13"/>
      <c r="BH264" s="13"/>
      <c r="BI264" s="5"/>
      <c r="BJ264" s="136">
        <f>IF(SnapshotTable[[#This Row],[LP Qty]] &gt; 0, SnapshotTable[[#This Row],[LP Qty]] * SnapshotTable[[#This Row],[LP Book Price]] * 100,0)</f>
        <v>0</v>
      </c>
      <c r="BK264" s="136">
        <f>IF(SnapshotTable[[#This Row],[LP Premium]] &gt; 0, SnapshotTable[[#This Row],[LP Qty]] * SnapshotTable[[#This Row],[LP Strike Price]] * 100,0)</f>
        <v>0</v>
      </c>
      <c r="BL264" s="154"/>
      <c r="BM264" s="385" t="str">
        <f>IF(SnapshotTable[[#This Row],[LP Premium]] &gt; 0,SnapshotTable[[#This Row],[LP Exp Date]]-MAX(SnapshotTable[[#This Row],[LP Book Date]], SnapshotTable[[#This Row],[LP Fill Date]]),"")</f>
        <v/>
      </c>
      <c r="BN264" s="385" t="str">
        <f>IF(ISNUMBER( SnapshotTable[[#This Row],[LP Term]]), SnapshotTable[[#This Row],[LP Exp Date]] - MockToday,"")</f>
        <v/>
      </c>
      <c r="BO264" s="163"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7"/>
      <c r="BU264" s="13"/>
      <c r="BV264" s="5"/>
      <c r="BW264" s="419" t="b">
        <f>AND(ISNUMBER(SnapshotTable[[#This Row],[SP Exp Date]]), ISNUMBER(SnapshotTable[[#This Row],[SP Strike Price]]), ISNUMBER(SnapshotTable[[#This Row],[SP Qty]]), ISNUMBER(SnapshotTable[[#This Row],[SP Book Date]]), ISNUMBER(SnapshotTable[[#This Row],[SP Book Price]]))</f>
        <v>0</v>
      </c>
      <c r="BX264" s="419" t="b">
        <f>AND(SnapshotTable[[#This Row],[SP Is Booked]], NOT(ISBLANK(SnapshotTable[[#This Row],[SP Fill Date]])))</f>
        <v>0</v>
      </c>
      <c r="BY264" s="33">
        <f>IF(SnapshotTable[[#This Row],[SP Is Booked]], SnapshotTable[[#This Row],[SP Qty]] * SnapshotTable[[#This Row],[SP Book Price]] * 100, 0)</f>
        <v>0</v>
      </c>
      <c r="BZ264" s="369"/>
      <c r="CA264" s="368">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3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44"/>
      <c r="CK264" s="31">
        <f>IF(ISNUMBER(SnapshotTable[[#This Row],[SP Potential Spend]]),IF(ISNUMBER(SnapshotTable[[#This Row],[SP POW]]), SnapshotTable[[#This Row],[SP POW]] * SnapshotTable[[#This Row],[SP Potential Spend]], SnapshotTable[[#This Row],[SP Potential Spend]]), "")</f>
        <v>0</v>
      </c>
      <c r="CL264" s="164">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218"/>
      <c r="CO264" s="369"/>
      <c r="CP264" s="4" t="str">
        <f>IF(SnapshotTable[[#This Row],[SP Is Filled]], btc_max_buyback_amount(SnapshotTable[[#This Row],[SP Fill Date]],SnapshotTable[[#This Row],[SP Exp Date]], SnapshotTable[[#This Row],[SP Book Price]]),"")</f>
        <v/>
      </c>
      <c r="CQ264" s="78"/>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5" t="str">
        <f>IF(SnapshotTable[[#This Row],[SP Is Filled]], btc_next_cutoff_date(SnapshotTable[[#This Row],[SP Fill Date]],SnapshotTable[[#This Row],[SP Exp Date]]),"")</f>
        <v/>
      </c>
      <c r="CT264" s="23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6"/>
      <c r="CV264" s="235"/>
      <c r="CW264" s="378"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294" t="str">
        <f>IF(ISNUMBER((SnapshotTable[[#This Row],[SP Total Value]])), SnapshotTable[[#This Row],[SP Gain Loss]] / SnapshotTable[[#This Row],[SP Premium]], "")</f>
        <v/>
      </c>
      <c r="DI264" s="406"/>
      <c r="DJ264" s="138"/>
      <c r="DK264" s="148"/>
      <c r="DL264" s="13"/>
      <c r="DM264" s="13"/>
      <c r="DO264" s="31">
        <f>IF(SnapshotTable[[#This Row],[LC Symbol Count]]=1, SnapshotTable[[#This Row],[LC Qty]] * SnapshotTable[[#This Row],[LC Book Price]] * 100, 0)</f>
        <v>0</v>
      </c>
      <c r="DP264" s="163" t="str">
        <f>IF(AND(SnapshotTable[[#This Row],[LC Exp Date]]&gt;0, SnapshotTable[[#This Row],[LC Strike Price]]&gt;0,SnapshotTable[[#This Row],[LC Qty]]&gt;0,SnapshotTable[[#This Row],[LC Book Date]]&gt;0,SnapshotTable[[#This Row],[LC Book Price]]&gt;0,SnapshotTable[[#This Row],[LC Fill Date]]=0),"Y","")</f>
        <v/>
      </c>
      <c r="DQ264" s="386" t="str">
        <f>IF(SnapshotTable[[#This Row],[LC Premium]] &gt; 0,SnapshotTable[[#This Row],[LC Exp Date]]-MAX(SnapshotTable[[#This Row],[LC Book Date]], SnapshotTable[[#This Row],[LC Fill Date]]),"")</f>
        <v/>
      </c>
      <c r="DR264" s="386" t="str">
        <f>IF(ISNUMBER(SnapshotTable[[#This Row],[LC Term]]), SnapshotTable[[#This Row],[LC Exp Date]] - MockToday, "")</f>
        <v/>
      </c>
      <c r="DS264" s="23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40" t="str">
        <f>IF(ISNUMBER(SnapshotTable[[#This Row],[LC Actual Gain Loss]]), SnapshotTable[[#This Row],[LC Actual Gain Loss]] / SnapshotTable[[#This Row],[LC Premium]],"")</f>
        <v/>
      </c>
      <c r="DX264" s="284" t="str">
        <f>IF(ISNUMBER(SnapshotTable[[#This Row],[LC Book Price]]),SnapshotTable[[#This Row],[LC Book Price]] * 1.5,"")</f>
        <v/>
      </c>
      <c r="DY264" s="265" t="str">
        <f>IF(SnapshotTable[[#This Row],[LC Premium]]&gt;0, SnapshotTable[[#This Row],[LC Next Target]] * SnapshotTable[[#This Row],[LC Qty]] * 100,"")</f>
        <v/>
      </c>
      <c r="DZ264" s="265" t="str">
        <f>IF(ISNUMBER(SnapshotTable[[#This Row],[LC Target Gross]]), SnapshotTable[[#This Row],[LC Target Gross]] - SnapshotTable[[#This Row],[LC Premium]], "")</f>
        <v/>
      </c>
      <c r="EA264" s="305" t="str">
        <f>IF(ISNUMBER(SnapshotTable[[#This Row],[LC Target Gain Loss]]), SnapshotTable[[#This Row],[LC Target Gain Loss]]/SnapshotTable[[#This Row],[LC Premium]], "")</f>
        <v/>
      </c>
      <c r="EB264" s="262"/>
      <c r="EC264" s="283" t="str">
        <f>IF(SnapshotTable[[#This Row],[LC Premium]]&gt;0, SnapshotTable[[#This Row],[LC Book Price]] * (1 - LC_StopLoss_Pct),"")</f>
        <v/>
      </c>
      <c r="ED264" s="284"/>
      <c r="EE264" s="28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4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7"/>
      <c r="EL264" s="138"/>
      <c r="EM264" s="148"/>
      <c r="EN264" s="147"/>
      <c r="EO264" s="147"/>
      <c r="EP264" s="138"/>
      <c r="EQ264" s="419" t="b">
        <f>AND(ISNUMBER(SnapshotTable[[#This Row],[SC Exp Date]]), ISNUMBER(SnapshotTable[[#This Row],[SC Strike Price]]), ISNUMBER(SnapshotTable[[#This Row],[SC Qty]]), ISNUMBER(SnapshotTable[[#This Row],[SC Book Date]]), ISNUMBER(SnapshotTable[[#This Row],[SC Book Price]]))</f>
        <v>0</v>
      </c>
      <c r="ER264" s="419" t="b">
        <f>AND(SnapshotTable[[#This Row],[SC Is Booked]], NOT(ISBLANK(SnapshotTable[[#This Row],[SC Fill Date]])))</f>
        <v>0</v>
      </c>
      <c r="ES264" s="370"/>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3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283"/>
      <c r="FA264" s="218"/>
      <c r="FB264" s="370"/>
      <c r="FC264" s="4">
        <f>IF(SnapshotTable[[#This Row],[SC Is Filled]], btc_max_buyback_amount(SnapshotTable[[#This Row],[SC Fill Date]],SnapshotTable[[#This Row],[SC Exp Date]], SnapshotTable[[#This Row],[SC Book Price]]),0)</f>
        <v>0</v>
      </c>
      <c r="FD264" s="5"/>
      <c r="FE264" s="144"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382">
        <f>IF(SnapshotTable[[#This Row],[SC Is Filled]], IF(ISNUMBER(SnapshotTable[[#This Row],[SC Current Ask]]), SnapshotTable[[#This Row],[SC Current Ask]], SnapshotTable[[#This Row],[SC Book Price]]) - SnapshotTable[[#This Row],[SC Intrinsic Value]], 0)</f>
        <v>0</v>
      </c>
      <c r="FI264" s="143"/>
      <c r="FJ264" s="32" t="str">
        <f>IF(SnapshotTable[[#This Row],[SC Is Filled]],100 * SnapshotTable[[#This Row],[SC Qty]] * IF(ISNUMBER(SnapshotTable[[#This Row],[SC Buyback Override]]), SnapshotTable[[#This Row],[SC Buyback Override]], SnapshotTable[[#This Row],[SC Current Ask]]), "")</f>
        <v/>
      </c>
      <c r="FK264" s="250" t="str">
        <f>IF(SnapshotTable[[#This Row],[SC Time Val]]&gt;0, SnapshotTable[[#This Row],[SC Time Val]] / SnapshotTable[[#This Row],[Last Price]],"")</f>
        <v/>
      </c>
      <c r="FL264" s="302" t="str">
        <f>IF(SnapshotTable[[#This Row],[SC Is Booked]], ((SnapshotTable[[#This Row],[Last Price]] -SnapshotTable[[#This Row],[SC Strike Price]]) / SnapshotTable[[#This Row],[Last Price]]) * -1, "")</f>
        <v/>
      </c>
      <c r="FM264" s="157"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33"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36" t="str">
        <f>IF(AND(ISNUMBER(SnapshotTable[[#This Row],[SC Simple ROO]]),SnapshotTable[[#This Row],[SC Simple ROO]] &gt; 0), SnapshotTable[[#This Row],[SC Premium]] + (SnapshotTable[[#This Row],[SC Qty]] * SnapshotTable[[#This Row],[SC Upside Potential]]), "")</f>
        <v/>
      </c>
      <c r="FX264" s="302" t="str" cm="1">
        <f t="array" ref="FX264">IF(ISNUMBER(SnapshotTable[[#This Row],[SC Max Dollars]]), annualize(SnapshotTable[[#This Row],[SC Term]],(SnapshotTable[[#This Row],[SC Max Dollars]]/SnapshotTable[[#This Row],[SC Basis]])),"")</f>
        <v/>
      </c>
      <c r="FY264" s="23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294" t="str">
        <f>IFERROR( IF(ISNUMBER((SnapshotTable[[#This Row],[SC Current Value]])), SnapshotTable[[#This Row],[SC Gain Loss]] / SnapshotTable[[#This Row],[SC Premium]], ""), "")</f>
        <v/>
      </c>
      <c r="GB264" s="42">
        <f>SnapshotTable[[#This Row],[Equity Shares]] * SaleSharesToConsiderPercentage</f>
        <v>10</v>
      </c>
      <c r="GC264" s="40">
        <f>SnapshotTable[[#This Row],[Long Term Target]] * SellingPriceToConsiderBasedOnTargetPercentage</f>
        <v>0</v>
      </c>
      <c r="GD264" s="40">
        <f>SnapshotTable[[#This Row],[Last Price]] * (1+ SellingPriceToConsiderBasedOnTargetPercentage)</f>
        <v>11.407499999999999</v>
      </c>
      <c r="GE264" s="41"/>
      <c r="GF264" s="40"/>
      <c r="GG264" s="31">
        <f>SnapshotTable[[#This Row],[Booked Sale Shares]] * SnapshotTable[[#This Row],[Booked Sale Price]]</f>
        <v>0</v>
      </c>
      <c r="GH264" s="31">
        <f>IF(SnapshotTable[[#This Row],[Equity Basis Total]] &gt; 0, SnapshotTable[[#This Row],[Equity Basis Per Share]] * SnapshotTable[[#This Row],[Booked Sale Shares]], "")</f>
        <v>0</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64" s="231">
        <f>MAX(SnapshotTable[[#This Row],[Equity Basis Total]],SnapshotTable[[#This Row],[Equity Value]]) + (SnapshotTable[[#This Row],[SP Potential Spend]]- SnapshotTable[[#This Row],[SP Premium]] + SnapshotTable[[#This Row],[LP Premium]])+ (SnapshotTable[[#This Row],[LC Premium]] - SnapshotTable[[#This Row],[SC Premium]])</f>
        <v>454</v>
      </c>
      <c r="GW264" s="139">
        <f ca="1">IF(AND(SnapshotTable[[#This Row],[Exposure]] &lt;&gt; 0),SnapshotTable[[#This Row],[Exposure]] / SnapshotTable[[#Totals],[Exposure]], "")</f>
        <v>2.1369999608373577E-3</v>
      </c>
      <c r="HK264" s="1"/>
      <c r="HL264" s="1"/>
      <c r="HM264" s="1"/>
      <c r="HN264" s="1"/>
      <c r="HO264" s="1"/>
      <c r="HP264" s="1"/>
    </row>
    <row r="265" spans="2:224" ht="12.75" hidden="1" customHeight="1" x14ac:dyDescent="0.25">
      <c r="B265" s="12" t="s">
        <v>1262</v>
      </c>
      <c r="C265" s="422">
        <v>62.6</v>
      </c>
      <c r="D265" s="208" t="s">
        <v>1075</v>
      </c>
      <c r="E265" s="39">
        <f>SnapshotTable[[#This Row],[Last Price]]*(1 -CrashDiscount)</f>
        <v>53.21</v>
      </c>
      <c r="F265" s="26" t="s">
        <v>208</v>
      </c>
      <c r="G265" s="26" t="s">
        <v>41</v>
      </c>
      <c r="H265" s="149"/>
      <c r="I265" s="194"/>
      <c r="J265" s="195"/>
      <c r="K265" s="196"/>
      <c r="L265" s="326"/>
      <c r="M265" s="140"/>
      <c r="N265" s="140"/>
      <c r="O265" s="140"/>
      <c r="P265" s="22"/>
      <c r="Q265" s="25"/>
      <c r="R265" s="4" t="str">
        <f>IF(SnapshotTable[[#This Row],[Equity Basis Total]] &gt; 0, SnapshotTable[[#This Row],[Equity Basis Total]] / SnapshotTable[[#This Row],[Equity Shares]], "")</f>
        <v/>
      </c>
      <c r="S265" s="269">
        <f>SnapshotTable[[#This Row],[Last Price]] * SnapshotTable[[#This Row],[Equity Shares]]</f>
        <v>0</v>
      </c>
      <c r="T265" s="269">
        <f>SnapshotTable[[#This Row],[Equity Value]] - SnapshotTable[[#This Row],[Equity Basis Total]]</f>
        <v>0</v>
      </c>
      <c r="U265" s="270" t="str">
        <f>IF(SnapshotTable[[#This Row],[Equity Basis Total]] &gt; 0, SnapshotTable[[#This Row],[Equity G/L]] / SnapshotTable[[#This Row],[Equity Basis Total]], "")</f>
        <v/>
      </c>
      <c r="V265" s="268"/>
      <c r="W265" s="268"/>
      <c r="X265" s="4" t="str">
        <f>IF(AND(ISNUMBER(SnapshotTable[[#This Row],[Equity Basis Per Share]]),ISNUMBER(SnapshotTable[[#This Row],[Equity Target]])),SnapshotTable[[#This Row],[Equity Target]]-SnapshotTable[[#This Row],[Equity Basis Per Share]],"")</f>
        <v/>
      </c>
      <c r="Y265" s="4" t="str">
        <f>IF(AND(ISNUMBER(SnapshotTable[[#This Row],[Equity Basis Per Share]]),ISNUMBER(SnapshotTable[[#This Row],[Equity Stop Loss]])),SnapshotTable[[#This Row],[Equity Stop Loss]]-SnapshotTable[[#This Row],[Equity Basis Per Share]],"")</f>
        <v/>
      </c>
      <c r="Z265" s="275" t="str">
        <f>IFERROR( TEXT(SnapshotTable[[#This Row],[Equity Max Gain Per Share]] /ABS( SnapshotTable[[#This Row],[Equity Max Loss Per Share]]),"0.0 " ) &amp; " : 1", "")</f>
        <v/>
      </c>
      <c r="AA265" s="31" t="str">
        <f>IF(ISNUMBER(SnapshotTable[[#This Row],[Equity Max Gain Per Share]]),SnapshotTable[[#This Row],[Equity Max Gain Per Share]] * SnapshotTable[[#This Row],[Equity Shares]],"")</f>
        <v/>
      </c>
      <c r="AB265" s="31" t="str">
        <f>IF(ISNUMBER(SnapshotTable[[#This Row],[Equity Max Loss Per Share]]),SnapshotTable[[#This Row],[Equity Max Loss Per Share]] * SnapshotTable[[#This Row],[Equity Shares]],"")</f>
        <v/>
      </c>
      <c r="AC265" s="150"/>
      <c r="AD265" s="151"/>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1"/>
      <c r="AI265" s="5"/>
      <c r="AJ265" s="138"/>
      <c r="AK265" s="152" t="str">
        <f>IF(ISNUMBER( SnapshotTable[[#This Row],[EBF Target]]),(SnapshotTable[[#This Row],[EBF Target]] - SnapshotTable[[#This Row],[Last Price]]) / SnapshotTable[[#This Row],[Last Price]], "")</f>
        <v/>
      </c>
      <c r="AL265" s="152"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2" t="str">
        <f>IF(AND(ISNUMBER( SnapshotTable[[#This Row],[Long Term Target]]), ISNUMBER(SnapshotTable[[#This Row],[Last Price]])),(SnapshotTable[[#This Row],[Long Term Target]] - SnapshotTable[[#This Row],[Last Price]]) / SnapshotTable[[#This Row],[Last Price]], "")</f>
        <v/>
      </c>
      <c r="AP265" s="5"/>
      <c r="AQ265" s="38"/>
      <c r="AR265" s="5"/>
      <c r="AS265" s="38"/>
      <c r="AT265" s="146"/>
      <c r="AU265" s="187" t="str">
        <f>IF(OR(SnapshotTable[[#This Row],[LP No Fill]]="Y",SnapshotTable[[#This Row],[SP Is Filled]],SnapshotTable[[#This Row],[LC Not Filled]]="Y",SnapshotTable[[#This Row],[SC Is Filled]]),"Y","")</f>
        <v/>
      </c>
      <c r="AV265" s="219"/>
      <c r="AW265" s="225"/>
      <c r="AX265" s="220"/>
      <c r="AY265" s="219" t="str">
        <f>IF(SnapshotTable[[#This Row],[Implied Move]]&gt;0, SnapshotTable[[#This Row],[Last Price]]-SnapshotTable[[#This Row],[Implied Move]],"")</f>
        <v/>
      </c>
      <c r="AZ265" s="219" t="str">
        <f>IF(SnapshotTable[[#This Row],[Implied Move]]&gt;0, SnapshotTable[[#This Row],[Last Price]] + SnapshotTable[[#This Row],[Implied Move]],"")</f>
        <v/>
      </c>
      <c r="BA265" s="331">
        <v>72.25</v>
      </c>
      <c r="BB265" s="347"/>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265" s="351"/>
      <c r="BE265" s="5"/>
      <c r="BF265" s="14"/>
      <c r="BG265" s="13"/>
      <c r="BH265" s="13"/>
      <c r="BI265" s="5"/>
      <c r="BJ265" s="136">
        <f>IF(SnapshotTable[[#This Row],[LP Qty]] &gt; 0, SnapshotTable[[#This Row],[LP Qty]] * SnapshotTable[[#This Row],[LP Book Price]] * 100,0)</f>
        <v>0</v>
      </c>
      <c r="BK265" s="136">
        <f>IF(SnapshotTable[[#This Row],[LP Premium]] &gt; 0, SnapshotTable[[#This Row],[LP Qty]] * SnapshotTable[[#This Row],[LP Strike Price]] * 100,0)</f>
        <v>0</v>
      </c>
      <c r="BL265" s="154"/>
      <c r="BM265" s="385" t="str">
        <f>IF(SnapshotTable[[#This Row],[LP Premium]] &gt; 0,SnapshotTable[[#This Row],[LP Exp Date]]-MAX(SnapshotTable[[#This Row],[LP Book Date]], SnapshotTable[[#This Row],[LP Fill Date]]),"")</f>
        <v/>
      </c>
      <c r="BN265" s="385" t="str">
        <f>IF(ISNUMBER( SnapshotTable[[#This Row],[LP Term]]), SnapshotTable[[#This Row],[LP Exp Date]] - MockToday,"")</f>
        <v/>
      </c>
      <c r="BO265" s="163"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c r="BR265" s="5"/>
      <c r="BS265" s="36"/>
      <c r="BT265" s="147"/>
      <c r="BU265" s="13"/>
      <c r="BV265" s="5"/>
      <c r="BW265" s="419" t="b">
        <f>AND(ISNUMBER(SnapshotTable[[#This Row],[SP Exp Date]]), ISNUMBER(SnapshotTable[[#This Row],[SP Strike Price]]), ISNUMBER(SnapshotTable[[#This Row],[SP Qty]]), ISNUMBER(SnapshotTable[[#This Row],[SP Book Date]]), ISNUMBER(SnapshotTable[[#This Row],[SP Book Price]]))</f>
        <v>0</v>
      </c>
      <c r="BX265" s="419" t="b">
        <f>AND(SnapshotTable[[#This Row],[SP Is Booked]], NOT(ISBLANK(SnapshotTable[[#This Row],[SP Fill Date]])))</f>
        <v>0</v>
      </c>
      <c r="BY265" s="33">
        <f>IF(SnapshotTable[[#This Row],[SP Is Booked]], SnapshotTable[[#This Row],[SP Qty]] * SnapshotTable[[#This Row],[SP Book Price]] * 100, 0)</f>
        <v>0</v>
      </c>
      <c r="BZ265" s="369"/>
      <c r="CA265" s="368">
        <f>SnapshotTable[[#This Row],[LP Qty]]</f>
        <v>0</v>
      </c>
      <c r="CB265" s="4" t="str">
        <f>IF(SnapshotTable[[#This Row],[SP Is Booked]], SnapshotTable[[#This Row],[SP Strike Price]] - SnapshotTable[[#This Row],[SP Book Price]], "")</f>
        <v/>
      </c>
      <c r="CC265" s="19" t="str">
        <f>IF(SnapshotTable[[#This Row],[SP Is Booked]],SnapshotTable[[#This Row],[SP Exp Date]]-MAX(SnapshotTable[[#This Row],[SP Book Date]], SnapshotTable[[#This Row],[SP Fill Date]]),"")</f>
        <v/>
      </c>
      <c r="CD265" s="7" t="str">
        <f>IF(SnapshotTable[[#This Row],[SP Is Booked]], SnapshotTable[[#This Row],[SP Book Price]]/SnapshotTable[[#This Row],[SP Strike Price]], "")</f>
        <v/>
      </c>
      <c r="CE265" s="7" t="str">
        <f>IF(ISNUMBER(SnapshotTable[[#This Row],[SP ROO Term]]),SnapshotTable[[#This Row],[SP ROO Term]]*(365/SnapshotTable[[#This Row],[SP Term]]),"")</f>
        <v/>
      </c>
      <c r="CF265" s="236">
        <f>SnapshotTable[[#This Row],[LP Strike Price]] * SnapshotTable[[#This Row],[LP Qty]] * 100</f>
        <v>0</v>
      </c>
      <c r="CG265" s="31">
        <f>IF(ISNUMBER(SnapshotTable[[#This Row],[SP Premium]]), (SnapshotTable[[#This Row],[SP Qty]] * SnapshotTable[[#This Row],[SP Strike Price]]* 100) - SnapshotTable[[#This Row],[LP Protection]], 0)</f>
        <v>0</v>
      </c>
      <c r="CH265" s="7" t="str">
        <f>IF(ISNUMBER(SnapshotTable[[#This Row],[SP Break Even]]),-1 * (SnapshotTable[[#This Row],[SP Break Even]] - SnapshotTable[[#This Row],[Last Price]]) / SnapshotTable[[#This Row],[Last Price]], "")</f>
        <v/>
      </c>
      <c r="CI265" s="31">
        <f>IF(AND(ISNUMBER((SnapshotTable[[#This Row],[SP Potential Spend]])), SnapshotTable[[#This Row],[SP Strike Price]] &gt; SnapshotTable[[#This Row],[Last Price]], SnapshotTable[[#This Row],[SP Is Filled]]), SnapshotTable[[#This Row],[SP Potential Spend]] -  SnapshotTable[[#This Row],[LP Max Value]], 0)</f>
        <v>0</v>
      </c>
      <c r="CJ265" s="244"/>
      <c r="CK265" s="31">
        <f>IF(ISNUMBER(SnapshotTable[[#This Row],[SP Potential Spend]]),IF(ISNUMBER(SnapshotTable[[#This Row],[SP POW]]), SnapshotTable[[#This Row],[SP POW]] * SnapshotTable[[#This Row],[SP Potential Spend]], SnapshotTable[[#This Row],[SP Potential Spend]]), "")</f>
        <v>0</v>
      </c>
      <c r="CL265" s="164">
        <f>IF(NOT(SnapshotTable[[#This Row],[SP Is Filled]]),(SnapshotTable[[#This Row],[SP Qty]] * SnapshotTable[[#This Row],[SP Strike Price]] * 100) - SnapshotTable[[#This Row],[LP Max Value]],"")</f>
        <v>0</v>
      </c>
      <c r="CM265" s="31" t="str">
        <f>IF(SnapshotTable[[#This Row],[SP Actual Spend]]&lt;&gt;0, ((SnapshotTable[[#This Row],[SP Strike Price]]-SnapshotTable[[#This Row],[Last Price]]) *(SnapshotTable[[#This Row],[SP Qty]]*100) - SnapshotTable[[#This Row],[SP Premium]]) * - 1, "")</f>
        <v/>
      </c>
      <c r="CN265" s="78"/>
      <c r="CO265" s="369"/>
      <c r="CP265" s="4" t="str">
        <f>IF(SnapshotTable[[#This Row],[SP Is Filled]], btc_max_buyback_amount(SnapshotTable[[#This Row],[SP Fill Date]],SnapshotTable[[#This Row],[SP Exp Date]], SnapshotTable[[#This Row],[SP Book Price]]),"")</f>
        <v/>
      </c>
      <c r="CQ265" s="78"/>
      <c r="CR2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5" s="155" t="str">
        <f>IF(SnapshotTable[[#This Row],[SP Is Filled]], btc_next_cutoff_date(SnapshotTable[[#This Row],[SP Fill Date]],SnapshotTable[[#This Row],[SP Exp Date]]),"")</f>
        <v/>
      </c>
      <c r="CT265" s="235" t="str" cm="1">
        <f t="array" ref="CT265">IF(SnapshotTable[[#This Row],[SP Is Filled]], btc_should_buy_back(SnapshotTable[[#This Row],[SP Fill Date]], SnapshotTable[[#This Row],[SP Exp Date]], SnapshotTable[[#This Row],[SP Book Price]], SnapshotTable[[#This Row],[SP Current Ask]], MockToday, SnapshotTable[[#This Row],[SP Buyback Override]]),"")</f>
        <v/>
      </c>
      <c r="CU265" s="143"/>
      <c r="CV265" s="235"/>
      <c r="CW265" s="378" t="str">
        <f>IF(ISNUMBER( SnapshotTable[[#This Row],[SP Term]]), SnapshotTable[[#This Row],[SP Exp Date]] - MockToday,"")</f>
        <v/>
      </c>
      <c r="CX265" s="31" t="str">
        <f>IF(SnapshotTable[[#This Row],[SP Is Filled]],SnapshotTable[[#This Row],[SP Buyback Price to Use]] * 100 * SnapshotTable[[#This Row],[SP Qty]], "")</f>
        <v/>
      </c>
      <c r="CY265" s="4" t="str">
        <f>IF(ISNUMBER(SnapshotTable[[#This Row],[SP Strike Price]]), SnapshotTable[[#This Row],[SP Strike Price]] * (1 - SP_MaxLoss_StrikePct), "")</f>
        <v/>
      </c>
      <c r="CZ265" s="31" t="str">
        <f>IF(ISNUMBER(SnapshotTable[[#This Row],[SP Strike  Stop Per Share]]),SnapshotTable[[#This Row],[SP Premium]] - ((SnapshotTable[[#This Row],[SP Strike Price]]-SnapshotTable[[#This Row],[SP Strike  Stop Per Share]]) *(SnapshotTable[[#This Row],[SP Qty]] * 100)),"")</f>
        <v/>
      </c>
      <c r="DA265" s="4" t="str">
        <f>IF(AND(ISNUMBER(SnapshotTable[[#This Row],[SP Premium]]),SnapshotTable[[#This Row],[SP Premium]]&gt;0), SnapshotTable[[#This Row],[SP Book Price]] * (1 + SP_MaxLoss_OptionPct), "")</f>
        <v/>
      </c>
      <c r="DB265" s="31" t="str">
        <f>IF(ISNUMBER(SnapshotTable[[#This Row],[SP Option  Stop Contract]]),(SnapshotTable[[#This Row],[SP Option  Stop Contract]] *(SnapshotTable[[#This Row],[SP Qty]] * 100) - SnapshotTable[[#This Row],[SP Premium]]),"")</f>
        <v/>
      </c>
      <c r="DC265" s="4"/>
      <c r="DD265" s="4"/>
      <c r="DE265" s="4" t="str">
        <f>IF(AND(SnapshotTable[[#This Row],[SP Qty]]&gt;0, SnapshotTable[[#This Row],[SP Stop To Use]]&gt;0),SnapshotTable[[#This Row],[SP Premium]] - ( SnapshotTable[[#This Row],[SP Qty]] * SnapshotTable[[#This Row],[SP Stop To Use]] * 100), "")</f>
        <v/>
      </c>
      <c r="DF265" s="31" t="str">
        <f>IF(AND(SnapshotTable[[#This Row],[SP Qty]]&gt;0,SnapshotTable[[#This Row],[SP Current Ask]]&gt;0), SnapshotTable[[#This Row],[SP Qty]] * SnapshotTable[[#This Row],[SP Current Ask]] * -100, "")</f>
        <v/>
      </c>
      <c r="DG265" s="31" t="str">
        <f>IF(ISNUMBER((SnapshotTable[[#This Row],[SP Total Value]])), SnapshotTable[[#This Row],[SP Premium]] + SnapshotTable[[#This Row],[SP Total Value]], "")</f>
        <v/>
      </c>
      <c r="DH265" s="294" t="str">
        <f>IF(ISNUMBER((SnapshotTable[[#This Row],[SP Total Value]])), SnapshotTable[[#This Row],[SP Gain Loss]] / SnapshotTable[[#This Row],[SP Premium]], "")</f>
        <v/>
      </c>
      <c r="DI265" s="406">
        <v>46773</v>
      </c>
      <c r="DJ265" s="138">
        <v>60</v>
      </c>
      <c r="DK265" s="148">
        <v>6</v>
      </c>
      <c r="DL265" s="13">
        <v>46087</v>
      </c>
      <c r="DM265" s="13">
        <v>46087</v>
      </c>
      <c r="DN265" s="5">
        <v>16.63</v>
      </c>
      <c r="DO265" s="31">
        <f>IF(SnapshotTable[[#This Row],[LC Symbol Count]]=1, SnapshotTable[[#This Row],[LC Qty]] * SnapshotTable[[#This Row],[LC Book Price]] * 100, 0)</f>
        <v>9978</v>
      </c>
      <c r="DP265" s="163" t="str">
        <f>IF(AND(SnapshotTable[[#This Row],[LC Exp Date]]&gt;0, SnapshotTable[[#This Row],[LC Strike Price]]&gt;0,SnapshotTable[[#This Row],[LC Qty]]&gt;0,SnapshotTable[[#This Row],[LC Book Date]]&gt;0,SnapshotTable[[#This Row],[LC Book Price]]&gt;0,SnapshotTable[[#This Row],[LC Fill Date]]=0),"Y","")</f>
        <v/>
      </c>
      <c r="DQ265" s="386">
        <f>IF(SnapshotTable[[#This Row],[LC Premium]] &gt; 0,SnapshotTable[[#This Row],[LC Exp Date]]-MAX(SnapshotTable[[#This Row],[LC Book Date]], SnapshotTable[[#This Row],[LC Fill Date]]),"")</f>
        <v>686</v>
      </c>
      <c r="DR265" s="386">
        <f ca="1">IF(ISNUMBER(SnapshotTable[[#This Row],[LC Term]]), SnapshotTable[[#This Row],[LC Exp Date]] - MockToday, "")</f>
        <v>540</v>
      </c>
      <c r="DS265" s="234">
        <f>IF(SnapshotTable[[#This Row],[LC Premium]]&gt;0,SnapshotTable[[#This Row],[LC Strike Price]] + SnapshotTable[[#This Row],[LC Book Price]],"")</f>
        <v>76.63</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40" t="str">
        <f>IF(ISNUMBER(SnapshotTable[[#This Row],[LC Actual Gain Loss]]), SnapshotTable[[#This Row],[LC Actual Gain Loss]] / SnapshotTable[[#This Row],[LC Premium]],"")</f>
        <v/>
      </c>
      <c r="DX265" s="284">
        <f>IF(ISNUMBER(SnapshotTable[[#This Row],[LC Book Price]]),SnapshotTable[[#This Row],[LC Book Price]] * 1.5,"")</f>
        <v>24.945</v>
      </c>
      <c r="DY265" s="265">
        <f>IF(SnapshotTable[[#This Row],[LC Premium]]&gt;0, SnapshotTable[[#This Row],[LC Next Target]] * SnapshotTable[[#This Row],[LC Qty]] * 100,"")</f>
        <v>14967.000000000002</v>
      </c>
      <c r="DZ265" s="265">
        <f>IF(ISNUMBER(SnapshotTable[[#This Row],[LC Target Gross]]), SnapshotTable[[#This Row],[LC Target Gross]] - SnapshotTable[[#This Row],[LC Premium]], "")</f>
        <v>4989.0000000000018</v>
      </c>
      <c r="EA265" s="305">
        <f>IF(ISNUMBER(SnapshotTable[[#This Row],[LC Target Gain Loss]]), SnapshotTable[[#This Row],[LC Target Gain Loss]]/SnapshotTable[[#This Row],[LC Premium]], "")</f>
        <v>0.50000000000000022</v>
      </c>
      <c r="EB265" s="262"/>
      <c r="EC265" s="283">
        <f>IF(SnapshotTable[[#This Row],[LC Premium]]&gt;0, SnapshotTable[[#This Row],[LC Book Price]] * (1 - LC_StopLoss_Pct),"")</f>
        <v>12.4725</v>
      </c>
      <c r="ED265" s="284"/>
      <c r="EE265" s="28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36000</v>
      </c>
      <c r="EI265" s="24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6</v>
      </c>
      <c r="EK265" s="147"/>
      <c r="EL265" s="138"/>
      <c r="EM265" s="148"/>
      <c r="EN265" s="147"/>
      <c r="EO265" s="147"/>
      <c r="EP265" s="138"/>
      <c r="EQ265" s="419" t="b">
        <f>AND(ISNUMBER(SnapshotTable[[#This Row],[SC Exp Date]]), ISNUMBER(SnapshotTable[[#This Row],[SC Strike Price]]), ISNUMBER(SnapshotTable[[#This Row],[SC Qty]]), ISNUMBER(SnapshotTable[[#This Row],[SC Book Date]]), ISNUMBER(SnapshotTable[[#This Row],[SC Book Price]]))</f>
        <v>0</v>
      </c>
      <c r="ER265" s="419" t="b">
        <f>AND(SnapshotTable[[#This Row],[SC Is Booked]], NOT(ISBLANK(SnapshotTable[[#This Row],[SC Fill Date]])))</f>
        <v>0</v>
      </c>
      <c r="ES265" s="370"/>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3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283"/>
      <c r="FA265" s="218"/>
      <c r="FB265" s="370"/>
      <c r="FC265" s="4">
        <f>IF(SnapshotTable[[#This Row],[SC Is Filled]], btc_max_buyback_amount(SnapshotTable[[#This Row],[SC Fill Date]],SnapshotTable[[#This Row],[SC Exp Date]], SnapshotTable[[#This Row],[SC Book Price]]),0)</f>
        <v>0</v>
      </c>
      <c r="FD265" s="5"/>
      <c r="FE265" s="144"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382">
        <f>IF(SnapshotTable[[#This Row],[SC Is Filled]], IF(ISNUMBER(SnapshotTable[[#This Row],[SC Current Ask]]), SnapshotTable[[#This Row],[SC Current Ask]], SnapshotTable[[#This Row],[SC Book Price]]) - SnapshotTable[[#This Row],[SC Intrinsic Value]], 0)</f>
        <v>0</v>
      </c>
      <c r="FI265" s="143"/>
      <c r="FJ265" s="32" t="str">
        <f>IF(SnapshotTable[[#This Row],[SC Is Filled]],100 * SnapshotTable[[#This Row],[SC Qty]] * IF(ISNUMBER(SnapshotTable[[#This Row],[SC Buyback Override]]), SnapshotTable[[#This Row],[SC Buyback Override]], SnapshotTable[[#This Row],[SC Current Ask]]), "")</f>
        <v/>
      </c>
      <c r="FK265" s="250" t="str">
        <f>IF(SnapshotTable[[#This Row],[SC Time Val]]&gt;0, SnapshotTable[[#This Row],[SC Time Val]] / SnapshotTable[[#This Row],[Last Price]],"")</f>
        <v/>
      </c>
      <c r="FL265" s="302" t="str">
        <f>IF(SnapshotTable[[#This Row],[SC Is Booked]], ((SnapshotTable[[#This Row],[Last Price]] -SnapshotTable[[#This Row],[SC Strike Price]]) / SnapshotTable[[#This Row],[Last Price]]) * -1, "")</f>
        <v/>
      </c>
      <c r="FM265" s="157"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33"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36" t="str">
        <f>IF(AND(ISNUMBER(SnapshotTable[[#This Row],[SC Simple ROO]]),SnapshotTable[[#This Row],[SC Simple ROO]] &gt; 0), SnapshotTable[[#This Row],[SC Premium]] + (SnapshotTable[[#This Row],[SC Qty]] * SnapshotTable[[#This Row],[SC Upside Potential]]), "")</f>
        <v/>
      </c>
      <c r="FX265" s="302" t="str" cm="1">
        <f t="array" ref="FX265">IF(ISNUMBER(SnapshotTable[[#This Row],[SC Max Dollars]]), annualize(SnapshotTable[[#This Row],[SC Term]],(SnapshotTable[[#This Row],[SC Max Dollars]]/SnapshotTable[[#This Row],[SC Basis]])),"")</f>
        <v/>
      </c>
      <c r="FY265" s="23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294" t="str">
        <f>IFERROR( IF(ISNUMBER((SnapshotTable[[#This Row],[SC Current Value]])), SnapshotTable[[#This Row],[SC Gain Loss]] / SnapshotTable[[#This Row],[SC Premium]], ""), "")</f>
        <v/>
      </c>
      <c r="GB265" s="42">
        <f>SnapshotTable[[#This Row],[Equity Shares]] * SaleSharesToConsiderPercentage</f>
        <v>0</v>
      </c>
      <c r="GC265" s="40">
        <f>SnapshotTable[[#This Row],[Long Term Target]] * SellingPriceToConsiderBasedOnTargetPercentage</f>
        <v>0</v>
      </c>
      <c r="GD265" s="40">
        <f>SnapshotTable[[#This Row],[Last Price]] * (1+ SellingPriceToConsiderBasedOnTargetPercentage)</f>
        <v>122.07</v>
      </c>
      <c r="GE265" s="41"/>
      <c r="GF265" s="40"/>
      <c r="GG265" s="31">
        <f>SnapshotTable[[#This Row],[Booked Sale Shares]] * SnapshotTable[[#This Row],[Booked Sale Price]]</f>
        <v>0</v>
      </c>
      <c r="GH265" s="31" t="str">
        <f>IF(SnapshotTable[[#This Row],[Equity Basis Total]] &gt; 0, SnapshotTable[[#This Row],[Equity Basis Per Share]] * SnapshotTable[[#This Row],[Booked Sale Shares]], "")</f>
        <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
      </c>
      <c r="GO265" s="30" t="str">
        <f>IF(LEN(SnapshotTable[[#This Row],[SP Symbol]])&gt;0, 1, "")</f>
        <v/>
      </c>
      <c r="GP265" s="43" t="str">
        <f>IF(AND(SnapshotTable[[#This Row],[LC Exp Date]]&gt;0,SnapshotTable[[#This Row],[LC Strike Price]]&gt;0), [1]!ToOptionSymbol(SnapshotTable[[#This Row],[Symbol]], SnapshotTable[[#This Row],[LC Strike Price]],SnapshotTable[[#This Row],[LC Exp Date]],0), "")</f>
        <v>FCX280121C00060000</v>
      </c>
      <c r="GQ265" s="30">
        <f>IF(LEN(SnapshotTable[[#This Row],[LC Symbol]])&gt;0, 1, "")</f>
        <v>1</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5" s="231">
        <f>MAX(SnapshotTable[[#This Row],[Equity Basis Total]],SnapshotTable[[#This Row],[Equity Value]]) + (SnapshotTable[[#This Row],[SP Potential Spend]]- SnapshotTable[[#This Row],[SP Premium]] + SnapshotTable[[#This Row],[LP Premium]])+ (SnapshotTable[[#This Row],[LC Premium]] - SnapshotTable[[#This Row],[SC Premium]])</f>
        <v>9978</v>
      </c>
      <c r="GW265" s="139">
        <f ca="1">IF(AND(SnapshotTable[[#This Row],[Exposure]] &lt;&gt; 0),SnapshotTable[[#This Row],[Exposure]] / SnapshotTable[[#Totals],[Exposure]], "")</f>
        <v>4.6966928654702984E-2</v>
      </c>
      <c r="GX265" s="13"/>
      <c r="HK265" s="1"/>
      <c r="HL265" s="1"/>
      <c r="HM265" s="1"/>
      <c r="HN265" s="1"/>
      <c r="HO265" s="1"/>
      <c r="HP265" s="1"/>
    </row>
    <row r="266" spans="2:224" ht="12.75" hidden="1" customHeight="1" x14ac:dyDescent="0.25">
      <c r="B266" s="12" t="s">
        <v>1260</v>
      </c>
      <c r="C266" s="422">
        <v>14.04</v>
      </c>
      <c r="D266" s="208"/>
      <c r="E266" s="39">
        <f>SnapshotTable[[#This Row],[Last Price]]*(1 -CrashDiscount)</f>
        <v>11.933999999999999</v>
      </c>
      <c r="F266" s="325" t="s">
        <v>5</v>
      </c>
      <c r="G266" s="325" t="s">
        <v>4</v>
      </c>
      <c r="H266" s="149"/>
      <c r="I266" s="194"/>
      <c r="J266" s="195"/>
      <c r="K266" s="196"/>
      <c r="L266" s="326"/>
      <c r="M266" s="140"/>
      <c r="N266" s="140"/>
      <c r="O266" s="140"/>
      <c r="P266" s="22"/>
      <c r="Q266" s="25"/>
      <c r="R266" s="4" t="str">
        <f>IF(SnapshotTable[[#This Row],[Equity Basis Total]] &gt; 0, SnapshotTable[[#This Row],[Equity Basis Total]] / SnapshotTable[[#This Row],[Equity Shares]], "")</f>
        <v/>
      </c>
      <c r="S266" s="269">
        <f>SnapshotTable[[#This Row],[Last Price]] * SnapshotTable[[#This Row],[Equity Shares]]</f>
        <v>0</v>
      </c>
      <c r="T266" s="269">
        <f>SnapshotTable[[#This Row],[Equity Value]] - SnapshotTable[[#This Row],[Equity Basis Total]]</f>
        <v>0</v>
      </c>
      <c r="U266" s="270" t="str">
        <f>IF(SnapshotTable[[#This Row],[Equity Basis Total]] &gt; 0, SnapshotTable[[#This Row],[Equity G/L]] / SnapshotTable[[#This Row],[Equity Basis Total]], "")</f>
        <v/>
      </c>
      <c r="V266" s="268">
        <v>30</v>
      </c>
      <c r="W266" s="26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7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0"/>
      <c r="AD266" s="151"/>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1"/>
      <c r="AI266" s="5"/>
      <c r="AJ266" s="138"/>
      <c r="AK266" s="152" t="str">
        <f>IF(ISNUMBER( SnapshotTable[[#This Row],[EBF Target]]),(SnapshotTable[[#This Row],[EBF Target]] - SnapshotTable[[#This Row],[Last Price]]) / SnapshotTable[[#This Row],[Last Price]], "")</f>
        <v/>
      </c>
      <c r="AL266" s="152"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2" t="str">
        <f>IF(AND(ISNUMBER( SnapshotTable[[#This Row],[Long Term Target]]), ISNUMBER(SnapshotTable[[#This Row],[Last Price]])),(SnapshotTable[[#This Row],[Long Term Target]] - SnapshotTable[[#This Row],[Last Price]]) / SnapshotTable[[#This Row],[Last Price]], "")</f>
        <v/>
      </c>
      <c r="AP266" s="5"/>
      <c r="AQ266" s="38"/>
      <c r="AR266" s="5"/>
      <c r="AS266" s="38"/>
      <c r="AT266" s="146"/>
      <c r="AU266" s="187" t="str">
        <f>IF(OR(SnapshotTable[[#This Row],[LP No Fill]]="Y",SnapshotTable[[#This Row],[SP Is Filled]],SnapshotTable[[#This Row],[LC Not Filled]]="Y",SnapshotTable[[#This Row],[SC Is Filled]]),"Y","")</f>
        <v/>
      </c>
      <c r="AV266" s="219"/>
      <c r="AW266" s="225"/>
      <c r="AX266" s="220"/>
      <c r="AY266" s="219" t="str">
        <f>IF(SnapshotTable[[#This Row],[Implied Move]]&gt;0, SnapshotTable[[#This Row],[Last Price]]-SnapshotTable[[#This Row],[Implied Move]],"")</f>
        <v/>
      </c>
      <c r="AZ266" s="219" t="str">
        <f>IF(SnapshotTable[[#This Row],[Implied Move]]&gt;0, SnapshotTable[[#This Row],[Last Price]] + SnapshotTable[[#This Row],[Implied Move]],"")</f>
        <v/>
      </c>
      <c r="BA266" s="331">
        <v>25.78</v>
      </c>
      <c r="BB266" s="347"/>
      <c r="BC26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266" s="351"/>
      <c r="BE266" s="5"/>
      <c r="BF266" s="14"/>
      <c r="BG266" s="13"/>
      <c r="BH266" s="13"/>
      <c r="BI266" s="5"/>
      <c r="BJ266" s="136">
        <f>IF(SnapshotTable[[#This Row],[LP Qty]] &gt; 0, SnapshotTable[[#This Row],[LP Qty]] * SnapshotTable[[#This Row],[LP Book Price]] * 100,0)</f>
        <v>0</v>
      </c>
      <c r="BK266" s="136">
        <f>IF(SnapshotTable[[#This Row],[LP Premium]] &gt; 0, SnapshotTable[[#This Row],[LP Qty]] * SnapshotTable[[#This Row],[LP Strike Price]] * 100,0)</f>
        <v>0</v>
      </c>
      <c r="BL266" s="154"/>
      <c r="BM266" s="385" t="str">
        <f>IF(SnapshotTable[[#This Row],[LP Premium]] &gt; 0,SnapshotTable[[#This Row],[LP Exp Date]]-MAX(SnapshotTable[[#This Row],[LP Book Date]], SnapshotTable[[#This Row],[LP Fill Date]]),"")</f>
        <v/>
      </c>
      <c r="BN266" s="385" t="str">
        <f>IF(ISNUMBER( SnapshotTable[[#This Row],[LP Term]]), SnapshotTable[[#This Row],[LP Exp Date]] - MockToday,"")</f>
        <v/>
      </c>
      <c r="BO266" s="163"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7"/>
      <c r="BU266" s="13"/>
      <c r="BV266" s="5"/>
      <c r="BW266" s="419" t="b">
        <f>AND(ISNUMBER(SnapshotTable[[#This Row],[SP Exp Date]]), ISNUMBER(SnapshotTable[[#This Row],[SP Strike Price]]), ISNUMBER(SnapshotTable[[#This Row],[SP Qty]]), ISNUMBER(SnapshotTable[[#This Row],[SP Book Date]]), ISNUMBER(SnapshotTable[[#This Row],[SP Book Price]]))</f>
        <v>0</v>
      </c>
      <c r="BX266" s="419" t="b">
        <f>AND(SnapshotTable[[#This Row],[SP Is Booked]], NOT(ISBLANK(SnapshotTable[[#This Row],[SP Fill Date]])))</f>
        <v>0</v>
      </c>
      <c r="BY266" s="33">
        <f>IF(SnapshotTable[[#This Row],[SP Is Booked]], SnapshotTable[[#This Row],[SP Qty]] * SnapshotTable[[#This Row],[SP Book Price]] * 100, 0)</f>
        <v>0</v>
      </c>
      <c r="BZ266" s="369"/>
      <c r="CA266" s="368">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3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44"/>
      <c r="CK266" s="31">
        <f>IF(ISNUMBER(SnapshotTable[[#This Row],[SP Potential Spend]]),IF(ISNUMBER(SnapshotTable[[#This Row],[SP POW]]), SnapshotTable[[#This Row],[SP POW]] * SnapshotTable[[#This Row],[SP Potential Spend]], SnapshotTable[[#This Row],[SP Potential Spend]]), "")</f>
        <v>0</v>
      </c>
      <c r="CL266" s="164">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8"/>
      <c r="CO266" s="369"/>
      <c r="CP266" s="4" t="str">
        <f>IF(SnapshotTable[[#This Row],[SP Is Filled]], btc_max_buyback_amount(SnapshotTable[[#This Row],[SP Fill Date]],SnapshotTable[[#This Row],[SP Exp Date]], SnapshotTable[[#This Row],[SP Book Price]]),"")</f>
        <v/>
      </c>
      <c r="CQ266" s="78"/>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5" t="str">
        <f>IF(SnapshotTable[[#This Row],[SP Is Filled]], btc_next_cutoff_date(SnapshotTable[[#This Row],[SP Fill Date]],SnapshotTable[[#This Row],[SP Exp Date]]),"")</f>
        <v/>
      </c>
      <c r="CT266" s="23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3"/>
      <c r="CV266" s="235"/>
      <c r="CW266" s="378"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294" t="str">
        <f>IF(ISNUMBER((SnapshotTable[[#This Row],[SP Total Value]])), SnapshotTable[[#This Row],[SP Gain Loss]] / SnapshotTable[[#This Row],[SP Premium]], "")</f>
        <v/>
      </c>
      <c r="DI266" s="406">
        <v>46920</v>
      </c>
      <c r="DJ266" s="138">
        <v>20</v>
      </c>
      <c r="DK266" s="148">
        <v>16</v>
      </c>
      <c r="DL266" s="13">
        <v>46079</v>
      </c>
      <c r="DM266" s="13">
        <v>46079</v>
      </c>
      <c r="DN266" s="5">
        <v>5.78</v>
      </c>
      <c r="DO266" s="31">
        <f>IF(SnapshotTable[[#This Row],[LC Symbol Count]]=1, SnapshotTable[[#This Row],[LC Qty]] * SnapshotTable[[#This Row],[LC Book Price]] * 100, 0)</f>
        <v>9248</v>
      </c>
      <c r="DP266" s="163" t="str">
        <f>IF(AND(SnapshotTable[[#This Row],[LC Exp Date]]&gt;0, SnapshotTable[[#This Row],[LC Strike Price]]&gt;0,SnapshotTable[[#This Row],[LC Qty]]&gt;0,SnapshotTable[[#This Row],[LC Book Date]]&gt;0,SnapshotTable[[#This Row],[LC Book Price]]&gt;0,SnapshotTable[[#This Row],[LC Fill Date]]=0),"Y","")</f>
        <v/>
      </c>
      <c r="DQ266" s="386">
        <f>IF(SnapshotTable[[#This Row],[LC Premium]] &gt; 0,SnapshotTable[[#This Row],[LC Exp Date]]-MAX(SnapshotTable[[#This Row],[LC Book Date]], SnapshotTable[[#This Row],[LC Fill Date]]),"")</f>
        <v>841</v>
      </c>
      <c r="DR266" s="386">
        <f ca="1">IF(ISNUMBER(SnapshotTable[[#This Row],[LC Term]]), SnapshotTable[[#This Row],[LC Exp Date]] - MockToday, "")</f>
        <v>687</v>
      </c>
      <c r="DS266" s="234">
        <f>IF(SnapshotTable[[#This Row],[LC Premium]]&gt;0,SnapshotTable[[#This Row],[LC Strike Price]] + SnapshotTable[[#This Row],[LC Book Price]],"")</f>
        <v>25.78</v>
      </c>
      <c r="DT266" s="5">
        <v>6.01</v>
      </c>
      <c r="DU266" s="9">
        <f>IF(AND(SnapshotTable[[#This Row],[LC Symbol Count]]&gt;0, SnapshotTable[[#This Row],[LC Contract Value]]&gt;0), SnapshotTable[[#This Row],[LC Contract Value]] * SnapshotTable[[#This Row],[LC Qty]] * 100, "")</f>
        <v>9616</v>
      </c>
      <c r="DV266" s="9">
        <f>IF(AND(ISNUMBER(SnapshotTable[[#This Row],[LC Total Value]]), SnapshotTable[[#This Row],[LC Not Filled]]&lt;&gt;"Y"), SnapshotTable[[#This Row],[LC Total Value]]-SnapshotTable[[#This Row],[LC Premium]],"")</f>
        <v>368</v>
      </c>
      <c r="DW266" s="240">
        <f>IF(ISNUMBER(SnapshotTable[[#This Row],[LC Actual Gain Loss]]), SnapshotTable[[#This Row],[LC Actual Gain Loss]] / SnapshotTable[[#This Row],[LC Premium]],"")</f>
        <v>3.9792387543252594E-2</v>
      </c>
      <c r="DX266" s="284">
        <f>IF(ISNUMBER(SnapshotTable[[#This Row],[LC Book Price]]),SnapshotTable[[#This Row],[LC Book Price]] * 1.5,"")</f>
        <v>8.67</v>
      </c>
      <c r="DY266" s="265">
        <f>IF(SnapshotTable[[#This Row],[LC Premium]]&gt;0, SnapshotTable[[#This Row],[LC Next Target]] * SnapshotTable[[#This Row],[LC Qty]] * 100,"")</f>
        <v>13872</v>
      </c>
      <c r="DZ266" s="265">
        <f>IF(ISNUMBER(SnapshotTable[[#This Row],[LC Target Gross]]), SnapshotTable[[#This Row],[LC Target Gross]] - SnapshotTable[[#This Row],[LC Premium]], "")</f>
        <v>4624</v>
      </c>
      <c r="EA266" s="305">
        <f>IF(ISNUMBER(SnapshotTable[[#This Row],[LC Target Gain Loss]]), SnapshotTable[[#This Row],[LC Target Gain Loss]]/SnapshotTable[[#This Row],[LC Premium]], "")</f>
        <v>0.5</v>
      </c>
      <c r="EB266" s="262"/>
      <c r="EC266" s="283">
        <f>IF(SnapshotTable[[#This Row],[LC Premium]]&gt;0, SnapshotTable[[#This Row],[LC Book Price]] * (1 - LC_StopLoss_Pct),"")</f>
        <v>4.335</v>
      </c>
      <c r="ED266" s="284"/>
      <c r="EE266" s="283">
        <f>IF(ISNUMBER(SnapshotTable[[#This Row],[LC Contract Value]]),IF(ISNUMBER(SnapshotTable[[#This Row],[LC Stop Loss Override]]), SnapshotTable[[#This Row],[LC Stop Loss Override]],SnapshotTable[[#This Row],[LC Stop Loss Calc Target]]),"")</f>
        <v>4.335</v>
      </c>
      <c r="EF266" s="31">
        <f>IF(ISNUMBER(SnapshotTable[[#This Row],[LC Stop  To Use]]), (SnapshotTable[[#This Row],[LC Stop  To Use]] * SnapshotTable[[#This Row],[LC Qty]] * 100),"")</f>
        <v>6936</v>
      </c>
      <c r="EG266" s="9">
        <f>IF(ISNUMBER(SnapshotTable[[#This Row],[LC Total Value]]),SnapshotTable[[#This Row],[LC Stop Loss Amount]] - SnapshotTable[[#This Row],[LC Premium]],"")</f>
        <v>-2312</v>
      </c>
      <c r="EH266" s="9">
        <f>IF(ISNUMBER(SnapshotTable[[#This Row],[LC Premium]]), SnapshotTable[[#This Row],[LC Qty]] * 100 * SnapshotTable[[#This Row],[LC Strike Price]], "")</f>
        <v>32000</v>
      </c>
      <c r="EI266" s="240">
        <f>IF(AND(ISNUMBER(SnapshotTable[[#This Row],[LC Total Value]]),SnapshotTable[[#This Row],[LC Total Value]]&gt;0),SnapshotTable[[#This Row],[LC Stop Gain Loss]]  / SnapshotTable[[#This Row],[LC Premium]],"")</f>
        <v>-0.25</v>
      </c>
      <c r="EJ266" s="35">
        <f>IF(ISNUMBER(SnapshotTable[[#This Row],[Equity Shares]]),TRUNC(SnapshotTable[[#This Row],[Equity Shares]] / 100),0) + SnapshotTable[[#This Row],[LC Qty]]</f>
        <v>16</v>
      </c>
      <c r="EK266" s="147"/>
      <c r="EL266" s="138">
        <v>19</v>
      </c>
      <c r="EM266" s="148">
        <v>16</v>
      </c>
      <c r="EN266" s="147">
        <v>46143</v>
      </c>
      <c r="EO266" s="147"/>
      <c r="EP266" s="138">
        <v>0.08</v>
      </c>
      <c r="EQ266" s="419" t="b">
        <f>AND(ISNUMBER(SnapshotTable[[#This Row],[SC Exp Date]]), ISNUMBER(SnapshotTable[[#This Row],[SC Strike Price]]), ISNUMBER(SnapshotTable[[#This Row],[SC Qty]]), ISNUMBER(SnapshotTable[[#This Row],[SC Book Date]]), ISNUMBER(SnapshotTable[[#This Row],[SC Book Price]]))</f>
        <v>0</v>
      </c>
      <c r="ER266" s="419" t="b">
        <f>AND(SnapshotTable[[#This Row],[SC Is Booked]], NOT(ISBLANK(SnapshotTable[[#This Row],[SC Fill Date]])))</f>
        <v>0</v>
      </c>
      <c r="ES266" s="370"/>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f>IF(AND(ISNUMBER(SnapshotTable[[#This Row],[Last Price]]), ISNUMBER( SnapshotTable[[#This Row],[SC Book Price]])), SnapshotTable[[#This Row],[Last Price]] - SnapshotTable[[#This Row],[SC Book Price]],"")</f>
        <v>13.959999999999999</v>
      </c>
      <c r="EX266" s="23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283"/>
      <c r="FA266" s="218"/>
      <c r="FB266" s="370"/>
      <c r="FC266" s="4">
        <f>IF(SnapshotTable[[#This Row],[SC Is Filled]], btc_max_buyback_amount(SnapshotTable[[#This Row],[SC Fill Date]],SnapshotTable[[#This Row],[SC Exp Date]], SnapshotTable[[#This Row],[SC Book Price]]),0)</f>
        <v>0</v>
      </c>
      <c r="FD266" s="5"/>
      <c r="FE266" s="144"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382">
        <f>IF(SnapshotTable[[#This Row],[SC Is Filled]], IF(ISNUMBER(SnapshotTable[[#This Row],[SC Current Ask]]), SnapshotTable[[#This Row],[SC Current Ask]], SnapshotTable[[#This Row],[SC Book Price]]) - SnapshotTable[[#This Row],[SC Intrinsic Value]], 0)</f>
        <v>0</v>
      </c>
      <c r="FI266" s="143"/>
      <c r="FJ266" s="32" t="str">
        <f>IF(SnapshotTable[[#This Row],[SC Is Filled]],100 * SnapshotTable[[#This Row],[SC Qty]] * IF(ISNUMBER(SnapshotTable[[#This Row],[SC Buyback Override]]), SnapshotTable[[#This Row],[SC Buyback Override]], SnapshotTable[[#This Row],[SC Current Ask]]), "")</f>
        <v/>
      </c>
      <c r="FK266" s="250" t="str">
        <f>IF(SnapshotTable[[#This Row],[SC Time Val]]&gt;0, SnapshotTable[[#This Row],[SC Time Val]] / SnapshotTable[[#This Row],[Last Price]],"")</f>
        <v/>
      </c>
      <c r="FL266" s="302" t="str">
        <f>IF(SnapshotTable[[#This Row],[SC Is Booked]], ((SnapshotTable[[#This Row],[Last Price]] -SnapshotTable[[#This Row],[SC Strike Price]]) / SnapshotTable[[#This Row],[Last Price]]) * -1, "")</f>
        <v/>
      </c>
      <c r="FM266" s="157"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4.9600000000000009</v>
      </c>
      <c r="FT266" s="27">
        <f>IF(AND(ISNUMBER(SnapshotTable[[#This Row],[SC Upside Potential]]), SnapshotTable[[#This Row],[SC Upside Potential]] &gt; 0),(SnapshotTable[[#This Row],[SC Upside Potential]]/ SnapshotTable[[#This Row],[ACB]]),"")</f>
        <v>0.19239720713731578</v>
      </c>
      <c r="FU266" s="333"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36" t="str">
        <f>IF(AND(ISNUMBER(SnapshotTable[[#This Row],[SC Simple ROO]]),SnapshotTable[[#This Row],[SC Simple ROO]] &gt; 0), SnapshotTable[[#This Row],[SC Premium]] + (SnapshotTable[[#This Row],[SC Qty]] * SnapshotTable[[#This Row],[SC Upside Potential]]), "")</f>
        <v/>
      </c>
      <c r="FX266" s="302" t="str" cm="1">
        <f t="array" ref="FX266">IF(ISNUMBER(SnapshotTable[[#This Row],[SC Max Dollars]]), annualize(SnapshotTable[[#This Row],[SC Term]],(SnapshotTable[[#This Row],[SC Max Dollars]]/SnapshotTable[[#This Row],[SC Basis]])),"")</f>
        <v/>
      </c>
      <c r="FY266" s="23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29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0</v>
      </c>
      <c r="GD266" s="40">
        <f>SnapshotTable[[#This Row],[Last Price]] * (1+ SellingPriceToConsiderBasedOnTargetPercentage)</f>
        <v>27.377999999999997</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ETHA280616C00020000</v>
      </c>
      <c r="GQ266" s="30">
        <f>IF(LEN(SnapshotTable[[#This Row],[LC Symbol]])&gt;0, 1, "")</f>
        <v>1</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Y</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266" s="231">
        <f>MAX(SnapshotTable[[#This Row],[Equity Basis Total]],SnapshotTable[[#This Row],[Equity Value]]) + (SnapshotTable[[#This Row],[SP Potential Spend]]- SnapshotTable[[#This Row],[SP Premium]] + SnapshotTable[[#This Row],[LP Premium]])+ (SnapshotTable[[#This Row],[LC Premium]] - SnapshotTable[[#This Row],[SC Premium]])</f>
        <v>9248</v>
      </c>
      <c r="GW266" s="139">
        <f ca="1">IF(AND(SnapshotTable[[#This Row],[Exposure]] &lt;&gt; 0),SnapshotTable[[#This Row],[Exposure]] / SnapshotTable[[#Totals],[Exposure]], "")</f>
        <v>4.3530783343224411E-2</v>
      </c>
      <c r="HK266" s="1"/>
      <c r="HL266" s="1"/>
      <c r="HM266" s="1"/>
      <c r="HN266" s="1"/>
      <c r="HO266" s="1"/>
      <c r="HP266" s="1"/>
    </row>
    <row r="267" spans="2:224" ht="12.75" hidden="1" customHeight="1" x14ac:dyDescent="0.25">
      <c r="B267" s="12" t="s">
        <v>1248</v>
      </c>
      <c r="C267" s="422">
        <v>6.27</v>
      </c>
      <c r="D267" s="208"/>
      <c r="E267" s="39">
        <f>SnapshotTable[[#This Row],[Last Price]]*(1 -CrashDiscount)</f>
        <v>5.3294999999999995</v>
      </c>
      <c r="F267" s="325" t="s">
        <v>1249</v>
      </c>
      <c r="G267" s="325" t="s">
        <v>872</v>
      </c>
      <c r="H267" s="149"/>
      <c r="I267" s="194"/>
      <c r="J267" s="195"/>
      <c r="K267" s="196"/>
      <c r="L267" s="326"/>
      <c r="M267" s="140"/>
      <c r="N267" s="140"/>
      <c r="O267" s="140"/>
      <c r="P267" s="22"/>
      <c r="Q267" s="25"/>
      <c r="R267" s="4" t="str">
        <f>IF(SnapshotTable[[#This Row],[Equity Basis Total]] &gt; 0, SnapshotTable[[#This Row],[Equity Basis Total]] / SnapshotTable[[#This Row],[Equity Shares]], "")</f>
        <v/>
      </c>
      <c r="S267" s="269">
        <f>SnapshotTable[[#This Row],[Last Price]] * SnapshotTable[[#This Row],[Equity Shares]]</f>
        <v>0</v>
      </c>
      <c r="T267" s="269">
        <f>SnapshotTable[[#This Row],[Equity Value]] - SnapshotTable[[#This Row],[Equity Basis Total]]</f>
        <v>0</v>
      </c>
      <c r="U267" s="270" t="str">
        <f>IF(SnapshotTable[[#This Row],[Equity Basis Total]] &gt; 0, SnapshotTable[[#This Row],[Equity G/L]] / SnapshotTable[[#This Row],[Equity Basis Total]], "")</f>
        <v/>
      </c>
      <c r="V267" s="268"/>
      <c r="W267" s="26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7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0"/>
      <c r="AD267" s="151"/>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1"/>
      <c r="AI267" s="5"/>
      <c r="AJ267" s="138"/>
      <c r="AK267" s="152" t="str">
        <f>IF(ISNUMBER( SnapshotTable[[#This Row],[EBF Target]]),(SnapshotTable[[#This Row],[EBF Target]] - SnapshotTable[[#This Row],[Last Price]]) / SnapshotTable[[#This Row],[Last Price]], "")</f>
        <v/>
      </c>
      <c r="AL267" s="152"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2" t="str">
        <f>IF(AND(ISNUMBER( SnapshotTable[[#This Row],[Long Term Target]]), ISNUMBER(SnapshotTable[[#This Row],[Last Price]])),(SnapshotTable[[#This Row],[Long Term Target]] - SnapshotTable[[#This Row],[Last Price]]) / SnapshotTable[[#This Row],[Last Price]], "")</f>
        <v/>
      </c>
      <c r="AP267" s="5"/>
      <c r="AQ267" s="38"/>
      <c r="AR267" s="5"/>
      <c r="AS267" s="38"/>
      <c r="AT267" s="146"/>
      <c r="AU267" s="187" t="str">
        <f>IF(OR(SnapshotTable[[#This Row],[LP No Fill]]="Y",SnapshotTable[[#This Row],[SP Is Filled]],SnapshotTable[[#This Row],[LC Not Filled]]="Y",SnapshotTable[[#This Row],[SC Is Filled]]),"Y","")</f>
        <v/>
      </c>
      <c r="AV267" s="219"/>
      <c r="AW267" s="225"/>
      <c r="AX267" s="220"/>
      <c r="AY267" s="219" t="str">
        <f>IF(SnapshotTable[[#This Row],[Implied Move]]&gt;0, SnapshotTable[[#This Row],[Last Price]]-SnapshotTable[[#This Row],[Implied Move]],"")</f>
        <v/>
      </c>
      <c r="AZ267" s="219" t="str">
        <f>IF(SnapshotTable[[#This Row],[Implied Move]]&gt;0, SnapshotTable[[#This Row],[Last Price]] + SnapshotTable[[#This Row],[Implied Move]],"")</f>
        <v/>
      </c>
      <c r="BA267" s="331">
        <v>8.3699999999999992</v>
      </c>
      <c r="BB267" s="347"/>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51"/>
      <c r="BE267" s="5"/>
      <c r="BF267" s="14"/>
      <c r="BG267" s="13"/>
      <c r="BH267" s="13"/>
      <c r="BI267" s="5"/>
      <c r="BJ267" s="136">
        <f>IF(SnapshotTable[[#This Row],[LP Qty]] &gt; 0, SnapshotTable[[#This Row],[LP Qty]] * SnapshotTable[[#This Row],[LP Book Price]] * 100,0)</f>
        <v>0</v>
      </c>
      <c r="BK267" s="136">
        <f>IF(SnapshotTable[[#This Row],[LP Premium]] &gt; 0, SnapshotTable[[#This Row],[LP Qty]] * SnapshotTable[[#This Row],[LP Strike Price]] * 100,0)</f>
        <v>0</v>
      </c>
      <c r="BL267" s="154"/>
      <c r="BM267" s="385" t="str">
        <f>IF(SnapshotTable[[#This Row],[LP Premium]] &gt; 0,SnapshotTable[[#This Row],[LP Exp Date]]-MAX(SnapshotTable[[#This Row],[LP Book Date]], SnapshotTable[[#This Row],[LP Fill Date]]),"")</f>
        <v/>
      </c>
      <c r="BN267" s="385" t="str">
        <f>IF(ISNUMBER( SnapshotTable[[#This Row],[LP Term]]), SnapshotTable[[#This Row],[LP Exp Date]] - MockToday,"")</f>
        <v/>
      </c>
      <c r="BO267" s="163"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7"/>
      <c r="BU267" s="13"/>
      <c r="BV267" s="5"/>
      <c r="BW267" s="419" t="b">
        <f>AND(ISNUMBER(SnapshotTable[[#This Row],[SP Exp Date]]), ISNUMBER(SnapshotTable[[#This Row],[SP Strike Price]]), ISNUMBER(SnapshotTable[[#This Row],[SP Qty]]), ISNUMBER(SnapshotTable[[#This Row],[SP Book Date]]), ISNUMBER(SnapshotTable[[#This Row],[SP Book Price]]))</f>
        <v>0</v>
      </c>
      <c r="BX267" s="419" t="b">
        <f>AND(SnapshotTable[[#This Row],[SP Is Booked]], NOT(ISBLANK(SnapshotTable[[#This Row],[SP Fill Date]])))</f>
        <v>0</v>
      </c>
      <c r="BY267" s="33">
        <f>IF(SnapshotTable[[#This Row],[SP Is Booked]], SnapshotTable[[#This Row],[SP Qty]] * SnapshotTable[[#This Row],[SP Book Price]] * 100, 0)</f>
        <v>0</v>
      </c>
      <c r="BZ267" s="369"/>
      <c r="CA267" s="368">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3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44"/>
      <c r="CK267" s="31">
        <f>IF(ISNUMBER(SnapshotTable[[#This Row],[SP Potential Spend]]),IF(ISNUMBER(SnapshotTable[[#This Row],[SP POW]]), SnapshotTable[[#This Row],[SP POW]] * SnapshotTable[[#This Row],[SP Potential Spend]], SnapshotTable[[#This Row],[SP Potential Spend]]), "")</f>
        <v>0</v>
      </c>
      <c r="CL267" s="164">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218"/>
      <c r="CO267" s="369"/>
      <c r="CP267" s="4" t="str">
        <f>IF(SnapshotTable[[#This Row],[SP Is Filled]], btc_max_buyback_amount(SnapshotTable[[#This Row],[SP Fill Date]],SnapshotTable[[#This Row],[SP Exp Date]], SnapshotTable[[#This Row],[SP Book Price]]),"")</f>
        <v/>
      </c>
      <c r="CQ267" s="78"/>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5" t="str">
        <f>IF(SnapshotTable[[#This Row],[SP Is Filled]], btc_next_cutoff_date(SnapshotTable[[#This Row],[SP Fill Date]],SnapshotTable[[#This Row],[SP Exp Date]]),"")</f>
        <v/>
      </c>
      <c r="CT267" s="23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43"/>
      <c r="CV267" s="235"/>
      <c r="CW267" s="378"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294" t="str">
        <f>IF(ISNUMBER((SnapshotTable[[#This Row],[SP Total Value]])), SnapshotTable[[#This Row],[SP Gain Loss]] / SnapshotTable[[#This Row],[SP Premium]], "")</f>
        <v/>
      </c>
      <c r="DI267" s="406"/>
      <c r="DJ267" s="138"/>
      <c r="DK267" s="148"/>
      <c r="DL267" s="13"/>
      <c r="DM267" s="13"/>
      <c r="DO267" s="31">
        <f>IF(SnapshotTable[[#This Row],[LC Symbol Count]]=1, SnapshotTable[[#This Row],[LC Qty]] * SnapshotTable[[#This Row],[LC Book Price]] * 100, 0)</f>
        <v>0</v>
      </c>
      <c r="DP267" s="163" t="str">
        <f>IF(AND(SnapshotTable[[#This Row],[LC Exp Date]]&gt;0, SnapshotTable[[#This Row],[LC Strike Price]]&gt;0,SnapshotTable[[#This Row],[LC Qty]]&gt;0,SnapshotTable[[#This Row],[LC Book Date]]&gt;0,SnapshotTable[[#This Row],[LC Book Price]]&gt;0,SnapshotTable[[#This Row],[LC Fill Date]]=0),"Y","")</f>
        <v/>
      </c>
      <c r="DQ267" s="386" t="str">
        <f>IF(SnapshotTable[[#This Row],[LC Premium]] &gt; 0,SnapshotTable[[#This Row],[LC Exp Date]]-MAX(SnapshotTable[[#This Row],[LC Book Date]], SnapshotTable[[#This Row],[LC Fill Date]]),"")</f>
        <v/>
      </c>
      <c r="DR267" s="386" t="str">
        <f>IF(ISNUMBER(SnapshotTable[[#This Row],[LC Term]]), SnapshotTable[[#This Row],[LC Exp Date]] - MockToday, "")</f>
        <v/>
      </c>
      <c r="DS267" s="23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40" t="str">
        <f>IF(ISNUMBER(SnapshotTable[[#This Row],[LC Actual Gain Loss]]), SnapshotTable[[#This Row],[LC Actual Gain Loss]] / SnapshotTable[[#This Row],[LC Premium]],"")</f>
        <v/>
      </c>
      <c r="DX267" s="284" t="str">
        <f>IF(ISNUMBER(SnapshotTable[[#This Row],[LC Book Price]]),SnapshotTable[[#This Row],[LC Book Price]] * 1.5,"")</f>
        <v/>
      </c>
      <c r="DY267" s="265" t="str">
        <f>IF(SnapshotTable[[#This Row],[LC Premium]]&gt;0, SnapshotTable[[#This Row],[LC Next Target]] * SnapshotTable[[#This Row],[LC Qty]] * 100,"")</f>
        <v/>
      </c>
      <c r="DZ267" s="265" t="str">
        <f>IF(ISNUMBER(SnapshotTable[[#This Row],[LC Target Gross]]), SnapshotTable[[#This Row],[LC Target Gross]] - SnapshotTable[[#This Row],[LC Premium]], "")</f>
        <v/>
      </c>
      <c r="EA267" s="305" t="str">
        <f>IF(ISNUMBER(SnapshotTable[[#This Row],[LC Target Gain Loss]]), SnapshotTable[[#This Row],[LC Target Gain Loss]]/SnapshotTable[[#This Row],[LC Premium]], "")</f>
        <v/>
      </c>
      <c r="EB267" s="262"/>
      <c r="EC267" s="283" t="str">
        <f>IF(SnapshotTable[[#This Row],[LC Premium]]&gt;0, SnapshotTable[[#This Row],[LC Book Price]] * (1 - LC_StopLoss_Pct),"")</f>
        <v/>
      </c>
      <c r="ED267" s="284"/>
      <c r="EE267" s="28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4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7"/>
      <c r="EL267" s="138"/>
      <c r="EM267" s="148"/>
      <c r="EN267" s="147"/>
      <c r="EO267" s="147"/>
      <c r="EP267" s="138"/>
      <c r="EQ267" s="419" t="b">
        <f>AND(ISNUMBER(SnapshotTable[[#This Row],[SC Exp Date]]), ISNUMBER(SnapshotTable[[#This Row],[SC Strike Price]]), ISNUMBER(SnapshotTable[[#This Row],[SC Qty]]), ISNUMBER(SnapshotTable[[#This Row],[SC Book Date]]), ISNUMBER(SnapshotTable[[#This Row],[SC Book Price]]))</f>
        <v>0</v>
      </c>
      <c r="ER267" s="419" t="b">
        <f>AND(SnapshotTable[[#This Row],[SC Is Booked]], NOT(ISBLANK(SnapshotTable[[#This Row],[SC Fill Date]])))</f>
        <v>0</v>
      </c>
      <c r="ES267" s="370"/>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3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283"/>
      <c r="FA267" s="218"/>
      <c r="FB267" s="370"/>
      <c r="FC267" s="4">
        <f>IF(SnapshotTable[[#This Row],[SC Is Filled]], btc_max_buyback_amount(SnapshotTable[[#This Row],[SC Fill Date]],SnapshotTable[[#This Row],[SC Exp Date]], SnapshotTable[[#This Row],[SC Book Price]]),0)</f>
        <v>0</v>
      </c>
      <c r="FD267" s="5"/>
      <c r="FE267" s="144"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382">
        <f>IF(SnapshotTable[[#This Row],[SC Is Filled]], IF(ISNUMBER(SnapshotTable[[#This Row],[SC Current Ask]]), SnapshotTable[[#This Row],[SC Current Ask]], SnapshotTable[[#This Row],[SC Book Price]]) - SnapshotTable[[#This Row],[SC Intrinsic Value]], 0)</f>
        <v>0</v>
      </c>
      <c r="FI267" s="143"/>
      <c r="FJ267" s="32" t="str">
        <f>IF(SnapshotTable[[#This Row],[SC Is Filled]],100 * SnapshotTable[[#This Row],[SC Qty]] * IF(ISNUMBER(SnapshotTable[[#This Row],[SC Buyback Override]]), SnapshotTable[[#This Row],[SC Buyback Override]], SnapshotTable[[#This Row],[SC Current Ask]]), "")</f>
        <v/>
      </c>
      <c r="FK267" s="250" t="str">
        <f>IF(SnapshotTable[[#This Row],[SC Time Val]]&gt;0, SnapshotTable[[#This Row],[SC Time Val]] / SnapshotTable[[#This Row],[Last Price]],"")</f>
        <v/>
      </c>
      <c r="FL267" s="302" t="str">
        <f>IF(SnapshotTable[[#This Row],[SC Is Booked]], ((SnapshotTable[[#This Row],[Last Price]] -SnapshotTable[[#This Row],[SC Strike Price]]) / SnapshotTable[[#This Row],[Last Price]]) * -1, "")</f>
        <v/>
      </c>
      <c r="FM267" s="157" t="str">
        <f>IF(SnapshotTable[[#This Row],[SC Is Booked]],  (SnapshotTable[[#This Row],[SC Qty]] * 100 * SnapshotTable[[#This Row],[SC Strike Price]]) - SnapshotTable[[#This Row],[SC Current Ask]], "")</f>
        <v/>
      </c>
      <c r="FN2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31"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33"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36" t="str">
        <f>IF(AND(ISNUMBER(SnapshotTable[[#This Row],[SC Simple ROO]]),SnapshotTable[[#This Row],[SC Simple ROO]] &gt; 0), SnapshotTable[[#This Row],[SC Premium]] + (SnapshotTable[[#This Row],[SC Qty]] * SnapshotTable[[#This Row],[SC Upside Potential]]), "")</f>
        <v/>
      </c>
      <c r="FX267" s="302" t="str" cm="1">
        <f t="array" ref="FX267">IF(ISNUMBER(SnapshotTable[[#This Row],[SC Max Dollars]]), annualize(SnapshotTable[[#This Row],[SC Term]],(SnapshotTable[[#This Row],[SC Max Dollars]]/SnapshotTable[[#This Row],[SC Basis]])),"")</f>
        <v/>
      </c>
      <c r="FY267" s="23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29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0</v>
      </c>
      <c r="GD267" s="40">
        <f>SnapshotTable[[#This Row],[Last Price]] * (1+ SellingPriceToConsiderBasedOnTargetPercentage)</f>
        <v>12.2265</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27" t="str">
        <f>IF(SnapshotTable[[#This Row],[Sale G/L]]&gt;0, SnapshotTable[[#This Row],[Sale G/L]] / SnapshotTable[[#This Row],[Sale Basis]], IF(ISNUMBER(SnapshotTable[[#This Row],[SC Exercise P&amp;L (TAX)]]), SnapshotTable[[#This Row],[SC Exercise P&amp;L (TAX)]] / SnapshotTable[[#This Row],[SC Basis]], ""))</f>
        <v/>
      </c>
      <c r="GK267" s="27"/>
      <c r="GL267" s="43"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43" t="str">
        <f>IF(AND(SnapshotTable[[#This Row],[LC Exp Date]]&gt;0,SnapshotTable[[#This Row],[LC Strike Price]]&gt;0), [1]!ToOptionSymbol(SnapshotTable[[#This Row],[Symbol]], SnapshotTable[[#This Row],[LC Strike Price]],SnapshotTable[[#This Row],[LC Exp Date]],0), "")</f>
        <v/>
      </c>
      <c r="GQ267" s="30" t="str">
        <f>IF(LEN(SnapshotTable[[#This Row],[LC Symbol]])&gt;0, 1, "")</f>
        <v/>
      </c>
      <c r="GR267" s="43" t="str">
        <f>IF(AND(SnapshotTable[[#This Row],[SC Exp Date]]&gt;0,SnapshotTable[[#This Row],[SC Strike Price]]&gt;0), [1]!ToOptionSymbol(SnapshotTable[[#This Row],[Symbol]], SnapshotTable[[#This Row],[SC Strike Price]],SnapshotTable[[#This Row],[SC Exp Date]],0), "")</f>
        <v/>
      </c>
      <c r="GS267" s="30" t="str">
        <f>IF(LEN(SnapshotTable[[#This Row],[SC Symbol]])&gt;0, 1, "")</f>
        <v/>
      </c>
      <c r="GT267" s="29"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31">
        <f>MAX(SnapshotTable[[#This Row],[Equity Basis Total]],SnapshotTable[[#This Row],[Equity Value]]) + (SnapshotTable[[#This Row],[SP Potential Spend]]- SnapshotTable[[#This Row],[SP Premium]] + SnapshotTable[[#This Row],[LP Premium]])+ (SnapshotTable[[#This Row],[LC Premium]] - SnapshotTable[[#This Row],[SC Premium]])</f>
        <v>0</v>
      </c>
      <c r="GW267" s="139" t="str">
        <f>IF(AND(SnapshotTable[[#This Row],[Exposure]] &lt;&gt; 0),SnapshotTable[[#This Row],[Exposure]] / SnapshotTable[[#Totals],[Exposure]], "")</f>
        <v/>
      </c>
      <c r="GX267" s="13"/>
      <c r="HE267" s="268"/>
      <c r="HF267" s="268"/>
      <c r="HK267" s="1"/>
      <c r="HL267" s="1"/>
      <c r="HM267" s="1"/>
      <c r="HN267" s="1"/>
      <c r="HO267" s="1"/>
      <c r="HP267" s="1"/>
    </row>
    <row r="268" spans="2:224" ht="12.75" hidden="1" customHeight="1" x14ac:dyDescent="0.25">
      <c r="B268" s="12" t="s">
        <v>915</v>
      </c>
      <c r="C268" s="422">
        <v>14.66</v>
      </c>
      <c r="D268" s="208" t="s">
        <v>578</v>
      </c>
      <c r="E268" s="39">
        <f>SnapshotTable[[#This Row],[Last Price]]*(1 -CrashDiscount)</f>
        <v>12.461</v>
      </c>
      <c r="F268" s="26" t="s">
        <v>916</v>
      </c>
      <c r="G268" s="26" t="s">
        <v>9</v>
      </c>
      <c r="H268" s="149"/>
      <c r="I268" s="194">
        <v>44783.670138888891</v>
      </c>
      <c r="J268" s="195">
        <v>44783.670138888891</v>
      </c>
      <c r="K268" s="196"/>
      <c r="L268" s="326"/>
      <c r="M268" s="140"/>
      <c r="N268" s="140"/>
      <c r="O268" s="140"/>
      <c r="P268" s="22"/>
      <c r="Q268" s="25"/>
      <c r="R268" s="4" t="str">
        <f>IF(SnapshotTable[[#This Row],[Equity Basis Total]] &gt; 0, SnapshotTable[[#This Row],[Equity Basis Total]] / SnapshotTable[[#This Row],[Equity Shares]], "")</f>
        <v/>
      </c>
      <c r="S268" s="269">
        <f>SnapshotTable[[#This Row],[Last Price]] * SnapshotTable[[#This Row],[Equity Shares]]</f>
        <v>0</v>
      </c>
      <c r="T268" s="269">
        <f>SnapshotTable[[#This Row],[Equity Value]] - SnapshotTable[[#This Row],[Equity Basis Total]]</f>
        <v>0</v>
      </c>
      <c r="U268" s="270" t="str">
        <f>IF(SnapshotTable[[#This Row],[Equity Basis Total]] &gt; 0, SnapshotTable[[#This Row],[Equity G/L]] / SnapshotTable[[#This Row],[Equity Basis Total]], "")</f>
        <v/>
      </c>
      <c r="V268" s="268"/>
      <c r="W268" s="26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7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0"/>
      <c r="AD268" s="151"/>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0</v>
      </c>
      <c r="AH268" s="151"/>
      <c r="AI268" s="5"/>
      <c r="AJ268" s="138">
        <v>16.43</v>
      </c>
      <c r="AK268" s="152" t="str">
        <f>IF(ISNUMBER( SnapshotTable[[#This Row],[EBF Target]]),(SnapshotTable[[#This Row],[EBF Target]] - SnapshotTable[[#This Row],[Last Price]]) / SnapshotTable[[#This Row],[Last Price]], "")</f>
        <v/>
      </c>
      <c r="AL268" s="152"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2">
        <f>IF(AND(ISNUMBER( SnapshotTable[[#This Row],[Long Term Target]]), ISNUMBER(SnapshotTable[[#This Row],[Last Price]])),(SnapshotTable[[#This Row],[Long Term Target]] - SnapshotTable[[#This Row],[Last Price]]) / SnapshotTable[[#This Row],[Last Price]], "")</f>
        <v>0.12073669849931784</v>
      </c>
      <c r="AP268" s="5">
        <v>17.5</v>
      </c>
      <c r="AQ268" s="38" t="s">
        <v>27</v>
      </c>
      <c r="AR268" s="5">
        <v>17.5</v>
      </c>
      <c r="AS268" s="38" t="s">
        <v>38</v>
      </c>
      <c r="AT268" s="146" t="s">
        <v>535</v>
      </c>
      <c r="AU268" s="187" t="str">
        <f>IF(OR(SnapshotTable[[#This Row],[LP No Fill]]="Y",SnapshotTable[[#This Row],[SP Is Filled]],SnapshotTable[[#This Row],[LC Not Filled]]="Y",SnapshotTable[[#This Row],[SC Is Filled]]),"Y","")</f>
        <v/>
      </c>
      <c r="AV268" s="219"/>
      <c r="AW268" s="225">
        <v>2.3039999999999998</v>
      </c>
      <c r="AX268" s="220">
        <v>44155</v>
      </c>
      <c r="AY268" s="219">
        <f>IF(SnapshotTable[[#This Row],[Implied Move]]&gt;0, SnapshotTable[[#This Row],[Last Price]]-SnapshotTable[[#This Row],[Implied Move]],"")</f>
        <v>12.356</v>
      </c>
      <c r="AZ268" s="219">
        <f>IF(SnapshotTable[[#This Row],[Implied Move]]&gt;0, SnapshotTable[[#This Row],[Last Price]] + SnapshotTable[[#This Row],[Implied Move]],"")</f>
        <v>16.963999999999999</v>
      </c>
      <c r="BA268" s="331"/>
      <c r="BB268" s="347"/>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51"/>
      <c r="BE268" s="313"/>
      <c r="BF268" s="314"/>
      <c r="BG268" s="315"/>
      <c r="BH268" s="315"/>
      <c r="BI268" s="316"/>
      <c r="BJ268" s="153">
        <f>IF(SnapshotTable[[#This Row],[LP Qty]] &gt; 0, SnapshotTable[[#This Row],[LP Qty]] * SnapshotTable[[#This Row],[LP Book Price]] * 100,0)</f>
        <v>0</v>
      </c>
      <c r="BK268" s="136">
        <f>IF(SnapshotTable[[#This Row],[LP Premium]] &gt; 0, SnapshotTable[[#This Row],[LP Qty]] * SnapshotTable[[#This Row],[LP Strike Price]] * 100,0)</f>
        <v>0</v>
      </c>
      <c r="BL268" s="154"/>
      <c r="BM268" s="385" t="str">
        <f>IF(SnapshotTable[[#This Row],[LP Premium]] &gt; 0,SnapshotTable[[#This Row],[LP Exp Date]]-MAX(SnapshotTable[[#This Row],[LP Book Date]], SnapshotTable[[#This Row],[LP Fill Date]]),"")</f>
        <v/>
      </c>
      <c r="BN268" s="385" t="str">
        <f>IF(ISNUMBER( SnapshotTable[[#This Row],[LP Term]]), SnapshotTable[[#This Row],[LP Exp Date]] - MockToday,"")</f>
        <v/>
      </c>
      <c r="BO268" s="163"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7"/>
      <c r="BU268" s="13"/>
      <c r="BV268" s="5"/>
      <c r="BW268" s="419" t="b">
        <f>AND(ISNUMBER(SnapshotTable[[#This Row],[SP Exp Date]]), ISNUMBER(SnapshotTable[[#This Row],[SP Strike Price]]), ISNUMBER(SnapshotTable[[#This Row],[SP Qty]]), ISNUMBER(SnapshotTable[[#This Row],[SP Book Date]]), ISNUMBER(SnapshotTable[[#This Row],[SP Book Price]]))</f>
        <v>0</v>
      </c>
      <c r="BX268" s="419" t="b">
        <f>AND(SnapshotTable[[#This Row],[SP Is Booked]], NOT(ISBLANK(SnapshotTable[[#This Row],[SP Fill Date]])))</f>
        <v>0</v>
      </c>
      <c r="BY268" s="33">
        <f>IF(SnapshotTable[[#This Row],[SP Is Booked]], SnapshotTable[[#This Row],[SP Qty]] * SnapshotTable[[#This Row],[SP Book Price]] * 100, 0)</f>
        <v>0</v>
      </c>
      <c r="BZ268" s="369"/>
      <c r="CA268" s="368">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3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44"/>
      <c r="CK268" s="31">
        <f>IF(ISNUMBER(SnapshotTable[[#This Row],[SP Potential Spend]]),IF(ISNUMBER(SnapshotTable[[#This Row],[SP POW]]), SnapshotTable[[#This Row],[SP POW]] * SnapshotTable[[#This Row],[SP Potential Spend]], SnapshotTable[[#This Row],[SP Potential Spend]]), "")</f>
        <v>0</v>
      </c>
      <c r="CL268" s="164">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154"/>
      <c r="CO268" s="369"/>
      <c r="CP268" s="4" t="str">
        <f>IF(SnapshotTable[[#This Row],[SP Is Filled]], btc_max_buyback_amount(SnapshotTable[[#This Row],[SP Fill Date]],SnapshotTable[[#This Row],[SP Exp Date]], SnapshotTable[[#This Row],[SP Book Price]]),"")</f>
        <v/>
      </c>
      <c r="CQ268" s="78"/>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5" t="str">
        <f>IF(SnapshotTable[[#This Row],[SP Is Filled]], btc_next_cutoff_date(SnapshotTable[[#This Row],[SP Fill Date]],SnapshotTable[[#This Row],[SP Exp Date]]),"")</f>
        <v/>
      </c>
      <c r="CT268" s="23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56"/>
      <c r="CV268" s="235"/>
      <c r="CW268" s="378"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294" t="str">
        <f>IF(ISNUMBER((SnapshotTable[[#This Row],[SP Total Value]])), SnapshotTable[[#This Row],[SP Gain Loss]] / SnapshotTable[[#This Row],[SP Premium]], "")</f>
        <v/>
      </c>
      <c r="DI268" s="406"/>
      <c r="DJ268" s="138"/>
      <c r="DK268" s="148"/>
      <c r="DL268" s="147"/>
      <c r="DM268" s="147"/>
      <c r="DO268" s="31">
        <f>IF(SnapshotTable[[#This Row],[LC Symbol Count]]=1, SnapshotTable[[#This Row],[LC Qty]] * SnapshotTable[[#This Row],[LC Book Price]] * 100, 0)</f>
        <v>0</v>
      </c>
      <c r="DP268" s="289" t="str">
        <f>IF(AND(SnapshotTable[[#This Row],[LC Exp Date]]&gt;0, SnapshotTable[[#This Row],[LC Strike Price]]&gt;0,SnapshotTable[[#This Row],[LC Qty]]&gt;0,SnapshotTable[[#This Row],[LC Book Date]]&gt;0,SnapshotTable[[#This Row],[LC Book Price]]&gt;0,SnapshotTable[[#This Row],[LC Fill Date]]=0),"Y","")</f>
        <v/>
      </c>
      <c r="DQ268" s="386" t="str">
        <f>IF(SnapshotTable[[#This Row],[LC Premium]] &gt; 0,SnapshotTable[[#This Row],[LC Exp Date]]-MAX(SnapshotTable[[#This Row],[LC Book Date]], SnapshotTable[[#This Row],[LC Fill Date]]),"")</f>
        <v/>
      </c>
      <c r="DR268" s="386" t="str">
        <f>IF(ISNUMBER(SnapshotTable[[#This Row],[LC Term]]), SnapshotTable[[#This Row],[LC Exp Date]] - MockToday, "")</f>
        <v/>
      </c>
      <c r="DS268" s="23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40" t="str">
        <f>IF(ISNUMBER(SnapshotTable[[#This Row],[LC Actual Gain Loss]]), SnapshotTable[[#This Row],[LC Actual Gain Loss]] / SnapshotTable[[#This Row],[LC Premium]],"")</f>
        <v/>
      </c>
      <c r="DX268" s="284" t="str">
        <f>IF(ISNUMBER(SnapshotTable[[#This Row],[LC Book Price]]),SnapshotTable[[#This Row],[LC Book Price]] * 1.5,"")</f>
        <v/>
      </c>
      <c r="DY268" s="265" t="str">
        <f>IF(SnapshotTable[[#This Row],[LC Premium]]&gt;0, SnapshotTable[[#This Row],[LC Next Target]] * SnapshotTable[[#This Row],[LC Qty]] * 100,"")</f>
        <v/>
      </c>
      <c r="DZ268" s="265" t="str">
        <f>IF(ISNUMBER(SnapshotTable[[#This Row],[LC Target Gross]]), SnapshotTable[[#This Row],[LC Target Gross]] - SnapshotTable[[#This Row],[LC Premium]], "")</f>
        <v/>
      </c>
      <c r="EA268" s="305" t="str">
        <f>IF(ISNUMBER(SnapshotTable[[#This Row],[LC Target Gain Loss]]), SnapshotTable[[#This Row],[LC Target Gain Loss]]/SnapshotTable[[#This Row],[LC Premium]], "")</f>
        <v/>
      </c>
      <c r="EB268" s="262"/>
      <c r="EC268" s="283" t="str">
        <f>IF(SnapshotTable[[#This Row],[LC Premium]]&gt;0, SnapshotTable[[#This Row],[LC Book Price]] * (1 - LC_StopLoss_Pct),"")</f>
        <v/>
      </c>
      <c r="ED268" s="284"/>
      <c r="EE268" s="28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4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7"/>
      <c r="EL268" s="138"/>
      <c r="EM268" s="148"/>
      <c r="EN268" s="147"/>
      <c r="EO268" s="147"/>
      <c r="EP268" s="138"/>
      <c r="EQ268" s="419" t="b">
        <f>AND(ISNUMBER(SnapshotTable[[#This Row],[SC Exp Date]]), ISNUMBER(SnapshotTable[[#This Row],[SC Strike Price]]), ISNUMBER(SnapshotTable[[#This Row],[SC Qty]]), ISNUMBER(SnapshotTable[[#This Row],[SC Book Date]]), ISNUMBER(SnapshotTable[[#This Row],[SC Book Price]]))</f>
        <v>0</v>
      </c>
      <c r="ER268" s="419" t="b">
        <f>AND(SnapshotTable[[#This Row],[SC Is Booked]], NOT(ISBLANK(SnapshotTable[[#This Row],[SC Fill Date]])))</f>
        <v>0</v>
      </c>
      <c r="ES268" s="370"/>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3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283"/>
      <c r="FA268" s="218"/>
      <c r="FB268" s="370"/>
      <c r="FC268" s="4">
        <f>IF(SnapshotTable[[#This Row],[SC Is Filled]], btc_max_buyback_amount(SnapshotTable[[#This Row],[SC Fill Date]],SnapshotTable[[#This Row],[SC Exp Date]], SnapshotTable[[#This Row],[SC Book Price]]),0)</f>
        <v>0</v>
      </c>
      <c r="FD268" s="5"/>
      <c r="FE268" s="144"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382">
        <f>IF(SnapshotTable[[#This Row],[SC Is Filled]], IF(ISNUMBER(SnapshotTable[[#This Row],[SC Current Ask]]), SnapshotTable[[#This Row],[SC Current Ask]], SnapshotTable[[#This Row],[SC Book Price]]) - SnapshotTable[[#This Row],[SC Intrinsic Value]], 0)</f>
        <v>0</v>
      </c>
      <c r="FI268" s="143"/>
      <c r="FJ268" s="32" t="str">
        <f>IF(SnapshotTable[[#This Row],[SC Is Filled]],100 * SnapshotTable[[#This Row],[SC Qty]] * IF(ISNUMBER(SnapshotTable[[#This Row],[SC Buyback Override]]), SnapshotTable[[#This Row],[SC Buyback Override]], SnapshotTable[[#This Row],[SC Current Ask]]), "")</f>
        <v/>
      </c>
      <c r="FK268" s="250" t="str">
        <f>IF(SnapshotTable[[#This Row],[SC Time Val]]&gt;0, SnapshotTable[[#This Row],[SC Time Val]] / SnapshotTable[[#This Row],[Last Price]],"")</f>
        <v/>
      </c>
      <c r="FL268" s="302" t="str">
        <f>IF(SnapshotTable[[#This Row],[SC Is Booked]], ((SnapshotTable[[#This Row],[Last Price]] -SnapshotTable[[#This Row],[SC Strike Price]]) / SnapshotTable[[#This Row],[Last Price]]) * -1, "")</f>
        <v/>
      </c>
      <c r="FM268" s="157" t="str">
        <f>IF(SnapshotTable[[#This Row],[SC Is Booked]],  (SnapshotTable[[#This Row],[SC Qty]] * 100 * SnapshotTable[[#This Row],[SC Strike Price]]) - SnapshotTable[[#This Row],[SC Current Ask]], "")</f>
        <v/>
      </c>
      <c r="FN26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157"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33"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36" t="str">
        <f>IF(AND(ISNUMBER(SnapshotTable[[#This Row],[SC Simple ROO]]),SnapshotTable[[#This Row],[SC Simple ROO]] &gt; 0), SnapshotTable[[#This Row],[SC Premium]] + (SnapshotTable[[#This Row],[SC Qty]] * SnapshotTable[[#This Row],[SC Upside Potential]]), "")</f>
        <v/>
      </c>
      <c r="FX268" s="302" t="str" cm="1">
        <f t="array" ref="FX268">IF(ISNUMBER(SnapshotTable[[#This Row],[SC Max Dollars]]), annualize(SnapshotTable[[#This Row],[SC Term]],(SnapshotTable[[#This Row],[SC Max Dollars]]/SnapshotTable[[#This Row],[SC Basis]])),"")</f>
        <v/>
      </c>
      <c r="FY268" s="236" t="str">
        <f>IF(AND(SnapshotTable[[#This Row],[SC Qty]]&gt;0,SnapshotTable[[#This Row],[SC Current Ask]]&gt;0), SnapshotTable[[#This Row],[SC Qty]] * SnapshotTable[[#This Row],[SC Current Ask]] * -100, "")</f>
        <v/>
      </c>
      <c r="FZ268" s="235" t="str">
        <f>IF(ISNUMBER((SnapshotTable[[#This Row],[SC Current Value]])), SnapshotTable[[#This Row],[SC Premium]] + SnapshotTable[[#This Row],[SC Current Value]], "")</f>
        <v/>
      </c>
      <c r="GA268" s="294" t="str">
        <f>IFERROR( IF(ISNUMBER((SnapshotTable[[#This Row],[SC Current Value]])), SnapshotTable[[#This Row],[SC Gain Loss]] / SnapshotTable[[#This Row],[SC Premium]], ""), "")</f>
        <v/>
      </c>
      <c r="GB268" s="317">
        <f>SnapshotTable[[#This Row],[Equity Shares]] * SaleSharesToConsiderPercentage</f>
        <v>0</v>
      </c>
      <c r="GC268" s="318">
        <f>SnapshotTable[[#This Row],[Long Term Target]] * SellingPriceToConsiderBasedOnTargetPercentage</f>
        <v>15.608499999999999</v>
      </c>
      <c r="GD268" s="318">
        <f>SnapshotTable[[#This Row],[Last Price]] * (1+ SellingPriceToConsiderBasedOnTargetPercentage)</f>
        <v>28.587</v>
      </c>
      <c r="GE268" s="319"/>
      <c r="GF268" s="318"/>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158" t="str">
        <f>IF(SnapshotTable[[#This Row],[Sale G/L]]&gt;0, SnapshotTable[[#This Row],[Sale G/L]] / SnapshotTable[[#This Row],[Sale Basis]], IF(ISNUMBER(SnapshotTable[[#This Row],[SC Exercise P&amp;L (TAX)]]), SnapshotTable[[#This Row],[SC Exercise P&amp;L (TAX)]] / SnapshotTable[[#This Row],[SC Basis]], ""))</f>
        <v/>
      </c>
      <c r="GK268" s="27"/>
      <c r="GL268" s="159"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159" t="str">
        <f>IF(AND(SnapshotTable[[#This Row],[LC Exp Date]]&gt;0,SnapshotTable[[#This Row],[LC Strike Price]]&gt;0), [1]!ToOptionSymbol(SnapshotTable[[#This Row],[Symbol]], SnapshotTable[[#This Row],[LC Strike Price]],SnapshotTable[[#This Row],[LC Exp Date]],0), "")</f>
        <v/>
      </c>
      <c r="GQ268" s="160" t="str">
        <f>IF(LEN(SnapshotTable[[#This Row],[LC Symbol]])&gt;0, 1, "")</f>
        <v/>
      </c>
      <c r="GR268" s="159" t="str">
        <f>IF(AND(SnapshotTable[[#This Row],[SC Exp Date]]&gt;0,SnapshotTable[[#This Row],[SC Strike Price]]&gt;0), [1]!ToOptionSymbol(SnapshotTable[[#This Row],[Symbol]], SnapshotTable[[#This Row],[SC Strike Price]],SnapshotTable[[#This Row],[SC Exp Date]],0), "")</f>
        <v/>
      </c>
      <c r="GS268" s="160" t="str">
        <f>IF(LEN(SnapshotTable[[#This Row],[SC Symbol]])&gt;0, 1, "")</f>
        <v/>
      </c>
      <c r="GT268" s="161"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31">
        <f>MAX(SnapshotTable[[#This Row],[Equity Basis Total]],SnapshotTable[[#This Row],[Equity Value]]) + (SnapshotTable[[#This Row],[SP Potential Spend]]- SnapshotTable[[#This Row],[SP Premium]] + SnapshotTable[[#This Row],[LP Premium]])+ (SnapshotTable[[#This Row],[LC Premium]] - SnapshotTable[[#This Row],[SC Premium]])</f>
        <v>0</v>
      </c>
      <c r="GW268" s="139" t="str">
        <f>IF(AND(SnapshotTable[[#This Row],[Exposure]] &lt;&gt; 0),SnapshotTable[[#This Row],[Exposure]] / SnapshotTable[[#Totals],[Exposure]], "")</f>
        <v/>
      </c>
      <c r="HK268" s="1"/>
      <c r="HL268" s="1"/>
      <c r="HM268" s="1"/>
      <c r="HN268" s="1"/>
      <c r="HO268" s="1"/>
      <c r="HP268" s="1"/>
    </row>
    <row r="269" spans="2:224" ht="12.75" hidden="1" customHeight="1" x14ac:dyDescent="0.25">
      <c r="B269" s="12" t="s">
        <v>1238</v>
      </c>
      <c r="C269" s="422">
        <v>6.46</v>
      </c>
      <c r="D269" s="208"/>
      <c r="E269" s="39">
        <f>SnapshotTable[[#This Row],[Last Price]]*(1 -CrashDiscount)</f>
        <v>5.4909999999999997</v>
      </c>
      <c r="F269" s="325" t="s">
        <v>613</v>
      </c>
      <c r="G269" s="325" t="s">
        <v>9</v>
      </c>
      <c r="H269" s="149"/>
      <c r="I269" s="194"/>
      <c r="J269" s="195"/>
      <c r="K269" s="196"/>
      <c r="L269" s="326"/>
      <c r="M269" s="140"/>
      <c r="N269" s="140"/>
      <c r="O269" s="140"/>
      <c r="P269" s="22"/>
      <c r="Q269" s="25"/>
      <c r="R269" s="4" t="str">
        <f>IF(SnapshotTable[[#This Row],[Equity Basis Total]] &gt; 0, SnapshotTable[[#This Row],[Equity Basis Total]] / SnapshotTable[[#This Row],[Equity Shares]], "")</f>
        <v/>
      </c>
      <c r="S269" s="269">
        <f>SnapshotTable[[#This Row],[Last Price]] * SnapshotTable[[#This Row],[Equity Shares]]</f>
        <v>0</v>
      </c>
      <c r="T269" s="269">
        <f>SnapshotTable[[#This Row],[Equity Value]] - SnapshotTable[[#This Row],[Equity Basis Total]]</f>
        <v>0</v>
      </c>
      <c r="U269" s="270" t="str">
        <f>IF(SnapshotTable[[#This Row],[Equity Basis Total]] &gt; 0, SnapshotTable[[#This Row],[Equity G/L]] / SnapshotTable[[#This Row],[Equity Basis Total]], "")</f>
        <v/>
      </c>
      <c r="V269" s="268">
        <v>17.5</v>
      </c>
      <c r="W269" s="268">
        <v>15.6</v>
      </c>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7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0"/>
      <c r="AD269" s="151"/>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0</v>
      </c>
      <c r="AH269" s="151"/>
      <c r="AI269" s="5"/>
      <c r="AJ269" s="138"/>
      <c r="AK269" s="152" t="str">
        <f>IF(ISNUMBER( SnapshotTable[[#This Row],[EBF Target]]),(SnapshotTable[[#This Row],[EBF Target]] - SnapshotTable[[#This Row],[Last Price]]) / SnapshotTable[[#This Row],[Last Price]], "")</f>
        <v/>
      </c>
      <c r="AL269" s="152"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2" t="str">
        <f>IF(AND(ISNUMBER( SnapshotTable[[#This Row],[Long Term Target]]), ISNUMBER(SnapshotTable[[#This Row],[Last Price]])),(SnapshotTable[[#This Row],[Long Term Target]] - SnapshotTable[[#This Row],[Last Price]]) / SnapshotTable[[#This Row],[Last Price]], "")</f>
        <v/>
      </c>
      <c r="AP269" s="5"/>
      <c r="AQ269" s="38"/>
      <c r="AR269" s="5"/>
      <c r="AS269" s="38"/>
      <c r="AT269" s="146"/>
      <c r="AU269" s="187" t="str">
        <f>IF(OR(SnapshotTable[[#This Row],[LP No Fill]]="Y",SnapshotTable[[#This Row],[SP Is Filled]],SnapshotTable[[#This Row],[LC Not Filled]]="Y",SnapshotTable[[#This Row],[SC Is Filled]]),"Y","")</f>
        <v/>
      </c>
      <c r="AV269" s="219"/>
      <c r="AW269" s="225"/>
      <c r="AX269" s="220"/>
      <c r="AY269" s="219" t="str">
        <f>IF(SnapshotTable[[#This Row],[Implied Move]]&gt;0, SnapshotTable[[#This Row],[Last Price]]-SnapshotTable[[#This Row],[Implied Move]],"")</f>
        <v/>
      </c>
      <c r="AZ269" s="219" t="str">
        <f>IF(SnapshotTable[[#This Row],[Implied Move]]&gt;0, SnapshotTable[[#This Row],[Last Price]] + SnapshotTable[[#This Row],[Implied Move]],"")</f>
        <v/>
      </c>
      <c r="BA269" s="331"/>
      <c r="BB269" s="347"/>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51"/>
      <c r="BE269" s="5"/>
      <c r="BF269" s="14"/>
      <c r="BG269" s="13"/>
      <c r="BH269" s="13"/>
      <c r="BI269" s="5"/>
      <c r="BJ269" s="136">
        <f>IF(SnapshotTable[[#This Row],[LP Qty]] &gt; 0, SnapshotTable[[#This Row],[LP Qty]] * SnapshotTable[[#This Row],[LP Book Price]] * 100,0)</f>
        <v>0</v>
      </c>
      <c r="BK269" s="136">
        <f>IF(SnapshotTable[[#This Row],[LP Premium]] &gt; 0, SnapshotTable[[#This Row],[LP Qty]] * SnapshotTable[[#This Row],[LP Strike Price]] * 100,0)</f>
        <v>0</v>
      </c>
      <c r="BL269" s="154"/>
      <c r="BM269" s="385" t="str">
        <f>IF(SnapshotTable[[#This Row],[LP Premium]] &gt; 0,SnapshotTable[[#This Row],[LP Exp Date]]-MAX(SnapshotTable[[#This Row],[LP Book Date]], SnapshotTable[[#This Row],[LP Fill Date]]),"")</f>
        <v/>
      </c>
      <c r="BN269" s="385" t="str">
        <f>IF(ISNUMBER( SnapshotTable[[#This Row],[LP Term]]), SnapshotTable[[#This Row],[LP Exp Date]] - MockToday,"")</f>
        <v/>
      </c>
      <c r="BO269" s="163"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7"/>
      <c r="BU269" s="13"/>
      <c r="BV269" s="5"/>
      <c r="BW269" s="419" t="b">
        <f>AND(ISNUMBER(SnapshotTable[[#This Row],[SP Exp Date]]), ISNUMBER(SnapshotTable[[#This Row],[SP Strike Price]]), ISNUMBER(SnapshotTable[[#This Row],[SP Qty]]), ISNUMBER(SnapshotTable[[#This Row],[SP Book Date]]), ISNUMBER(SnapshotTable[[#This Row],[SP Book Price]]))</f>
        <v>0</v>
      </c>
      <c r="BX269" s="419" t="b">
        <f>AND(SnapshotTable[[#This Row],[SP Is Booked]], NOT(ISBLANK(SnapshotTable[[#This Row],[SP Fill Date]])))</f>
        <v>0</v>
      </c>
      <c r="BY269" s="33">
        <f>IF(SnapshotTable[[#This Row],[SP Is Booked]], SnapshotTable[[#This Row],[SP Qty]] * SnapshotTable[[#This Row],[SP Book Price]] * 100, 0)</f>
        <v>0</v>
      </c>
      <c r="BZ269" s="369"/>
      <c r="CA269" s="368">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3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44"/>
      <c r="CK269" s="31">
        <f>IF(ISNUMBER(SnapshotTable[[#This Row],[SP Potential Spend]]),IF(ISNUMBER(SnapshotTable[[#This Row],[SP POW]]), SnapshotTable[[#This Row],[SP POW]] * SnapshotTable[[#This Row],[SP Potential Spend]], SnapshotTable[[#This Row],[SP Potential Spend]]), "")</f>
        <v>0</v>
      </c>
      <c r="CL269" s="164">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218"/>
      <c r="CO269" s="369"/>
      <c r="CP269" s="4" t="str">
        <f>IF(SnapshotTable[[#This Row],[SP Is Filled]], btc_max_buyback_amount(SnapshotTable[[#This Row],[SP Fill Date]],SnapshotTable[[#This Row],[SP Exp Date]], SnapshotTable[[#This Row],[SP Book Price]]),"")</f>
        <v/>
      </c>
      <c r="CQ269" s="78"/>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5" t="str">
        <f>IF(SnapshotTable[[#This Row],[SP Is Filled]], btc_next_cutoff_date(SnapshotTable[[#This Row],[SP Fill Date]],SnapshotTable[[#This Row],[SP Exp Date]]),"")</f>
        <v/>
      </c>
      <c r="CT269" s="23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56"/>
      <c r="CV269" s="235"/>
      <c r="CW269" s="378"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294" t="str">
        <f>IF(ISNUMBER((SnapshotTable[[#This Row],[SP Total Value]])), SnapshotTable[[#This Row],[SP Gain Loss]] / SnapshotTable[[#This Row],[SP Premium]], "")</f>
        <v/>
      </c>
      <c r="DI269" s="406"/>
      <c r="DJ269" s="138"/>
      <c r="DK269" s="148"/>
      <c r="DL269" s="13"/>
      <c r="DM269" s="13"/>
      <c r="DO269" s="31">
        <f>IF(SnapshotTable[[#This Row],[LC Symbol Count]]=1, SnapshotTable[[#This Row],[LC Qty]] * SnapshotTable[[#This Row],[LC Book Price]] * 100, 0)</f>
        <v>0</v>
      </c>
      <c r="DP269" s="163" t="str">
        <f>IF(AND(SnapshotTable[[#This Row],[LC Exp Date]]&gt;0, SnapshotTable[[#This Row],[LC Strike Price]]&gt;0,SnapshotTable[[#This Row],[LC Qty]]&gt;0,SnapshotTable[[#This Row],[LC Book Date]]&gt;0,SnapshotTable[[#This Row],[LC Book Price]]&gt;0,SnapshotTable[[#This Row],[LC Fill Date]]=0),"Y","")</f>
        <v/>
      </c>
      <c r="DQ269" s="386" t="str">
        <f>IF(SnapshotTable[[#This Row],[LC Premium]] &gt; 0,SnapshotTable[[#This Row],[LC Exp Date]]-MAX(SnapshotTable[[#This Row],[LC Book Date]], SnapshotTable[[#This Row],[LC Fill Date]]),"")</f>
        <v/>
      </c>
      <c r="DR269" s="386" t="str">
        <f>IF(ISNUMBER(SnapshotTable[[#This Row],[LC Term]]), SnapshotTable[[#This Row],[LC Exp Date]] - MockToday, "")</f>
        <v/>
      </c>
      <c r="DS269" s="23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40" t="str">
        <f>IF(ISNUMBER(SnapshotTable[[#This Row],[LC Actual Gain Loss]]), SnapshotTable[[#This Row],[LC Actual Gain Loss]] / SnapshotTable[[#This Row],[LC Premium]],"")</f>
        <v/>
      </c>
      <c r="DX269" s="284" t="str">
        <f>IF(ISNUMBER(SnapshotTable[[#This Row],[LC Book Price]]),SnapshotTable[[#This Row],[LC Book Price]] * 1.5,"")</f>
        <v/>
      </c>
      <c r="DY269" s="265" t="str">
        <f>IF(SnapshotTable[[#This Row],[LC Premium]]&gt;0, SnapshotTable[[#This Row],[LC Next Target]] * SnapshotTable[[#This Row],[LC Qty]] * 100,"")</f>
        <v/>
      </c>
      <c r="DZ269" s="265" t="str">
        <f>IF(ISNUMBER(SnapshotTable[[#This Row],[LC Target Gross]]), SnapshotTable[[#This Row],[LC Target Gross]] - SnapshotTable[[#This Row],[LC Premium]], "")</f>
        <v/>
      </c>
      <c r="EA269" s="305" t="str">
        <f>IF(ISNUMBER(SnapshotTable[[#This Row],[LC Target Gain Loss]]), SnapshotTable[[#This Row],[LC Target Gain Loss]]/SnapshotTable[[#This Row],[LC Premium]], "")</f>
        <v/>
      </c>
      <c r="EB269" s="262"/>
      <c r="EC269" s="283" t="str">
        <f>IF(SnapshotTable[[#This Row],[LC Premium]]&gt;0, SnapshotTable[[#This Row],[LC Book Price]] * (1 - LC_StopLoss_Pct),"")</f>
        <v/>
      </c>
      <c r="ED269" s="284"/>
      <c r="EE269" s="28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4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7"/>
      <c r="EL269" s="138"/>
      <c r="EM269" s="148"/>
      <c r="EN269" s="147"/>
      <c r="EO269" s="147"/>
      <c r="EP269" s="138"/>
      <c r="EQ269" s="419" t="b">
        <f>AND(ISNUMBER(SnapshotTable[[#This Row],[SC Exp Date]]), ISNUMBER(SnapshotTable[[#This Row],[SC Strike Price]]), ISNUMBER(SnapshotTable[[#This Row],[SC Qty]]), ISNUMBER(SnapshotTable[[#This Row],[SC Book Date]]), ISNUMBER(SnapshotTable[[#This Row],[SC Book Price]]))</f>
        <v>0</v>
      </c>
      <c r="ER269" s="419" t="b">
        <f>AND(SnapshotTable[[#This Row],[SC Is Booked]], NOT(ISBLANK(SnapshotTable[[#This Row],[SC Fill Date]])))</f>
        <v>0</v>
      </c>
      <c r="ES269" s="370"/>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3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283"/>
      <c r="FA269" s="218"/>
      <c r="FB269" s="370"/>
      <c r="FC269" s="4">
        <f>IF(SnapshotTable[[#This Row],[SC Is Filled]], btc_max_buyback_amount(SnapshotTable[[#This Row],[SC Fill Date]],SnapshotTable[[#This Row],[SC Exp Date]], SnapshotTable[[#This Row],[SC Book Price]]),0)</f>
        <v>0</v>
      </c>
      <c r="FD269" s="5"/>
      <c r="FE269" s="144"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382">
        <f>IF(SnapshotTable[[#This Row],[SC Is Filled]], IF(ISNUMBER(SnapshotTable[[#This Row],[SC Current Ask]]), SnapshotTable[[#This Row],[SC Current Ask]], SnapshotTable[[#This Row],[SC Book Price]]) - SnapshotTable[[#This Row],[SC Intrinsic Value]], 0)</f>
        <v>0</v>
      </c>
      <c r="FI269" s="143"/>
      <c r="FJ269" s="32" t="str">
        <f>IF(SnapshotTable[[#This Row],[SC Is Filled]],100 * SnapshotTable[[#This Row],[SC Qty]] * IF(ISNUMBER(SnapshotTable[[#This Row],[SC Buyback Override]]), SnapshotTable[[#This Row],[SC Buyback Override]], SnapshotTable[[#This Row],[SC Current Ask]]), "")</f>
        <v/>
      </c>
      <c r="FK269" s="250" t="str">
        <f>IF(SnapshotTable[[#This Row],[SC Time Val]]&gt;0, SnapshotTable[[#This Row],[SC Time Val]] / SnapshotTable[[#This Row],[Last Price]],"")</f>
        <v/>
      </c>
      <c r="FL269" s="302" t="str">
        <f>IF(SnapshotTable[[#This Row],[SC Is Booked]], ((SnapshotTable[[#This Row],[Last Price]] -SnapshotTable[[#This Row],[SC Strike Price]]) / SnapshotTable[[#This Row],[Last Price]]) * -1, "")</f>
        <v/>
      </c>
      <c r="FM269" s="157"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33"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36" t="str">
        <f>IF(AND(ISNUMBER(SnapshotTable[[#This Row],[SC Simple ROO]]),SnapshotTable[[#This Row],[SC Simple ROO]] &gt; 0), SnapshotTable[[#This Row],[SC Premium]] + (SnapshotTable[[#This Row],[SC Qty]] * SnapshotTable[[#This Row],[SC Upside Potential]]), "")</f>
        <v/>
      </c>
      <c r="FX269" s="302" t="str" cm="1">
        <f t="array" ref="FX269">IF(ISNUMBER(SnapshotTable[[#This Row],[SC Max Dollars]]), annualize(SnapshotTable[[#This Row],[SC Term]],(SnapshotTable[[#This Row],[SC Max Dollars]]/SnapshotTable[[#This Row],[SC Basis]])),"")</f>
        <v/>
      </c>
      <c r="FY269" s="23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29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0</v>
      </c>
      <c r="GD269" s="40">
        <f>SnapshotTable[[#This Row],[Last Price]] * (1+ SellingPriceToConsiderBasedOnTargetPercentage)</f>
        <v>12.597</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31">
        <f>MAX(SnapshotTable[[#This Row],[Equity Basis Total]],SnapshotTable[[#This Row],[Equity Value]]) + (SnapshotTable[[#This Row],[SP Potential Spend]]- SnapshotTable[[#This Row],[SP Premium]] + SnapshotTable[[#This Row],[LP Premium]])+ (SnapshotTable[[#This Row],[LC Premium]] - SnapshotTable[[#This Row],[SC Premium]])</f>
        <v>0</v>
      </c>
      <c r="GW269" s="139" t="str">
        <f>IF(AND(SnapshotTable[[#This Row],[Exposure]] &lt;&gt; 0),SnapshotTable[[#This Row],[Exposure]] / SnapshotTable[[#Totals],[Exposure]], "")</f>
        <v/>
      </c>
      <c r="HK269" s="1"/>
      <c r="HL269" s="1"/>
      <c r="HM269" s="1"/>
      <c r="HN269" s="1"/>
      <c r="HO269" s="1"/>
      <c r="HP269" s="1"/>
    </row>
    <row r="270" spans="2:224" ht="12.75" hidden="1" customHeight="1" x14ac:dyDescent="0.25">
      <c r="B270" s="12" t="s">
        <v>544</v>
      </c>
      <c r="C270" s="422">
        <v>116.27</v>
      </c>
      <c r="D270" s="208"/>
      <c r="E270" s="39">
        <f>SnapshotTable[[#This Row],[Last Price]]*(1 -CrashDiscount)</f>
        <v>98.829499999999996</v>
      </c>
      <c r="F270" s="26" t="s">
        <v>230</v>
      </c>
      <c r="G270" s="26" t="s">
        <v>9</v>
      </c>
      <c r="H270" s="149"/>
      <c r="I270" s="194">
        <v>44797.666666666664</v>
      </c>
      <c r="J270" s="195">
        <v>44797.666666666664</v>
      </c>
      <c r="K270" s="196"/>
      <c r="L270" s="326"/>
      <c r="M270" s="140"/>
      <c r="N270" s="140"/>
      <c r="O270" s="140"/>
      <c r="P270" s="22"/>
      <c r="Q270" s="25"/>
      <c r="R270" s="4" t="str">
        <f>IF(SnapshotTable[[#This Row],[Equity Basis Total]] &gt; 0, SnapshotTable[[#This Row],[Equity Basis Total]] / SnapshotTable[[#This Row],[Equity Shares]], "")</f>
        <v/>
      </c>
      <c r="S270" s="269">
        <f>SnapshotTable[[#This Row],[Last Price]] * SnapshotTable[[#This Row],[Equity Shares]]</f>
        <v>0</v>
      </c>
      <c r="T270" s="269">
        <f>SnapshotTable[[#This Row],[Equity Value]] - SnapshotTable[[#This Row],[Equity Basis Total]]</f>
        <v>0</v>
      </c>
      <c r="U270" s="270" t="str">
        <f>IF(SnapshotTable[[#This Row],[Equity Basis Total]] &gt; 0, SnapshotTable[[#This Row],[Equity G/L]] / SnapshotTable[[#This Row],[Equity Basis Total]], "")</f>
        <v/>
      </c>
      <c r="V270" s="268"/>
      <c r="W270" s="268"/>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7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0"/>
      <c r="AD270" s="151"/>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1"/>
      <c r="AI270" s="5"/>
      <c r="AJ270" s="138">
        <v>153.21</v>
      </c>
      <c r="AK270" s="152" t="str">
        <f>IF(ISNUMBER( SnapshotTable[[#This Row],[EBF Target]]),(SnapshotTable[[#This Row],[EBF Target]] - SnapshotTable[[#This Row],[Last Price]]) / SnapshotTable[[#This Row],[Last Price]], "")</f>
        <v/>
      </c>
      <c r="AL270" s="152"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2">
        <f>IF(AND(ISNUMBER( SnapshotTable[[#This Row],[Long Term Target]]), ISNUMBER(SnapshotTable[[#This Row],[Last Price]])),(SnapshotTable[[#This Row],[Long Term Target]] - SnapshotTable[[#This Row],[Last Price]]) / SnapshotTable[[#This Row],[Last Price]], "")</f>
        <v>0.31770878128494034</v>
      </c>
      <c r="AP270" s="5">
        <v>132</v>
      </c>
      <c r="AQ270" s="38" t="s">
        <v>110</v>
      </c>
      <c r="AR270" s="5" t="s">
        <v>546</v>
      </c>
      <c r="AS270" s="38" t="s">
        <v>109</v>
      </c>
      <c r="AT270" s="146" t="s">
        <v>545</v>
      </c>
      <c r="AU270" s="187" t="str">
        <f>IF(OR(SnapshotTable[[#This Row],[LP No Fill]]="Y",SnapshotTable[[#This Row],[SP Is Filled]],SnapshotTable[[#This Row],[LC Not Filled]]="Y",SnapshotTable[[#This Row],[SC Is Filled]]),"Y","")</f>
        <v/>
      </c>
      <c r="AV270" s="219"/>
      <c r="AW270" s="225"/>
      <c r="AX270" s="220"/>
      <c r="AY270" s="219" t="str">
        <f>IF(SnapshotTable[[#This Row],[Implied Move]]&gt;0, SnapshotTable[[#This Row],[Last Price]]-SnapshotTable[[#This Row],[Implied Move]],"")</f>
        <v/>
      </c>
      <c r="AZ270" s="219" t="str">
        <f>IF(SnapshotTable[[#This Row],[Implied Move]]&gt;0, SnapshotTable[[#This Row],[Last Price]] + SnapshotTable[[#This Row],[Implied Move]],"")</f>
        <v/>
      </c>
      <c r="BA270" s="331"/>
      <c r="BB270" s="347"/>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51"/>
      <c r="BE270" s="5"/>
      <c r="BF270" s="14"/>
      <c r="BG270" s="13"/>
      <c r="BH270" s="13"/>
      <c r="BI270" s="5"/>
      <c r="BJ270" s="136">
        <f>IF(SnapshotTable[[#This Row],[LP Qty]] &gt; 0, SnapshotTable[[#This Row],[LP Qty]] * SnapshotTable[[#This Row],[LP Book Price]] * 100,0)</f>
        <v>0</v>
      </c>
      <c r="BK270" s="136">
        <f>IF(SnapshotTable[[#This Row],[LP Premium]] &gt; 0, SnapshotTable[[#This Row],[LP Qty]] * SnapshotTable[[#This Row],[LP Strike Price]] * 100,0)</f>
        <v>0</v>
      </c>
      <c r="BL270" s="154"/>
      <c r="BM270" s="385" t="str">
        <f>IF(SnapshotTable[[#This Row],[LP Premium]] &gt; 0,SnapshotTable[[#This Row],[LP Exp Date]]-MAX(SnapshotTable[[#This Row],[LP Book Date]], SnapshotTable[[#This Row],[LP Fill Date]]),"")</f>
        <v/>
      </c>
      <c r="BN270" s="385" t="str">
        <f>IF(ISNUMBER( SnapshotTable[[#This Row],[LP Term]]), SnapshotTable[[#This Row],[LP Exp Date]] - MockToday,"")</f>
        <v/>
      </c>
      <c r="BO270" s="163"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7"/>
      <c r="BU270" s="13"/>
      <c r="BV270" s="5"/>
      <c r="BW270" s="419" t="b">
        <f>AND(ISNUMBER(SnapshotTable[[#This Row],[SP Exp Date]]), ISNUMBER(SnapshotTable[[#This Row],[SP Strike Price]]), ISNUMBER(SnapshotTable[[#This Row],[SP Qty]]), ISNUMBER(SnapshotTable[[#This Row],[SP Book Date]]), ISNUMBER(SnapshotTable[[#This Row],[SP Book Price]]))</f>
        <v>0</v>
      </c>
      <c r="BX270" s="419" t="b">
        <f>AND(SnapshotTable[[#This Row],[SP Is Booked]], NOT(ISBLANK(SnapshotTable[[#This Row],[SP Fill Date]])))</f>
        <v>0</v>
      </c>
      <c r="BY270" s="33">
        <f>IF(SnapshotTable[[#This Row],[SP Is Booked]], SnapshotTable[[#This Row],[SP Qty]] * SnapshotTable[[#This Row],[SP Book Price]] * 100, 0)</f>
        <v>0</v>
      </c>
      <c r="BZ270" s="369"/>
      <c r="CA270" s="368">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3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44"/>
      <c r="CK270" s="31">
        <f>IF(ISNUMBER(SnapshotTable[[#This Row],[SP Potential Spend]]),IF(ISNUMBER(SnapshotTable[[#This Row],[SP POW]]), SnapshotTable[[#This Row],[SP POW]] * SnapshotTable[[#This Row],[SP Potential Spend]], SnapshotTable[[#This Row],[SP Potential Spend]]), "")</f>
        <v>0</v>
      </c>
      <c r="CL270" s="164">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78"/>
      <c r="CO270" s="369"/>
      <c r="CP270" s="4" t="str">
        <f>IF(SnapshotTable[[#This Row],[SP Is Filled]], btc_max_buyback_amount(SnapshotTable[[#This Row],[SP Fill Date]],SnapshotTable[[#This Row],[SP Exp Date]], SnapshotTable[[#This Row],[SP Book Price]]),"")</f>
        <v/>
      </c>
      <c r="CQ270" s="78"/>
      <c r="CR2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5" t="str">
        <f>IF(SnapshotTable[[#This Row],[SP Is Filled]], btc_next_cutoff_date(SnapshotTable[[#This Row],[SP Fill Date]],SnapshotTable[[#This Row],[SP Exp Date]]),"")</f>
        <v/>
      </c>
      <c r="CT270" s="23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43"/>
      <c r="CV270" s="235"/>
      <c r="CW270" s="378"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294" t="str">
        <f>IF(ISNUMBER((SnapshotTable[[#This Row],[SP Total Value]])), SnapshotTable[[#This Row],[SP Gain Loss]] / SnapshotTable[[#This Row],[SP Premium]], "")</f>
        <v/>
      </c>
      <c r="DI270" s="406"/>
      <c r="DJ270" s="138"/>
      <c r="DK270" s="148"/>
      <c r="DL270" s="13"/>
      <c r="DM270" s="13"/>
      <c r="DO270" s="31">
        <f>IF(SnapshotTable[[#This Row],[LC Symbol Count]]=1, SnapshotTable[[#This Row],[LC Qty]] * SnapshotTable[[#This Row],[LC Book Price]] * 100, 0)</f>
        <v>0</v>
      </c>
      <c r="DP270" s="163" t="str">
        <f>IF(AND(SnapshotTable[[#This Row],[LC Exp Date]]&gt;0, SnapshotTable[[#This Row],[LC Strike Price]]&gt;0,SnapshotTable[[#This Row],[LC Qty]]&gt;0,SnapshotTable[[#This Row],[LC Book Date]]&gt;0,SnapshotTable[[#This Row],[LC Book Price]]&gt;0,SnapshotTable[[#This Row],[LC Fill Date]]=0),"Y","")</f>
        <v/>
      </c>
      <c r="DQ270" s="386" t="str">
        <f>IF(SnapshotTable[[#This Row],[LC Premium]] &gt; 0,SnapshotTable[[#This Row],[LC Exp Date]]-MAX(SnapshotTable[[#This Row],[LC Book Date]], SnapshotTable[[#This Row],[LC Fill Date]]),"")</f>
        <v/>
      </c>
      <c r="DR270" s="386" t="str">
        <f>IF(ISNUMBER(SnapshotTable[[#This Row],[LC Term]]), SnapshotTable[[#This Row],[LC Exp Date]] - MockToday, "")</f>
        <v/>
      </c>
      <c r="DS270" s="234" t="str">
        <f>IF(SnapshotTable[[#This Row],[LC Premium]]&gt;0,SnapshotTable[[#This Row],[LC Strike Price]] + SnapshotTable[[#This Row],[LC Book Price]],"")</f>
        <v/>
      </c>
      <c r="DU270" s="9" t="str">
        <f>IF(AND(SnapshotTable[[#This Row],[LC Symbol Count]]&gt;0, SnapshotTable[[#This Row],[LC Contract Value]]&gt;0), SnapshotTable[[#This Row],[LC Contract Value]] * SnapshotTable[[#This Row],[LC Qty]] * 100, "")</f>
        <v/>
      </c>
      <c r="DV270" s="9" t="str">
        <f>IF(AND(ISNUMBER(SnapshotTable[[#This Row],[LC Total Value]]), SnapshotTable[[#This Row],[LC Not Filled]]&lt;&gt;"Y"), SnapshotTable[[#This Row],[LC Total Value]]-SnapshotTable[[#This Row],[LC Premium]],"")</f>
        <v/>
      </c>
      <c r="DW270" s="240" t="str">
        <f>IF(ISNUMBER(SnapshotTable[[#This Row],[LC Actual Gain Loss]]), SnapshotTable[[#This Row],[LC Actual Gain Loss]] / SnapshotTable[[#This Row],[LC Premium]],"")</f>
        <v/>
      </c>
      <c r="DX270" s="284" t="str">
        <f>IF(ISNUMBER(SnapshotTable[[#This Row],[LC Book Price]]),SnapshotTable[[#This Row],[LC Book Price]] * 1.5,"")</f>
        <v/>
      </c>
      <c r="DY270" s="265" t="str">
        <f>IF(SnapshotTable[[#This Row],[LC Premium]]&gt;0, SnapshotTable[[#This Row],[LC Next Target]] * SnapshotTable[[#This Row],[LC Qty]] * 100,"")</f>
        <v/>
      </c>
      <c r="DZ270" s="265" t="str">
        <f>IF(ISNUMBER(SnapshotTable[[#This Row],[LC Target Gross]]), SnapshotTable[[#This Row],[LC Target Gross]] - SnapshotTable[[#This Row],[LC Premium]], "")</f>
        <v/>
      </c>
      <c r="EA270" s="305" t="str">
        <f>IF(ISNUMBER(SnapshotTable[[#This Row],[LC Target Gain Loss]]), SnapshotTable[[#This Row],[LC Target Gain Loss]]/SnapshotTable[[#This Row],[LC Premium]], "")</f>
        <v/>
      </c>
      <c r="EB270" s="262"/>
      <c r="EC270" s="283" t="str">
        <f>IF(SnapshotTable[[#This Row],[LC Premium]]&gt;0, SnapshotTable[[#This Row],[LC Book Price]] * (1 - LC_StopLoss_Pct),"")</f>
        <v/>
      </c>
      <c r="ED270" s="284"/>
      <c r="EE270" s="283" t="str">
        <f>IF(ISNUMBER(SnapshotTable[[#This Row],[LC Contract Value]]),IF(ISNUMBER(SnapshotTable[[#This Row],[LC Stop Loss Override]]), SnapshotTable[[#This Row],[LC Stop Loss Override]],SnapshotTable[[#This Row],[LC Stop Loss Calc Target]]),"")</f>
        <v/>
      </c>
      <c r="EF270" s="31" t="str">
        <f>IF(ISNUMBER(SnapshotTable[[#This Row],[LC Stop  To Use]]), (SnapshotTable[[#This Row],[LC Stop  To Use]] * SnapshotTable[[#This Row],[LC Qty]] * 100),"")</f>
        <v/>
      </c>
      <c r="EG270" s="9" t="str">
        <f>IF(ISNUMBER(SnapshotTable[[#This Row],[LC Total Value]]),SnapshotTable[[#This Row],[LC Stop Loss Amount]] - SnapshotTable[[#This Row],[LC Premium]],"")</f>
        <v/>
      </c>
      <c r="EH270" s="9">
        <f>IF(ISNUMBER(SnapshotTable[[#This Row],[LC Premium]]), SnapshotTable[[#This Row],[LC Qty]] * 100 * SnapshotTable[[#This Row],[LC Strike Price]], "")</f>
        <v>0</v>
      </c>
      <c r="EI270" s="24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7"/>
      <c r="EL270" s="138"/>
      <c r="EM270" s="148"/>
      <c r="EN270" s="147"/>
      <c r="EO270" s="147"/>
      <c r="EP270" s="138"/>
      <c r="EQ270" s="419" t="b">
        <f>AND(ISNUMBER(SnapshotTable[[#This Row],[SC Exp Date]]), ISNUMBER(SnapshotTable[[#This Row],[SC Strike Price]]), ISNUMBER(SnapshotTable[[#This Row],[SC Qty]]), ISNUMBER(SnapshotTable[[#This Row],[SC Book Date]]), ISNUMBER(SnapshotTable[[#This Row],[SC Book Price]]))</f>
        <v>0</v>
      </c>
      <c r="ER270" s="419" t="b">
        <f>AND(SnapshotTable[[#This Row],[SC Is Booked]], NOT(ISBLANK(SnapshotTable[[#This Row],[SC Fill Date]])))</f>
        <v>0</v>
      </c>
      <c r="ES270" s="370"/>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3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283"/>
      <c r="FA270" s="218"/>
      <c r="FB270" s="370"/>
      <c r="FC270" s="4">
        <f>IF(SnapshotTable[[#This Row],[SC Is Filled]], btc_max_buyback_amount(SnapshotTable[[#This Row],[SC Fill Date]],SnapshotTable[[#This Row],[SC Exp Date]], SnapshotTable[[#This Row],[SC Book Price]]),0)</f>
        <v>0</v>
      </c>
      <c r="FD270" s="5"/>
      <c r="FE270" s="144"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382">
        <f>IF(SnapshotTable[[#This Row],[SC Is Filled]], IF(ISNUMBER(SnapshotTable[[#This Row],[SC Current Ask]]), SnapshotTable[[#This Row],[SC Current Ask]], SnapshotTable[[#This Row],[SC Book Price]]) - SnapshotTable[[#This Row],[SC Intrinsic Value]], 0)</f>
        <v>0</v>
      </c>
      <c r="FI270" s="143"/>
      <c r="FJ270" s="32" t="str">
        <f>IF(SnapshotTable[[#This Row],[SC Is Filled]],100 * SnapshotTable[[#This Row],[SC Qty]] * IF(ISNUMBER(SnapshotTable[[#This Row],[SC Buyback Override]]), SnapshotTable[[#This Row],[SC Buyback Override]], SnapshotTable[[#This Row],[SC Current Ask]]), "")</f>
        <v/>
      </c>
      <c r="FK270" s="250" t="str">
        <f>IF(SnapshotTable[[#This Row],[SC Time Val]]&gt;0, SnapshotTable[[#This Row],[SC Time Val]] / SnapshotTable[[#This Row],[Last Price]],"")</f>
        <v/>
      </c>
      <c r="FL270" s="302" t="str">
        <f>IF(SnapshotTable[[#This Row],[SC Is Booked]], ((SnapshotTable[[#This Row],[Last Price]] -SnapshotTable[[#This Row],[SC Strike Price]]) / SnapshotTable[[#This Row],[Last Price]]) * -1, "")</f>
        <v/>
      </c>
      <c r="FM270" s="157" t="str">
        <f>IF(SnapshotTable[[#This Row],[SC Is Booked]],  (SnapshotTable[[#This Row],[SC Qty]] * 100 * SnapshotTable[[#This Row],[SC Strike Price]]) - SnapshotTable[[#This Row],[SC Current Ask]], "")</f>
        <v/>
      </c>
      <c r="FN2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31"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33"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36" t="str">
        <f>IF(AND(ISNUMBER(SnapshotTable[[#This Row],[SC Simple ROO]]),SnapshotTable[[#This Row],[SC Simple ROO]] &gt; 0), SnapshotTable[[#This Row],[SC Premium]] + (SnapshotTable[[#This Row],[SC Qty]] * SnapshotTable[[#This Row],[SC Upside Potential]]), "")</f>
        <v/>
      </c>
      <c r="FX270" s="302" t="str" cm="1">
        <f t="array" ref="FX270">IF(ISNUMBER(SnapshotTable[[#This Row],[SC Max Dollars]]), annualize(SnapshotTable[[#This Row],[SC Term]],(SnapshotTable[[#This Row],[SC Max Dollars]]/SnapshotTable[[#This Row],[SC Basis]])),"")</f>
        <v/>
      </c>
      <c r="FY270" s="236" t="str">
        <f>IF(AND(SnapshotTable[[#This Row],[SC Qty]]&gt;0,SnapshotTable[[#This Row],[SC Current Ask]]&gt;0), SnapshotTable[[#This Row],[SC Qty]] * SnapshotTable[[#This Row],[SC Current Ask]] * -100, "")</f>
        <v/>
      </c>
      <c r="FZ270" s="31" t="str">
        <f>IF(ISNUMBER((SnapshotTable[[#This Row],[SC Current Value]])), SnapshotTable[[#This Row],[SC Premium]] + SnapshotTable[[#This Row],[SC Current Value]], "")</f>
        <v/>
      </c>
      <c r="GA270" s="29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145.54949999999999</v>
      </c>
      <c r="GD270" s="40">
        <f>SnapshotTable[[#This Row],[Last Price]] * (1+ SellingPriceToConsiderBasedOnTargetPercentage)</f>
        <v>226.72649999999999</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27" t="str">
        <f>IF(SnapshotTable[[#This Row],[Sale G/L]]&gt;0, SnapshotTable[[#This Row],[Sale G/L]] / SnapshotTable[[#This Row],[Sale Basis]], IF(ISNUMBER(SnapshotTable[[#This Row],[SC Exercise P&amp;L (TAX)]]), SnapshotTable[[#This Row],[SC Exercise P&amp;L (TAX)]] / SnapshotTable[[#This Row],[SC Basis]], ""))</f>
        <v/>
      </c>
      <c r="GK270" s="27" t="s">
        <v>754</v>
      </c>
      <c r="GL270" s="43"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43" t="str">
        <f>IF(AND(SnapshotTable[[#This Row],[LC Exp Date]]&gt;0,SnapshotTable[[#This Row],[LC Strike Price]]&gt;0), [1]!ToOptionSymbol(SnapshotTable[[#This Row],[Symbol]], SnapshotTable[[#This Row],[LC Strike Price]],SnapshotTable[[#This Row],[LC Exp Date]],0), "")</f>
        <v/>
      </c>
      <c r="GQ270" s="30" t="str">
        <f>IF(LEN(SnapshotTable[[#This Row],[LC Symbol]])&gt;0, 1, "")</f>
        <v/>
      </c>
      <c r="GR270" s="43" t="str">
        <f>IF(AND(SnapshotTable[[#This Row],[SC Exp Date]]&gt;0,SnapshotTable[[#This Row],[SC Strike Price]]&gt;0), [1]!ToOptionSymbol(SnapshotTable[[#This Row],[Symbol]], SnapshotTable[[#This Row],[SC Strike Price]],SnapshotTable[[#This Row],[SC Exp Date]],0), "")</f>
        <v/>
      </c>
      <c r="GS270" s="30" t="str">
        <f>IF(LEN(SnapshotTable[[#This Row],[SC Symbol]])&gt;0, 1, "")</f>
        <v/>
      </c>
      <c r="GT270" s="29"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31">
        <f>MAX(SnapshotTable[[#This Row],[Equity Basis Total]],SnapshotTable[[#This Row],[Equity Value]]) + (SnapshotTable[[#This Row],[SP Potential Spend]]- SnapshotTable[[#This Row],[SP Premium]] + SnapshotTable[[#This Row],[LP Premium]])+ (SnapshotTable[[#This Row],[LC Premium]] - SnapshotTable[[#This Row],[SC Premium]])</f>
        <v>0</v>
      </c>
      <c r="GW270" s="139" t="str">
        <f>IF(AND(SnapshotTable[[#This Row],[Exposure]] &lt;&gt; 0),SnapshotTable[[#This Row],[Exposure]] / SnapshotTable[[#Totals],[Exposure]], "")</f>
        <v/>
      </c>
      <c r="HK270" s="1"/>
      <c r="HL270" s="1"/>
      <c r="HM270" s="1"/>
      <c r="HN270" s="1"/>
      <c r="HO270" s="1"/>
      <c r="HP270" s="1"/>
    </row>
    <row r="271" spans="2:224" hidden="1" x14ac:dyDescent="0.25">
      <c r="B271" s="12" t="s">
        <v>1146</v>
      </c>
      <c r="C271" s="422">
        <v>10.65</v>
      </c>
      <c r="D271" s="208"/>
      <c r="E271" s="39">
        <f>SnapshotTable[[#This Row],[Last Price]]*(1 -CrashDiscount)</f>
        <v>9.0525000000000002</v>
      </c>
      <c r="F271" s="26"/>
      <c r="G271" s="26"/>
      <c r="H271" s="149"/>
      <c r="I271" s="194"/>
      <c r="J271" s="195"/>
      <c r="K271" s="196"/>
      <c r="L271" s="326"/>
      <c r="M271" s="140"/>
      <c r="N271" s="140"/>
      <c r="O271" s="140"/>
      <c r="P271" s="22"/>
      <c r="Q271" s="25"/>
      <c r="R271" s="4" t="str">
        <f>IF(SnapshotTable[[#This Row],[Equity Basis Total]] &gt; 0, SnapshotTable[[#This Row],[Equity Basis Total]] / SnapshotTable[[#This Row],[Equity Shares]], "")</f>
        <v/>
      </c>
      <c r="S271" s="269">
        <f>SnapshotTable[[#This Row],[Last Price]] * SnapshotTable[[#This Row],[Equity Shares]]</f>
        <v>0</v>
      </c>
      <c r="T271" s="269">
        <f>SnapshotTable[[#This Row],[Equity Value]] - SnapshotTable[[#This Row],[Equity Basis Total]]</f>
        <v>0</v>
      </c>
      <c r="U271" s="270" t="str">
        <f>IF(SnapshotTable[[#This Row],[Equity Basis Total]] &gt; 0, SnapshotTable[[#This Row],[Equity G/L]] / SnapshotTable[[#This Row],[Equity Basis Total]], "")</f>
        <v/>
      </c>
      <c r="V271" s="268"/>
      <c r="W271" s="26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7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0"/>
      <c r="AD271" s="151"/>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1"/>
      <c r="AI271" s="5"/>
      <c r="AJ271" s="138"/>
      <c r="AK271" s="152" t="str">
        <f>IF(ISNUMBER( SnapshotTable[[#This Row],[EBF Target]]),(SnapshotTable[[#This Row],[EBF Target]] - SnapshotTable[[#This Row],[Last Price]]) / SnapshotTable[[#This Row],[Last Price]], "")</f>
        <v/>
      </c>
      <c r="AL271" s="152"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2" t="str">
        <f>IF(AND(ISNUMBER( SnapshotTable[[#This Row],[Long Term Target]]), ISNUMBER(SnapshotTable[[#This Row],[Last Price]])),(SnapshotTable[[#This Row],[Long Term Target]] - SnapshotTable[[#This Row],[Last Price]]) / SnapshotTable[[#This Row],[Last Price]], "")</f>
        <v/>
      </c>
      <c r="AP271" s="5">
        <v>17.5</v>
      </c>
      <c r="AQ271" s="38" t="s">
        <v>27</v>
      </c>
      <c r="AR271" s="5">
        <v>17.5</v>
      </c>
      <c r="AS271" s="38" t="s">
        <v>38</v>
      </c>
      <c r="AT271" s="146" t="s">
        <v>1147</v>
      </c>
      <c r="AU271" s="187" t="str">
        <f>IF(OR(SnapshotTable[[#This Row],[LP No Fill]]="Y",SnapshotTable[[#This Row],[SP Is Filled]],SnapshotTable[[#This Row],[LC Not Filled]]="Y",SnapshotTable[[#This Row],[SC Is Filled]]),"Y","")</f>
        <v/>
      </c>
      <c r="AV271" s="219"/>
      <c r="AW271" s="225"/>
      <c r="AX271" s="220"/>
      <c r="AY271" s="219" t="str">
        <f>IF(SnapshotTable[[#This Row],[Implied Move]]&gt;0, SnapshotTable[[#This Row],[Last Price]]-SnapshotTable[[#This Row],[Implied Move]],"")</f>
        <v/>
      </c>
      <c r="AZ271" s="219" t="str">
        <f>IF(SnapshotTable[[#This Row],[Implied Move]]&gt;0, SnapshotTable[[#This Row],[Last Price]] + SnapshotTable[[#This Row],[Implied Move]],"")</f>
        <v/>
      </c>
      <c r="BA271" s="331">
        <v>16.399999999999999</v>
      </c>
      <c r="BB271" s="347"/>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51"/>
      <c r="BE271" s="5"/>
      <c r="BF271" s="14"/>
      <c r="BG271" s="13"/>
      <c r="BH271" s="13"/>
      <c r="BI271" s="5"/>
      <c r="BJ271" s="136">
        <f>IF(SnapshotTable[[#This Row],[LP Qty]] &gt; 0, SnapshotTable[[#This Row],[LP Qty]] * SnapshotTable[[#This Row],[LP Book Price]] * 100,0)</f>
        <v>0</v>
      </c>
      <c r="BK271" s="136">
        <f>IF(SnapshotTable[[#This Row],[LP Premium]] &gt; 0, SnapshotTable[[#This Row],[LP Qty]] * SnapshotTable[[#This Row],[LP Strike Price]] * 100,0)</f>
        <v>0</v>
      </c>
      <c r="BL271" s="154"/>
      <c r="BM271" s="385" t="str">
        <f>IF(SnapshotTable[[#This Row],[LP Premium]] &gt; 0,SnapshotTable[[#This Row],[LP Exp Date]]-MAX(SnapshotTable[[#This Row],[LP Book Date]], SnapshotTable[[#This Row],[LP Fill Date]]),"")</f>
        <v/>
      </c>
      <c r="BN271" s="385" t="str">
        <f>IF(ISNUMBER( SnapshotTable[[#This Row],[LP Term]]), SnapshotTable[[#This Row],[LP Exp Date]] - MockToday,"")</f>
        <v/>
      </c>
      <c r="BO271" s="163"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7"/>
      <c r="BU271" s="13"/>
      <c r="BV271" s="5"/>
      <c r="BW271" s="419" t="b">
        <f>AND(ISNUMBER(SnapshotTable[[#This Row],[SP Exp Date]]), ISNUMBER(SnapshotTable[[#This Row],[SP Strike Price]]), ISNUMBER(SnapshotTable[[#This Row],[SP Qty]]), ISNUMBER(SnapshotTable[[#This Row],[SP Book Date]]), ISNUMBER(SnapshotTable[[#This Row],[SP Book Price]]))</f>
        <v>0</v>
      </c>
      <c r="BX271" s="419" t="b">
        <f>AND(SnapshotTable[[#This Row],[SP Is Booked]], NOT(ISBLANK(SnapshotTable[[#This Row],[SP Fill Date]])))</f>
        <v>0</v>
      </c>
      <c r="BY271" s="33">
        <f>IF(SnapshotTable[[#This Row],[SP Is Booked]], SnapshotTable[[#This Row],[SP Qty]] * SnapshotTable[[#This Row],[SP Book Price]] * 100, 0)</f>
        <v>0</v>
      </c>
      <c r="BZ271" s="369"/>
      <c r="CA271" s="368">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3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44"/>
      <c r="CK271" s="31">
        <f>IF(ISNUMBER(SnapshotTable[[#This Row],[SP Potential Spend]]),IF(ISNUMBER(SnapshotTable[[#This Row],[SP POW]]), SnapshotTable[[#This Row],[SP POW]] * SnapshotTable[[#This Row],[SP Potential Spend]], SnapshotTable[[#This Row],[SP Potential Spend]]), "")</f>
        <v>0</v>
      </c>
      <c r="CL271" s="164">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8"/>
      <c r="CO271" s="369"/>
      <c r="CP271" s="4" t="str">
        <f>IF(SnapshotTable[[#This Row],[SP Is Filled]], btc_max_buyback_amount(SnapshotTable[[#This Row],[SP Fill Date]],SnapshotTable[[#This Row],[SP Exp Date]], SnapshotTable[[#This Row],[SP Book Price]]),"")</f>
        <v/>
      </c>
      <c r="CQ271" s="78"/>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5" t="str">
        <f>IF(SnapshotTable[[#This Row],[SP Is Filled]], btc_next_cutoff_date(SnapshotTable[[#This Row],[SP Fill Date]],SnapshotTable[[#This Row],[SP Exp Date]]),"")</f>
        <v/>
      </c>
      <c r="CT271" s="23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3"/>
      <c r="CV271" s="235"/>
      <c r="CW271" s="378"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294" t="str">
        <f>IF(ISNUMBER((SnapshotTable[[#This Row],[SP Total Value]])), SnapshotTable[[#This Row],[SP Gain Loss]] / SnapshotTable[[#This Row],[SP Premium]], "")</f>
        <v/>
      </c>
      <c r="DI271" s="406"/>
      <c r="DJ271" s="138"/>
      <c r="DK271" s="148"/>
      <c r="DL271" s="13"/>
      <c r="DM271" s="13"/>
      <c r="DO271" s="31">
        <f>IF(SnapshotTable[[#This Row],[LC Symbol Count]]=1, SnapshotTable[[#This Row],[LC Qty]] * SnapshotTable[[#This Row],[LC Book Price]] * 100, 0)</f>
        <v>0</v>
      </c>
      <c r="DP271" s="163" t="str">
        <f>IF(AND(SnapshotTable[[#This Row],[LC Exp Date]]&gt;0, SnapshotTable[[#This Row],[LC Strike Price]]&gt;0,SnapshotTable[[#This Row],[LC Qty]]&gt;0,SnapshotTable[[#This Row],[LC Book Date]]&gt;0,SnapshotTable[[#This Row],[LC Book Price]]&gt;0,SnapshotTable[[#This Row],[LC Fill Date]]=0),"Y","")</f>
        <v/>
      </c>
      <c r="DQ271" s="386" t="str">
        <f>IF(SnapshotTable[[#This Row],[LC Premium]] &gt; 0,SnapshotTable[[#This Row],[LC Exp Date]]-MAX(SnapshotTable[[#This Row],[LC Book Date]], SnapshotTable[[#This Row],[LC Fill Date]]),"")</f>
        <v/>
      </c>
      <c r="DR271" s="386" t="str">
        <f>IF(ISNUMBER(SnapshotTable[[#This Row],[LC Term]]), SnapshotTable[[#This Row],[LC Exp Date]] - MockToday, "")</f>
        <v/>
      </c>
      <c r="DS271" s="23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40" t="str">
        <f>IF(ISNUMBER(SnapshotTable[[#This Row],[LC Actual Gain Loss]]), SnapshotTable[[#This Row],[LC Actual Gain Loss]] / SnapshotTable[[#This Row],[LC Premium]],"")</f>
        <v/>
      </c>
      <c r="DX271" s="284" t="str">
        <f>IF(ISNUMBER(SnapshotTable[[#This Row],[LC Book Price]]),SnapshotTable[[#This Row],[LC Book Price]] * 1.5,"")</f>
        <v/>
      </c>
      <c r="DY271" s="265" t="str">
        <f>IF(SnapshotTable[[#This Row],[LC Premium]]&gt;0, SnapshotTable[[#This Row],[LC Next Target]] * SnapshotTable[[#This Row],[LC Qty]] * 100,"")</f>
        <v/>
      </c>
      <c r="DZ271" s="265" t="str">
        <f>IF(ISNUMBER(SnapshotTable[[#This Row],[LC Target Gross]]), SnapshotTable[[#This Row],[LC Target Gross]] - SnapshotTable[[#This Row],[LC Premium]], "")</f>
        <v/>
      </c>
      <c r="EA271" s="305" t="str">
        <f>IF(ISNUMBER(SnapshotTable[[#This Row],[LC Target Gain Loss]]), SnapshotTable[[#This Row],[LC Target Gain Loss]]/SnapshotTable[[#This Row],[LC Premium]], "")</f>
        <v/>
      </c>
      <c r="EB271" s="262"/>
      <c r="EC271" s="283" t="str">
        <f>IF(SnapshotTable[[#This Row],[LC Premium]]&gt;0, SnapshotTable[[#This Row],[LC Book Price]] * (1 - LC_StopLoss_Pct),"")</f>
        <v/>
      </c>
      <c r="ED271" s="284"/>
      <c r="EE271" s="28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4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7"/>
      <c r="EL271" s="138"/>
      <c r="EM271" s="148"/>
      <c r="EN271" s="147"/>
      <c r="EO271" s="147"/>
      <c r="EP271" s="138"/>
      <c r="EQ271" s="419" t="b">
        <f>AND(ISNUMBER(SnapshotTable[[#This Row],[SC Exp Date]]), ISNUMBER(SnapshotTable[[#This Row],[SC Strike Price]]), ISNUMBER(SnapshotTable[[#This Row],[SC Qty]]), ISNUMBER(SnapshotTable[[#This Row],[SC Book Date]]), ISNUMBER(SnapshotTable[[#This Row],[SC Book Price]]))</f>
        <v>0</v>
      </c>
      <c r="ER271" s="419" t="b">
        <f>AND(SnapshotTable[[#This Row],[SC Is Booked]], NOT(ISBLANK(SnapshotTable[[#This Row],[SC Fill Date]])))</f>
        <v>0</v>
      </c>
      <c r="ES271" s="370"/>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3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283"/>
      <c r="FA271" s="218"/>
      <c r="FB271" s="370"/>
      <c r="FC271" s="4">
        <f>IF(SnapshotTable[[#This Row],[SC Is Filled]], btc_max_buyback_amount(SnapshotTable[[#This Row],[SC Fill Date]],SnapshotTable[[#This Row],[SC Exp Date]], SnapshotTable[[#This Row],[SC Book Price]]),0)</f>
        <v>0</v>
      </c>
      <c r="FD271" s="5"/>
      <c r="FE271" s="144"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382">
        <f>IF(SnapshotTable[[#This Row],[SC Is Filled]], IF(ISNUMBER(SnapshotTable[[#This Row],[SC Current Ask]]), SnapshotTable[[#This Row],[SC Current Ask]], SnapshotTable[[#This Row],[SC Book Price]]) - SnapshotTable[[#This Row],[SC Intrinsic Value]], 0)</f>
        <v>0</v>
      </c>
      <c r="FI271" s="143"/>
      <c r="FJ271" s="32" t="str">
        <f>IF(SnapshotTable[[#This Row],[SC Is Filled]],100 * SnapshotTable[[#This Row],[SC Qty]] * IF(ISNUMBER(SnapshotTable[[#This Row],[SC Buyback Override]]), SnapshotTable[[#This Row],[SC Buyback Override]], SnapshotTable[[#This Row],[SC Current Ask]]), "")</f>
        <v/>
      </c>
      <c r="FK271" s="250" t="str">
        <f>IF(SnapshotTable[[#This Row],[SC Time Val]]&gt;0, SnapshotTable[[#This Row],[SC Time Val]] / SnapshotTable[[#This Row],[Last Price]],"")</f>
        <v/>
      </c>
      <c r="FL271" s="302" t="str">
        <f>IF(SnapshotTable[[#This Row],[SC Is Booked]], ((SnapshotTable[[#This Row],[Last Price]] -SnapshotTable[[#This Row],[SC Strike Price]]) / SnapshotTable[[#This Row],[Last Price]]) * -1, "")</f>
        <v/>
      </c>
      <c r="FM271" s="157"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33"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36" t="str">
        <f>IF(AND(ISNUMBER(SnapshotTable[[#This Row],[SC Simple ROO]]),SnapshotTable[[#This Row],[SC Simple ROO]] &gt; 0), SnapshotTable[[#This Row],[SC Premium]] + (SnapshotTable[[#This Row],[SC Qty]] * SnapshotTable[[#This Row],[SC Upside Potential]]), "")</f>
        <v/>
      </c>
      <c r="FX271" s="302" t="str" cm="1">
        <f t="array" ref="FX271">IF(ISNUMBER(SnapshotTable[[#This Row],[SC Max Dollars]]), annualize(SnapshotTable[[#This Row],[SC Term]],(SnapshotTable[[#This Row],[SC Max Dollars]]/SnapshotTable[[#This Row],[SC Basis]])),"")</f>
        <v/>
      </c>
      <c r="FY271" s="23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29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0</v>
      </c>
      <c r="GD271" s="40">
        <f>SnapshotTable[[#This Row],[Last Price]] * (1+ SellingPriceToConsiderBasedOnTargetPercentage)</f>
        <v>20.767500000000002</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31">
        <f>MAX(SnapshotTable[[#This Row],[Equity Basis Total]],SnapshotTable[[#This Row],[Equity Value]]) + (SnapshotTable[[#This Row],[SP Potential Spend]]- SnapshotTable[[#This Row],[SP Premium]] + SnapshotTable[[#This Row],[LP Premium]])+ (SnapshotTable[[#This Row],[LC Premium]] - SnapshotTable[[#This Row],[SC Premium]])</f>
        <v>0</v>
      </c>
      <c r="GW271" s="139" t="str">
        <f>IF(AND(SnapshotTable[[#This Row],[Exposure]] &lt;&gt; 0),SnapshotTable[[#This Row],[Exposure]] / SnapshotTable[[#Totals],[Exposure]], "")</f>
        <v/>
      </c>
      <c r="HK271" s="1"/>
      <c r="HL271" s="1"/>
      <c r="HM271" s="1"/>
      <c r="HN271" s="1"/>
      <c r="HO271" s="1"/>
      <c r="HP271" s="1"/>
    </row>
    <row r="272" spans="2:224" ht="12.75" hidden="1" customHeight="1" x14ac:dyDescent="0.25">
      <c r="B272" s="12" t="s">
        <v>930</v>
      </c>
      <c r="C272" s="422">
        <v>474.16</v>
      </c>
      <c r="D272" s="208"/>
      <c r="E272" s="39">
        <f>SnapshotTable[[#This Row],[Last Price]]*(1 -CrashDiscount)</f>
        <v>403.036</v>
      </c>
      <c r="F272" s="26" t="s">
        <v>607</v>
      </c>
      <c r="G272" s="26" t="s">
        <v>606</v>
      </c>
      <c r="H272" s="149"/>
      <c r="I272" s="194">
        <v>44769.25</v>
      </c>
      <c r="J272" s="195">
        <v>44769.25</v>
      </c>
      <c r="K272" s="196"/>
      <c r="L272" s="326"/>
      <c r="M272" s="140"/>
      <c r="N272" s="140"/>
      <c r="O272" s="140"/>
      <c r="P272" s="22"/>
      <c r="Q272" s="25"/>
      <c r="R272" s="4" t="str">
        <f>IF(SnapshotTable[[#This Row],[Equity Basis Total]] &gt; 0, SnapshotTable[[#This Row],[Equity Basis Total]] / SnapshotTable[[#This Row],[Equity Shares]], "")</f>
        <v/>
      </c>
      <c r="S272" s="269">
        <f>SnapshotTable[[#This Row],[Last Price]] * SnapshotTable[[#This Row],[Equity Shares]]</f>
        <v>0</v>
      </c>
      <c r="T272" s="269">
        <f>SnapshotTable[[#This Row],[Equity Value]] - SnapshotTable[[#This Row],[Equity Basis Total]]</f>
        <v>0</v>
      </c>
      <c r="U272" s="270" t="str">
        <f>IF(SnapshotTable[[#This Row],[Equity Basis Total]] &gt; 0, SnapshotTable[[#This Row],[Equity G/L]] / SnapshotTable[[#This Row],[Equity Basis Total]], "")</f>
        <v/>
      </c>
      <c r="V272" s="268"/>
      <c r="W272" s="26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7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0"/>
      <c r="AD272" s="151"/>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0</v>
      </c>
      <c r="AH272" s="151"/>
      <c r="AI272" s="5"/>
      <c r="AJ272" s="138">
        <v>262.38</v>
      </c>
      <c r="AK272" s="152" t="str">
        <f>IF(ISNUMBER( SnapshotTable[[#This Row],[EBF Target]]),(SnapshotTable[[#This Row],[EBF Target]] - SnapshotTable[[#This Row],[Last Price]]) / SnapshotTable[[#This Row],[Last Price]], "")</f>
        <v/>
      </c>
      <c r="AL272" s="152"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2">
        <f>IF(AND(ISNUMBER( SnapshotTable[[#This Row],[Long Term Target]]), ISNUMBER(SnapshotTable[[#This Row],[Last Price]])),(SnapshotTable[[#This Row],[Long Term Target]] - SnapshotTable[[#This Row],[Last Price]]) / SnapshotTable[[#This Row],[Last Price]], "")</f>
        <v>-0.44664248354985664</v>
      </c>
      <c r="AP272" s="5"/>
      <c r="AQ272" s="38"/>
      <c r="AR272" s="5"/>
      <c r="AS272" s="38"/>
      <c r="AT272" s="146"/>
      <c r="AU272" s="187" t="str">
        <f>IF(OR(SnapshotTable[[#This Row],[LP No Fill]]="Y",SnapshotTable[[#This Row],[SP Is Filled]],SnapshotTable[[#This Row],[LC Not Filled]]="Y",SnapshotTable[[#This Row],[SC Is Filled]]),"Y","")</f>
        <v/>
      </c>
      <c r="AV272" s="219"/>
      <c r="AW272" s="225"/>
      <c r="AX272" s="220"/>
      <c r="AY272" s="219" t="str">
        <f>IF(SnapshotTable[[#This Row],[Implied Move]]&gt;0, SnapshotTable[[#This Row],[Last Price]]-SnapshotTable[[#This Row],[Implied Move]],"")</f>
        <v/>
      </c>
      <c r="AZ272" s="219" t="str">
        <f>IF(SnapshotTable[[#This Row],[Implied Move]]&gt;0, SnapshotTable[[#This Row],[Last Price]] + SnapshotTable[[#This Row],[Implied Move]],"")</f>
        <v/>
      </c>
      <c r="BA272" s="331"/>
      <c r="BB272" s="347"/>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51"/>
      <c r="BE272" s="138"/>
      <c r="BF272" s="166"/>
      <c r="BG272" s="167"/>
      <c r="BH272" s="167"/>
      <c r="BI272" s="221"/>
      <c r="BJ272" s="153">
        <f>IF(SnapshotTable[[#This Row],[LP Qty]] &gt; 0, SnapshotTable[[#This Row],[LP Qty]] * SnapshotTable[[#This Row],[LP Book Price]] * 100,0)</f>
        <v>0</v>
      </c>
      <c r="BK272" s="136">
        <f>IF(SnapshotTable[[#This Row],[LP Premium]] &gt; 0, SnapshotTable[[#This Row],[LP Qty]] * SnapshotTable[[#This Row],[LP Strike Price]] * 100,0)</f>
        <v>0</v>
      </c>
      <c r="BL272" s="154"/>
      <c r="BM272" s="385" t="str">
        <f>IF(SnapshotTable[[#This Row],[LP Premium]] &gt; 0,SnapshotTable[[#This Row],[LP Exp Date]]-MAX(SnapshotTable[[#This Row],[LP Book Date]], SnapshotTable[[#This Row],[LP Fill Date]]),"")</f>
        <v/>
      </c>
      <c r="BN272" s="385" t="str">
        <f>IF(ISNUMBER( SnapshotTable[[#This Row],[LP Term]]), SnapshotTable[[#This Row],[LP Exp Date]] - MockToday,"")</f>
        <v/>
      </c>
      <c r="BO272" s="163"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7"/>
      <c r="BU272" s="13"/>
      <c r="BV272" s="5"/>
      <c r="BW272" s="419" t="b">
        <f>AND(ISNUMBER(SnapshotTable[[#This Row],[SP Exp Date]]), ISNUMBER(SnapshotTable[[#This Row],[SP Strike Price]]), ISNUMBER(SnapshotTable[[#This Row],[SP Qty]]), ISNUMBER(SnapshotTable[[#This Row],[SP Book Date]]), ISNUMBER(SnapshotTable[[#This Row],[SP Book Price]]))</f>
        <v>0</v>
      </c>
      <c r="BX272" s="419" t="b">
        <f>AND(SnapshotTable[[#This Row],[SP Is Booked]], NOT(ISBLANK(SnapshotTable[[#This Row],[SP Fill Date]])))</f>
        <v>0</v>
      </c>
      <c r="BY272" s="33">
        <f>IF(SnapshotTable[[#This Row],[SP Is Booked]], SnapshotTable[[#This Row],[SP Qty]] * SnapshotTable[[#This Row],[SP Book Price]] * 100, 0)</f>
        <v>0</v>
      </c>
      <c r="BZ272" s="369"/>
      <c r="CA272" s="368">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3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44"/>
      <c r="CK272" s="31">
        <f>IF(ISNUMBER(SnapshotTable[[#This Row],[SP Potential Spend]]),IF(ISNUMBER(SnapshotTable[[#This Row],[SP POW]]), SnapshotTable[[#This Row],[SP POW]] * SnapshotTable[[#This Row],[SP Potential Spend]], SnapshotTable[[#This Row],[SP Potential Spend]]), "")</f>
        <v>0</v>
      </c>
      <c r="CL272" s="164">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154"/>
      <c r="CO272" s="369"/>
      <c r="CP272" s="320" t="str">
        <f>IF(SnapshotTable[[#This Row],[SP Is Filled]], btc_max_buyback_amount(SnapshotTable[[#This Row],[SP Fill Date]],SnapshotTable[[#This Row],[SP Exp Date]], SnapshotTable[[#This Row],[SP Book Price]]),"")</f>
        <v/>
      </c>
      <c r="CQ272" s="78"/>
      <c r="CR272"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5" t="str">
        <f>IF(SnapshotTable[[#This Row],[SP Is Filled]], btc_next_cutoff_date(SnapshotTable[[#This Row],[SP Fill Date]],SnapshotTable[[#This Row],[SP Exp Date]]),"")</f>
        <v/>
      </c>
      <c r="CT272" s="23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56"/>
      <c r="CV272" s="235"/>
      <c r="CW272" s="378"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294" t="str">
        <f>IF(ISNUMBER((SnapshotTable[[#This Row],[SP Total Value]])), SnapshotTable[[#This Row],[SP Gain Loss]] / SnapshotTable[[#This Row],[SP Premium]], "")</f>
        <v/>
      </c>
      <c r="DI272" s="406"/>
      <c r="DJ272" s="138"/>
      <c r="DK272" s="148"/>
      <c r="DL272" s="147"/>
      <c r="DM272" s="147"/>
      <c r="DO272" s="31">
        <f>IF(SnapshotTable[[#This Row],[LC Symbol Count]]=1, SnapshotTable[[#This Row],[LC Qty]] * SnapshotTable[[#This Row],[LC Book Price]] * 100, 0)</f>
        <v>0</v>
      </c>
      <c r="DP272" s="289" t="str">
        <f>IF(AND(SnapshotTable[[#This Row],[LC Exp Date]]&gt;0, SnapshotTable[[#This Row],[LC Strike Price]]&gt;0,SnapshotTable[[#This Row],[LC Qty]]&gt;0,SnapshotTable[[#This Row],[LC Book Date]]&gt;0,SnapshotTable[[#This Row],[LC Book Price]]&gt;0,SnapshotTable[[#This Row],[LC Fill Date]]=0),"Y","")</f>
        <v/>
      </c>
      <c r="DQ272" s="386" t="str">
        <f>IF(SnapshotTable[[#This Row],[LC Premium]] &gt; 0,SnapshotTable[[#This Row],[LC Exp Date]]-MAX(SnapshotTable[[#This Row],[LC Book Date]], SnapshotTable[[#This Row],[LC Fill Date]]),"")</f>
        <v/>
      </c>
      <c r="DR272" s="386" t="str">
        <f>IF(ISNUMBER(SnapshotTable[[#This Row],[LC Term]]), SnapshotTable[[#This Row],[LC Exp Date]] - MockToday, "")</f>
        <v/>
      </c>
      <c r="DS272" s="23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40" t="str">
        <f>IF(ISNUMBER(SnapshotTable[[#This Row],[LC Actual Gain Loss]]), SnapshotTable[[#This Row],[LC Actual Gain Loss]] / SnapshotTable[[#This Row],[LC Premium]],"")</f>
        <v/>
      </c>
      <c r="DX272" s="284" t="str">
        <f>IF(ISNUMBER(SnapshotTable[[#This Row],[LC Book Price]]),SnapshotTable[[#This Row],[LC Book Price]] * 1.5,"")</f>
        <v/>
      </c>
      <c r="DY272" s="265" t="str">
        <f>IF(SnapshotTable[[#This Row],[LC Premium]]&gt;0, SnapshotTable[[#This Row],[LC Next Target]] * SnapshotTable[[#This Row],[LC Qty]] * 100,"")</f>
        <v/>
      </c>
      <c r="DZ272" s="265" t="str">
        <f>IF(ISNUMBER(SnapshotTable[[#This Row],[LC Target Gross]]), SnapshotTable[[#This Row],[LC Target Gross]] - SnapshotTable[[#This Row],[LC Premium]], "")</f>
        <v/>
      </c>
      <c r="EA272" s="305" t="str">
        <f>IF(ISNUMBER(SnapshotTable[[#This Row],[LC Target Gain Loss]]), SnapshotTable[[#This Row],[LC Target Gain Loss]]/SnapshotTable[[#This Row],[LC Premium]], "")</f>
        <v/>
      </c>
      <c r="EB272" s="262"/>
      <c r="EC272" s="290" t="str">
        <f>IF(SnapshotTable[[#This Row],[LC Premium]]&gt;0, SnapshotTable[[#This Row],[LC Book Price]] * (1 - LC_StopLoss_Pct),"")</f>
        <v/>
      </c>
      <c r="ED272" s="284"/>
      <c r="EE272" s="28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4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7"/>
      <c r="EL272" s="138"/>
      <c r="EM272" s="148"/>
      <c r="EN272" s="147"/>
      <c r="EO272" s="147"/>
      <c r="EP272" s="138"/>
      <c r="EQ272" s="419" t="b">
        <f>AND(ISNUMBER(SnapshotTable[[#This Row],[SC Exp Date]]), ISNUMBER(SnapshotTable[[#This Row],[SC Strike Price]]), ISNUMBER(SnapshotTable[[#This Row],[SC Qty]]), ISNUMBER(SnapshotTable[[#This Row],[SC Book Date]]), ISNUMBER(SnapshotTable[[#This Row],[SC Book Price]]))</f>
        <v>0</v>
      </c>
      <c r="ER272" s="419" t="b">
        <f>AND(SnapshotTable[[#This Row],[SC Is Booked]], NOT(ISBLANK(SnapshotTable[[#This Row],[SC Fill Date]])))</f>
        <v>0</v>
      </c>
      <c r="ES272" s="370"/>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3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283"/>
      <c r="FA272" s="218"/>
      <c r="FB272" s="370"/>
      <c r="FC272" s="4">
        <f>IF(SnapshotTable[[#This Row],[SC Is Filled]], btc_max_buyback_amount(SnapshotTable[[#This Row],[SC Fill Date]],SnapshotTable[[#This Row],[SC Exp Date]], SnapshotTable[[#This Row],[SC Book Price]]),0)</f>
        <v>0</v>
      </c>
      <c r="FD272" s="5"/>
      <c r="FE272" s="144"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382">
        <f>IF(SnapshotTable[[#This Row],[SC Is Filled]], IF(ISNUMBER(SnapshotTable[[#This Row],[SC Current Ask]]), SnapshotTable[[#This Row],[SC Current Ask]], SnapshotTable[[#This Row],[SC Book Price]]) - SnapshotTable[[#This Row],[SC Intrinsic Value]], 0)</f>
        <v>0</v>
      </c>
      <c r="FI272" s="143"/>
      <c r="FJ272" s="32" t="str">
        <f>IF(SnapshotTable[[#This Row],[SC Is Filled]],100 * SnapshotTable[[#This Row],[SC Qty]] * IF(ISNUMBER(SnapshotTable[[#This Row],[SC Buyback Override]]), SnapshotTable[[#This Row],[SC Buyback Override]], SnapshotTable[[#This Row],[SC Current Ask]]), "")</f>
        <v/>
      </c>
      <c r="FK272" s="250" t="str">
        <f>IF(SnapshotTable[[#This Row],[SC Time Val]]&gt;0, SnapshotTable[[#This Row],[SC Time Val]] / SnapshotTable[[#This Row],[Last Price]],"")</f>
        <v/>
      </c>
      <c r="FL272" s="302" t="str">
        <f>IF(SnapshotTable[[#This Row],[SC Is Booked]], ((SnapshotTable[[#This Row],[Last Price]] -SnapshotTable[[#This Row],[SC Strike Price]]) / SnapshotTable[[#This Row],[Last Price]]) * -1, "")</f>
        <v/>
      </c>
      <c r="FM272" s="157" t="str">
        <f>IF(SnapshotTable[[#This Row],[SC Is Booked]],  (SnapshotTable[[#This Row],[SC Qty]] * 100 * SnapshotTable[[#This Row],[SC Strike Price]]) - SnapshotTable[[#This Row],[SC Current Ask]], "")</f>
        <v/>
      </c>
      <c r="FN27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157"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33"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36" t="str">
        <f>IF(AND(ISNUMBER(SnapshotTable[[#This Row],[SC Simple ROO]]),SnapshotTable[[#This Row],[SC Simple ROO]] &gt; 0), SnapshotTable[[#This Row],[SC Premium]] + (SnapshotTable[[#This Row],[SC Qty]] * SnapshotTable[[#This Row],[SC Upside Potential]]), "")</f>
        <v/>
      </c>
      <c r="FX272" s="302" t="str" cm="1">
        <f t="array" ref="FX272">IF(ISNUMBER(SnapshotTable[[#This Row],[SC Max Dollars]]), annualize(SnapshotTable[[#This Row],[SC Term]],(SnapshotTable[[#This Row],[SC Max Dollars]]/SnapshotTable[[#This Row],[SC Basis]])),"")</f>
        <v/>
      </c>
      <c r="FY272" s="236" t="str">
        <f>IF(AND(SnapshotTable[[#This Row],[SC Qty]]&gt;0,SnapshotTable[[#This Row],[SC Current Ask]]&gt;0), SnapshotTable[[#This Row],[SC Qty]] * SnapshotTable[[#This Row],[SC Current Ask]] * -100, "")</f>
        <v/>
      </c>
      <c r="FZ272" s="235" t="str">
        <f>IF(ISNUMBER((SnapshotTable[[#This Row],[SC Current Value]])), SnapshotTable[[#This Row],[SC Premium]] + SnapshotTable[[#This Row],[SC Current Value]], "")</f>
        <v/>
      </c>
      <c r="GA272" s="29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249.261</v>
      </c>
      <c r="GD272" s="40">
        <f>SnapshotTable[[#This Row],[Last Price]] * (1+ SellingPriceToConsiderBasedOnTargetPercentage)</f>
        <v>924.61200000000008</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158" t="str">
        <f>IF(SnapshotTable[[#This Row],[Sale G/L]]&gt;0, SnapshotTable[[#This Row],[Sale G/L]] / SnapshotTable[[#This Row],[Sale Basis]], IF(ISNUMBER(SnapshotTable[[#This Row],[SC Exercise P&amp;L (TAX)]]), SnapshotTable[[#This Row],[SC Exercise P&amp;L (TAX)]] / SnapshotTable[[#This Row],[SC Basis]], ""))</f>
        <v/>
      </c>
      <c r="GK272" s="27"/>
      <c r="GL272" s="159"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159" t="str">
        <f>IF(AND(SnapshotTable[[#This Row],[LC Exp Date]]&gt;0,SnapshotTable[[#This Row],[LC Strike Price]]&gt;0), [1]!ToOptionSymbol(SnapshotTable[[#This Row],[Symbol]], SnapshotTable[[#This Row],[LC Strike Price]],SnapshotTable[[#This Row],[LC Exp Date]],0), "")</f>
        <v/>
      </c>
      <c r="GQ272" s="160" t="str">
        <f>IF(LEN(SnapshotTable[[#This Row],[LC Symbol]])&gt;0, 1, "")</f>
        <v/>
      </c>
      <c r="GR272" s="159" t="str">
        <f>IF(AND(SnapshotTable[[#This Row],[SC Exp Date]]&gt;0,SnapshotTable[[#This Row],[SC Strike Price]]&gt;0), [1]!ToOptionSymbol(SnapshotTable[[#This Row],[Symbol]], SnapshotTable[[#This Row],[SC Strike Price]],SnapshotTable[[#This Row],[SC Exp Date]],0), "")</f>
        <v/>
      </c>
      <c r="GS272" s="160" t="str">
        <f>IF(LEN(SnapshotTable[[#This Row],[SC Symbol]])&gt;0, 1, "")</f>
        <v/>
      </c>
      <c r="GT272" s="161"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31">
        <f>MAX(SnapshotTable[[#This Row],[Equity Basis Total]],SnapshotTable[[#This Row],[Equity Value]]) + (SnapshotTable[[#This Row],[SP Potential Spend]]- SnapshotTable[[#This Row],[SP Premium]] + SnapshotTable[[#This Row],[LP Premium]])+ (SnapshotTable[[#This Row],[LC Premium]] - SnapshotTable[[#This Row],[SC Premium]])</f>
        <v>0</v>
      </c>
      <c r="GW272" s="139" t="str">
        <f>IF(AND(SnapshotTable[[#This Row],[Exposure]] &lt;&gt; 0),SnapshotTable[[#This Row],[Exposure]] / SnapshotTable[[#Totals],[Exposure]], "")</f>
        <v/>
      </c>
      <c r="HK272" s="1"/>
      <c r="HL272" s="1"/>
      <c r="HM272" s="1"/>
      <c r="HN272" s="1"/>
      <c r="HO272" s="1"/>
      <c r="HP272" s="1"/>
    </row>
    <row r="273" spans="2:224" ht="12.75" hidden="1" customHeight="1" x14ac:dyDescent="0.25">
      <c r="B273" s="12" t="s">
        <v>568</v>
      </c>
      <c r="C273" s="422">
        <v>747.41</v>
      </c>
      <c r="D273" s="208" t="s">
        <v>586</v>
      </c>
      <c r="E273" s="39">
        <f>SnapshotTable[[#This Row],[Last Price]]*(1 -CrashDiscount)</f>
        <v>635.29849999999999</v>
      </c>
      <c r="F273" s="26" t="s">
        <v>5</v>
      </c>
      <c r="G273" s="26" t="s">
        <v>4</v>
      </c>
      <c r="H273" s="149"/>
      <c r="I273" s="194"/>
      <c r="J273" s="195"/>
      <c r="K273" s="196"/>
      <c r="L273" s="326"/>
      <c r="M273" s="140"/>
      <c r="N273" s="140"/>
      <c r="O273" s="140"/>
      <c r="P273" s="22"/>
      <c r="Q273" s="25"/>
      <c r="R273" s="4" t="str">
        <f>IF(SnapshotTable[[#This Row],[Equity Basis Total]] &gt; 0, SnapshotTable[[#This Row],[Equity Basis Total]] / SnapshotTable[[#This Row],[Equity Shares]], "")</f>
        <v/>
      </c>
      <c r="S273" s="269">
        <f>SnapshotTable[[#This Row],[Last Price]] * SnapshotTable[[#This Row],[Equity Shares]]</f>
        <v>0</v>
      </c>
      <c r="T273" s="269">
        <f>SnapshotTable[[#This Row],[Equity Value]] - SnapshotTable[[#This Row],[Equity Basis Total]]</f>
        <v>0</v>
      </c>
      <c r="U273" s="270" t="str">
        <f>IF(SnapshotTable[[#This Row],[Equity Basis Total]] &gt; 0, SnapshotTable[[#This Row],[Equity G/L]] / SnapshotTable[[#This Row],[Equity Basis Total]], "")</f>
        <v/>
      </c>
      <c r="V273" s="268"/>
      <c r="W273" s="26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7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0"/>
      <c r="AD273" s="151"/>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0</v>
      </c>
      <c r="AH273" s="151"/>
      <c r="AI273" s="5"/>
      <c r="AJ273" s="138" t="s">
        <v>164</v>
      </c>
      <c r="AK273" s="152" t="str">
        <f>IF(ISNUMBER( SnapshotTable[[#This Row],[EBF Target]]),(SnapshotTable[[#This Row],[EBF Target]] - SnapshotTable[[#This Row],[Last Price]]) / SnapshotTable[[#This Row],[Last Price]], "")</f>
        <v/>
      </c>
      <c r="AL273" s="152"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2" t="str">
        <f>IF(AND(ISNUMBER( SnapshotTable[[#This Row],[Long Term Target]]), ISNUMBER(SnapshotTable[[#This Row],[Last Price]])),(SnapshotTable[[#This Row],[Long Term Target]] - SnapshotTable[[#This Row],[Last Price]]) / SnapshotTable[[#This Row],[Last Price]], "")</f>
        <v/>
      </c>
      <c r="AP273" s="5">
        <v>410</v>
      </c>
      <c r="AQ273" s="38" t="s">
        <v>1078</v>
      </c>
      <c r="AR273" s="5">
        <v>400</v>
      </c>
      <c r="AS273" s="38" t="s">
        <v>26</v>
      </c>
      <c r="AT273" s="146" t="s">
        <v>826</v>
      </c>
      <c r="AU273" s="187" t="str">
        <f>IF(OR(SnapshotTable[[#This Row],[LP No Fill]]="Y",SnapshotTable[[#This Row],[SP Is Filled]],SnapshotTable[[#This Row],[LC Not Filled]]="Y",SnapshotTable[[#This Row],[SC Is Filled]]),"Y","")</f>
        <v/>
      </c>
      <c r="AV273" s="219"/>
      <c r="AW273" s="225"/>
      <c r="AX273" s="220"/>
      <c r="AY273" s="219" t="str">
        <f>IF(SnapshotTable[[#This Row],[Implied Move]]&gt;0, SnapshotTable[[#This Row],[Last Price]]-SnapshotTable[[#This Row],[Implied Move]],"")</f>
        <v/>
      </c>
      <c r="AZ273" s="219" t="str">
        <f>IF(SnapshotTable[[#This Row],[Implied Move]]&gt;0, SnapshotTable[[#This Row],[Last Price]] + SnapshotTable[[#This Row],[Implied Move]],"")</f>
        <v/>
      </c>
      <c r="BA273" s="331">
        <v>28.07</v>
      </c>
      <c r="BB273" s="347" t="s">
        <v>1233</v>
      </c>
      <c r="BC273" s="37"/>
      <c r="BD273" s="351"/>
      <c r="BE273" s="138"/>
      <c r="BF273" s="166"/>
      <c r="BG273" s="167"/>
      <c r="BH273" s="167"/>
      <c r="BI273" s="5"/>
      <c r="BJ273" s="153">
        <f>IF(SnapshotTable[[#This Row],[LP Qty]] &gt; 0, SnapshotTable[[#This Row],[LP Qty]] * SnapshotTable[[#This Row],[LP Book Price]] * 100,0)</f>
        <v>0</v>
      </c>
      <c r="BK273" s="136">
        <f>IF(SnapshotTable[[#This Row],[LP Premium]] &gt; 0, SnapshotTable[[#This Row],[LP Qty]] * SnapshotTable[[#This Row],[LP Strike Price]] * 100,0)</f>
        <v>0</v>
      </c>
      <c r="BL273" s="154"/>
      <c r="BM273" s="385" t="str">
        <f>IF(SnapshotTable[[#This Row],[LP Premium]] &gt; 0,SnapshotTable[[#This Row],[LP Exp Date]]-MAX(SnapshotTable[[#This Row],[LP Book Date]], SnapshotTable[[#This Row],[LP Fill Date]]),"")</f>
        <v/>
      </c>
      <c r="BN273" s="385" t="str">
        <f>IF(ISNUMBER( SnapshotTable[[#This Row],[LP Term]]), SnapshotTable[[#This Row],[LP Exp Date]] - MockToday,"")</f>
        <v/>
      </c>
      <c r="BO273" s="163"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7"/>
      <c r="BU273" s="13"/>
      <c r="BV273" s="5"/>
      <c r="BW273" s="419" t="b">
        <f>AND(ISNUMBER(SnapshotTable[[#This Row],[SP Exp Date]]), ISNUMBER(SnapshotTable[[#This Row],[SP Strike Price]]), ISNUMBER(SnapshotTable[[#This Row],[SP Qty]]), ISNUMBER(SnapshotTable[[#This Row],[SP Book Date]]), ISNUMBER(SnapshotTable[[#This Row],[SP Book Price]]))</f>
        <v>0</v>
      </c>
      <c r="BX273" s="419" t="b">
        <f>AND(SnapshotTable[[#This Row],[SP Is Booked]], NOT(ISBLANK(SnapshotTable[[#This Row],[SP Fill Date]])))</f>
        <v>0</v>
      </c>
      <c r="BY273" s="33">
        <f>IF(SnapshotTable[[#This Row],[SP Is Booked]], SnapshotTable[[#This Row],[SP Qty]] * SnapshotTable[[#This Row],[SP Book Price]] * 100, 0)</f>
        <v>0</v>
      </c>
      <c r="BZ273" s="369"/>
      <c r="CA273" s="368">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3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44"/>
      <c r="CK273" s="31">
        <f>IF(ISNUMBER(SnapshotTable[[#This Row],[SP Potential Spend]]),IF(ISNUMBER(SnapshotTable[[#This Row],[SP POW]]), SnapshotTable[[#This Row],[SP POW]] * SnapshotTable[[#This Row],[SP Potential Spend]], SnapshotTable[[#This Row],[SP Potential Spend]]), "")</f>
        <v>0</v>
      </c>
      <c r="CL273" s="164">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154"/>
      <c r="CO273" s="369"/>
      <c r="CP273" s="4" t="str">
        <f>IF(SnapshotTable[[#This Row],[SP Is Filled]], btc_max_buyback_amount(SnapshotTable[[#This Row],[SP Fill Date]],SnapshotTable[[#This Row],[SP Exp Date]], SnapshotTable[[#This Row],[SP Book Price]]),"")</f>
        <v/>
      </c>
      <c r="CQ273" s="78"/>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5" t="str">
        <f>IF(SnapshotTable[[#This Row],[SP Is Filled]], btc_next_cutoff_date(SnapshotTable[[#This Row],[SP Fill Date]],SnapshotTable[[#This Row],[SP Exp Date]]),"")</f>
        <v/>
      </c>
      <c r="CT273" s="23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56"/>
      <c r="CV273" s="235"/>
      <c r="CW273" s="378"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294" t="str">
        <f>IF(ISNUMBER((SnapshotTable[[#This Row],[SP Total Value]])), SnapshotTable[[#This Row],[SP Gain Loss]] / SnapshotTable[[#This Row],[SP Premium]], "")</f>
        <v/>
      </c>
      <c r="DI273" s="406"/>
      <c r="DJ273" s="138"/>
      <c r="DK273" s="148"/>
      <c r="DL273" s="13"/>
      <c r="DM273" s="13"/>
      <c r="DO273" s="31">
        <f>IF(SnapshotTable[[#This Row],[LC Symbol Count]]=1, SnapshotTable[[#This Row],[LC Qty]] * SnapshotTable[[#This Row],[LC Book Price]] * 100, 0)</f>
        <v>0</v>
      </c>
      <c r="DP273" s="163" t="str">
        <f>IF(AND(SnapshotTable[[#This Row],[LC Exp Date]]&gt;0, SnapshotTable[[#This Row],[LC Strike Price]]&gt;0,SnapshotTable[[#This Row],[LC Qty]]&gt;0,SnapshotTable[[#This Row],[LC Book Date]]&gt;0,SnapshotTable[[#This Row],[LC Book Price]]&gt;0,SnapshotTable[[#This Row],[LC Fill Date]]=0),"Y","")</f>
        <v/>
      </c>
      <c r="DQ273" s="386" t="str">
        <f>IF(SnapshotTable[[#This Row],[LC Premium]] &gt; 0,SnapshotTable[[#This Row],[LC Exp Date]]-MAX(SnapshotTable[[#This Row],[LC Book Date]], SnapshotTable[[#This Row],[LC Fill Date]]),"")</f>
        <v/>
      </c>
      <c r="DR273" s="386" t="str">
        <f>IF(ISNUMBER(SnapshotTable[[#This Row],[LC Term]]), SnapshotTable[[#This Row],[LC Exp Date]] - MockToday, "")</f>
        <v/>
      </c>
      <c r="DS273" s="23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40" t="str">
        <f>IF(ISNUMBER(SnapshotTable[[#This Row],[LC Actual Gain Loss]]), SnapshotTable[[#This Row],[LC Actual Gain Loss]] / SnapshotTable[[#This Row],[LC Premium]],"")</f>
        <v/>
      </c>
      <c r="DX273" s="284" t="str">
        <f>IF(ISNUMBER(SnapshotTable[[#This Row],[LC Book Price]]),SnapshotTable[[#This Row],[LC Book Price]] * 1.5,"")</f>
        <v/>
      </c>
      <c r="DY273" s="265" t="str">
        <f>IF(SnapshotTable[[#This Row],[LC Premium]]&gt;0, SnapshotTable[[#This Row],[LC Next Target]] * SnapshotTable[[#This Row],[LC Qty]] * 100,"")</f>
        <v/>
      </c>
      <c r="DZ273" s="265" t="str">
        <f>IF(ISNUMBER(SnapshotTable[[#This Row],[LC Target Gross]]), SnapshotTable[[#This Row],[LC Target Gross]] - SnapshotTable[[#This Row],[LC Premium]], "")</f>
        <v/>
      </c>
      <c r="EA273" s="305" t="str">
        <f>IF(ISNUMBER(SnapshotTable[[#This Row],[LC Target Gain Loss]]), SnapshotTable[[#This Row],[LC Target Gain Loss]]/SnapshotTable[[#This Row],[LC Premium]], "")</f>
        <v/>
      </c>
      <c r="EB273" s="262"/>
      <c r="EC273" s="283" t="str">
        <f>IF(SnapshotTable[[#This Row],[LC Premium]]&gt;0, SnapshotTable[[#This Row],[LC Book Price]] * (1 - LC_StopLoss_Pct),"")</f>
        <v/>
      </c>
      <c r="ED273" s="284"/>
      <c r="EE273" s="28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4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7"/>
      <c r="EL273" s="138"/>
      <c r="EM273" s="148"/>
      <c r="EN273" s="147"/>
      <c r="EO273" s="147"/>
      <c r="EP273" s="138"/>
      <c r="EQ273" s="419" t="b">
        <f>AND(ISNUMBER(SnapshotTable[[#This Row],[SC Exp Date]]), ISNUMBER(SnapshotTable[[#This Row],[SC Strike Price]]), ISNUMBER(SnapshotTable[[#This Row],[SC Qty]]), ISNUMBER(SnapshotTable[[#This Row],[SC Book Date]]), ISNUMBER(SnapshotTable[[#This Row],[SC Book Price]]))</f>
        <v>0</v>
      </c>
      <c r="ER273" s="419" t="b">
        <f>AND(SnapshotTable[[#This Row],[SC Is Booked]], NOT(ISBLANK(SnapshotTable[[#This Row],[SC Fill Date]])))</f>
        <v>0</v>
      </c>
      <c r="ES273" s="370"/>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3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283"/>
      <c r="FA273" s="218"/>
      <c r="FB273" s="370"/>
      <c r="FC273" s="4">
        <f>IF(SnapshotTable[[#This Row],[SC Is Filled]], btc_max_buyback_amount(SnapshotTable[[#This Row],[SC Fill Date]],SnapshotTable[[#This Row],[SC Exp Date]], SnapshotTable[[#This Row],[SC Book Price]]),0)</f>
        <v>0</v>
      </c>
      <c r="FD273" s="5"/>
      <c r="FE273" s="144"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382">
        <f>IF(SnapshotTable[[#This Row],[SC Is Filled]], IF(ISNUMBER(SnapshotTable[[#This Row],[SC Current Ask]]), SnapshotTable[[#This Row],[SC Current Ask]], SnapshotTable[[#This Row],[SC Book Price]]) - SnapshotTable[[#This Row],[SC Intrinsic Value]], 0)</f>
        <v>0</v>
      </c>
      <c r="FI273" s="143"/>
      <c r="FJ273" s="32" t="str">
        <f>IF(SnapshotTable[[#This Row],[SC Is Filled]],100 * SnapshotTable[[#This Row],[SC Qty]] * IF(ISNUMBER(SnapshotTable[[#This Row],[SC Buyback Override]]), SnapshotTable[[#This Row],[SC Buyback Override]], SnapshotTable[[#This Row],[SC Current Ask]]), "")</f>
        <v/>
      </c>
      <c r="FK273" s="250" t="str">
        <f>IF(SnapshotTable[[#This Row],[SC Time Val]]&gt;0, SnapshotTable[[#This Row],[SC Time Val]] / SnapshotTable[[#This Row],[Last Price]],"")</f>
        <v/>
      </c>
      <c r="FL273" s="302" t="str">
        <f>IF(SnapshotTable[[#This Row],[SC Is Booked]], ((SnapshotTable[[#This Row],[Last Price]] -SnapshotTable[[#This Row],[SC Strike Price]]) / SnapshotTable[[#This Row],[Last Price]]) * -1, "")</f>
        <v/>
      </c>
      <c r="FM273" s="157" t="str">
        <f>IF(SnapshotTable[[#This Row],[SC Is Booked]],  (SnapshotTable[[#This Row],[SC Qty]] * 100 * SnapshotTable[[#This Row],[SC Strike Price]]) - SnapshotTable[[#This Row],[SC Current Ask]], "")</f>
        <v/>
      </c>
      <c r="FN27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157"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33"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36" t="str">
        <f>IF(AND(ISNUMBER(SnapshotTable[[#This Row],[SC Simple ROO]]),SnapshotTable[[#This Row],[SC Simple ROO]] &gt; 0), SnapshotTable[[#This Row],[SC Premium]] + (SnapshotTable[[#This Row],[SC Qty]] * SnapshotTable[[#This Row],[SC Upside Potential]]), "")</f>
        <v/>
      </c>
      <c r="FX273" s="302" t="str" cm="1">
        <f t="array" ref="FX273">IF(ISNUMBER(SnapshotTable[[#This Row],[SC Max Dollars]]), annualize(SnapshotTable[[#This Row],[SC Term]],(SnapshotTable[[#This Row],[SC Max Dollars]]/SnapshotTable[[#This Row],[SC Basis]])),"")</f>
        <v/>
      </c>
      <c r="FY273" s="23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294" t="str">
        <f>IFERROR( IF(ISNUMBER((SnapshotTable[[#This Row],[SC Current Value]])), SnapshotTable[[#This Row],[SC Gain Loss]] / SnapshotTable[[#This Row],[SC Premium]], ""), "")</f>
        <v/>
      </c>
      <c r="GB273" s="42">
        <f>SnapshotTable[[#This Row],[Equity Shares]] * SaleSharesToConsiderPercentage</f>
        <v>0</v>
      </c>
      <c r="GC273" s="40" t="e">
        <f>SnapshotTable[[#This Row],[Long Term Target]] * SellingPriceToConsiderBasedOnTargetPercentage</f>
        <v>#VALUE!</v>
      </c>
      <c r="GD273" s="40">
        <f>SnapshotTable[[#This Row],[Last Price]] * (1+ SellingPriceToConsiderBasedOnTargetPercentage)</f>
        <v>1457.4494999999999</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158" t="str">
        <f>IF(SnapshotTable[[#This Row],[Sale G/L]]&gt;0, SnapshotTable[[#This Row],[Sale G/L]] / SnapshotTable[[#This Row],[Sale Basis]], IF(ISNUMBER(SnapshotTable[[#This Row],[SC Exercise P&amp;L (TAX)]]), SnapshotTable[[#This Row],[SC Exercise P&amp;L (TAX)]] / SnapshotTable[[#This Row],[SC Basis]], ""))</f>
        <v/>
      </c>
      <c r="GK273" s="158" t="s">
        <v>1118</v>
      </c>
      <c r="GL273" s="159"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159" t="str">
        <f>IF(AND(SnapshotTable[[#This Row],[LC Exp Date]]&gt;0,SnapshotTable[[#This Row],[LC Strike Price]]&gt;0), [1]!ToOptionSymbol(SnapshotTable[[#This Row],[Symbol]], SnapshotTable[[#This Row],[LC Strike Price]],SnapshotTable[[#This Row],[LC Exp Date]],0), "")</f>
        <v/>
      </c>
      <c r="GQ273" s="160" t="str">
        <f>IF(LEN(SnapshotTable[[#This Row],[LC Symbol]])&gt;0, 1, "")</f>
        <v/>
      </c>
      <c r="GR273" s="159" t="str">
        <f>IF(AND(SnapshotTable[[#This Row],[SC Exp Date]]&gt;0,SnapshotTable[[#This Row],[SC Strike Price]]&gt;0), [1]!ToOptionSymbol(SnapshotTable[[#This Row],[Symbol]], SnapshotTable[[#This Row],[SC Strike Price]],SnapshotTable[[#This Row],[SC Exp Date]],0), "")</f>
        <v/>
      </c>
      <c r="GS273" s="160" t="str">
        <f>IF(LEN(SnapshotTable[[#This Row],[SC Symbol]])&gt;0, 1, "")</f>
        <v/>
      </c>
      <c r="GT273" s="161"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31">
        <f>MAX(SnapshotTable[[#This Row],[Equity Basis Total]],SnapshotTable[[#This Row],[Equity Value]]) + (SnapshotTable[[#This Row],[SP Potential Spend]]- SnapshotTable[[#This Row],[SP Premium]] + SnapshotTable[[#This Row],[LP Premium]])+ (SnapshotTable[[#This Row],[LC Premium]] - SnapshotTable[[#This Row],[SC Premium]])</f>
        <v>0</v>
      </c>
      <c r="GW273" s="139" t="str">
        <f>IF(AND(SnapshotTable[[#This Row],[Exposure]] &lt;&gt; 0),SnapshotTable[[#This Row],[Exposure]] / SnapshotTable[[#Totals],[Exposure]], "")</f>
        <v/>
      </c>
      <c r="HK273" s="1"/>
      <c r="HL273" s="1"/>
      <c r="HM273" s="1"/>
      <c r="HN273" s="1"/>
      <c r="HO273" s="1"/>
      <c r="HP273" s="1"/>
    </row>
    <row r="274" spans="2:224" ht="12.75" hidden="1" customHeight="1" x14ac:dyDescent="0.25">
      <c r="B274" s="12" t="s">
        <v>40</v>
      </c>
      <c r="C274" s="422">
        <v>58.38</v>
      </c>
      <c r="D274" s="208"/>
      <c r="E274" s="39">
        <f>SnapshotTable[[#This Row],[Last Price]]*(1 -CrashDiscount)</f>
        <v>49.622999999999998</v>
      </c>
      <c r="F274" s="26" t="s">
        <v>39</v>
      </c>
      <c r="G274" s="26" t="s">
        <v>9</v>
      </c>
      <c r="H274" s="149"/>
      <c r="I274" s="194">
        <v>45233</v>
      </c>
      <c r="J274" s="195">
        <v>44777.673611111109</v>
      </c>
      <c r="K274" s="196"/>
      <c r="L274" s="326"/>
      <c r="M274" s="140"/>
      <c r="N274" s="140"/>
      <c r="O274" s="140"/>
      <c r="P274" s="22"/>
      <c r="Q274" s="25"/>
      <c r="R274" s="4" t="str">
        <f>IF(SnapshotTable[[#This Row],[Equity Basis Total]] &gt; 0, SnapshotTable[[#This Row],[Equity Basis Total]] / SnapshotTable[[#This Row],[Equity Shares]], "")</f>
        <v/>
      </c>
      <c r="S274" s="269">
        <f>SnapshotTable[[#This Row],[Last Price]] * SnapshotTable[[#This Row],[Equity Shares]]</f>
        <v>0</v>
      </c>
      <c r="T274" s="269">
        <f>SnapshotTable[[#This Row],[Equity Value]] - SnapshotTable[[#This Row],[Equity Basis Total]]</f>
        <v>0</v>
      </c>
      <c r="U274" s="270" t="str">
        <f>IF(SnapshotTable[[#This Row],[Equity Basis Total]] &gt; 0, SnapshotTable[[#This Row],[Equity G/L]] / SnapshotTable[[#This Row],[Equity Basis Total]], "")</f>
        <v/>
      </c>
      <c r="V274" s="268"/>
      <c r="W274" s="268"/>
      <c r="X274" s="4" t="str">
        <f>IF(AND(ISNUMBER(SnapshotTable[[#This Row],[Equity Basis Per Share]]),ISNUMBER(SnapshotTable[[#This Row],[Equity Target]])),SnapshotTable[[#This Row],[Equity Target]]-SnapshotTable[[#This Row],[Equity Basis Per Share]],"")</f>
        <v/>
      </c>
      <c r="Y274" s="4" t="str">
        <f>IF(AND(ISNUMBER(SnapshotTable[[#This Row],[Equity Basis Per Share]]),ISNUMBER(SnapshotTable[[#This Row],[Equity Stop Loss]])),SnapshotTable[[#This Row],[Equity Stop Loss]]-SnapshotTable[[#This Row],[Equity Basis Per Share]],"")</f>
        <v/>
      </c>
      <c r="Z274" s="275" t="str">
        <f>IFERROR( TEXT(SnapshotTable[[#This Row],[Equity Max Gain Per Share]] /ABS( SnapshotTable[[#This Row],[Equity Max Loss Per Share]]),"0.0 " ) &amp; " : 1", "")</f>
        <v/>
      </c>
      <c r="AA274" s="31" t="str">
        <f>IF(ISNUMBER(SnapshotTable[[#This Row],[Equity Max Gain Per Share]]),SnapshotTable[[#This Row],[Equity Max Gain Per Share]] * SnapshotTable[[#This Row],[Equity Shares]],"")</f>
        <v/>
      </c>
      <c r="AB274" s="31" t="str">
        <f>IF(ISNUMBER(SnapshotTable[[#This Row],[Equity Max Loss Per Share]]),SnapshotTable[[#This Row],[Equity Max Loss Per Share]] * SnapshotTable[[#This Row],[Equity Shares]],"")</f>
        <v/>
      </c>
      <c r="AC274" s="150"/>
      <c r="AD274" s="151"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1"/>
      <c r="AI274" s="5"/>
      <c r="AJ274" s="138">
        <v>85.72</v>
      </c>
      <c r="AK274" s="152" t="str">
        <f>IF(ISNUMBER( SnapshotTable[[#This Row],[EBF Target]]),(SnapshotTable[[#This Row],[EBF Target]] - SnapshotTable[[#This Row],[Last Price]]) / SnapshotTable[[#This Row],[Last Price]], "")</f>
        <v/>
      </c>
      <c r="AL274" s="152"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2">
        <f>IF(AND(ISNUMBER( SnapshotTable[[#This Row],[Long Term Target]]), ISNUMBER(SnapshotTable[[#This Row],[Last Price]])),(SnapshotTable[[#This Row],[Long Term Target]] - SnapshotTable[[#This Row],[Last Price]]) / SnapshotTable[[#This Row],[Last Price]], "")</f>
        <v>0.46831106543336753</v>
      </c>
      <c r="AP274" s="5">
        <v>56</v>
      </c>
      <c r="AQ274" s="38" t="s">
        <v>38</v>
      </c>
      <c r="AR274" s="5">
        <v>56</v>
      </c>
      <c r="AS274" s="38" t="s">
        <v>26</v>
      </c>
      <c r="AT274" s="146" t="s">
        <v>538</v>
      </c>
      <c r="AU274" s="187" t="str">
        <f>IF(OR(SnapshotTable[[#This Row],[LP No Fill]]="Y",SnapshotTable[[#This Row],[SP Is Filled]],SnapshotTable[[#This Row],[LC Not Filled]]="Y",SnapshotTable[[#This Row],[SC Is Filled]]),"Y","")</f>
        <v/>
      </c>
      <c r="AV274" s="219"/>
      <c r="AW274" s="225"/>
      <c r="AX274" s="220"/>
      <c r="AY274" s="219" t="str">
        <f>IF(SnapshotTable[[#This Row],[Implied Move]]&gt;0, SnapshotTable[[#This Row],[Last Price]]-SnapshotTable[[#This Row],[Implied Move]],"")</f>
        <v/>
      </c>
      <c r="AZ274" s="219" t="str">
        <f>IF(SnapshotTable[[#This Row],[Implied Move]]&gt;0, SnapshotTable[[#This Row],[Last Price]] + SnapshotTable[[#This Row],[Implied Move]],"")</f>
        <v/>
      </c>
      <c r="BA274" s="331">
        <v>54.76</v>
      </c>
      <c r="BB274" s="347"/>
      <c r="BC2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4" s="351"/>
      <c r="BE274" s="5"/>
      <c r="BF274" s="14"/>
      <c r="BG274" s="13"/>
      <c r="BH274" s="13"/>
      <c r="BI274" s="5"/>
      <c r="BJ274" s="136">
        <f>IF(SnapshotTable[[#This Row],[LP Qty]] &gt; 0, SnapshotTable[[#This Row],[LP Qty]] * SnapshotTable[[#This Row],[LP Book Price]] * 100,0)</f>
        <v>0</v>
      </c>
      <c r="BK274" s="136">
        <f>IF(SnapshotTable[[#This Row],[LP Premium]] &gt; 0, SnapshotTable[[#This Row],[LP Qty]] * SnapshotTable[[#This Row],[LP Strike Price]] * 100,0)</f>
        <v>0</v>
      </c>
      <c r="BL274" s="154"/>
      <c r="BM274" s="385" t="str">
        <f>IF(SnapshotTable[[#This Row],[LP Premium]] &gt; 0,SnapshotTable[[#This Row],[LP Exp Date]]-MAX(SnapshotTable[[#This Row],[LP Book Date]], SnapshotTable[[#This Row],[LP Fill Date]]),"")</f>
        <v/>
      </c>
      <c r="BN274" s="385" t="str">
        <f>IF(ISNUMBER( SnapshotTable[[#This Row],[LP Term]]), SnapshotTable[[#This Row],[LP Exp Date]] - MockToday,"")</f>
        <v/>
      </c>
      <c r="BO274" s="163"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7"/>
      <c r="BU274" s="13"/>
      <c r="BV274" s="5"/>
      <c r="BW274" s="419" t="b">
        <f>AND(ISNUMBER(SnapshotTable[[#This Row],[SP Exp Date]]), ISNUMBER(SnapshotTable[[#This Row],[SP Strike Price]]), ISNUMBER(SnapshotTable[[#This Row],[SP Qty]]), ISNUMBER(SnapshotTable[[#This Row],[SP Book Date]]), ISNUMBER(SnapshotTable[[#This Row],[SP Book Price]]))</f>
        <v>0</v>
      </c>
      <c r="BX274" s="419" t="b">
        <f>AND(SnapshotTable[[#This Row],[SP Is Booked]], NOT(ISBLANK(SnapshotTable[[#This Row],[SP Fill Date]])))</f>
        <v>0</v>
      </c>
      <c r="BY274" s="33">
        <f>IF(SnapshotTable[[#This Row],[SP Is Booked]], SnapshotTable[[#This Row],[SP Qty]] * SnapshotTable[[#This Row],[SP Book Price]] * 100, 0)</f>
        <v>0</v>
      </c>
      <c r="BZ274" s="369"/>
      <c r="CA274" s="368">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3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44"/>
      <c r="CK274" s="31">
        <f>IF(ISNUMBER(SnapshotTable[[#This Row],[SP Potential Spend]]),IF(ISNUMBER(SnapshotTable[[#This Row],[SP POW]]), SnapshotTable[[#This Row],[SP POW]] * SnapshotTable[[#This Row],[SP Potential Spend]], SnapshotTable[[#This Row],[SP Potential Spend]]), "")</f>
        <v>0</v>
      </c>
      <c r="CL274" s="164">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8"/>
      <c r="CO274" s="369"/>
      <c r="CP274" s="4" t="str">
        <f>IF(SnapshotTable[[#This Row],[SP Is Filled]], btc_max_buyback_amount(SnapshotTable[[#This Row],[SP Fill Date]],SnapshotTable[[#This Row],[SP Exp Date]], SnapshotTable[[#This Row],[SP Book Price]]),"")</f>
        <v/>
      </c>
      <c r="CQ274" s="78"/>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5" t="str">
        <f>IF(SnapshotTable[[#This Row],[SP Is Filled]], btc_next_cutoff_date(SnapshotTable[[#This Row],[SP Fill Date]],SnapshotTable[[#This Row],[SP Exp Date]]),"")</f>
        <v/>
      </c>
      <c r="CT274" s="23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3"/>
      <c r="CV274" s="235"/>
      <c r="CW274" s="378"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294" t="str">
        <f>IF(ISNUMBER((SnapshotTable[[#This Row],[SP Total Value]])), SnapshotTable[[#This Row],[SP Gain Loss]] / SnapshotTable[[#This Row],[SP Premium]], "")</f>
        <v/>
      </c>
      <c r="DI274" s="406"/>
      <c r="DJ274" s="138"/>
      <c r="DK274" s="148"/>
      <c r="DL274" s="13"/>
      <c r="DM274" s="13"/>
      <c r="DO274" s="31">
        <f>IF(SnapshotTable[[#This Row],[LC Symbol Count]]=1, SnapshotTable[[#This Row],[LC Qty]] * SnapshotTable[[#This Row],[LC Book Price]] * 100, 0)</f>
        <v>0</v>
      </c>
      <c r="DP274" s="163" t="str">
        <f>IF(AND(SnapshotTable[[#This Row],[LC Exp Date]]&gt;0, SnapshotTable[[#This Row],[LC Strike Price]]&gt;0,SnapshotTable[[#This Row],[LC Qty]]&gt;0,SnapshotTable[[#This Row],[LC Book Date]]&gt;0,SnapshotTable[[#This Row],[LC Book Price]]&gt;0,SnapshotTable[[#This Row],[LC Fill Date]]=0),"Y","")</f>
        <v/>
      </c>
      <c r="DQ274" s="386" t="str">
        <f>IF(SnapshotTable[[#This Row],[LC Premium]] &gt; 0,SnapshotTable[[#This Row],[LC Exp Date]]-MAX(SnapshotTable[[#This Row],[LC Book Date]], SnapshotTable[[#This Row],[LC Fill Date]]),"")</f>
        <v/>
      </c>
      <c r="DR274" s="386" t="str">
        <f>IF(ISNUMBER(SnapshotTable[[#This Row],[LC Term]]), SnapshotTable[[#This Row],[LC Exp Date]] - MockToday, "")</f>
        <v/>
      </c>
      <c r="DS274" s="23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40" t="str">
        <f>IF(ISNUMBER(SnapshotTable[[#This Row],[LC Actual Gain Loss]]), SnapshotTable[[#This Row],[LC Actual Gain Loss]] / SnapshotTable[[#This Row],[LC Premium]],"")</f>
        <v/>
      </c>
      <c r="DX274" s="284" t="str">
        <f>IF(ISNUMBER(SnapshotTable[[#This Row],[LC Book Price]]),SnapshotTable[[#This Row],[LC Book Price]] * 1.5,"")</f>
        <v/>
      </c>
      <c r="DY274" s="265" t="str">
        <f>IF(SnapshotTable[[#This Row],[LC Premium]]&gt;0, SnapshotTable[[#This Row],[LC Next Target]] * SnapshotTable[[#This Row],[LC Qty]] * 100,"")</f>
        <v/>
      </c>
      <c r="DZ274" s="265" t="str">
        <f>IF(ISNUMBER(SnapshotTable[[#This Row],[LC Target Gross]]), SnapshotTable[[#This Row],[LC Target Gross]] - SnapshotTable[[#This Row],[LC Premium]], "")</f>
        <v/>
      </c>
      <c r="EA274" s="305" t="str">
        <f>IF(ISNUMBER(SnapshotTable[[#This Row],[LC Target Gain Loss]]), SnapshotTable[[#This Row],[LC Target Gain Loss]]/SnapshotTable[[#This Row],[LC Premium]], "")</f>
        <v/>
      </c>
      <c r="EB274" s="262"/>
      <c r="EC274" s="283" t="str">
        <f>IF(SnapshotTable[[#This Row],[LC Premium]]&gt;0, SnapshotTable[[#This Row],[LC Book Price]] * (1 - LC_StopLoss_Pct),"")</f>
        <v/>
      </c>
      <c r="ED274" s="284"/>
      <c r="EE274" s="28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4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0</v>
      </c>
      <c r="EK274" s="147"/>
      <c r="EL274" s="138"/>
      <c r="EM274" s="148"/>
      <c r="EN274" s="147"/>
      <c r="EO274" s="147"/>
      <c r="EP274" s="138"/>
      <c r="EQ274" s="419" t="b">
        <f>AND(ISNUMBER(SnapshotTable[[#This Row],[SC Exp Date]]), ISNUMBER(SnapshotTable[[#This Row],[SC Strike Price]]), ISNUMBER(SnapshotTable[[#This Row],[SC Qty]]), ISNUMBER(SnapshotTable[[#This Row],[SC Book Date]]), ISNUMBER(SnapshotTable[[#This Row],[SC Book Price]]))</f>
        <v>0</v>
      </c>
      <c r="ER274" s="419" t="b">
        <f>AND(SnapshotTable[[#This Row],[SC Is Booked]], NOT(ISBLANK(SnapshotTable[[#This Row],[SC Fill Date]])))</f>
        <v>0</v>
      </c>
      <c r="ES274" s="370"/>
      <c r="ET274" s="34" t="str">
        <f>IF(AND(ISNUMBER(SnapshotTable[[#This Row],[SC Exp Date]]), ISNUMBER(SnapshotTable[[#This Row],[SC Book Date]])), SnapshotTable[[#This Row],[SC Exp Date]] - MAX(SnapshotTable[[#This Row],[SC Book Date]], SnapshotTable[[#This Row],[SC Fill Date]]) + 1, "")</f>
        <v/>
      </c>
      <c r="EU274" s="34" t="str">
        <f>IF(ISNUMBER(SnapshotTable[[#This Row],[SC Term]]), SnapshotTable[[#This Row],[SC Exp Date]]- MockToday, "")</f>
        <v/>
      </c>
      <c r="EV274" s="31">
        <f>IF(SnapshotTable[[#This Row],[SC Is Booked]], SnapshotTable[[#This Row],[SC Qty]] * SnapshotTable[[#This Row],[SC Book Price]] * 100, 0)</f>
        <v>0</v>
      </c>
      <c r="EW274" s="4" t="str">
        <f>IF(AND(ISNUMBER(SnapshotTable[[#This Row],[Last Price]]), ISNUMBER( SnapshotTable[[#This Row],[SC Book Price]])), SnapshotTable[[#This Row],[Last Price]] - SnapshotTable[[#This Row],[SC Book Price]],"")</f>
        <v/>
      </c>
      <c r="EX274" s="234" t="str">
        <f>IF(SnapshotTable[[#This Row],[SC Is Booked]],IF(SnapshotTable[[#This Row],[SC Intrinsic Value]] &gt; 0, SnapshotTable[[#This Row],[SC Strike Price]], SnapshotTable[[#This Row],[Last Price]]), "")</f>
        <v/>
      </c>
      <c r="EY274" s="4">
        <f>IF(SnapshotTable[[#This Row],[SC Is Booked]], (MinimumPremiumRequired * SnapshotTable[[#This Row],[SC Basis]] * SnapshotTable[[#This Row],[SC Term]]), 0)</f>
        <v>0</v>
      </c>
      <c r="EZ274" s="283"/>
      <c r="FA274" s="218"/>
      <c r="FB274" s="370"/>
      <c r="FC274" s="4">
        <f>IF(SnapshotTable[[#This Row],[SC Is Filled]], btc_max_buyback_amount(SnapshotTable[[#This Row],[SC Fill Date]],SnapshotTable[[#This Row],[SC Exp Date]], SnapshotTable[[#This Row],[SC Book Price]]),0)</f>
        <v>0</v>
      </c>
      <c r="FD274" s="5"/>
      <c r="FE274" s="144" t="str">
        <f>IF(SnapshotTable[[#This Row],[SC Is Filled]], btc_next_cutoff_date(SnapshotTable[[#This Row],[SC Fill Date]],SnapshotTable[[#This Row],[SC Exp Date]]),"")</f>
        <v/>
      </c>
      <c r="FF274" s="4" t="str" cm="1">
        <f t="array" ref="FF274">IF(SnapshotTable[[#This Row],[SC Is Filled]], btc_should_buy_back(SnapshotTable[[#This Row],[SC Fill Date]], SnapshotTable[[#This Row],[SC Exp Date]], SnapshotTable[[#This Row],[SC Book Price]], SnapshotTable[[#This Row],[SC Current Ask]], MockToday, SnapshotTable[[#This Row],[SC Buyback Override]]),"")</f>
        <v/>
      </c>
      <c r="FG274" s="4">
        <f>IF(SnapshotTable[[#This Row],[SC Is Filled]], MAX(0,SnapshotTable[[#This Row],[Last Price]]  - SnapshotTable[[#This Row],[SC Strike Price]]), 0)</f>
        <v>0</v>
      </c>
      <c r="FH274" s="382">
        <f>IF(SnapshotTable[[#This Row],[SC Is Filled]], IF(ISNUMBER(SnapshotTable[[#This Row],[SC Current Ask]]), SnapshotTable[[#This Row],[SC Current Ask]], SnapshotTable[[#This Row],[SC Book Price]]) - SnapshotTable[[#This Row],[SC Intrinsic Value]], 0)</f>
        <v>0</v>
      </c>
      <c r="FI274" s="143"/>
      <c r="FJ274" s="32" t="str">
        <f>IF(SnapshotTable[[#This Row],[SC Is Filled]],100 * SnapshotTable[[#This Row],[SC Qty]] * IF(ISNUMBER(SnapshotTable[[#This Row],[SC Buyback Override]]), SnapshotTable[[#This Row],[SC Buyback Override]], SnapshotTable[[#This Row],[SC Current Ask]]), "")</f>
        <v/>
      </c>
      <c r="FK274" s="250" t="str">
        <f>IF(SnapshotTable[[#This Row],[SC Time Val]]&gt;0, SnapshotTable[[#This Row],[SC Time Val]] / SnapshotTable[[#This Row],[Last Price]],"")</f>
        <v/>
      </c>
      <c r="FL274" s="302" t="str">
        <f>IF(SnapshotTable[[#This Row],[SC Is Booked]], ((SnapshotTable[[#This Row],[Last Price]] -SnapshotTable[[#This Row],[SC Strike Price]]) / SnapshotTable[[#This Row],[Last Price]]) * -1, "")</f>
        <v/>
      </c>
      <c r="FM274" s="157" t="str">
        <f>IF(SnapshotTable[[#This Row],[SC Is Booked]],  (SnapshotTable[[#This Row],[SC Qty]] * 100 * SnapshotTable[[#This Row],[SC Strike Price]]) - SnapshotTable[[#This Row],[SC Current Ask]], "")</f>
        <v/>
      </c>
      <c r="FN2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4" s="31" t="str">
        <f>IF(AND(ISNUMBER(SnapshotTable[[#This Row],[SC Exercise Gross]]), ISNUMBER(SnapshotTable[[#This Row],[Equity Basis Per Share]] )), SnapshotTable[[#This Row],[SC Exercise Gross]] - SnapshotTable[[#This Row],[Equity Basis Total]] +  SnapshotTable[[#This Row],[SC Premium]], "")</f>
        <v/>
      </c>
      <c r="FP274" s="5" t="str">
        <f>IF(ISNUMBER(SnapshotTable[[#This Row],[SC Exercise Gross]]), (SnapshotTable[[#This Row],[SC Exercise Gross]]) / (SnapshotTable[[#This Row],[SC Qty]] * 100), "")</f>
        <v/>
      </c>
      <c r="FQ274" s="27" t="str">
        <f>IF(SnapshotTable[[#This Row],[SC Is Booked]],SnapshotTable[[#This Row],[SC Time Val]] /SnapshotTable[[#This Row],[SC Basis]], "")</f>
        <v/>
      </c>
      <c r="FR274" s="27" t="str" cm="1">
        <f t="array" ref="FR274">IF(AND(ISNUMBER(SnapshotTable[[#This Row],[SC Term]]),ISNUMBER(SnapshotTable[[#This Row],[SC Simple ROO]])), EllmanAnnualize(SnapshotTable[[#This Row],[SC DTE]], SnapshotTable[[#This Row],[SC Simple ROO]] ),"")</f>
        <v/>
      </c>
      <c r="FS274" s="4">
        <f>IF(SnapshotTable[[#This Row],[SC Strike Price]] &gt; SnapshotTable[[#This Row],[Last Price]], SnapshotTable[[#This Row],[SC Strike Price]] - SnapshotTable[[#This Row],[Last Price]],0)</f>
        <v>0</v>
      </c>
      <c r="FT274" s="27" t="str">
        <f>IF(AND(ISNUMBER(SnapshotTable[[#This Row],[SC Upside Potential]]), SnapshotTable[[#This Row],[SC Upside Potential]] &gt; 0),(SnapshotTable[[#This Row],[SC Upside Potential]]/ SnapshotTable[[#This Row],[ACB]]),"")</f>
        <v/>
      </c>
      <c r="FU274" s="333" t="str">
        <f>IF(SnapshotTable[[#This Row],[SC Intrinsic Value]] &gt; 0,SnapshotTable[[#This Row],[SC Intrinsic Value]],"")</f>
        <v/>
      </c>
      <c r="FV274" s="27" t="str">
        <f>IF(AND( ISNUMBER( SnapshotTable[[#This Row],[ACB]]),ISNUMBER(SnapshotTable[[#This Row],[SC Downside Protect]])),SnapshotTable[[#This Row],[SC Downside Protect]] / SnapshotTable[[#This Row],[ACB]],"")</f>
        <v/>
      </c>
      <c r="FW274" s="236" t="str">
        <f>IF(AND(ISNUMBER(SnapshotTable[[#This Row],[SC Simple ROO]]),SnapshotTable[[#This Row],[SC Simple ROO]] &gt; 0), SnapshotTable[[#This Row],[SC Premium]] + (SnapshotTable[[#This Row],[SC Qty]] * SnapshotTable[[#This Row],[SC Upside Potential]]), "")</f>
        <v/>
      </c>
      <c r="FX274" s="302" t="str" cm="1">
        <f t="array" ref="FX274">IF(ISNUMBER(SnapshotTable[[#This Row],[SC Max Dollars]]), annualize(SnapshotTable[[#This Row],[SC Term]],(SnapshotTable[[#This Row],[SC Max Dollars]]/SnapshotTable[[#This Row],[SC Basis]])),"")</f>
        <v/>
      </c>
      <c r="FY274" s="236" t="str">
        <f>IF(AND(SnapshotTable[[#This Row],[SC Qty]]&gt;0,SnapshotTable[[#This Row],[SC Current Ask]]&gt;0), SnapshotTable[[#This Row],[SC Qty]] * SnapshotTable[[#This Row],[SC Current Ask]] * -100, "")</f>
        <v/>
      </c>
      <c r="FZ274" s="31" t="str">
        <f>IF(ISNUMBER((SnapshotTable[[#This Row],[SC Current Value]])), SnapshotTable[[#This Row],[SC Premium]] + SnapshotTable[[#This Row],[SC Current Value]], "")</f>
        <v/>
      </c>
      <c r="GA274" s="294" t="str">
        <f>IFERROR( IF(ISNUMBER((SnapshotTable[[#This Row],[SC Current Value]])), SnapshotTable[[#This Row],[SC Gain Loss]] / SnapshotTable[[#This Row],[SC Premium]], ""), "")</f>
        <v/>
      </c>
      <c r="GB274" s="42">
        <f>SnapshotTable[[#This Row],[Equity Shares]] * SaleSharesToConsiderPercentage</f>
        <v>0</v>
      </c>
      <c r="GC274" s="40">
        <f>SnapshotTable[[#This Row],[Long Term Target]] * SellingPriceToConsiderBasedOnTargetPercentage</f>
        <v>81.433999999999997</v>
      </c>
      <c r="GD274" s="40">
        <f>SnapshotTable[[#This Row],[Last Price]] * (1+ SellingPriceToConsiderBasedOnTargetPercentage)</f>
        <v>113.84100000000001</v>
      </c>
      <c r="GE274" s="41"/>
      <c r="GF274" s="40"/>
      <c r="GG274" s="31">
        <f>SnapshotTable[[#This Row],[Booked Sale Shares]] * SnapshotTable[[#This Row],[Booked Sale Price]]</f>
        <v>0</v>
      </c>
      <c r="GH274" s="31" t="str">
        <f>IF(SnapshotTable[[#This Row],[Equity Basis Total]] &gt; 0, SnapshotTable[[#This Row],[Equity Basis Per Share]] * SnapshotTable[[#This Row],[Booked Sale Shares]], "")</f>
        <v/>
      </c>
      <c r="GI274" s="31">
        <f>IF(SnapshotTable[[#This Row],[Sale Proceeds]]&gt;0, SnapshotTable[[#This Row],[Sale Proceeds]] - SnapshotTable[[#This Row],[Sale Basis]], 0)</f>
        <v>0</v>
      </c>
      <c r="GJ274" s="27" t="str">
        <f>IF(SnapshotTable[[#This Row],[Sale G/L]]&gt;0, SnapshotTable[[#This Row],[Sale G/L]] / SnapshotTable[[#This Row],[Sale Basis]], IF(ISNUMBER(SnapshotTable[[#This Row],[SC Exercise P&amp;L (TAX)]]), SnapshotTable[[#This Row],[SC Exercise P&amp;L (TAX)]] / SnapshotTable[[#This Row],[SC Basis]], ""))</f>
        <v/>
      </c>
      <c r="GK274" s="27" t="s">
        <v>755</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IF(AND(SnapshotTable[[#This Row],[SC Exp Date]]&gt;0,SnapshotTable[[#This Row],[SC Strike Price]]&gt;0), [1]!ToOptionSymbol(SnapshotTable[[#This Row],[Symbol]], SnapshotTable[[#This Row],[SC Strike Price]],SnapshotTable[[#This Row],[SC Exp Date]],0), "")</f>
        <v/>
      </c>
      <c r="GS274" s="30" t="str">
        <f>IF(LEN(SnapshotTable[[#This Row],[SC Symbol]])&gt;0, 1, "")</f>
        <v/>
      </c>
      <c r="GT274" s="29" t="str">
        <f>IF(COUNT(SnapshotTable[[#This Row],[LP Symbol Count]],SnapshotTable[[#This Row],[SP Symbol Count]],SnapshotTable[[#This Row],[LC Symbol Count]],SnapshotTable[[#This Row],[SC Symbol Count]])&gt;0, "Y", "")</f>
        <v/>
      </c>
      <c r="GU2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4" s="231">
        <f>MAX(SnapshotTable[[#This Row],[Equity Basis Total]],SnapshotTable[[#This Row],[Equity Value]]) + (SnapshotTable[[#This Row],[SP Potential Spend]]- SnapshotTable[[#This Row],[SP Premium]] + SnapshotTable[[#This Row],[LP Premium]])+ (SnapshotTable[[#This Row],[LC Premium]] - SnapshotTable[[#This Row],[SC Premium]])</f>
        <v>0</v>
      </c>
      <c r="GW274" s="139" t="str">
        <f>IF(AND(SnapshotTable[[#This Row],[Exposure]] &lt;&gt; 0),SnapshotTable[[#This Row],[Exposure]] / SnapshotTable[[#Totals],[Exposure]], "")</f>
        <v/>
      </c>
      <c r="HK274" s="1"/>
      <c r="HL274" s="1"/>
      <c r="HM274" s="1"/>
      <c r="HN274" s="1"/>
      <c r="HO274" s="1"/>
      <c r="HP274" s="1"/>
    </row>
    <row r="275" spans="2:224" ht="12.75" hidden="1" customHeight="1" x14ac:dyDescent="0.25">
      <c r="B275" s="12" t="s">
        <v>1063</v>
      </c>
      <c r="C275" s="422">
        <v>40.94</v>
      </c>
      <c r="D275" s="208" t="s">
        <v>258</v>
      </c>
      <c r="E275" s="39">
        <f>SnapshotTable[[#This Row],[Last Price]]*(1 -CrashDiscount)</f>
        <v>34.798999999999999</v>
      </c>
      <c r="F275" s="26" t="s">
        <v>5</v>
      </c>
      <c r="G275" s="26" t="s">
        <v>4</v>
      </c>
      <c r="H275" s="149"/>
      <c r="I275" s="194"/>
      <c r="J275" s="195"/>
      <c r="K275" s="196"/>
      <c r="L275" s="326"/>
      <c r="M275" s="140"/>
      <c r="N275" s="140"/>
      <c r="O275" s="140"/>
      <c r="P275" s="22"/>
      <c r="Q275" s="25"/>
      <c r="R275" s="4" t="str">
        <f>IF(SnapshotTable[[#This Row],[Equity Basis Total]] &gt; 0, SnapshotTable[[#This Row],[Equity Basis Total]] / SnapshotTable[[#This Row],[Equity Shares]], "")</f>
        <v/>
      </c>
      <c r="S275" s="269">
        <f>SnapshotTable[[#This Row],[Last Price]] * SnapshotTable[[#This Row],[Equity Shares]]</f>
        <v>0</v>
      </c>
      <c r="T275" s="269">
        <f>SnapshotTable[[#This Row],[Equity Value]] - SnapshotTable[[#This Row],[Equity Basis Total]]</f>
        <v>0</v>
      </c>
      <c r="U275" s="270" t="str">
        <f>IF(SnapshotTable[[#This Row],[Equity Basis Total]] &gt; 0, SnapshotTable[[#This Row],[Equity G/L]] / SnapshotTable[[#This Row],[Equity Basis Total]], "")</f>
        <v/>
      </c>
      <c r="V275" s="268"/>
      <c r="W275" s="26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7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0"/>
      <c r="AD275" s="151"/>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0</v>
      </c>
      <c r="AH275" s="151"/>
      <c r="AI275" s="5"/>
      <c r="AJ275" s="138"/>
      <c r="AK275" s="152" t="str">
        <f>IF(ISNUMBER( SnapshotTable[[#This Row],[EBF Target]]),(SnapshotTable[[#This Row],[EBF Target]] - SnapshotTable[[#This Row],[Last Price]]) / SnapshotTable[[#This Row],[Last Price]], "")</f>
        <v/>
      </c>
      <c r="AL275" s="152"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2" t="str">
        <f>IF(AND(ISNUMBER( SnapshotTable[[#This Row],[Long Term Target]]), ISNUMBER(SnapshotTable[[#This Row],[Last Price]])),(SnapshotTable[[#This Row],[Long Term Target]] - SnapshotTable[[#This Row],[Last Price]]) / SnapshotTable[[#This Row],[Last Price]], "")</f>
        <v/>
      </c>
      <c r="AP275" s="5">
        <v>25</v>
      </c>
      <c r="AQ275" s="38" t="s">
        <v>1078</v>
      </c>
      <c r="AR275" s="5"/>
      <c r="AS275" s="38" t="s">
        <v>26</v>
      </c>
      <c r="AT275" s="146" t="s">
        <v>1124</v>
      </c>
      <c r="AU275" s="187" t="str">
        <f>IF(OR(SnapshotTable[[#This Row],[LP No Fill]]="Y",SnapshotTable[[#This Row],[SP Is Filled]],SnapshotTable[[#This Row],[LC Not Filled]]="Y",SnapshotTable[[#This Row],[SC Is Filled]]),"Y","")</f>
        <v/>
      </c>
      <c r="AV275" s="219"/>
      <c r="AW275" s="225"/>
      <c r="AX275" s="220"/>
      <c r="AY275" s="219" t="str">
        <f>IF(SnapshotTable[[#This Row],[Implied Move]]&gt;0, SnapshotTable[[#This Row],[Last Price]]-SnapshotTable[[#This Row],[Implied Move]],"")</f>
        <v/>
      </c>
      <c r="AZ275" s="219" t="str">
        <f>IF(SnapshotTable[[#This Row],[Implied Move]]&gt;0, SnapshotTable[[#This Row],[Last Price]] + SnapshotTable[[#This Row],[Implied Move]],"")</f>
        <v/>
      </c>
      <c r="BA275" s="331">
        <v>12.4</v>
      </c>
      <c r="BB275" s="347" t="s">
        <v>1188</v>
      </c>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51"/>
      <c r="BE275" s="5"/>
      <c r="BF275" s="14"/>
      <c r="BG275" s="13"/>
      <c r="BH275" s="13"/>
      <c r="BI275" s="5"/>
      <c r="BJ275" s="136">
        <f>IF(SnapshotTable[[#This Row],[LP Qty]] &gt; 0, SnapshotTable[[#This Row],[LP Qty]] * SnapshotTable[[#This Row],[LP Book Price]] * 100,0)</f>
        <v>0</v>
      </c>
      <c r="BK275" s="136">
        <f>IF(SnapshotTable[[#This Row],[LP Premium]] &gt; 0, SnapshotTable[[#This Row],[LP Qty]] * SnapshotTable[[#This Row],[LP Strike Price]] * 100,0)</f>
        <v>0</v>
      </c>
      <c r="BL275" s="154"/>
      <c r="BM275" s="385" t="str">
        <f>IF(SnapshotTable[[#This Row],[LP Premium]] &gt; 0,SnapshotTable[[#This Row],[LP Exp Date]]-MAX(SnapshotTable[[#This Row],[LP Book Date]], SnapshotTable[[#This Row],[LP Fill Date]]),"")</f>
        <v/>
      </c>
      <c r="BN275" s="385" t="str">
        <f>IF(ISNUMBER( SnapshotTable[[#This Row],[LP Term]]), SnapshotTable[[#This Row],[LP Exp Date]] - MockToday,"")</f>
        <v/>
      </c>
      <c r="BO275" s="163"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7"/>
      <c r="BU275" s="13"/>
      <c r="BV275" s="5"/>
      <c r="BW275" s="419" t="b">
        <f>AND(ISNUMBER(SnapshotTable[[#This Row],[SP Exp Date]]), ISNUMBER(SnapshotTable[[#This Row],[SP Strike Price]]), ISNUMBER(SnapshotTable[[#This Row],[SP Qty]]), ISNUMBER(SnapshotTable[[#This Row],[SP Book Date]]), ISNUMBER(SnapshotTable[[#This Row],[SP Book Price]]))</f>
        <v>0</v>
      </c>
      <c r="BX275" s="419" t="b">
        <f>AND(SnapshotTable[[#This Row],[SP Is Booked]], NOT(ISBLANK(SnapshotTable[[#This Row],[SP Fill Date]])))</f>
        <v>0</v>
      </c>
      <c r="BY275" s="33">
        <f>IF(SnapshotTable[[#This Row],[SP Is Booked]], SnapshotTable[[#This Row],[SP Qty]] * SnapshotTable[[#This Row],[SP Book Price]] * 100, 0)</f>
        <v>0</v>
      </c>
      <c r="BZ275" s="369"/>
      <c r="CA275" s="368">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3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44"/>
      <c r="CK275" s="31">
        <f>IF(ISNUMBER(SnapshotTable[[#This Row],[SP Potential Spend]]),IF(ISNUMBER(SnapshotTable[[#This Row],[SP POW]]), SnapshotTable[[#This Row],[SP POW]] * SnapshotTable[[#This Row],[SP Potential Spend]], SnapshotTable[[#This Row],[SP Potential Spend]]), "")</f>
        <v>0</v>
      </c>
      <c r="CL275" s="164">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8"/>
      <c r="CO275" s="369"/>
      <c r="CP275" s="4" t="str">
        <f>IF(SnapshotTable[[#This Row],[SP Is Filled]], btc_max_buyback_amount(SnapshotTable[[#This Row],[SP Fill Date]],SnapshotTable[[#This Row],[SP Exp Date]], SnapshotTable[[#This Row],[SP Book Price]]),"")</f>
        <v/>
      </c>
      <c r="CQ275" s="78"/>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5" t="str">
        <f>IF(SnapshotTable[[#This Row],[SP Is Filled]], btc_next_cutoff_date(SnapshotTable[[#This Row],[SP Fill Date]],SnapshotTable[[#This Row],[SP Exp Date]]),"")</f>
        <v/>
      </c>
      <c r="CT275" s="23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3"/>
      <c r="CV275" s="235"/>
      <c r="CW275" s="378"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294" t="str">
        <f>IF(ISNUMBER((SnapshotTable[[#This Row],[SP Total Value]])), SnapshotTable[[#This Row],[SP Gain Loss]] / SnapshotTable[[#This Row],[SP Premium]], "")</f>
        <v/>
      </c>
      <c r="DI275" s="406"/>
      <c r="DJ275" s="138"/>
      <c r="DK275" s="148"/>
      <c r="DL275" s="13"/>
      <c r="DM275" s="13"/>
      <c r="DO275" s="31">
        <f>IF(SnapshotTable[[#This Row],[LC Symbol Count]]=1, SnapshotTable[[#This Row],[LC Qty]] * SnapshotTable[[#This Row],[LC Book Price]] * 100, 0)</f>
        <v>0</v>
      </c>
      <c r="DP275" s="163" t="str">
        <f>IF(AND(SnapshotTable[[#This Row],[LC Exp Date]]&gt;0, SnapshotTable[[#This Row],[LC Strike Price]]&gt;0,SnapshotTable[[#This Row],[LC Qty]]&gt;0,SnapshotTable[[#This Row],[LC Book Date]]&gt;0,SnapshotTable[[#This Row],[LC Book Price]]&gt;0,SnapshotTable[[#This Row],[LC Fill Date]]=0),"Y","")</f>
        <v/>
      </c>
      <c r="DQ275" s="386" t="str">
        <f>IF(SnapshotTable[[#This Row],[LC Premium]] &gt; 0,SnapshotTable[[#This Row],[LC Exp Date]]-MAX(SnapshotTable[[#This Row],[LC Book Date]], SnapshotTable[[#This Row],[LC Fill Date]]),"")</f>
        <v/>
      </c>
      <c r="DR275" s="386" t="str">
        <f>IF(ISNUMBER(SnapshotTable[[#This Row],[LC Term]]), SnapshotTable[[#This Row],[LC Exp Date]] - MockToday, "")</f>
        <v/>
      </c>
      <c r="DS275" s="23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40" t="str">
        <f>IF(ISNUMBER(SnapshotTable[[#This Row],[LC Actual Gain Loss]]), SnapshotTable[[#This Row],[LC Actual Gain Loss]] / SnapshotTable[[#This Row],[LC Premium]],"")</f>
        <v/>
      </c>
      <c r="DX275" s="284" t="str">
        <f>IF(ISNUMBER(SnapshotTable[[#This Row],[LC Book Price]]),SnapshotTable[[#This Row],[LC Book Price]] * 1.5,"")</f>
        <v/>
      </c>
      <c r="DY275" s="265" t="str">
        <f>IF(SnapshotTable[[#This Row],[LC Premium]]&gt;0, SnapshotTable[[#This Row],[LC Next Target]] * SnapshotTable[[#This Row],[LC Qty]] * 100,"")</f>
        <v/>
      </c>
      <c r="DZ275" s="265" t="str">
        <f>IF(ISNUMBER(SnapshotTable[[#This Row],[LC Target Gross]]), SnapshotTable[[#This Row],[LC Target Gross]] - SnapshotTable[[#This Row],[LC Premium]], "")</f>
        <v/>
      </c>
      <c r="EA275" s="305" t="str">
        <f>IF(ISNUMBER(SnapshotTable[[#This Row],[LC Target Gain Loss]]), SnapshotTable[[#This Row],[LC Target Gain Loss]]/SnapshotTable[[#This Row],[LC Premium]], "")</f>
        <v/>
      </c>
      <c r="EB275" s="262"/>
      <c r="EC275" s="283" t="str">
        <f>IF(SnapshotTable[[#This Row],[LC Premium]]&gt;0, SnapshotTable[[#This Row],[LC Book Price]] * (1 - LC_StopLoss_Pct),"")</f>
        <v/>
      </c>
      <c r="ED275" s="284"/>
      <c r="EE275" s="28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4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7"/>
      <c r="EL275" s="138"/>
      <c r="EM275" s="148"/>
      <c r="EN275" s="147"/>
      <c r="EO275" s="147"/>
      <c r="EP275" s="138"/>
      <c r="EQ275" s="419" t="b">
        <f>AND(ISNUMBER(SnapshotTable[[#This Row],[SC Exp Date]]), ISNUMBER(SnapshotTable[[#This Row],[SC Strike Price]]), ISNUMBER(SnapshotTable[[#This Row],[SC Qty]]), ISNUMBER(SnapshotTable[[#This Row],[SC Book Date]]), ISNUMBER(SnapshotTable[[#This Row],[SC Book Price]]))</f>
        <v>0</v>
      </c>
      <c r="ER275" s="419" t="b">
        <f>AND(SnapshotTable[[#This Row],[SC Is Booked]], NOT(ISBLANK(SnapshotTable[[#This Row],[SC Fill Date]])))</f>
        <v>0</v>
      </c>
      <c r="ES275" s="370"/>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3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283"/>
      <c r="FA275" s="218"/>
      <c r="FB275" s="370"/>
      <c r="FC275" s="4">
        <f>IF(SnapshotTable[[#This Row],[SC Is Filled]], btc_max_buyback_amount(SnapshotTable[[#This Row],[SC Fill Date]],SnapshotTable[[#This Row],[SC Exp Date]], SnapshotTable[[#This Row],[SC Book Price]]),0)</f>
        <v>0</v>
      </c>
      <c r="FD275" s="5"/>
      <c r="FE275" s="144"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382">
        <f>IF(SnapshotTable[[#This Row],[SC Is Filled]], IF(ISNUMBER(SnapshotTable[[#This Row],[SC Current Ask]]), SnapshotTable[[#This Row],[SC Current Ask]], SnapshotTable[[#This Row],[SC Book Price]]) - SnapshotTable[[#This Row],[SC Intrinsic Value]], 0)</f>
        <v>0</v>
      </c>
      <c r="FI275" s="143"/>
      <c r="FJ275" s="32" t="str">
        <f>IF(SnapshotTable[[#This Row],[SC Is Filled]],100 * SnapshotTable[[#This Row],[SC Qty]] * IF(ISNUMBER(SnapshotTable[[#This Row],[SC Buyback Override]]), SnapshotTable[[#This Row],[SC Buyback Override]], SnapshotTable[[#This Row],[SC Current Ask]]), "")</f>
        <v/>
      </c>
      <c r="FK275" s="250" t="str">
        <f>IF(SnapshotTable[[#This Row],[SC Time Val]]&gt;0, SnapshotTable[[#This Row],[SC Time Val]] / SnapshotTable[[#This Row],[Last Price]],"")</f>
        <v/>
      </c>
      <c r="FL275" s="302" t="str">
        <f>IF(SnapshotTable[[#This Row],[SC Is Booked]], ((SnapshotTable[[#This Row],[Last Price]] -SnapshotTable[[#This Row],[SC Strike Price]]) / SnapshotTable[[#This Row],[Last Price]]) * -1, "")</f>
        <v/>
      </c>
      <c r="FM275" s="157"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33"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36" t="str">
        <f>IF(AND(ISNUMBER(SnapshotTable[[#This Row],[SC Simple ROO]]),SnapshotTable[[#This Row],[SC Simple ROO]] &gt; 0), SnapshotTable[[#This Row],[SC Premium]] + (SnapshotTable[[#This Row],[SC Qty]] * SnapshotTable[[#This Row],[SC Upside Potential]]), "")</f>
        <v/>
      </c>
      <c r="FX275" s="302" t="str" cm="1">
        <f t="array" ref="FX275">IF(ISNUMBER(SnapshotTable[[#This Row],[SC Max Dollars]]), annualize(SnapshotTable[[#This Row],[SC Term]],(SnapshotTable[[#This Row],[SC Max Dollars]]/SnapshotTable[[#This Row],[SC Basis]])),"")</f>
        <v/>
      </c>
      <c r="FY275" s="23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29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0</v>
      </c>
      <c r="GD275" s="40">
        <f>SnapshotTable[[#This Row],[Last Price]] * (1+ SellingPriceToConsiderBasedOnTargetPercentage)</f>
        <v>79.832999999999998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1119</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31">
        <f>MAX(SnapshotTable[[#This Row],[Equity Basis Total]],SnapshotTable[[#This Row],[Equity Value]]) + (SnapshotTable[[#This Row],[SP Potential Spend]]- SnapshotTable[[#This Row],[SP Premium]] + SnapshotTable[[#This Row],[LP Premium]])+ (SnapshotTable[[#This Row],[LC Premium]] - SnapshotTable[[#This Row],[SC Premium]])</f>
        <v>0</v>
      </c>
      <c r="GW275" s="139" t="str">
        <f>IF(AND(SnapshotTable[[#This Row],[Exposure]] &lt;&gt; 0),SnapshotTable[[#This Row],[Exposure]] / SnapshotTable[[#Totals],[Exposure]], "")</f>
        <v/>
      </c>
      <c r="HK275" s="1"/>
      <c r="HL275" s="1"/>
      <c r="HM275" s="1"/>
      <c r="HN275" s="1"/>
      <c r="HO275" s="1"/>
      <c r="HP275" s="1"/>
    </row>
    <row r="276" spans="2:224" ht="12.75" hidden="1" customHeight="1" x14ac:dyDescent="0.25">
      <c r="B276" s="12" t="s">
        <v>1052</v>
      </c>
      <c r="C276" s="422">
        <v>67.27</v>
      </c>
      <c r="D276" s="208" t="s">
        <v>578</v>
      </c>
      <c r="E276" s="39">
        <f>SnapshotTable[[#This Row],[Last Price]]*(1 -CrashDiscount)</f>
        <v>57.179499999999997</v>
      </c>
      <c r="F276" s="26" t="s">
        <v>5</v>
      </c>
      <c r="G276" s="26" t="s">
        <v>4</v>
      </c>
      <c r="H276" s="149"/>
      <c r="I276" s="194"/>
      <c r="J276" s="195"/>
      <c r="K276" s="196"/>
      <c r="L276" s="326"/>
      <c r="M276" s="140"/>
      <c r="N276" s="140"/>
      <c r="O276" s="140"/>
      <c r="P276" s="22"/>
      <c r="Q276" s="25"/>
      <c r="R276" s="4" t="str">
        <f>IF(SnapshotTable[[#This Row],[Equity Basis Total]] &gt; 0, SnapshotTable[[#This Row],[Equity Basis Total]] / SnapshotTable[[#This Row],[Equity Shares]], "")</f>
        <v/>
      </c>
      <c r="S276" s="269">
        <f>SnapshotTable[[#This Row],[Last Price]] * SnapshotTable[[#This Row],[Equity Shares]]</f>
        <v>0</v>
      </c>
      <c r="T276" s="269">
        <f>SnapshotTable[[#This Row],[Equity Value]] - SnapshotTable[[#This Row],[Equity Basis Total]]</f>
        <v>0</v>
      </c>
      <c r="U276" s="270" t="str">
        <f>IF(SnapshotTable[[#This Row],[Equity Basis Total]] &gt; 0, SnapshotTable[[#This Row],[Equity G/L]] / SnapshotTable[[#This Row],[Equity Basis Total]], "")</f>
        <v/>
      </c>
      <c r="V276" s="268"/>
      <c r="W276" s="26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7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0"/>
      <c r="AD276" s="151"/>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1"/>
      <c r="AI276" s="5"/>
      <c r="AJ276" s="138"/>
      <c r="AK276" s="152" t="str">
        <f>IF(ISNUMBER( SnapshotTable[[#This Row],[EBF Target]]),(SnapshotTable[[#This Row],[EBF Target]] - SnapshotTable[[#This Row],[Last Price]]) / SnapshotTable[[#This Row],[Last Price]], "")</f>
        <v/>
      </c>
      <c r="AL276" s="152"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2" t="str">
        <f>IF(AND(ISNUMBER( SnapshotTable[[#This Row],[Long Term Target]]), ISNUMBER(SnapshotTable[[#This Row],[Last Price]])),(SnapshotTable[[#This Row],[Long Term Target]] - SnapshotTable[[#This Row],[Last Price]]) / SnapshotTable[[#This Row],[Last Price]], "")</f>
        <v/>
      </c>
      <c r="AP276" s="5">
        <v>65</v>
      </c>
      <c r="AQ276" s="38" t="s">
        <v>89</v>
      </c>
      <c r="AR276" s="5">
        <v>51.9</v>
      </c>
      <c r="AS276" s="38" t="s">
        <v>32</v>
      </c>
      <c r="AT276" s="146"/>
      <c r="AU276" s="187" t="str">
        <f>IF(OR(SnapshotTable[[#This Row],[LP No Fill]]="Y",SnapshotTable[[#This Row],[SP Is Filled]],SnapshotTable[[#This Row],[LC Not Filled]]="Y",SnapshotTable[[#This Row],[SC Is Filled]]),"Y","")</f>
        <v/>
      </c>
      <c r="AV276" s="219"/>
      <c r="AW276" s="225"/>
      <c r="AX276" s="220"/>
      <c r="AY276" s="219" t="str">
        <f>IF(SnapshotTable[[#This Row],[Implied Move]]&gt;0, SnapshotTable[[#This Row],[Last Price]]-SnapshotTable[[#This Row],[Implied Move]],"")</f>
        <v/>
      </c>
      <c r="AZ276" s="219" t="str">
        <f>IF(SnapshotTable[[#This Row],[Implied Move]]&gt;0, SnapshotTable[[#This Row],[Last Price]] + SnapshotTable[[#This Row],[Implied Move]],"")</f>
        <v/>
      </c>
      <c r="BA276" s="331">
        <v>53.359000000000002</v>
      </c>
      <c r="BB276" s="347"/>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51"/>
      <c r="BE276" s="5"/>
      <c r="BF276" s="14"/>
      <c r="BG276" s="13"/>
      <c r="BH276" s="13"/>
      <c r="BI276" s="5"/>
      <c r="BJ276" s="136">
        <f>IF(SnapshotTable[[#This Row],[LP Qty]] &gt; 0, SnapshotTable[[#This Row],[LP Qty]] * SnapshotTable[[#This Row],[LP Book Price]] * 100,0)</f>
        <v>0</v>
      </c>
      <c r="BK276" s="136">
        <f>IF(SnapshotTable[[#This Row],[LP Premium]] &gt; 0, SnapshotTable[[#This Row],[LP Qty]] * SnapshotTable[[#This Row],[LP Strike Price]] * 100,0)</f>
        <v>0</v>
      </c>
      <c r="BL276" s="154"/>
      <c r="BM276" s="385" t="str">
        <f>IF(SnapshotTable[[#This Row],[LP Premium]] &gt; 0,SnapshotTable[[#This Row],[LP Exp Date]]-MAX(SnapshotTable[[#This Row],[LP Book Date]], SnapshotTable[[#This Row],[LP Fill Date]]),"")</f>
        <v/>
      </c>
      <c r="BN276" s="385" t="str">
        <f>IF(ISNUMBER( SnapshotTable[[#This Row],[LP Term]]), SnapshotTable[[#This Row],[LP Exp Date]] - MockToday,"")</f>
        <v/>
      </c>
      <c r="BO276" s="163"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7"/>
      <c r="BU276" s="13"/>
      <c r="BV276" s="5"/>
      <c r="BW276" s="419" t="b">
        <f>AND(ISNUMBER(SnapshotTable[[#This Row],[SP Exp Date]]), ISNUMBER(SnapshotTable[[#This Row],[SP Strike Price]]), ISNUMBER(SnapshotTable[[#This Row],[SP Qty]]), ISNUMBER(SnapshotTable[[#This Row],[SP Book Date]]), ISNUMBER(SnapshotTable[[#This Row],[SP Book Price]]))</f>
        <v>0</v>
      </c>
      <c r="BX276" s="419" t="b">
        <f>AND(SnapshotTable[[#This Row],[SP Is Booked]], NOT(ISBLANK(SnapshotTable[[#This Row],[SP Fill Date]])))</f>
        <v>0</v>
      </c>
      <c r="BY276" s="33">
        <f>IF(SnapshotTable[[#This Row],[SP Is Booked]], SnapshotTable[[#This Row],[SP Qty]] * SnapshotTable[[#This Row],[SP Book Price]] * 100, 0)</f>
        <v>0</v>
      </c>
      <c r="BZ276" s="369"/>
      <c r="CA276" s="368">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3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44"/>
      <c r="CK276" s="31">
        <f>IF(ISNUMBER(SnapshotTable[[#This Row],[SP Potential Spend]]),IF(ISNUMBER(SnapshotTable[[#This Row],[SP POW]]), SnapshotTable[[#This Row],[SP POW]] * SnapshotTable[[#This Row],[SP Potential Spend]], SnapshotTable[[#This Row],[SP Potential Spend]]), "")</f>
        <v>0</v>
      </c>
      <c r="CL276" s="164">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78"/>
      <c r="CO276" s="369"/>
      <c r="CP276" s="4" t="str">
        <f>IF(SnapshotTable[[#This Row],[SP Is Filled]], btc_max_buyback_amount(SnapshotTable[[#This Row],[SP Fill Date]],SnapshotTable[[#This Row],[SP Exp Date]], SnapshotTable[[#This Row],[SP Book Price]]),"")</f>
        <v/>
      </c>
      <c r="CQ276" s="78"/>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5" t="str">
        <f>IF(SnapshotTable[[#This Row],[SP Is Filled]], btc_next_cutoff_date(SnapshotTable[[#This Row],[SP Fill Date]],SnapshotTable[[#This Row],[SP Exp Date]]),"")</f>
        <v/>
      </c>
      <c r="CT276" s="23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43"/>
      <c r="CV276" s="235"/>
      <c r="CW276" s="378"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294" t="str">
        <f>IF(ISNUMBER((SnapshotTable[[#This Row],[SP Total Value]])), SnapshotTable[[#This Row],[SP Gain Loss]] / SnapshotTable[[#This Row],[SP Premium]], "")</f>
        <v/>
      </c>
      <c r="DI276" s="406"/>
      <c r="DJ276" s="138"/>
      <c r="DK276" s="148"/>
      <c r="DL276" s="13"/>
      <c r="DM276" s="13"/>
      <c r="DO276" s="31">
        <f>IF(SnapshotTable[[#This Row],[LC Symbol Count]]=1, SnapshotTable[[#This Row],[LC Qty]] * SnapshotTable[[#This Row],[LC Book Price]] * 100, 0)</f>
        <v>0</v>
      </c>
      <c r="DP276" s="163" t="str">
        <f>IF(AND(SnapshotTable[[#This Row],[LC Exp Date]]&gt;0, SnapshotTable[[#This Row],[LC Strike Price]]&gt;0,SnapshotTable[[#This Row],[LC Qty]]&gt;0,SnapshotTable[[#This Row],[LC Book Date]]&gt;0,SnapshotTable[[#This Row],[LC Book Price]]&gt;0,SnapshotTable[[#This Row],[LC Fill Date]]=0),"Y","")</f>
        <v/>
      </c>
      <c r="DQ276" s="386" t="str">
        <f>IF(SnapshotTable[[#This Row],[LC Premium]] &gt; 0,SnapshotTable[[#This Row],[LC Exp Date]]-MAX(SnapshotTable[[#This Row],[LC Book Date]], SnapshotTable[[#This Row],[LC Fill Date]]),"")</f>
        <v/>
      </c>
      <c r="DR276" s="386" t="str">
        <f>IF(ISNUMBER(SnapshotTable[[#This Row],[LC Term]]), SnapshotTable[[#This Row],[LC Exp Date]] - MockToday, "")</f>
        <v/>
      </c>
      <c r="DS276" s="23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40" t="str">
        <f>IF(ISNUMBER(SnapshotTable[[#This Row],[LC Actual Gain Loss]]), SnapshotTable[[#This Row],[LC Actual Gain Loss]] / SnapshotTable[[#This Row],[LC Premium]],"")</f>
        <v/>
      </c>
      <c r="DX276" s="284" t="str">
        <f>IF(ISNUMBER(SnapshotTable[[#This Row],[LC Book Price]]),SnapshotTable[[#This Row],[LC Book Price]] * 1.5,"")</f>
        <v/>
      </c>
      <c r="DY276" s="265" t="str">
        <f>IF(SnapshotTable[[#This Row],[LC Premium]]&gt;0, SnapshotTable[[#This Row],[LC Next Target]] * SnapshotTable[[#This Row],[LC Qty]] * 100,"")</f>
        <v/>
      </c>
      <c r="DZ276" s="265" t="str">
        <f>IF(ISNUMBER(SnapshotTable[[#This Row],[LC Target Gross]]), SnapshotTable[[#This Row],[LC Target Gross]] - SnapshotTable[[#This Row],[LC Premium]], "")</f>
        <v/>
      </c>
      <c r="EA276" s="305" t="str">
        <f>IF(ISNUMBER(SnapshotTable[[#This Row],[LC Target Gain Loss]]), SnapshotTable[[#This Row],[LC Target Gain Loss]]/SnapshotTable[[#This Row],[LC Premium]], "")</f>
        <v/>
      </c>
      <c r="EB276" s="262"/>
      <c r="EC276" s="283" t="str">
        <f>IF(SnapshotTable[[#This Row],[LC Premium]]&gt;0, SnapshotTable[[#This Row],[LC Book Price]] * (1 - LC_StopLoss_Pct),"")</f>
        <v/>
      </c>
      <c r="ED276" s="284"/>
      <c r="EE276" s="28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4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7"/>
      <c r="EL276" s="138"/>
      <c r="EM276" s="148"/>
      <c r="EN276" s="147"/>
      <c r="EO276" s="147"/>
      <c r="EP276" s="138"/>
      <c r="EQ276" s="419" t="b">
        <f>AND(ISNUMBER(SnapshotTable[[#This Row],[SC Exp Date]]), ISNUMBER(SnapshotTable[[#This Row],[SC Strike Price]]), ISNUMBER(SnapshotTable[[#This Row],[SC Qty]]), ISNUMBER(SnapshotTable[[#This Row],[SC Book Date]]), ISNUMBER(SnapshotTable[[#This Row],[SC Book Price]]))</f>
        <v>0</v>
      </c>
      <c r="ER276" s="419" t="b">
        <f>AND(SnapshotTable[[#This Row],[SC Is Booked]], NOT(ISBLANK(SnapshotTable[[#This Row],[SC Fill Date]])))</f>
        <v>0</v>
      </c>
      <c r="ES276" s="370"/>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3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283"/>
      <c r="FA276" s="218"/>
      <c r="FB276" s="370"/>
      <c r="FC276" s="4">
        <f>IF(SnapshotTable[[#This Row],[SC Is Filled]], btc_max_buyback_amount(SnapshotTable[[#This Row],[SC Fill Date]],SnapshotTable[[#This Row],[SC Exp Date]], SnapshotTable[[#This Row],[SC Book Price]]),0)</f>
        <v>0</v>
      </c>
      <c r="FD276" s="5"/>
      <c r="FE276" s="144"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382">
        <f>IF(SnapshotTable[[#This Row],[SC Is Filled]], IF(ISNUMBER(SnapshotTable[[#This Row],[SC Current Ask]]), SnapshotTable[[#This Row],[SC Current Ask]], SnapshotTable[[#This Row],[SC Book Price]]) - SnapshotTable[[#This Row],[SC Intrinsic Value]], 0)</f>
        <v>0</v>
      </c>
      <c r="FI276" s="143"/>
      <c r="FJ276" s="32" t="str">
        <f>IF(SnapshotTable[[#This Row],[SC Is Filled]],100 * SnapshotTable[[#This Row],[SC Qty]] * IF(ISNUMBER(SnapshotTable[[#This Row],[SC Buyback Override]]), SnapshotTable[[#This Row],[SC Buyback Override]], SnapshotTable[[#This Row],[SC Current Ask]]), "")</f>
        <v/>
      </c>
      <c r="FK276" s="250" t="str">
        <f>IF(SnapshotTable[[#This Row],[SC Time Val]]&gt;0, SnapshotTable[[#This Row],[SC Time Val]] / SnapshotTable[[#This Row],[Last Price]],"")</f>
        <v/>
      </c>
      <c r="FL276" s="302" t="str">
        <f>IF(SnapshotTable[[#This Row],[SC Is Booked]], ((SnapshotTable[[#This Row],[Last Price]] -SnapshotTable[[#This Row],[SC Strike Price]]) / SnapshotTable[[#This Row],[Last Price]]) * -1, "")</f>
        <v/>
      </c>
      <c r="FM276" s="157" t="str">
        <f>IF(SnapshotTable[[#This Row],[SC Is Booked]],  (SnapshotTable[[#This Row],[SC Qty]] * 100 * SnapshotTable[[#This Row],[SC Strike Price]]) - SnapshotTable[[#This Row],[SC Current Ask]], "")</f>
        <v/>
      </c>
      <c r="FN2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31"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33"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36" t="str">
        <f>IF(AND(ISNUMBER(SnapshotTable[[#This Row],[SC Simple ROO]]),SnapshotTable[[#This Row],[SC Simple ROO]] &gt; 0), SnapshotTable[[#This Row],[SC Premium]] + (SnapshotTable[[#This Row],[SC Qty]] * SnapshotTable[[#This Row],[SC Upside Potential]]), "")</f>
        <v/>
      </c>
      <c r="FX276" s="302" t="str" cm="1">
        <f t="array" ref="FX276">IF(ISNUMBER(SnapshotTable[[#This Row],[SC Max Dollars]]), annualize(SnapshotTable[[#This Row],[SC Term]],(SnapshotTable[[#This Row],[SC Max Dollars]]/SnapshotTable[[#This Row],[SC Basis]])),"")</f>
        <v/>
      </c>
      <c r="FY276" s="236" t="str">
        <f>IF(AND(SnapshotTable[[#This Row],[SC Qty]]&gt;0,SnapshotTable[[#This Row],[SC Current Ask]]&gt;0), SnapshotTable[[#This Row],[SC Qty]] * SnapshotTable[[#This Row],[SC Current Ask]] * -100, "")</f>
        <v/>
      </c>
      <c r="FZ276" s="31" t="str">
        <f>IF(ISNUMBER((SnapshotTable[[#This Row],[SC Current Value]])), SnapshotTable[[#This Row],[SC Premium]] + SnapshotTable[[#This Row],[SC Current Value]], "")</f>
        <v/>
      </c>
      <c r="GA276" s="29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0</v>
      </c>
      <c r="GD276" s="40">
        <f>SnapshotTable[[#This Row],[Last Price]] * (1+ SellingPriceToConsiderBasedOnTargetPercentage)</f>
        <v>131.17649999999998</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27" t="str">
        <f>IF(SnapshotTable[[#This Row],[Sale G/L]]&gt;0, SnapshotTable[[#This Row],[Sale G/L]] / SnapshotTable[[#This Row],[Sale Basis]], IF(ISNUMBER(SnapshotTable[[#This Row],[SC Exercise P&amp;L (TAX)]]), SnapshotTable[[#This Row],[SC Exercise P&amp;L (TAX)]] / SnapshotTable[[#This Row],[SC Basis]], ""))</f>
        <v/>
      </c>
      <c r="GK276" s="27"/>
      <c r="GL276" s="43"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43" t="str">
        <f>IF(AND(SnapshotTable[[#This Row],[LC Exp Date]]&gt;0,SnapshotTable[[#This Row],[LC Strike Price]]&gt;0), [1]!ToOptionSymbol(SnapshotTable[[#This Row],[Symbol]], SnapshotTable[[#This Row],[LC Strike Price]],SnapshotTable[[#This Row],[LC Exp Date]],0), "")</f>
        <v/>
      </c>
      <c r="GQ276" s="30" t="str">
        <f>IF(LEN(SnapshotTable[[#This Row],[LC Symbol]])&gt;0, 1, "")</f>
        <v/>
      </c>
      <c r="GR276" s="43" t="str">
        <f>IF(AND(SnapshotTable[[#This Row],[SC Exp Date]]&gt;0,SnapshotTable[[#This Row],[SC Strike Price]]&gt;0), [1]!ToOptionSymbol(SnapshotTable[[#This Row],[Symbol]], SnapshotTable[[#This Row],[SC Strike Price]],SnapshotTable[[#This Row],[SC Exp Date]],0), "")</f>
        <v/>
      </c>
      <c r="GS276" s="30" t="str">
        <f>IF(LEN(SnapshotTable[[#This Row],[SC Symbol]])&gt;0, 1, "")</f>
        <v/>
      </c>
      <c r="GT276" s="29"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31">
        <f>MAX(SnapshotTable[[#This Row],[Equity Basis Total]],SnapshotTable[[#This Row],[Equity Value]]) + (SnapshotTable[[#This Row],[SP Potential Spend]]- SnapshotTable[[#This Row],[SP Premium]] + SnapshotTable[[#This Row],[LP Premium]])+ (SnapshotTable[[#This Row],[LC Premium]] - SnapshotTable[[#This Row],[SC Premium]])</f>
        <v>0</v>
      </c>
      <c r="GW276" s="139" t="str">
        <f>IF(AND(SnapshotTable[[#This Row],[Exposure]] &lt;&gt; 0),SnapshotTable[[#This Row],[Exposure]] / SnapshotTable[[#Totals],[Exposure]], "")</f>
        <v/>
      </c>
      <c r="GX276" s="13"/>
      <c r="HK276" s="1"/>
      <c r="HL276" s="1"/>
      <c r="HM276" s="1"/>
      <c r="HN276" s="1"/>
      <c r="HO276" s="1"/>
      <c r="HP276" s="1"/>
    </row>
    <row r="277" spans="2:224" ht="12.75" hidden="1" customHeight="1" x14ac:dyDescent="0.25">
      <c r="B277" s="12" t="s">
        <v>1056</v>
      </c>
      <c r="C277" s="422">
        <v>6.01</v>
      </c>
      <c r="D277" s="208"/>
      <c r="E277" s="39">
        <f>SnapshotTable[[#This Row],[Last Price]]*(1 -CrashDiscount)</f>
        <v>5.1084999999999994</v>
      </c>
      <c r="F277" s="26" t="s">
        <v>840</v>
      </c>
      <c r="G277" s="26" t="s">
        <v>9</v>
      </c>
      <c r="H277" s="149"/>
      <c r="I277" s="194">
        <v>44868.670138888891</v>
      </c>
      <c r="J277" s="195">
        <v>44868.670138888891</v>
      </c>
      <c r="K277" s="196"/>
      <c r="L277" s="326"/>
      <c r="M277" s="140"/>
      <c r="N277" s="140"/>
      <c r="O277" s="140"/>
      <c r="P277" s="22"/>
      <c r="Q277" s="25"/>
      <c r="R277" s="4" t="str">
        <f>IF(SnapshotTable[[#This Row],[Equity Basis Total]] &gt; 0, SnapshotTable[[#This Row],[Equity Basis Total]] / SnapshotTable[[#This Row],[Equity Shares]], "")</f>
        <v/>
      </c>
      <c r="S277" s="269">
        <f>SnapshotTable[[#This Row],[Last Price]] * SnapshotTable[[#This Row],[Equity Shares]]</f>
        <v>0</v>
      </c>
      <c r="T277" s="269">
        <f>SnapshotTable[[#This Row],[Equity Value]] - SnapshotTable[[#This Row],[Equity Basis Total]]</f>
        <v>0</v>
      </c>
      <c r="U277" s="270" t="str">
        <f>IF(SnapshotTable[[#This Row],[Equity Basis Total]] &gt; 0, SnapshotTable[[#This Row],[Equity G/L]] / SnapshotTable[[#This Row],[Equity Basis Total]], "")</f>
        <v/>
      </c>
      <c r="V277" s="268"/>
      <c r="W277" s="268"/>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7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0"/>
      <c r="AD277" s="151"/>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1"/>
      <c r="AI277" s="5"/>
      <c r="AJ277" s="138">
        <v>19.38</v>
      </c>
      <c r="AK277" s="152" t="str">
        <f>IF(ISNUMBER( SnapshotTable[[#This Row],[EBF Target]]),(SnapshotTable[[#This Row],[EBF Target]] - SnapshotTable[[#This Row],[Last Price]]) / SnapshotTable[[#This Row],[Last Price]], "")</f>
        <v/>
      </c>
      <c r="AL277" s="152"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2">
        <f>IF(AND(ISNUMBER( SnapshotTable[[#This Row],[Long Term Target]]), ISNUMBER(SnapshotTable[[#This Row],[Last Price]])),(SnapshotTable[[#This Row],[Long Term Target]] - SnapshotTable[[#This Row],[Last Price]]) / SnapshotTable[[#This Row],[Last Price]], "")</f>
        <v>2.2246256239600664</v>
      </c>
      <c r="AP277" s="5">
        <v>19.43</v>
      </c>
      <c r="AQ277" s="38" t="s">
        <v>89</v>
      </c>
      <c r="AR277" s="5">
        <v>14.95</v>
      </c>
      <c r="AS277" s="38" t="s">
        <v>32</v>
      </c>
      <c r="AT277" s="146"/>
      <c r="AU277" s="187" t="str">
        <f>IF(OR(SnapshotTable[[#This Row],[LP No Fill]]="Y",SnapshotTable[[#This Row],[SP Is Filled]],SnapshotTable[[#This Row],[LC Not Filled]]="Y",SnapshotTable[[#This Row],[SC Is Filled]]),"Y","")</f>
        <v/>
      </c>
      <c r="AV277" s="219"/>
      <c r="AW277" s="225"/>
      <c r="AX277" s="220"/>
      <c r="AY277" s="219" t="str">
        <f>IF(SnapshotTable[[#This Row],[Implied Move]]&gt;0, SnapshotTable[[#This Row],[Last Price]]-SnapshotTable[[#This Row],[Implied Move]],"")</f>
        <v/>
      </c>
      <c r="AZ277" s="219" t="str">
        <f>IF(SnapshotTable[[#This Row],[Implied Move]]&gt;0, SnapshotTable[[#This Row],[Last Price]] + SnapshotTable[[#This Row],[Implied Move]],"")</f>
        <v/>
      </c>
      <c r="BA277" s="331">
        <v>17.02</v>
      </c>
      <c r="BB277" s="347"/>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51"/>
      <c r="BE277" s="5"/>
      <c r="BF277" s="14"/>
      <c r="BG277" s="13"/>
      <c r="BH277" s="13"/>
      <c r="BI277" s="5"/>
      <c r="BJ277" s="136">
        <f>IF(SnapshotTable[[#This Row],[LP Qty]] &gt; 0, SnapshotTable[[#This Row],[LP Qty]] * SnapshotTable[[#This Row],[LP Book Price]] * 100,0)</f>
        <v>0</v>
      </c>
      <c r="BK277" s="136">
        <f>IF(SnapshotTable[[#This Row],[LP Premium]] &gt; 0, SnapshotTable[[#This Row],[LP Qty]] * SnapshotTable[[#This Row],[LP Strike Price]] * 100,0)</f>
        <v>0</v>
      </c>
      <c r="BL277" s="154"/>
      <c r="BM277" s="385" t="str">
        <f>IF(SnapshotTable[[#This Row],[LP Premium]] &gt; 0,SnapshotTable[[#This Row],[LP Exp Date]]-MAX(SnapshotTable[[#This Row],[LP Book Date]], SnapshotTable[[#This Row],[LP Fill Date]]),"")</f>
        <v/>
      </c>
      <c r="BN277" s="385" t="str">
        <f>IF(ISNUMBER( SnapshotTable[[#This Row],[LP Term]]), SnapshotTable[[#This Row],[LP Exp Date]] - MockToday,"")</f>
        <v/>
      </c>
      <c r="BO277" s="163"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7"/>
      <c r="BU277" s="13"/>
      <c r="BV277" s="5"/>
      <c r="BW277" s="419" t="b">
        <f>AND(ISNUMBER(SnapshotTable[[#This Row],[SP Exp Date]]), ISNUMBER(SnapshotTable[[#This Row],[SP Strike Price]]), ISNUMBER(SnapshotTable[[#This Row],[SP Qty]]), ISNUMBER(SnapshotTable[[#This Row],[SP Book Date]]), ISNUMBER(SnapshotTable[[#This Row],[SP Book Price]]))</f>
        <v>0</v>
      </c>
      <c r="BX277" s="419" t="b">
        <f>AND(SnapshotTable[[#This Row],[SP Is Booked]], NOT(ISBLANK(SnapshotTable[[#This Row],[SP Fill Date]])))</f>
        <v>0</v>
      </c>
      <c r="BY277" s="33">
        <f>IF(SnapshotTable[[#This Row],[SP Is Booked]], SnapshotTable[[#This Row],[SP Qty]] * SnapshotTable[[#This Row],[SP Book Price]] * 100, 0)</f>
        <v>0</v>
      </c>
      <c r="BZ277" s="369"/>
      <c r="CA277" s="368">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3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44"/>
      <c r="CK277" s="31">
        <f>IF(ISNUMBER(SnapshotTable[[#This Row],[SP Potential Spend]]),IF(ISNUMBER(SnapshotTable[[#This Row],[SP POW]]), SnapshotTable[[#This Row],[SP POW]] * SnapshotTable[[#This Row],[SP Potential Spend]], SnapshotTable[[#This Row],[SP Potential Spend]]), "")</f>
        <v>0</v>
      </c>
      <c r="CL277" s="164">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8"/>
      <c r="CO277" s="369"/>
      <c r="CP277" s="4" t="str">
        <f>IF(SnapshotTable[[#This Row],[SP Is Filled]], btc_max_buyback_amount(SnapshotTable[[#This Row],[SP Fill Date]],SnapshotTable[[#This Row],[SP Exp Date]], SnapshotTable[[#This Row],[SP Book Price]]),"")</f>
        <v/>
      </c>
      <c r="CQ277" s="78"/>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5" t="str">
        <f>IF(SnapshotTable[[#This Row],[SP Is Filled]], btc_next_cutoff_date(SnapshotTable[[#This Row],[SP Fill Date]],SnapshotTable[[#This Row],[SP Exp Date]]),"")</f>
        <v/>
      </c>
      <c r="CT277" s="23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3"/>
      <c r="CV277" s="235"/>
      <c r="CW277" s="378"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294" t="str">
        <f>IF(ISNUMBER((SnapshotTable[[#This Row],[SP Total Value]])), SnapshotTable[[#This Row],[SP Gain Loss]] / SnapshotTable[[#This Row],[SP Premium]], "")</f>
        <v/>
      </c>
      <c r="DI277" s="406"/>
      <c r="DJ277" s="138"/>
      <c r="DK277" s="148"/>
      <c r="DL277" s="13"/>
      <c r="DM277" s="13"/>
      <c r="DO277" s="31">
        <f>IF(SnapshotTable[[#This Row],[LC Symbol Count]]=1, SnapshotTable[[#This Row],[LC Qty]] * SnapshotTable[[#This Row],[LC Book Price]] * 100, 0)</f>
        <v>0</v>
      </c>
      <c r="DP277" s="163" t="str">
        <f>IF(AND(SnapshotTable[[#This Row],[LC Exp Date]]&gt;0, SnapshotTable[[#This Row],[LC Strike Price]]&gt;0,SnapshotTable[[#This Row],[LC Qty]]&gt;0,SnapshotTable[[#This Row],[LC Book Date]]&gt;0,SnapshotTable[[#This Row],[LC Book Price]]&gt;0,SnapshotTable[[#This Row],[LC Fill Date]]=0),"Y","")</f>
        <v/>
      </c>
      <c r="DQ277" s="386" t="str">
        <f>IF(SnapshotTable[[#This Row],[LC Premium]] &gt; 0,SnapshotTable[[#This Row],[LC Exp Date]]-MAX(SnapshotTable[[#This Row],[LC Book Date]], SnapshotTable[[#This Row],[LC Fill Date]]),"")</f>
        <v/>
      </c>
      <c r="DR277" s="386" t="str">
        <f>IF(ISNUMBER(SnapshotTable[[#This Row],[LC Term]]), SnapshotTable[[#This Row],[LC Exp Date]] - MockToday, "")</f>
        <v/>
      </c>
      <c r="DS277" s="23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40" t="str">
        <f>IF(ISNUMBER(SnapshotTable[[#This Row],[LC Actual Gain Loss]]), SnapshotTable[[#This Row],[LC Actual Gain Loss]] / SnapshotTable[[#This Row],[LC Premium]],"")</f>
        <v/>
      </c>
      <c r="DX277" s="284" t="str">
        <f>IF(ISNUMBER(SnapshotTable[[#This Row],[LC Book Price]]),SnapshotTable[[#This Row],[LC Book Price]] * 1.5,"")</f>
        <v/>
      </c>
      <c r="DY277" s="265" t="str">
        <f>IF(SnapshotTable[[#This Row],[LC Premium]]&gt;0, SnapshotTable[[#This Row],[LC Next Target]] * SnapshotTable[[#This Row],[LC Qty]] * 100,"")</f>
        <v/>
      </c>
      <c r="DZ277" s="265" t="str">
        <f>IF(ISNUMBER(SnapshotTable[[#This Row],[LC Target Gross]]), SnapshotTable[[#This Row],[LC Target Gross]] - SnapshotTable[[#This Row],[LC Premium]], "")</f>
        <v/>
      </c>
      <c r="EA277" s="305" t="str">
        <f>IF(ISNUMBER(SnapshotTable[[#This Row],[LC Target Gain Loss]]), SnapshotTable[[#This Row],[LC Target Gain Loss]]/SnapshotTable[[#This Row],[LC Premium]], "")</f>
        <v/>
      </c>
      <c r="EB277" s="262"/>
      <c r="EC277" s="283" t="str">
        <f>IF(SnapshotTable[[#This Row],[LC Premium]]&gt;0, SnapshotTable[[#This Row],[LC Book Price]] * (1 - LC_StopLoss_Pct),"")</f>
        <v/>
      </c>
      <c r="ED277" s="284"/>
      <c r="EE277" s="28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4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7"/>
      <c r="EL277" s="138"/>
      <c r="EM277" s="148"/>
      <c r="EN277" s="147"/>
      <c r="EO277" s="147"/>
      <c r="EP277" s="138"/>
      <c r="EQ277" s="419" t="b">
        <f>AND(ISNUMBER(SnapshotTable[[#This Row],[SC Exp Date]]), ISNUMBER(SnapshotTable[[#This Row],[SC Strike Price]]), ISNUMBER(SnapshotTable[[#This Row],[SC Qty]]), ISNUMBER(SnapshotTable[[#This Row],[SC Book Date]]), ISNUMBER(SnapshotTable[[#This Row],[SC Book Price]]))</f>
        <v>0</v>
      </c>
      <c r="ER277" s="419" t="b">
        <f>AND(SnapshotTable[[#This Row],[SC Is Booked]], NOT(ISBLANK(SnapshotTable[[#This Row],[SC Fill Date]])))</f>
        <v>0</v>
      </c>
      <c r="ES277" s="370"/>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3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283"/>
      <c r="FA277" s="218"/>
      <c r="FB277" s="370"/>
      <c r="FC277" s="4">
        <f>IF(SnapshotTable[[#This Row],[SC Is Filled]], btc_max_buyback_amount(SnapshotTable[[#This Row],[SC Fill Date]],SnapshotTable[[#This Row],[SC Exp Date]], SnapshotTable[[#This Row],[SC Book Price]]),0)</f>
        <v>0</v>
      </c>
      <c r="FD277" s="5"/>
      <c r="FE277" s="144"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382">
        <f>IF(SnapshotTable[[#This Row],[SC Is Filled]], IF(ISNUMBER(SnapshotTable[[#This Row],[SC Current Ask]]), SnapshotTable[[#This Row],[SC Current Ask]], SnapshotTable[[#This Row],[SC Book Price]]) - SnapshotTable[[#This Row],[SC Intrinsic Value]], 0)</f>
        <v>0</v>
      </c>
      <c r="FI277" s="143"/>
      <c r="FJ277" s="32" t="str">
        <f>IF(SnapshotTable[[#This Row],[SC Is Filled]],100 * SnapshotTable[[#This Row],[SC Qty]] * IF(ISNUMBER(SnapshotTable[[#This Row],[SC Buyback Override]]), SnapshotTable[[#This Row],[SC Buyback Override]], SnapshotTable[[#This Row],[SC Current Ask]]), "")</f>
        <v/>
      </c>
      <c r="FK277" s="250" t="str">
        <f>IF(SnapshotTable[[#This Row],[SC Time Val]]&gt;0, SnapshotTable[[#This Row],[SC Time Val]] / SnapshotTable[[#This Row],[Last Price]],"")</f>
        <v/>
      </c>
      <c r="FL277" s="302" t="str">
        <f>IF(SnapshotTable[[#This Row],[SC Is Booked]], ((SnapshotTable[[#This Row],[Last Price]] -SnapshotTable[[#This Row],[SC Strike Price]]) / SnapshotTable[[#This Row],[Last Price]]) * -1, "")</f>
        <v/>
      </c>
      <c r="FM277" s="157"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33"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36" t="str">
        <f>IF(AND(ISNUMBER(SnapshotTable[[#This Row],[SC Simple ROO]]),SnapshotTable[[#This Row],[SC Simple ROO]] &gt; 0), SnapshotTable[[#This Row],[SC Premium]] + (SnapshotTable[[#This Row],[SC Qty]] * SnapshotTable[[#This Row],[SC Upside Potential]]), "")</f>
        <v/>
      </c>
      <c r="FX277" s="302" t="str" cm="1">
        <f t="array" ref="FX277">IF(ISNUMBER(SnapshotTable[[#This Row],[SC Max Dollars]]), annualize(SnapshotTable[[#This Row],[SC Term]],(SnapshotTable[[#This Row],[SC Max Dollars]]/SnapshotTable[[#This Row],[SC Basis]])),"")</f>
        <v/>
      </c>
      <c r="FY277" s="23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29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18.410999999999998</v>
      </c>
      <c r="GD277" s="40">
        <f>SnapshotTable[[#This Row],[Last Price]] * (1+ SellingPriceToConsiderBasedOnTargetPercentage)</f>
        <v>11.7195</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31">
        <f>MAX(SnapshotTable[[#This Row],[Equity Basis Total]],SnapshotTable[[#This Row],[Equity Value]]) + (SnapshotTable[[#This Row],[SP Potential Spend]]- SnapshotTable[[#This Row],[SP Premium]] + SnapshotTable[[#This Row],[LP Premium]])+ (SnapshotTable[[#This Row],[LC Premium]] - SnapshotTable[[#This Row],[SC Premium]])</f>
        <v>0</v>
      </c>
      <c r="GW277" s="139" t="str">
        <f>IF(AND(SnapshotTable[[#This Row],[Exposure]] &lt;&gt; 0),SnapshotTable[[#This Row],[Exposure]] / SnapshotTable[[#Totals],[Exposure]], "")</f>
        <v/>
      </c>
      <c r="GX277" s="13"/>
      <c r="HK277" s="1"/>
      <c r="HL277" s="1"/>
      <c r="HM277" s="1"/>
      <c r="HN277" s="1"/>
      <c r="HO277" s="1"/>
      <c r="HP277" s="1"/>
    </row>
    <row r="278" spans="2:224" ht="12.75" hidden="1" customHeight="1" x14ac:dyDescent="0.25">
      <c r="B278" s="12" t="s">
        <v>25</v>
      </c>
      <c r="C278" s="422">
        <v>6.55</v>
      </c>
      <c r="D278" s="208"/>
      <c r="E278" s="39">
        <f>SnapshotTable[[#This Row],[Last Price]]*(1 -CrashDiscount)</f>
        <v>5.5674999999999999</v>
      </c>
      <c r="F278" s="26" t="s">
        <v>24</v>
      </c>
      <c r="G278" s="26" t="s">
        <v>4</v>
      </c>
      <c r="H278" s="149"/>
      <c r="I278" s="194">
        <v>44777.673611111109</v>
      </c>
      <c r="J278" s="195">
        <v>44777.673611111109</v>
      </c>
      <c r="K278" s="196"/>
      <c r="L278" s="326"/>
      <c r="M278" s="140"/>
      <c r="N278" s="140"/>
      <c r="O278" s="140"/>
      <c r="P278" s="22"/>
      <c r="Q278" s="25"/>
      <c r="R278" s="4" t="str">
        <f>IF(SnapshotTable[[#This Row],[Equity Basis Total]] &gt; 0, SnapshotTable[[#This Row],[Equity Basis Total]] / SnapshotTable[[#This Row],[Equity Shares]], "")</f>
        <v/>
      </c>
      <c r="S278" s="269">
        <f>SnapshotTable[[#This Row],[Last Price]] * SnapshotTable[[#This Row],[Equity Shares]]</f>
        <v>0</v>
      </c>
      <c r="T278" s="269">
        <f>SnapshotTable[[#This Row],[Equity Value]] - SnapshotTable[[#This Row],[Equity Basis Total]]</f>
        <v>0</v>
      </c>
      <c r="U278" s="270" t="str">
        <f>IF(SnapshotTable[[#This Row],[Equity Basis Total]] &gt; 0, SnapshotTable[[#This Row],[Equity G/L]] / SnapshotTable[[#This Row],[Equity Basis Total]], "")</f>
        <v/>
      </c>
      <c r="V278" s="268"/>
      <c r="W278" s="26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7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0">
        <v>0.96</v>
      </c>
      <c r="AD278" s="151">
        <v>42353</v>
      </c>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0.14656488549618321</v>
      </c>
      <c r="AH278" s="151">
        <v>42241</v>
      </c>
      <c r="AI278" s="5"/>
      <c r="AJ278" s="138">
        <v>79.42</v>
      </c>
      <c r="AK278" s="152" t="str">
        <f>IF(ISNUMBER( SnapshotTable[[#This Row],[EBF Target]]),(SnapshotTable[[#This Row],[EBF Target]] - SnapshotTable[[#This Row],[Last Price]]) / SnapshotTable[[#This Row],[Last Price]], "")</f>
        <v/>
      </c>
      <c r="AL278" s="152"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2">
        <f>IF(AND(ISNUMBER( SnapshotTable[[#This Row],[Long Term Target]]), ISNUMBER(SnapshotTable[[#This Row],[Last Price]])),(SnapshotTable[[#This Row],[Long Term Target]] - SnapshotTable[[#This Row],[Last Price]]) / SnapshotTable[[#This Row],[Last Price]], "")</f>
        <v>11.125190839694657</v>
      </c>
      <c r="AP278" s="5"/>
      <c r="AQ278" s="38"/>
      <c r="AR278" s="5"/>
      <c r="AS278" s="38"/>
      <c r="AT278" s="146"/>
      <c r="AU278" s="187" t="str">
        <f>IF(OR(SnapshotTable[[#This Row],[LP No Fill]]="Y",SnapshotTable[[#This Row],[SP Is Filled]],SnapshotTable[[#This Row],[LC Not Filled]]="Y",SnapshotTable[[#This Row],[SC Is Filled]]),"Y","")</f>
        <v/>
      </c>
      <c r="AV278" s="219"/>
      <c r="AW278" s="225"/>
      <c r="AX278" s="220"/>
      <c r="AY278" s="219" t="str">
        <f>IF(SnapshotTable[[#This Row],[Implied Move]]&gt;0, SnapshotTable[[#This Row],[Last Price]]-SnapshotTable[[#This Row],[Implied Move]],"")</f>
        <v/>
      </c>
      <c r="AZ278" s="219" t="str">
        <f>IF(SnapshotTable[[#This Row],[Implied Move]]&gt;0, SnapshotTable[[#This Row],[Last Price]] + SnapshotTable[[#This Row],[Implied Move]],"")</f>
        <v/>
      </c>
      <c r="BA278" s="331"/>
      <c r="BB278" s="347"/>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51"/>
      <c r="BE278" s="5"/>
      <c r="BF278" s="14"/>
      <c r="BG278" s="13"/>
      <c r="BH278" s="13"/>
      <c r="BI278" s="5"/>
      <c r="BJ278" s="136">
        <f>IF(SnapshotTable[[#This Row],[LP Qty]] &gt; 0, SnapshotTable[[#This Row],[LP Qty]] * SnapshotTable[[#This Row],[LP Book Price]] * 100,0)</f>
        <v>0</v>
      </c>
      <c r="BK278" s="136">
        <f>IF(SnapshotTable[[#This Row],[LP Premium]] &gt; 0, SnapshotTable[[#This Row],[LP Qty]] * SnapshotTable[[#This Row],[LP Strike Price]] * 100,0)</f>
        <v>0</v>
      </c>
      <c r="BL278" s="154"/>
      <c r="BM278" s="385" t="str">
        <f>IF(SnapshotTable[[#This Row],[LP Premium]] &gt; 0,SnapshotTable[[#This Row],[LP Exp Date]]-MAX(SnapshotTable[[#This Row],[LP Book Date]], SnapshotTable[[#This Row],[LP Fill Date]]),"")</f>
        <v/>
      </c>
      <c r="BN278" s="385" t="str">
        <f>IF(ISNUMBER( SnapshotTable[[#This Row],[LP Term]]), SnapshotTable[[#This Row],[LP Exp Date]] - MockToday,"")</f>
        <v/>
      </c>
      <c r="BO278" s="163"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7"/>
      <c r="BU278" s="13"/>
      <c r="BV278" s="5"/>
      <c r="BW278" s="419" t="b">
        <f>AND(ISNUMBER(SnapshotTable[[#This Row],[SP Exp Date]]), ISNUMBER(SnapshotTable[[#This Row],[SP Strike Price]]), ISNUMBER(SnapshotTable[[#This Row],[SP Qty]]), ISNUMBER(SnapshotTable[[#This Row],[SP Book Date]]), ISNUMBER(SnapshotTable[[#This Row],[SP Book Price]]))</f>
        <v>0</v>
      </c>
      <c r="BX278" s="419" t="b">
        <f>AND(SnapshotTable[[#This Row],[SP Is Booked]], NOT(ISBLANK(SnapshotTable[[#This Row],[SP Fill Date]])))</f>
        <v>0</v>
      </c>
      <c r="BY278" s="33">
        <f>IF(SnapshotTable[[#This Row],[SP Is Booked]], SnapshotTable[[#This Row],[SP Qty]] * SnapshotTable[[#This Row],[SP Book Price]] * 100, 0)</f>
        <v>0</v>
      </c>
      <c r="BZ278" s="369"/>
      <c r="CA278" s="368">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3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44"/>
      <c r="CK278" s="31">
        <f>IF(ISNUMBER(SnapshotTable[[#This Row],[SP Potential Spend]]),IF(ISNUMBER(SnapshotTable[[#This Row],[SP POW]]), SnapshotTable[[#This Row],[SP POW]] * SnapshotTable[[#This Row],[SP Potential Spend]], SnapshotTable[[#This Row],[SP Potential Spend]]), "")</f>
        <v>0</v>
      </c>
      <c r="CL278" s="164">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8"/>
      <c r="CO278" s="369"/>
      <c r="CP278" s="4" t="str">
        <f>IF(SnapshotTable[[#This Row],[SP Is Filled]], btc_max_buyback_amount(SnapshotTable[[#This Row],[SP Fill Date]],SnapshotTable[[#This Row],[SP Exp Date]], SnapshotTable[[#This Row],[SP Book Price]]),"")</f>
        <v/>
      </c>
      <c r="CQ278" s="78"/>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5" t="str">
        <f>IF(SnapshotTable[[#This Row],[SP Is Filled]], btc_next_cutoff_date(SnapshotTable[[#This Row],[SP Fill Date]],SnapshotTable[[#This Row],[SP Exp Date]]),"")</f>
        <v/>
      </c>
      <c r="CT278" s="23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3"/>
      <c r="CV278" s="235"/>
      <c r="CW278" s="378"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294" t="str">
        <f>IF(ISNUMBER((SnapshotTable[[#This Row],[SP Total Value]])), SnapshotTable[[#This Row],[SP Gain Loss]] / SnapshotTable[[#This Row],[SP Premium]], "")</f>
        <v/>
      </c>
      <c r="DI278" s="406"/>
      <c r="DJ278" s="138"/>
      <c r="DK278" s="148"/>
      <c r="DL278" s="13"/>
      <c r="DM278" s="13"/>
      <c r="DO278" s="31">
        <f>IF(SnapshotTable[[#This Row],[LC Symbol Count]]=1, SnapshotTable[[#This Row],[LC Qty]] * SnapshotTable[[#This Row],[LC Book Price]] * 100, 0)</f>
        <v>0</v>
      </c>
      <c r="DP278" s="163" t="str">
        <f>IF(AND(SnapshotTable[[#This Row],[LC Exp Date]]&gt;0, SnapshotTable[[#This Row],[LC Strike Price]]&gt;0,SnapshotTable[[#This Row],[LC Qty]]&gt;0,SnapshotTable[[#This Row],[LC Book Date]]&gt;0,SnapshotTable[[#This Row],[LC Book Price]]&gt;0,SnapshotTable[[#This Row],[LC Fill Date]]=0),"Y","")</f>
        <v/>
      </c>
      <c r="DQ278" s="386" t="str">
        <f>IF(SnapshotTable[[#This Row],[LC Premium]] &gt; 0,SnapshotTable[[#This Row],[LC Exp Date]]-MAX(SnapshotTable[[#This Row],[LC Book Date]], SnapshotTable[[#This Row],[LC Fill Date]]),"")</f>
        <v/>
      </c>
      <c r="DR278" s="386" t="str">
        <f>IF(ISNUMBER(SnapshotTable[[#This Row],[LC Term]]), SnapshotTable[[#This Row],[LC Exp Date]] - MockToday, "")</f>
        <v/>
      </c>
      <c r="DS278" s="23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40" t="str">
        <f>IF(ISNUMBER(SnapshotTable[[#This Row],[LC Actual Gain Loss]]), SnapshotTable[[#This Row],[LC Actual Gain Loss]] / SnapshotTable[[#This Row],[LC Premium]],"")</f>
        <v/>
      </c>
      <c r="DX278" s="284" t="str">
        <f>IF(ISNUMBER(SnapshotTable[[#This Row],[LC Book Price]]),SnapshotTable[[#This Row],[LC Book Price]] * 1.5,"")</f>
        <v/>
      </c>
      <c r="DY278" s="265" t="str">
        <f>IF(SnapshotTable[[#This Row],[LC Premium]]&gt;0, SnapshotTable[[#This Row],[LC Next Target]] * SnapshotTable[[#This Row],[LC Qty]] * 100,"")</f>
        <v/>
      </c>
      <c r="DZ278" s="265" t="str">
        <f>IF(ISNUMBER(SnapshotTable[[#This Row],[LC Target Gross]]), SnapshotTable[[#This Row],[LC Target Gross]] - SnapshotTable[[#This Row],[LC Premium]], "")</f>
        <v/>
      </c>
      <c r="EA278" s="305" t="str">
        <f>IF(ISNUMBER(SnapshotTable[[#This Row],[LC Target Gain Loss]]), SnapshotTable[[#This Row],[LC Target Gain Loss]]/SnapshotTable[[#This Row],[LC Premium]], "")</f>
        <v/>
      </c>
      <c r="EB278" s="262"/>
      <c r="EC278" s="283" t="str">
        <f>IF(SnapshotTable[[#This Row],[LC Premium]]&gt;0, SnapshotTable[[#This Row],[LC Book Price]] * (1 - LC_StopLoss_Pct),"")</f>
        <v/>
      </c>
      <c r="ED278" s="284"/>
      <c r="EE278" s="28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4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7"/>
      <c r="EL278" s="138"/>
      <c r="EM278" s="148"/>
      <c r="EN278" s="147"/>
      <c r="EO278" s="147"/>
      <c r="EP278" s="138"/>
      <c r="EQ278" s="419" t="b">
        <f>AND(ISNUMBER(SnapshotTable[[#This Row],[SC Exp Date]]), ISNUMBER(SnapshotTable[[#This Row],[SC Strike Price]]), ISNUMBER(SnapshotTable[[#This Row],[SC Qty]]), ISNUMBER(SnapshotTable[[#This Row],[SC Book Date]]), ISNUMBER(SnapshotTable[[#This Row],[SC Book Price]]))</f>
        <v>0</v>
      </c>
      <c r="ER278" s="419" t="b">
        <f>AND(SnapshotTable[[#This Row],[SC Is Booked]], NOT(ISBLANK(SnapshotTable[[#This Row],[SC Fill Date]])))</f>
        <v>0</v>
      </c>
      <c r="ES278" s="370"/>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3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283"/>
      <c r="FA278" s="218"/>
      <c r="FB278" s="370"/>
      <c r="FC278" s="4">
        <f>IF(SnapshotTable[[#This Row],[SC Is Filled]], btc_max_buyback_amount(SnapshotTable[[#This Row],[SC Fill Date]],SnapshotTable[[#This Row],[SC Exp Date]], SnapshotTable[[#This Row],[SC Book Price]]),0)</f>
        <v>0</v>
      </c>
      <c r="FD278" s="5"/>
      <c r="FE278" s="144"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382">
        <f>IF(SnapshotTable[[#This Row],[SC Is Filled]], IF(ISNUMBER(SnapshotTable[[#This Row],[SC Current Ask]]), SnapshotTable[[#This Row],[SC Current Ask]], SnapshotTable[[#This Row],[SC Book Price]]) - SnapshotTable[[#This Row],[SC Intrinsic Value]], 0)</f>
        <v>0</v>
      </c>
      <c r="FI278" s="143"/>
      <c r="FJ278" s="32" t="str">
        <f>IF(SnapshotTable[[#This Row],[SC Is Filled]],100 * SnapshotTable[[#This Row],[SC Qty]] * IF(ISNUMBER(SnapshotTable[[#This Row],[SC Buyback Override]]), SnapshotTable[[#This Row],[SC Buyback Override]], SnapshotTable[[#This Row],[SC Current Ask]]), "")</f>
        <v/>
      </c>
      <c r="FK278" s="250" t="str">
        <f>IF(SnapshotTable[[#This Row],[SC Time Val]]&gt;0, SnapshotTable[[#This Row],[SC Time Val]] / SnapshotTable[[#This Row],[Last Price]],"")</f>
        <v/>
      </c>
      <c r="FL278" s="302" t="str">
        <f>IF(SnapshotTable[[#This Row],[SC Is Booked]], ((SnapshotTable[[#This Row],[Last Price]] -SnapshotTable[[#This Row],[SC Strike Price]]) / SnapshotTable[[#This Row],[Last Price]]) * -1, "")</f>
        <v/>
      </c>
      <c r="FM278" s="157"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33"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36" t="str">
        <f>IF(AND(ISNUMBER(SnapshotTable[[#This Row],[SC Simple ROO]]),SnapshotTable[[#This Row],[SC Simple ROO]] &gt; 0), SnapshotTable[[#This Row],[SC Premium]] + (SnapshotTable[[#This Row],[SC Qty]] * SnapshotTable[[#This Row],[SC Upside Potential]]), "")</f>
        <v/>
      </c>
      <c r="FX278" s="302" t="str" cm="1">
        <f t="array" ref="FX278">IF(ISNUMBER(SnapshotTable[[#This Row],[SC Max Dollars]]), annualize(SnapshotTable[[#This Row],[SC Term]],(SnapshotTable[[#This Row],[SC Max Dollars]]/SnapshotTable[[#This Row],[SC Basis]])),"")</f>
        <v/>
      </c>
      <c r="FY278" s="23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29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75.448999999999998</v>
      </c>
      <c r="GD278" s="40">
        <f>SnapshotTable[[#This Row],[Last Price]] * (1+ SellingPriceToConsiderBasedOnTargetPercentage)</f>
        <v>12.772499999999999</v>
      </c>
      <c r="GE278" s="41"/>
      <c r="GF278" s="40">
        <v>44.18</v>
      </c>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756</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31">
        <f>MAX(SnapshotTable[[#This Row],[Equity Basis Total]],SnapshotTable[[#This Row],[Equity Value]]) + (SnapshotTable[[#This Row],[SP Potential Spend]]- SnapshotTable[[#This Row],[SP Premium]] + SnapshotTable[[#This Row],[LP Premium]])+ (SnapshotTable[[#This Row],[LC Premium]] - SnapshotTable[[#This Row],[SC Premium]])</f>
        <v>0</v>
      </c>
      <c r="GW278" s="139" t="str">
        <f>IF(AND(SnapshotTable[[#This Row],[Exposure]] &lt;&gt; 0),SnapshotTable[[#This Row],[Exposure]] / SnapshotTable[[#Totals],[Exposure]], "")</f>
        <v/>
      </c>
      <c r="GX278" s="13"/>
      <c r="HK278" s="1"/>
      <c r="HL278" s="1"/>
      <c r="HM278" s="1"/>
      <c r="HN278" s="1"/>
      <c r="HO278" s="1"/>
      <c r="HP278" s="1"/>
    </row>
    <row r="279" spans="2:224" ht="12.75" hidden="1" customHeight="1" x14ac:dyDescent="0.25">
      <c r="B279" s="12" t="s">
        <v>812</v>
      </c>
      <c r="C279" s="422">
        <v>220.93</v>
      </c>
      <c r="D279" s="208" t="s">
        <v>578</v>
      </c>
      <c r="E279" s="39">
        <f>SnapshotTable[[#This Row],[Last Price]]*(1 -CrashDiscount)</f>
        <v>187.79050000000001</v>
      </c>
      <c r="F279" s="26" t="s">
        <v>613</v>
      </c>
      <c r="G279" s="26" t="s">
        <v>9</v>
      </c>
      <c r="H279" s="149"/>
      <c r="I279" s="194">
        <v>44777.673611111109</v>
      </c>
      <c r="J279" s="195">
        <v>44777.673611111109</v>
      </c>
      <c r="K279" s="196"/>
      <c r="L279" s="326"/>
      <c r="M279" s="140"/>
      <c r="N279" s="140"/>
      <c r="O279" s="140"/>
      <c r="P279" s="22"/>
      <c r="Q279" s="25"/>
      <c r="R279" s="4" t="str">
        <f>IF(SnapshotTable[[#This Row],[Equity Basis Total]] &gt; 0, SnapshotTable[[#This Row],[Equity Basis Total]] / SnapshotTable[[#This Row],[Equity Shares]], "")</f>
        <v/>
      </c>
      <c r="S279" s="269">
        <f>SnapshotTable[[#This Row],[Last Price]] * SnapshotTable[[#This Row],[Equity Shares]]</f>
        <v>0</v>
      </c>
      <c r="T279" s="269">
        <f>SnapshotTable[[#This Row],[Equity Value]] - SnapshotTable[[#This Row],[Equity Basis Total]]</f>
        <v>0</v>
      </c>
      <c r="U279" s="270" t="str">
        <f>IF(SnapshotTable[[#This Row],[Equity Basis Total]] &gt; 0, SnapshotTable[[#This Row],[Equity G/L]] / SnapshotTable[[#This Row],[Equity Basis Total]], "")</f>
        <v/>
      </c>
      <c r="V279" s="268">
        <v>327.5</v>
      </c>
      <c r="W279" s="268">
        <v>233.8</v>
      </c>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7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0"/>
      <c r="AD279" s="151"/>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0</v>
      </c>
      <c r="AH279" s="151"/>
      <c r="AI279" s="5"/>
      <c r="AJ279" s="138">
        <v>218</v>
      </c>
      <c r="AK279" s="152" t="str">
        <f>IF(ISNUMBER( SnapshotTable[[#This Row],[EBF Target]]),(SnapshotTable[[#This Row],[EBF Target]] - SnapshotTable[[#This Row],[Last Price]]) / SnapshotTable[[#This Row],[Last Price]], "")</f>
        <v/>
      </c>
      <c r="AL279" s="152"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2">
        <f>IF(AND(ISNUMBER( SnapshotTable[[#This Row],[Long Term Target]]), ISNUMBER(SnapshotTable[[#This Row],[Last Price]])),(SnapshotTable[[#This Row],[Long Term Target]] - SnapshotTable[[#This Row],[Last Price]]) / SnapshotTable[[#This Row],[Last Price]], "")</f>
        <v>-1.3262119223283424E-2</v>
      </c>
      <c r="AP279" s="5">
        <v>310</v>
      </c>
      <c r="AQ279" s="38" t="s">
        <v>89</v>
      </c>
      <c r="AR279" s="5">
        <v>233.8</v>
      </c>
      <c r="AS279" s="38" t="s">
        <v>32</v>
      </c>
      <c r="AT279" s="146"/>
      <c r="AU279" s="187" t="str">
        <f>IF(OR(SnapshotTable[[#This Row],[LP No Fill]]="Y",SnapshotTable[[#This Row],[SP Is Filled]],SnapshotTable[[#This Row],[LC Not Filled]]="Y",SnapshotTable[[#This Row],[SC Is Filled]]),"Y","")</f>
        <v/>
      </c>
      <c r="AV279" s="219"/>
      <c r="AW279" s="225"/>
      <c r="AX279" s="220"/>
      <c r="AY279" s="219" t="str">
        <f>IF(SnapshotTable[[#This Row],[Implied Move]]&gt;0, SnapshotTable[[#This Row],[Last Price]]-SnapshotTable[[#This Row],[Implied Move]],"")</f>
        <v/>
      </c>
      <c r="AZ279" s="219" t="str">
        <f>IF(SnapshotTable[[#This Row],[Implied Move]]&gt;0, SnapshotTable[[#This Row],[Last Price]] + SnapshotTable[[#This Row],[Implied Move]],"")</f>
        <v/>
      </c>
      <c r="BA279" s="331">
        <v>173.45</v>
      </c>
      <c r="BB279" s="347"/>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51"/>
      <c r="BE279" s="138"/>
      <c r="BF279" s="166"/>
      <c r="BG279" s="167"/>
      <c r="BH279" s="167"/>
      <c r="BI279" s="221"/>
      <c r="BJ279" s="153">
        <f>IF(SnapshotTable[[#This Row],[LP Qty]] &gt; 0, SnapshotTable[[#This Row],[LP Qty]] * SnapshotTable[[#This Row],[LP Book Price]] * 100,0)</f>
        <v>0</v>
      </c>
      <c r="BK279" s="136">
        <f>IF(SnapshotTable[[#This Row],[LP Premium]] &gt; 0, SnapshotTable[[#This Row],[LP Qty]] * SnapshotTable[[#This Row],[LP Strike Price]] * 100,0)</f>
        <v>0</v>
      </c>
      <c r="BL279" s="154"/>
      <c r="BM279" s="385" t="str">
        <f>IF(SnapshotTable[[#This Row],[LP Premium]] &gt; 0,SnapshotTable[[#This Row],[LP Exp Date]]-MAX(SnapshotTable[[#This Row],[LP Book Date]], SnapshotTable[[#This Row],[LP Fill Date]]),"")</f>
        <v/>
      </c>
      <c r="BN279" s="385" t="str">
        <f>IF(ISNUMBER( SnapshotTable[[#This Row],[LP Term]]), SnapshotTable[[#This Row],[LP Exp Date]] - MockToday,"")</f>
        <v/>
      </c>
      <c r="BO279" s="163"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7"/>
      <c r="BU279" s="13"/>
      <c r="BV279" s="5"/>
      <c r="BW279" s="419" t="b">
        <f>AND(ISNUMBER(SnapshotTable[[#This Row],[SP Exp Date]]), ISNUMBER(SnapshotTable[[#This Row],[SP Strike Price]]), ISNUMBER(SnapshotTable[[#This Row],[SP Qty]]), ISNUMBER(SnapshotTable[[#This Row],[SP Book Date]]), ISNUMBER(SnapshotTable[[#This Row],[SP Book Price]]))</f>
        <v>0</v>
      </c>
      <c r="BX279" s="419" t="b">
        <f>AND(SnapshotTable[[#This Row],[SP Is Booked]], NOT(ISBLANK(SnapshotTable[[#This Row],[SP Fill Date]])))</f>
        <v>0</v>
      </c>
      <c r="BY279" s="33">
        <f>IF(SnapshotTable[[#This Row],[SP Is Booked]], SnapshotTable[[#This Row],[SP Qty]] * SnapshotTable[[#This Row],[SP Book Price]] * 100, 0)</f>
        <v>0</v>
      </c>
      <c r="BZ279" s="369"/>
      <c r="CA279" s="368">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3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44"/>
      <c r="CK279" s="31">
        <f>IF(ISNUMBER(SnapshotTable[[#This Row],[SP Potential Spend]]),IF(ISNUMBER(SnapshotTable[[#This Row],[SP POW]]), SnapshotTable[[#This Row],[SP POW]] * SnapshotTable[[#This Row],[SP Potential Spend]], SnapshotTable[[#This Row],[SP Potential Spend]]), "")</f>
        <v>0</v>
      </c>
      <c r="CL279" s="164">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154"/>
      <c r="CO279" s="369"/>
      <c r="CP279" s="4" t="str">
        <f>IF(SnapshotTable[[#This Row],[SP Is Filled]], btc_max_buyback_amount(SnapshotTable[[#This Row],[SP Fill Date]],SnapshotTable[[#This Row],[SP Exp Date]], SnapshotTable[[#This Row],[SP Book Price]]),"")</f>
        <v/>
      </c>
      <c r="CQ279" s="78"/>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5" t="str">
        <f>IF(SnapshotTable[[#This Row],[SP Is Filled]], btc_next_cutoff_date(SnapshotTable[[#This Row],[SP Fill Date]],SnapshotTable[[#This Row],[SP Exp Date]]),"")</f>
        <v/>
      </c>
      <c r="CT279" s="23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56"/>
      <c r="CV279" s="235"/>
      <c r="CW279" s="378"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294" t="str">
        <f>IF(ISNUMBER((SnapshotTable[[#This Row],[SP Total Value]])), SnapshotTable[[#This Row],[SP Gain Loss]] / SnapshotTable[[#This Row],[SP Premium]], "")</f>
        <v/>
      </c>
      <c r="DI279" s="406"/>
      <c r="DJ279" s="138"/>
      <c r="DK279" s="148"/>
      <c r="DL279" s="147"/>
      <c r="DM279" s="147"/>
      <c r="DO279" s="31">
        <f>IF(SnapshotTable[[#This Row],[LC Symbol Count]]=1, SnapshotTable[[#This Row],[LC Qty]] * SnapshotTable[[#This Row],[LC Book Price]] * 100, 0)</f>
        <v>0</v>
      </c>
      <c r="DP279" s="163" t="str">
        <f>IF(AND(SnapshotTable[[#This Row],[LC Exp Date]]&gt;0, SnapshotTable[[#This Row],[LC Strike Price]]&gt;0,SnapshotTable[[#This Row],[LC Qty]]&gt;0,SnapshotTable[[#This Row],[LC Book Date]]&gt;0,SnapshotTable[[#This Row],[LC Book Price]]&gt;0,SnapshotTable[[#This Row],[LC Fill Date]]=0),"Y","")</f>
        <v/>
      </c>
      <c r="DQ279" s="386" t="str">
        <f>IF(SnapshotTable[[#This Row],[LC Premium]] &gt; 0,SnapshotTable[[#This Row],[LC Exp Date]]-MAX(SnapshotTable[[#This Row],[LC Book Date]], SnapshotTable[[#This Row],[LC Fill Date]]),"")</f>
        <v/>
      </c>
      <c r="DR279" s="386" t="str">
        <f>IF(ISNUMBER(SnapshotTable[[#This Row],[LC Term]]), SnapshotTable[[#This Row],[LC Exp Date]] - MockToday, "")</f>
        <v/>
      </c>
      <c r="DS279" s="23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40" t="str">
        <f>IF(ISNUMBER(SnapshotTable[[#This Row],[LC Actual Gain Loss]]), SnapshotTable[[#This Row],[LC Actual Gain Loss]] / SnapshotTable[[#This Row],[LC Premium]],"")</f>
        <v/>
      </c>
      <c r="DX279" s="284" t="str">
        <f>IF(ISNUMBER(SnapshotTable[[#This Row],[LC Book Price]]),SnapshotTable[[#This Row],[LC Book Price]] * 1.5,"")</f>
        <v/>
      </c>
      <c r="DY279" s="265" t="str">
        <f>IF(SnapshotTable[[#This Row],[LC Premium]]&gt;0, SnapshotTable[[#This Row],[LC Next Target]] * SnapshotTable[[#This Row],[LC Qty]] * 100,"")</f>
        <v/>
      </c>
      <c r="DZ279" s="265" t="str">
        <f>IF(ISNUMBER(SnapshotTable[[#This Row],[LC Target Gross]]), SnapshotTable[[#This Row],[LC Target Gross]] - SnapshotTable[[#This Row],[LC Premium]], "")</f>
        <v/>
      </c>
      <c r="EA279" s="305" t="str">
        <f>IF(ISNUMBER(SnapshotTable[[#This Row],[LC Target Gain Loss]]), SnapshotTable[[#This Row],[LC Target Gain Loss]]/SnapshotTable[[#This Row],[LC Premium]], "")</f>
        <v/>
      </c>
      <c r="EB279" s="262"/>
      <c r="EC279" s="283" t="str">
        <f>IF(SnapshotTable[[#This Row],[LC Premium]]&gt;0, SnapshotTable[[#This Row],[LC Book Price]] * (1 - LC_StopLoss_Pct),"")</f>
        <v/>
      </c>
      <c r="ED279" s="284"/>
      <c r="EE279" s="28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4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7"/>
      <c r="EL279" s="138"/>
      <c r="EM279" s="148"/>
      <c r="EN279" s="147"/>
      <c r="EO279" s="147"/>
      <c r="EP279" s="138"/>
      <c r="EQ279" s="419" t="b">
        <f>AND(ISNUMBER(SnapshotTable[[#This Row],[SC Exp Date]]), ISNUMBER(SnapshotTable[[#This Row],[SC Strike Price]]), ISNUMBER(SnapshotTable[[#This Row],[SC Qty]]), ISNUMBER(SnapshotTable[[#This Row],[SC Book Date]]), ISNUMBER(SnapshotTable[[#This Row],[SC Book Price]]))</f>
        <v>0</v>
      </c>
      <c r="ER279" s="419" t="b">
        <f>AND(SnapshotTable[[#This Row],[SC Is Booked]], NOT(ISBLANK(SnapshotTable[[#This Row],[SC Fill Date]])))</f>
        <v>0</v>
      </c>
      <c r="ES279" s="370"/>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3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283"/>
      <c r="FA279" s="218"/>
      <c r="FB279" s="370"/>
      <c r="FC279" s="4">
        <f>IF(SnapshotTable[[#This Row],[SC Is Filled]], btc_max_buyback_amount(SnapshotTable[[#This Row],[SC Fill Date]],SnapshotTable[[#This Row],[SC Exp Date]], SnapshotTable[[#This Row],[SC Book Price]]),0)</f>
        <v>0</v>
      </c>
      <c r="FD279" s="5"/>
      <c r="FE279" s="144"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382">
        <f>IF(SnapshotTable[[#This Row],[SC Is Filled]], IF(ISNUMBER(SnapshotTable[[#This Row],[SC Current Ask]]), SnapshotTable[[#This Row],[SC Current Ask]], SnapshotTable[[#This Row],[SC Book Price]]) - SnapshotTable[[#This Row],[SC Intrinsic Value]], 0)</f>
        <v>0</v>
      </c>
      <c r="FI279" s="143"/>
      <c r="FJ279" s="32" t="str">
        <f>IF(SnapshotTable[[#This Row],[SC Is Filled]],100 * SnapshotTable[[#This Row],[SC Qty]] * IF(ISNUMBER(SnapshotTable[[#This Row],[SC Buyback Override]]), SnapshotTable[[#This Row],[SC Buyback Override]], SnapshotTable[[#This Row],[SC Current Ask]]), "")</f>
        <v/>
      </c>
      <c r="FK279" s="250" t="str">
        <f>IF(SnapshotTable[[#This Row],[SC Time Val]]&gt;0, SnapshotTable[[#This Row],[SC Time Val]] / SnapshotTable[[#This Row],[Last Price]],"")</f>
        <v/>
      </c>
      <c r="FL279" s="302" t="str">
        <f>IF(SnapshotTable[[#This Row],[SC Is Booked]], ((SnapshotTable[[#This Row],[Last Price]] -SnapshotTable[[#This Row],[SC Strike Price]]) / SnapshotTable[[#This Row],[Last Price]]) * -1, "")</f>
        <v/>
      </c>
      <c r="FM279" s="157" t="str">
        <f>IF(SnapshotTable[[#This Row],[SC Is Booked]],  (SnapshotTable[[#This Row],[SC Qty]] * 100 * SnapshotTable[[#This Row],[SC Strike Price]]) - SnapshotTable[[#This Row],[SC Current Ask]], "")</f>
        <v/>
      </c>
      <c r="FN2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157"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33"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36" t="str">
        <f>IF(AND(ISNUMBER(SnapshotTable[[#This Row],[SC Simple ROO]]),SnapshotTable[[#This Row],[SC Simple ROO]] &gt; 0), SnapshotTable[[#This Row],[SC Premium]] + (SnapshotTable[[#This Row],[SC Qty]] * SnapshotTable[[#This Row],[SC Upside Potential]]), "")</f>
        <v/>
      </c>
      <c r="FX279" s="302" t="str" cm="1">
        <f t="array" ref="FX279">IF(ISNUMBER(SnapshotTable[[#This Row],[SC Max Dollars]]), annualize(SnapshotTable[[#This Row],[SC Term]],(SnapshotTable[[#This Row],[SC Max Dollars]]/SnapshotTable[[#This Row],[SC Basis]])),"")</f>
        <v/>
      </c>
      <c r="FY279" s="23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29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207.1</v>
      </c>
      <c r="GD279" s="40">
        <f>SnapshotTable[[#This Row],[Last Price]] * (1+ SellingPriceToConsiderBasedOnTargetPercentage)</f>
        <v>430.81349999999998</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158" t="str">
        <f>IF(SnapshotTable[[#This Row],[Sale G/L]]&gt;0, SnapshotTable[[#This Row],[Sale G/L]] / SnapshotTable[[#This Row],[Sale Basis]], IF(ISNUMBER(SnapshotTable[[#This Row],[SC Exercise P&amp;L (TAX)]]), SnapshotTable[[#This Row],[SC Exercise P&amp;L (TAX)]] / SnapshotTable[[#This Row],[SC Basis]], ""))</f>
        <v/>
      </c>
      <c r="GK279" s="27"/>
      <c r="GL279" s="159"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159" t="str">
        <f>IF(AND(SnapshotTable[[#This Row],[LC Exp Date]]&gt;0,SnapshotTable[[#This Row],[LC Strike Price]]&gt;0), [1]!ToOptionSymbol(SnapshotTable[[#This Row],[Symbol]], SnapshotTable[[#This Row],[LC Strike Price]],SnapshotTable[[#This Row],[LC Exp Date]],0), "")</f>
        <v/>
      </c>
      <c r="GQ279" s="160" t="str">
        <f>IF(LEN(SnapshotTable[[#This Row],[LC Symbol]])&gt;0, 1, "")</f>
        <v/>
      </c>
      <c r="GR279" s="159" t="str">
        <f>IF(AND(SnapshotTable[[#This Row],[SC Exp Date]]&gt;0,SnapshotTable[[#This Row],[SC Strike Price]]&gt;0), [1]!ToOptionSymbol(SnapshotTable[[#This Row],[Symbol]], SnapshotTable[[#This Row],[SC Strike Price]],SnapshotTable[[#This Row],[SC Exp Date]],0), "")</f>
        <v/>
      </c>
      <c r="GS279" s="160" t="str">
        <f>IF(LEN(SnapshotTable[[#This Row],[SC Symbol]])&gt;0, 1, "")</f>
        <v/>
      </c>
      <c r="GT279" s="161"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31">
        <f>MAX(SnapshotTable[[#This Row],[Equity Basis Total]],SnapshotTable[[#This Row],[Equity Value]]) + (SnapshotTable[[#This Row],[SP Potential Spend]]- SnapshotTable[[#This Row],[SP Premium]] + SnapshotTable[[#This Row],[LP Premium]])+ (SnapshotTable[[#This Row],[LC Premium]] - SnapshotTable[[#This Row],[SC Premium]])</f>
        <v>0</v>
      </c>
      <c r="GW279" s="139" t="str">
        <f>IF(AND(SnapshotTable[[#This Row],[Exposure]] &lt;&gt; 0),SnapshotTable[[#This Row],[Exposure]] / SnapshotTable[[#Totals],[Exposure]], "")</f>
        <v/>
      </c>
      <c r="GX279" s="13"/>
      <c r="HK279" s="1"/>
      <c r="HL279" s="1"/>
      <c r="HM279" s="1"/>
      <c r="HN279" s="1"/>
      <c r="HO279" s="1"/>
      <c r="HP279" s="1"/>
    </row>
    <row r="280" spans="2:224" ht="12.75" hidden="1" customHeight="1" x14ac:dyDescent="0.25">
      <c r="B280" s="12" t="s">
        <v>588</v>
      </c>
      <c r="C280" s="422">
        <v>11.36</v>
      </c>
      <c r="D280" s="208" t="s">
        <v>578</v>
      </c>
      <c r="E280" s="39">
        <f>SnapshotTable[[#This Row],[Last Price]]*(1 -CrashDiscount)</f>
        <v>9.6559999999999988</v>
      </c>
      <c r="F280" s="26" t="s">
        <v>230</v>
      </c>
      <c r="G280" s="26" t="s">
        <v>9</v>
      </c>
      <c r="H280" s="149"/>
      <c r="I280" s="194">
        <v>44805.670138888891</v>
      </c>
      <c r="J280" s="195">
        <v>44805.670138888891</v>
      </c>
      <c r="K280" s="196"/>
      <c r="L280" s="326"/>
      <c r="M280" s="140"/>
      <c r="N280" s="140"/>
      <c r="O280" s="140"/>
      <c r="P280" s="22"/>
      <c r="Q280" s="25"/>
      <c r="R280" s="4" t="str">
        <f>IF(SnapshotTable[[#This Row],[Equity Basis Total]] &gt; 0, SnapshotTable[[#This Row],[Equity Basis Total]] / SnapshotTable[[#This Row],[Equity Shares]], "")</f>
        <v/>
      </c>
      <c r="S280" s="269">
        <f>SnapshotTable[[#This Row],[Last Price]] * SnapshotTable[[#This Row],[Equity Shares]]</f>
        <v>0</v>
      </c>
      <c r="T280" s="269">
        <f>SnapshotTable[[#This Row],[Equity Value]] - SnapshotTable[[#This Row],[Equity Basis Total]]</f>
        <v>0</v>
      </c>
      <c r="U280" s="270" t="str">
        <f>IF(SnapshotTable[[#This Row],[Equity Basis Total]] &gt; 0, SnapshotTable[[#This Row],[Equity G/L]] / SnapshotTable[[#This Row],[Equity Basis Total]], "")</f>
        <v/>
      </c>
      <c r="V280" s="268"/>
      <c r="W280" s="26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7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0"/>
      <c r="AD280" s="151"/>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0</v>
      </c>
      <c r="AH280" s="151"/>
      <c r="AI280" s="5"/>
      <c r="AJ280" s="138">
        <v>34.67</v>
      </c>
      <c r="AK280" s="152" t="str">
        <f>IF(ISNUMBER( SnapshotTable[[#This Row],[EBF Target]]),(SnapshotTable[[#This Row],[EBF Target]] - SnapshotTable[[#This Row],[Last Price]]) / SnapshotTable[[#This Row],[Last Price]], "")</f>
        <v/>
      </c>
      <c r="AL280" s="152"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2">
        <f>IF(AND(ISNUMBER( SnapshotTable[[#This Row],[Long Term Target]]), ISNUMBER(SnapshotTable[[#This Row],[Last Price]])),(SnapshotTable[[#This Row],[Long Term Target]] - SnapshotTable[[#This Row],[Last Price]]) / SnapshotTable[[#This Row],[Last Price]], "")</f>
        <v>2.05193661971831</v>
      </c>
      <c r="AP280" s="5"/>
      <c r="AQ280" s="38"/>
      <c r="AR280" s="5"/>
      <c r="AS280" s="38"/>
      <c r="AT280" s="146"/>
      <c r="AU280" s="187" t="str">
        <f>IF(OR(SnapshotTable[[#This Row],[LP No Fill]]="Y",SnapshotTable[[#This Row],[SP Is Filled]],SnapshotTable[[#This Row],[LC Not Filled]]="Y",SnapshotTable[[#This Row],[SC Is Filled]]),"Y","")</f>
        <v/>
      </c>
      <c r="AV280" s="219"/>
      <c r="AW280" s="225"/>
      <c r="AX280" s="220"/>
      <c r="AY280" s="219" t="str">
        <f>IF(SnapshotTable[[#This Row],[Implied Move]]&gt;0, SnapshotTable[[#This Row],[Last Price]]-SnapshotTable[[#This Row],[Implied Move]],"")</f>
        <v/>
      </c>
      <c r="AZ280" s="219" t="str">
        <f>IF(SnapshotTable[[#This Row],[Implied Move]]&gt;0, SnapshotTable[[#This Row],[Last Price]] + SnapshotTable[[#This Row],[Implied Move]],"")</f>
        <v/>
      </c>
      <c r="BA280" s="331"/>
      <c r="BB280" s="347"/>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51"/>
      <c r="BE280" s="210"/>
      <c r="BF280" s="211"/>
      <c r="BG280" s="212"/>
      <c r="BH280" s="212"/>
      <c r="BI280" s="5"/>
      <c r="BJ280" s="153">
        <f>IF(SnapshotTable[[#This Row],[LP Qty]] &gt; 0, SnapshotTable[[#This Row],[LP Qty]] * SnapshotTable[[#This Row],[LP Book Price]] * 100,0)</f>
        <v>0</v>
      </c>
      <c r="BK280" s="136">
        <f>IF(SnapshotTable[[#This Row],[LP Premium]] &gt; 0, SnapshotTable[[#This Row],[LP Qty]] * SnapshotTable[[#This Row],[LP Strike Price]] * 100,0)</f>
        <v>0</v>
      </c>
      <c r="BL280" s="154"/>
      <c r="BM280" s="385" t="str">
        <f>IF(SnapshotTable[[#This Row],[LP Premium]] &gt; 0,SnapshotTable[[#This Row],[LP Exp Date]]-MAX(SnapshotTable[[#This Row],[LP Book Date]], SnapshotTable[[#This Row],[LP Fill Date]]),"")</f>
        <v/>
      </c>
      <c r="BN280" s="385" t="str">
        <f>IF(ISNUMBER( SnapshotTable[[#This Row],[LP Term]]), SnapshotTable[[#This Row],[LP Exp Date]] - MockToday,"")</f>
        <v/>
      </c>
      <c r="BO280" s="163"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7"/>
      <c r="BU280" s="13"/>
      <c r="BV280" s="5"/>
      <c r="BW280" s="419" t="b">
        <f>AND(ISNUMBER(SnapshotTable[[#This Row],[SP Exp Date]]), ISNUMBER(SnapshotTable[[#This Row],[SP Strike Price]]), ISNUMBER(SnapshotTable[[#This Row],[SP Qty]]), ISNUMBER(SnapshotTable[[#This Row],[SP Book Date]]), ISNUMBER(SnapshotTable[[#This Row],[SP Book Price]]))</f>
        <v>0</v>
      </c>
      <c r="BX280" s="419" t="b">
        <f>AND(SnapshotTable[[#This Row],[SP Is Booked]], NOT(ISBLANK(SnapshotTable[[#This Row],[SP Fill Date]])))</f>
        <v>0</v>
      </c>
      <c r="BY280" s="33">
        <f>IF(SnapshotTable[[#This Row],[SP Is Booked]], SnapshotTable[[#This Row],[SP Qty]] * SnapshotTable[[#This Row],[SP Book Price]] * 100, 0)</f>
        <v>0</v>
      </c>
      <c r="BZ280" s="369"/>
      <c r="CA280" s="368">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3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44"/>
      <c r="CK280" s="31">
        <f>IF(ISNUMBER(SnapshotTable[[#This Row],[SP Potential Spend]]),IF(ISNUMBER(SnapshotTable[[#This Row],[SP POW]]), SnapshotTable[[#This Row],[SP POW]] * SnapshotTable[[#This Row],[SP Potential Spend]], SnapshotTable[[#This Row],[SP Potential Spend]]), "")</f>
        <v>0</v>
      </c>
      <c r="CL280" s="164">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154"/>
      <c r="CO280" s="369"/>
      <c r="CP280" s="4" t="str">
        <f>IF(SnapshotTable[[#This Row],[SP Is Filled]], btc_max_buyback_amount(SnapshotTable[[#This Row],[SP Fill Date]],SnapshotTable[[#This Row],[SP Exp Date]], SnapshotTable[[#This Row],[SP Book Price]]),"")</f>
        <v/>
      </c>
      <c r="CQ280" s="78"/>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5" t="str">
        <f>IF(SnapshotTable[[#This Row],[SP Is Filled]], btc_next_cutoff_date(SnapshotTable[[#This Row],[SP Fill Date]],SnapshotTable[[#This Row],[SP Exp Date]]),"")</f>
        <v/>
      </c>
      <c r="CT280" s="23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3"/>
      <c r="CV280" s="235"/>
      <c r="CW280" s="378"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294" t="str">
        <f>IF(ISNUMBER((SnapshotTable[[#This Row],[SP Total Value]])), SnapshotTable[[#This Row],[SP Gain Loss]] / SnapshotTable[[#This Row],[SP Premium]], "")</f>
        <v/>
      </c>
      <c r="DI280" s="406"/>
      <c r="DJ280" s="138"/>
      <c r="DK280" s="148"/>
      <c r="DL280" s="147"/>
      <c r="DM280" s="147"/>
      <c r="DO280" s="31">
        <f>IF(SnapshotTable[[#This Row],[LC Symbol Count]]=1, SnapshotTable[[#This Row],[LC Qty]] * SnapshotTable[[#This Row],[LC Book Price]] * 100, 0)</f>
        <v>0</v>
      </c>
      <c r="DP280" s="163" t="str">
        <f>IF(AND(SnapshotTable[[#This Row],[LC Exp Date]]&gt;0, SnapshotTable[[#This Row],[LC Strike Price]]&gt;0,SnapshotTable[[#This Row],[LC Qty]]&gt;0,SnapshotTable[[#This Row],[LC Book Date]]&gt;0,SnapshotTable[[#This Row],[LC Book Price]]&gt;0,SnapshotTable[[#This Row],[LC Fill Date]]=0),"Y","")</f>
        <v/>
      </c>
      <c r="DQ280" s="386" t="str">
        <f>IF(SnapshotTable[[#This Row],[LC Premium]] &gt; 0,SnapshotTable[[#This Row],[LC Exp Date]]-MAX(SnapshotTable[[#This Row],[LC Book Date]], SnapshotTable[[#This Row],[LC Fill Date]]),"")</f>
        <v/>
      </c>
      <c r="DR280" s="386" t="str">
        <f>IF(ISNUMBER(SnapshotTable[[#This Row],[LC Term]]), SnapshotTable[[#This Row],[LC Exp Date]] - MockToday, "")</f>
        <v/>
      </c>
      <c r="DS280" s="23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40" t="str">
        <f>IF(ISNUMBER(SnapshotTable[[#This Row],[LC Actual Gain Loss]]), SnapshotTable[[#This Row],[LC Actual Gain Loss]] / SnapshotTable[[#This Row],[LC Premium]],"")</f>
        <v/>
      </c>
      <c r="DX280" s="284" t="str">
        <f>IF(ISNUMBER(SnapshotTable[[#This Row],[LC Book Price]]),SnapshotTable[[#This Row],[LC Book Price]] * 1.5,"")</f>
        <v/>
      </c>
      <c r="DY280" s="265" t="str">
        <f>IF(SnapshotTable[[#This Row],[LC Premium]]&gt;0, SnapshotTable[[#This Row],[LC Next Target]] * SnapshotTable[[#This Row],[LC Qty]] * 100,"")</f>
        <v/>
      </c>
      <c r="DZ280" s="265" t="str">
        <f>IF(ISNUMBER(SnapshotTable[[#This Row],[LC Target Gross]]), SnapshotTable[[#This Row],[LC Target Gross]] - SnapshotTable[[#This Row],[LC Premium]], "")</f>
        <v/>
      </c>
      <c r="EA280" s="305" t="str">
        <f>IF(ISNUMBER(SnapshotTable[[#This Row],[LC Target Gain Loss]]), SnapshotTable[[#This Row],[LC Target Gain Loss]]/SnapshotTable[[#This Row],[LC Premium]], "")</f>
        <v/>
      </c>
      <c r="EB280" s="262"/>
      <c r="EC280" s="283" t="str">
        <f>IF(SnapshotTable[[#This Row],[LC Premium]]&gt;0, SnapshotTable[[#This Row],[LC Book Price]] * (1 - LC_StopLoss_Pct),"")</f>
        <v/>
      </c>
      <c r="ED280" s="284"/>
      <c r="EE280" s="28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4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7"/>
      <c r="EL280" s="138"/>
      <c r="EM280" s="148"/>
      <c r="EN280" s="147"/>
      <c r="EO280" s="147"/>
      <c r="EP280" s="138"/>
      <c r="EQ280" s="419" t="b">
        <f>AND(ISNUMBER(SnapshotTable[[#This Row],[SC Exp Date]]), ISNUMBER(SnapshotTable[[#This Row],[SC Strike Price]]), ISNUMBER(SnapshotTable[[#This Row],[SC Qty]]), ISNUMBER(SnapshotTable[[#This Row],[SC Book Date]]), ISNUMBER(SnapshotTable[[#This Row],[SC Book Price]]))</f>
        <v>0</v>
      </c>
      <c r="ER280" s="419" t="b">
        <f>AND(SnapshotTable[[#This Row],[SC Is Booked]], NOT(ISBLANK(SnapshotTable[[#This Row],[SC Fill Date]])))</f>
        <v>0</v>
      </c>
      <c r="ES280" s="370"/>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3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283"/>
      <c r="FA280" s="218"/>
      <c r="FB280" s="370"/>
      <c r="FC280" s="4">
        <f>IF(SnapshotTable[[#This Row],[SC Is Filled]], btc_max_buyback_amount(SnapshotTable[[#This Row],[SC Fill Date]],SnapshotTable[[#This Row],[SC Exp Date]], SnapshotTable[[#This Row],[SC Book Price]]),0)</f>
        <v>0</v>
      </c>
      <c r="FD280" s="5"/>
      <c r="FE280" s="144"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382">
        <f>IF(SnapshotTable[[#This Row],[SC Is Filled]], IF(ISNUMBER(SnapshotTable[[#This Row],[SC Current Ask]]), SnapshotTable[[#This Row],[SC Current Ask]], SnapshotTable[[#This Row],[SC Book Price]]) - SnapshotTable[[#This Row],[SC Intrinsic Value]], 0)</f>
        <v>0</v>
      </c>
      <c r="FI280" s="143"/>
      <c r="FJ280" s="32" t="str">
        <f>IF(SnapshotTable[[#This Row],[SC Is Filled]],100 * SnapshotTable[[#This Row],[SC Qty]] * IF(ISNUMBER(SnapshotTable[[#This Row],[SC Buyback Override]]), SnapshotTable[[#This Row],[SC Buyback Override]], SnapshotTable[[#This Row],[SC Current Ask]]), "")</f>
        <v/>
      </c>
      <c r="FK280" s="250" t="str">
        <f>IF(SnapshotTable[[#This Row],[SC Time Val]]&gt;0, SnapshotTable[[#This Row],[SC Time Val]] / SnapshotTable[[#This Row],[Last Price]],"")</f>
        <v/>
      </c>
      <c r="FL280" s="302" t="str">
        <f>IF(SnapshotTable[[#This Row],[SC Is Booked]], ((SnapshotTable[[#This Row],[Last Price]] -SnapshotTable[[#This Row],[SC Strike Price]]) / SnapshotTable[[#This Row],[Last Price]]) * -1, "")</f>
        <v/>
      </c>
      <c r="FM280" s="157" t="str">
        <f>IF(SnapshotTable[[#This Row],[SC Is Booked]],  (SnapshotTable[[#This Row],[SC Qty]] * 100 * SnapshotTable[[#This Row],[SC Strike Price]]) - SnapshotTable[[#This Row],[SC Current Ask]], "")</f>
        <v/>
      </c>
      <c r="FN2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157"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33"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36" t="str">
        <f>IF(AND(ISNUMBER(SnapshotTable[[#This Row],[SC Simple ROO]]),SnapshotTable[[#This Row],[SC Simple ROO]] &gt; 0), SnapshotTable[[#This Row],[SC Premium]] + (SnapshotTable[[#This Row],[SC Qty]] * SnapshotTable[[#This Row],[SC Upside Potential]]), "")</f>
        <v/>
      </c>
      <c r="FX280" s="302" t="str" cm="1">
        <f t="array" ref="FX280">IF(ISNUMBER(SnapshotTable[[#This Row],[SC Max Dollars]]), annualize(SnapshotTable[[#This Row],[SC Term]],(SnapshotTable[[#This Row],[SC Max Dollars]]/SnapshotTable[[#This Row],[SC Basis]])),"")</f>
        <v/>
      </c>
      <c r="FY280" s="23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294" t="str">
        <f>IFERROR( IF(ISNUMBER((SnapshotTable[[#This Row],[SC Current Value]])), SnapshotTable[[#This Row],[SC Gain Loss]] / SnapshotTable[[#This Row],[SC Premium]], ""), "")</f>
        <v/>
      </c>
      <c r="GB280" s="213">
        <f>SnapshotTable[[#This Row],[Equity Shares]] * SaleSharesToConsiderPercentage</f>
        <v>0</v>
      </c>
      <c r="GC280" s="214">
        <f>SnapshotTable[[#This Row],[Long Term Target]] * SellingPriceToConsiderBasedOnTargetPercentage</f>
        <v>32.936500000000002</v>
      </c>
      <c r="GD280" s="214">
        <f>SnapshotTable[[#This Row],[Last Price]] * (1+ SellingPriceToConsiderBasedOnTargetPercentage)</f>
        <v>22.151999999999997</v>
      </c>
      <c r="GE280" s="215"/>
      <c r="GF280" s="214"/>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158" t="str">
        <f>IF(SnapshotTable[[#This Row],[Sale G/L]]&gt;0, SnapshotTable[[#This Row],[Sale G/L]] / SnapshotTable[[#This Row],[Sale Basis]], IF(ISNUMBER(SnapshotTable[[#This Row],[SC Exercise P&amp;L (TAX)]]), SnapshotTable[[#This Row],[SC Exercise P&amp;L (TAX)]] / SnapshotTable[[#This Row],[SC Basis]], ""))</f>
        <v/>
      </c>
      <c r="GK280" s="158" t="s">
        <v>772</v>
      </c>
      <c r="GL280" s="159"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159" t="str">
        <f>IF(AND(SnapshotTable[[#This Row],[LC Exp Date]]&gt;0,SnapshotTable[[#This Row],[LC Strike Price]]&gt;0), [1]!ToOptionSymbol(SnapshotTable[[#This Row],[Symbol]], SnapshotTable[[#This Row],[LC Strike Price]],SnapshotTable[[#This Row],[LC Exp Date]],0), "")</f>
        <v/>
      </c>
      <c r="GQ280" s="160" t="str">
        <f>IF(LEN(SnapshotTable[[#This Row],[LC Symbol]])&gt;0, 1, "")</f>
        <v/>
      </c>
      <c r="GR280" s="159" t="str">
        <f>IF(AND(SnapshotTable[[#This Row],[SC Exp Date]]&gt;0,SnapshotTable[[#This Row],[SC Strike Price]]&gt;0), [1]!ToOptionSymbol(SnapshotTable[[#This Row],[Symbol]], SnapshotTable[[#This Row],[SC Strike Price]],SnapshotTable[[#This Row],[SC Exp Date]],0), "")</f>
        <v/>
      </c>
      <c r="GS280" s="160" t="str">
        <f>IF(LEN(SnapshotTable[[#This Row],[SC Symbol]])&gt;0, 1, "")</f>
        <v/>
      </c>
      <c r="GT280" s="161"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31">
        <f>MAX(SnapshotTable[[#This Row],[Equity Basis Total]],SnapshotTable[[#This Row],[Equity Value]]) + (SnapshotTable[[#This Row],[SP Potential Spend]]- SnapshotTable[[#This Row],[SP Premium]] + SnapshotTable[[#This Row],[LP Premium]])+ (SnapshotTable[[#This Row],[LC Premium]] - SnapshotTable[[#This Row],[SC Premium]])</f>
        <v>0</v>
      </c>
      <c r="GW280" s="139" t="str">
        <f>IF(AND(SnapshotTable[[#This Row],[Exposure]] &lt;&gt; 0),SnapshotTable[[#This Row],[Exposure]] / SnapshotTable[[#Totals],[Exposure]], "")</f>
        <v/>
      </c>
      <c r="GX280" s="13"/>
      <c r="HK280" s="1"/>
      <c r="HL280" s="1"/>
      <c r="HM280" s="1"/>
      <c r="HN280" s="1"/>
      <c r="HO280" s="1"/>
      <c r="HP280" s="1"/>
    </row>
    <row r="281" spans="2:224" ht="12.75" hidden="1" customHeight="1" x14ac:dyDescent="0.25">
      <c r="B281" s="12" t="s">
        <v>128</v>
      </c>
      <c r="C281" s="422">
        <v>132.08000000000001</v>
      </c>
      <c r="D281" s="208"/>
      <c r="E281" s="39">
        <f>SnapshotTable[[#This Row],[Last Price]]*(1 -CrashDiscount)</f>
        <v>112.268</v>
      </c>
      <c r="F281" s="26" t="s">
        <v>127</v>
      </c>
      <c r="G281" s="26" t="s">
        <v>17</v>
      </c>
      <c r="H281" s="149"/>
      <c r="I281" s="194">
        <v>44742.3125</v>
      </c>
      <c r="J281" s="195">
        <v>44742.3125</v>
      </c>
      <c r="K281" s="196" t="s">
        <v>3</v>
      </c>
      <c r="L281" s="326"/>
      <c r="M281" s="140"/>
      <c r="N281" s="140"/>
      <c r="O281" s="140"/>
      <c r="P281" s="22"/>
      <c r="Q281" s="25"/>
      <c r="R281" s="4" t="str">
        <f>IF(SnapshotTable[[#This Row],[Equity Basis Total]] &gt; 0, SnapshotTable[[#This Row],[Equity Basis Total]] / SnapshotTable[[#This Row],[Equity Shares]], "")</f>
        <v/>
      </c>
      <c r="S281" s="269">
        <f>SnapshotTable[[#This Row],[Last Price]] * SnapshotTable[[#This Row],[Equity Shares]]</f>
        <v>0</v>
      </c>
      <c r="T281" s="269">
        <f>SnapshotTable[[#This Row],[Equity Value]] - SnapshotTable[[#This Row],[Equity Basis Total]]</f>
        <v>0</v>
      </c>
      <c r="U281" s="270" t="str">
        <f>IF(SnapshotTable[[#This Row],[Equity Basis Total]] &gt; 0, SnapshotTable[[#This Row],[Equity G/L]] / SnapshotTable[[#This Row],[Equity Basis Total]], "")</f>
        <v/>
      </c>
      <c r="V281" s="268"/>
      <c r="W281" s="26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7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0"/>
      <c r="AD281" s="151"/>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0</v>
      </c>
      <c r="AH281" s="151">
        <v>43594</v>
      </c>
      <c r="AI281" s="5">
        <v>247</v>
      </c>
      <c r="AJ281" s="138">
        <v>178.06</v>
      </c>
      <c r="AK281" s="152">
        <f>IF(ISNUMBER( SnapshotTable[[#This Row],[EBF Target]]),(SnapshotTable[[#This Row],[EBF Target]] - SnapshotTable[[#This Row],[Last Price]]) / SnapshotTable[[#This Row],[Last Price]], "")</f>
        <v>0.8700787401574801</v>
      </c>
      <c r="AL281" s="152"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2">
        <f>IF(AND(ISNUMBER( SnapshotTable[[#This Row],[Long Term Target]]), ISNUMBER(SnapshotTable[[#This Row],[Last Price]])),(SnapshotTable[[#This Row],[Long Term Target]] - SnapshotTable[[#This Row],[Last Price]]) / SnapshotTable[[#This Row],[Last Price]], "")</f>
        <v>0.3481223500908539</v>
      </c>
      <c r="AP281" s="5"/>
      <c r="AQ281" s="38"/>
      <c r="AR281" s="5"/>
      <c r="AS281" s="38"/>
      <c r="AT281" s="146"/>
      <c r="AU281" s="187" t="str">
        <f>IF(OR(SnapshotTable[[#This Row],[LP No Fill]]="Y",SnapshotTable[[#This Row],[SP Is Filled]],SnapshotTable[[#This Row],[LC Not Filled]]="Y",SnapshotTable[[#This Row],[SC Is Filled]]),"Y","")</f>
        <v/>
      </c>
      <c r="AV281" s="219"/>
      <c r="AW281" s="225"/>
      <c r="AX281" s="220"/>
      <c r="AY281" s="219" t="str">
        <f>IF(SnapshotTable[[#This Row],[Implied Move]]&gt;0, SnapshotTable[[#This Row],[Last Price]]-SnapshotTable[[#This Row],[Implied Move]],"")</f>
        <v/>
      </c>
      <c r="AZ281" s="219" t="str">
        <f>IF(SnapshotTable[[#This Row],[Implied Move]]&gt;0, SnapshotTable[[#This Row],[Last Price]] + SnapshotTable[[#This Row],[Implied Move]],"")</f>
        <v/>
      </c>
      <c r="BA281" s="331"/>
      <c r="BB281" s="347"/>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51"/>
      <c r="BE281" s="5"/>
      <c r="BF281" s="14"/>
      <c r="BG281" s="13"/>
      <c r="BH281" s="13"/>
      <c r="BI281" s="5"/>
      <c r="BJ281" s="136">
        <f>IF(SnapshotTable[[#This Row],[LP Qty]] &gt; 0, SnapshotTable[[#This Row],[LP Qty]] * SnapshotTable[[#This Row],[LP Book Price]] * 100,0)</f>
        <v>0</v>
      </c>
      <c r="BK281" s="136">
        <f>IF(SnapshotTable[[#This Row],[LP Premium]] &gt; 0, SnapshotTable[[#This Row],[LP Qty]] * SnapshotTable[[#This Row],[LP Strike Price]] * 100,0)</f>
        <v>0</v>
      </c>
      <c r="BL281" s="154"/>
      <c r="BM281" s="385" t="str">
        <f>IF(SnapshotTable[[#This Row],[LP Premium]] &gt; 0,SnapshotTable[[#This Row],[LP Exp Date]]-MAX(SnapshotTable[[#This Row],[LP Book Date]], SnapshotTable[[#This Row],[LP Fill Date]]),"")</f>
        <v/>
      </c>
      <c r="BN281" s="385" t="str">
        <f>IF(ISNUMBER( SnapshotTable[[#This Row],[LP Term]]), SnapshotTable[[#This Row],[LP Exp Date]] - MockToday,"")</f>
        <v/>
      </c>
      <c r="BO281" s="163"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7"/>
      <c r="BU281" s="13"/>
      <c r="BV281" s="5"/>
      <c r="BW281" s="419" t="b">
        <f>AND(ISNUMBER(SnapshotTable[[#This Row],[SP Exp Date]]), ISNUMBER(SnapshotTable[[#This Row],[SP Strike Price]]), ISNUMBER(SnapshotTable[[#This Row],[SP Qty]]), ISNUMBER(SnapshotTable[[#This Row],[SP Book Date]]), ISNUMBER(SnapshotTable[[#This Row],[SP Book Price]]))</f>
        <v>0</v>
      </c>
      <c r="BX281" s="419" t="b">
        <f>AND(SnapshotTable[[#This Row],[SP Is Booked]], NOT(ISBLANK(SnapshotTable[[#This Row],[SP Fill Date]])))</f>
        <v>0</v>
      </c>
      <c r="BY281" s="33">
        <f>IF(SnapshotTable[[#This Row],[SP Is Booked]], SnapshotTable[[#This Row],[SP Qty]] * SnapshotTable[[#This Row],[SP Book Price]] * 100, 0)</f>
        <v>0</v>
      </c>
      <c r="BZ281" s="369"/>
      <c r="CA281" s="368">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3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44"/>
      <c r="CK281" s="31">
        <f>IF(ISNUMBER(SnapshotTable[[#This Row],[SP Potential Spend]]),IF(ISNUMBER(SnapshotTable[[#This Row],[SP POW]]), SnapshotTable[[#This Row],[SP POW]] * SnapshotTable[[#This Row],[SP Potential Spend]], SnapshotTable[[#This Row],[SP Potential Spend]]), "")</f>
        <v>0</v>
      </c>
      <c r="CL281" s="164">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8">
        <v>0.25</v>
      </c>
      <c r="CO281" s="369"/>
      <c r="CP281" s="4" t="str">
        <f>IF(SnapshotTable[[#This Row],[SP Is Filled]], btc_max_buyback_amount(SnapshotTable[[#This Row],[SP Fill Date]],SnapshotTable[[#This Row],[SP Exp Date]], SnapshotTable[[#This Row],[SP Book Price]]),"")</f>
        <v/>
      </c>
      <c r="CQ281" s="78"/>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5" t="str">
        <f>IF(SnapshotTable[[#This Row],[SP Is Filled]], btc_next_cutoff_date(SnapshotTable[[#This Row],[SP Fill Date]],SnapshotTable[[#This Row],[SP Exp Date]]),"")</f>
        <v/>
      </c>
      <c r="CT281" s="23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3"/>
      <c r="CV281" s="235"/>
      <c r="CW281" s="378"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294" t="str">
        <f>IF(ISNUMBER((SnapshotTable[[#This Row],[SP Total Value]])), SnapshotTable[[#This Row],[SP Gain Loss]] / SnapshotTable[[#This Row],[SP Premium]], "")</f>
        <v/>
      </c>
      <c r="DI281" s="406"/>
      <c r="DJ281" s="138"/>
      <c r="DK281" s="148"/>
      <c r="DL281" s="13"/>
      <c r="DM281" s="13"/>
      <c r="DO281" s="31">
        <f>IF(SnapshotTable[[#This Row],[LC Symbol Count]]=1, SnapshotTable[[#This Row],[LC Qty]] * SnapshotTable[[#This Row],[LC Book Price]] * 100, 0)</f>
        <v>0</v>
      </c>
      <c r="DP281" s="163" t="str">
        <f>IF(AND(SnapshotTable[[#This Row],[LC Exp Date]]&gt;0, SnapshotTable[[#This Row],[LC Strike Price]]&gt;0,SnapshotTable[[#This Row],[LC Qty]]&gt;0,SnapshotTable[[#This Row],[LC Book Date]]&gt;0,SnapshotTable[[#This Row],[LC Book Price]]&gt;0,SnapshotTable[[#This Row],[LC Fill Date]]=0),"Y","")</f>
        <v/>
      </c>
      <c r="DQ281" s="386" t="str">
        <f>IF(SnapshotTable[[#This Row],[LC Premium]] &gt; 0,SnapshotTable[[#This Row],[LC Exp Date]]-MAX(SnapshotTable[[#This Row],[LC Book Date]], SnapshotTable[[#This Row],[LC Fill Date]]),"")</f>
        <v/>
      </c>
      <c r="DR281" s="386" t="str">
        <f>IF(ISNUMBER(SnapshotTable[[#This Row],[LC Term]]), SnapshotTable[[#This Row],[LC Exp Date]] - MockToday, "")</f>
        <v/>
      </c>
      <c r="DS281" s="23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40" t="str">
        <f>IF(ISNUMBER(SnapshotTable[[#This Row],[LC Actual Gain Loss]]), SnapshotTable[[#This Row],[LC Actual Gain Loss]] / SnapshotTable[[#This Row],[LC Premium]],"")</f>
        <v/>
      </c>
      <c r="DX281" s="284" t="str">
        <f>IF(ISNUMBER(SnapshotTable[[#This Row],[LC Book Price]]),SnapshotTable[[#This Row],[LC Book Price]] * 1.5,"")</f>
        <v/>
      </c>
      <c r="DY281" s="265" t="str">
        <f>IF(SnapshotTable[[#This Row],[LC Premium]]&gt;0, SnapshotTable[[#This Row],[LC Next Target]] * SnapshotTable[[#This Row],[LC Qty]] * 100,"")</f>
        <v/>
      </c>
      <c r="DZ281" s="265" t="str">
        <f>IF(ISNUMBER(SnapshotTable[[#This Row],[LC Target Gross]]), SnapshotTable[[#This Row],[LC Target Gross]] - SnapshotTable[[#This Row],[LC Premium]], "")</f>
        <v/>
      </c>
      <c r="EA281" s="305" t="str">
        <f>IF(ISNUMBER(SnapshotTable[[#This Row],[LC Target Gain Loss]]), SnapshotTable[[#This Row],[LC Target Gain Loss]]/SnapshotTable[[#This Row],[LC Premium]], "")</f>
        <v/>
      </c>
      <c r="EB281" s="262"/>
      <c r="EC281" s="283" t="str">
        <f>IF(SnapshotTable[[#This Row],[LC Premium]]&gt;0, SnapshotTable[[#This Row],[LC Book Price]] * (1 - LC_StopLoss_Pct),"")</f>
        <v/>
      </c>
      <c r="ED281" s="284"/>
      <c r="EE281" s="28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4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7"/>
      <c r="EL281" s="138"/>
      <c r="EM281" s="148"/>
      <c r="EN281" s="147"/>
      <c r="EO281" s="147"/>
      <c r="EP281" s="138"/>
      <c r="EQ281" s="419" t="b">
        <f>AND(ISNUMBER(SnapshotTable[[#This Row],[SC Exp Date]]), ISNUMBER(SnapshotTable[[#This Row],[SC Strike Price]]), ISNUMBER(SnapshotTable[[#This Row],[SC Qty]]), ISNUMBER(SnapshotTable[[#This Row],[SC Book Date]]), ISNUMBER(SnapshotTable[[#This Row],[SC Book Price]]))</f>
        <v>0</v>
      </c>
      <c r="ER281" s="419" t="b">
        <f>AND(SnapshotTable[[#This Row],[SC Is Booked]], NOT(ISBLANK(SnapshotTable[[#This Row],[SC Fill Date]])))</f>
        <v>0</v>
      </c>
      <c r="ES281" s="370"/>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3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283"/>
      <c r="FA281" s="218"/>
      <c r="FB281" s="370"/>
      <c r="FC281" s="4">
        <f>IF(SnapshotTable[[#This Row],[SC Is Filled]], btc_max_buyback_amount(SnapshotTable[[#This Row],[SC Fill Date]],SnapshotTable[[#This Row],[SC Exp Date]], SnapshotTable[[#This Row],[SC Book Price]]),0)</f>
        <v>0</v>
      </c>
      <c r="FD281" s="5"/>
      <c r="FE281" s="144"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382">
        <f>IF(SnapshotTable[[#This Row],[SC Is Filled]], IF(ISNUMBER(SnapshotTable[[#This Row],[SC Current Ask]]), SnapshotTable[[#This Row],[SC Current Ask]], SnapshotTable[[#This Row],[SC Book Price]]) - SnapshotTable[[#This Row],[SC Intrinsic Value]], 0)</f>
        <v>0</v>
      </c>
      <c r="FI281" s="143"/>
      <c r="FJ281" s="32" t="str">
        <f>IF(SnapshotTable[[#This Row],[SC Is Filled]],100 * SnapshotTable[[#This Row],[SC Qty]] * IF(ISNUMBER(SnapshotTable[[#This Row],[SC Buyback Override]]), SnapshotTable[[#This Row],[SC Buyback Override]], SnapshotTable[[#This Row],[SC Current Ask]]), "")</f>
        <v/>
      </c>
      <c r="FK281" s="250" t="str">
        <f>IF(SnapshotTable[[#This Row],[SC Time Val]]&gt;0, SnapshotTable[[#This Row],[SC Time Val]] / SnapshotTable[[#This Row],[Last Price]],"")</f>
        <v/>
      </c>
      <c r="FL281" s="302" t="str">
        <f>IF(SnapshotTable[[#This Row],[SC Is Booked]], ((SnapshotTable[[#This Row],[Last Price]] -SnapshotTable[[#This Row],[SC Strike Price]]) / SnapshotTable[[#This Row],[Last Price]]) * -1, "")</f>
        <v/>
      </c>
      <c r="FM281" s="157"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33"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36" t="str">
        <f>IF(AND(ISNUMBER(SnapshotTable[[#This Row],[SC Simple ROO]]),SnapshotTable[[#This Row],[SC Simple ROO]] &gt; 0), SnapshotTable[[#This Row],[SC Premium]] + (SnapshotTable[[#This Row],[SC Qty]] * SnapshotTable[[#This Row],[SC Upside Potential]]), "")</f>
        <v/>
      </c>
      <c r="FX281" s="302" t="str" cm="1">
        <f t="array" ref="FX281">IF(ISNUMBER(SnapshotTable[[#This Row],[SC Max Dollars]]), annualize(SnapshotTable[[#This Row],[SC Term]],(SnapshotTable[[#This Row],[SC Max Dollars]]/SnapshotTable[[#This Row],[SC Basis]])),"")</f>
        <v/>
      </c>
      <c r="FY281" s="23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29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169.15699999999998</v>
      </c>
      <c r="GD281" s="40">
        <f>SnapshotTable[[#This Row],[Last Price]] * (1+ SellingPriceToConsiderBasedOnTargetPercentage)</f>
        <v>257.55600000000004</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757</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31">
        <f>MAX(SnapshotTable[[#This Row],[Equity Basis Total]],SnapshotTable[[#This Row],[Equity Value]]) + (SnapshotTable[[#This Row],[SP Potential Spend]]- SnapshotTable[[#This Row],[SP Premium]] + SnapshotTable[[#This Row],[LP Premium]])+ (SnapshotTable[[#This Row],[LC Premium]] - SnapshotTable[[#This Row],[SC Premium]])</f>
        <v>0</v>
      </c>
      <c r="GW281" s="139" t="str">
        <f>IF(AND(SnapshotTable[[#This Row],[Exposure]] &lt;&gt; 0),SnapshotTable[[#This Row],[Exposure]] / SnapshotTable[[#Totals],[Exposure]], "")</f>
        <v/>
      </c>
      <c r="GX281" s="5"/>
      <c r="HK281" s="1"/>
      <c r="HL281" s="1"/>
      <c r="HM281" s="1"/>
      <c r="HN281" s="1"/>
      <c r="HO281" s="1"/>
      <c r="HP281" s="1"/>
    </row>
    <row r="282" spans="2:224" ht="12.75" hidden="1" customHeight="1" x14ac:dyDescent="0.25">
      <c r="B282" s="12" t="s">
        <v>1179</v>
      </c>
      <c r="C282" s="422">
        <v>24.23</v>
      </c>
      <c r="D282" s="208" t="s">
        <v>578</v>
      </c>
      <c r="E282" s="39">
        <f>SnapshotTable[[#This Row],[Last Price]]*(1 -CrashDiscount)</f>
        <v>20.595500000000001</v>
      </c>
      <c r="F282" s="26" t="s">
        <v>5</v>
      </c>
      <c r="G282" s="26" t="s">
        <v>4</v>
      </c>
      <c r="H282" s="149"/>
      <c r="I282" s="194"/>
      <c r="J282" s="195"/>
      <c r="K282" s="196"/>
      <c r="L282" s="327"/>
      <c r="M282" s="140"/>
      <c r="N282" s="140"/>
      <c r="O282" s="140"/>
      <c r="P282" s="22"/>
      <c r="Q282" s="25"/>
      <c r="R282" s="4" t="str">
        <f>IF(SnapshotTable[[#This Row],[Equity Basis Total]] &gt; 0, SnapshotTable[[#This Row],[Equity Basis Total]] / SnapshotTable[[#This Row],[Equity Shares]], "")</f>
        <v/>
      </c>
      <c r="S282" s="329">
        <f>SnapshotTable[[#This Row],[Last Price]] * SnapshotTable[[#This Row],[Equity Shares]]</f>
        <v>0</v>
      </c>
      <c r="T282" s="269">
        <f>SnapshotTable[[#This Row],[Equity Value]] - SnapshotTable[[#This Row],[Equity Basis Total]]</f>
        <v>0</v>
      </c>
      <c r="U282" s="270" t="str">
        <f>IF(SnapshotTable[[#This Row],[Equity Basis Total]] &gt; 0, SnapshotTable[[#This Row],[Equity G/L]] / SnapshotTable[[#This Row],[Equity Basis Total]], "")</f>
        <v/>
      </c>
      <c r="V282" s="268"/>
      <c r="W282" s="26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7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0"/>
      <c r="AD282" s="151"/>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1"/>
      <c r="AI282" s="330"/>
      <c r="AJ282" s="138"/>
      <c r="AK282" s="152" t="str">
        <f>IF(ISNUMBER( SnapshotTable[[#This Row],[EBF Target]]),(SnapshotTable[[#This Row],[EBF Target]] - SnapshotTable[[#This Row],[Last Price]]) / SnapshotTable[[#This Row],[Last Price]], "")</f>
        <v/>
      </c>
      <c r="AL282" s="152"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2" t="str">
        <f>IF(AND(ISNUMBER( SnapshotTable[[#This Row],[Long Term Target]]), ISNUMBER(SnapshotTable[[#This Row],[Last Price]])),(SnapshotTable[[#This Row],[Long Term Target]] - SnapshotTable[[#This Row],[Last Price]]) / SnapshotTable[[#This Row],[Last Price]], "")</f>
        <v/>
      </c>
      <c r="AP282" s="5"/>
      <c r="AQ282" s="38"/>
      <c r="AR282" s="5"/>
      <c r="AS282" s="38"/>
      <c r="AT282" s="146"/>
      <c r="AU282" s="187" t="str">
        <f>IF(OR(SnapshotTable[[#This Row],[LP No Fill]]="Y",SnapshotTable[[#This Row],[SP Is Filled]],SnapshotTable[[#This Row],[LC Not Filled]]="Y",SnapshotTable[[#This Row],[SC Is Filled]]),"Y","")</f>
        <v/>
      </c>
      <c r="AV282" s="338"/>
      <c r="AW282" s="339"/>
      <c r="AX282" s="220"/>
      <c r="AY282" s="219" t="str">
        <f>IF(SnapshotTable[[#This Row],[Implied Move]]&gt;0, SnapshotTable[[#This Row],[Last Price]]-SnapshotTable[[#This Row],[Implied Move]],"")</f>
        <v/>
      </c>
      <c r="AZ282" s="219" t="str">
        <f>IF(SnapshotTable[[#This Row],[Implied Move]]&gt;0, SnapshotTable[[#This Row],[Last Price]] + SnapshotTable[[#This Row],[Implied Move]],"")</f>
        <v/>
      </c>
      <c r="BA282" s="331"/>
      <c r="BB282" s="347"/>
      <c r="BC2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2" s="351"/>
      <c r="BE282" s="138"/>
      <c r="BF282" s="166"/>
      <c r="BG282" s="167"/>
      <c r="BH282" s="167"/>
      <c r="BI282" s="221"/>
      <c r="BJ282" s="153">
        <f>IF(SnapshotTable[[#This Row],[LP Qty]] &gt; 0, SnapshotTable[[#This Row],[LP Qty]] * SnapshotTable[[#This Row],[LP Book Price]] * 100,0)</f>
        <v>0</v>
      </c>
      <c r="BK282" s="136">
        <f>IF(SnapshotTable[[#This Row],[LP Premium]] &gt; 0, SnapshotTable[[#This Row],[LP Qty]] * SnapshotTable[[#This Row],[LP Strike Price]] * 100,0)</f>
        <v>0</v>
      </c>
      <c r="BL282" s="154"/>
      <c r="BM282" s="385" t="str">
        <f>IF(SnapshotTable[[#This Row],[LP Premium]] &gt; 0,SnapshotTable[[#This Row],[LP Exp Date]]-MAX(SnapshotTable[[#This Row],[LP Book Date]], SnapshotTable[[#This Row],[LP Fill Date]]),"")</f>
        <v/>
      </c>
      <c r="BN282" s="385" t="str">
        <f>IF(ISNUMBER( SnapshotTable[[#This Row],[LP Term]]), SnapshotTable[[#This Row],[LP Exp Date]] - MockToday,"")</f>
        <v/>
      </c>
      <c r="BO282" s="163"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c r="BR282" s="5"/>
      <c r="BS282" s="36"/>
      <c r="BT282" s="147"/>
      <c r="BU282" s="13"/>
      <c r="BV282" s="5"/>
      <c r="BW282" s="419" t="b">
        <f>AND(ISNUMBER(SnapshotTable[[#This Row],[SP Exp Date]]), ISNUMBER(SnapshotTable[[#This Row],[SP Strike Price]]), ISNUMBER(SnapshotTable[[#This Row],[SP Qty]]), ISNUMBER(SnapshotTable[[#This Row],[SP Book Date]]), ISNUMBER(SnapshotTable[[#This Row],[SP Book Price]]))</f>
        <v>0</v>
      </c>
      <c r="BX282" s="419" t="b">
        <f>AND(SnapshotTable[[#This Row],[SP Is Booked]], NOT(ISBLANK(SnapshotTable[[#This Row],[SP Fill Date]])))</f>
        <v>0</v>
      </c>
      <c r="BY282" s="33">
        <f>IF(SnapshotTable[[#This Row],[SP Is Booked]], SnapshotTable[[#This Row],[SP Qty]] * SnapshotTable[[#This Row],[SP Book Price]] * 100, 0)</f>
        <v>0</v>
      </c>
      <c r="BZ282" s="369"/>
      <c r="CA282" s="368">
        <f>SnapshotTable[[#This Row],[LP Qty]]</f>
        <v>0</v>
      </c>
      <c r="CB282" s="4" t="str">
        <f>IF(SnapshotTable[[#This Row],[SP Is Booked]], SnapshotTable[[#This Row],[SP Strike Price]] - SnapshotTable[[#This Row],[SP Book Price]], "")</f>
        <v/>
      </c>
      <c r="CC282" s="19" t="str">
        <f>IF(SnapshotTable[[#This Row],[SP Is Booked]],SnapshotTable[[#This Row],[SP Exp Date]]-MAX(SnapshotTable[[#This Row],[SP Book Date]], SnapshotTable[[#This Row],[SP Fill Date]]),"")</f>
        <v/>
      </c>
      <c r="CD282" s="7" t="str">
        <f>IF(SnapshotTable[[#This Row],[SP Is Booked]], SnapshotTable[[#This Row],[SP Book Price]]/SnapshotTable[[#This Row],[SP Strike Price]], "")</f>
        <v/>
      </c>
      <c r="CE282" s="7" t="str">
        <f>IF(ISNUMBER(SnapshotTable[[#This Row],[SP ROO Term]]),SnapshotTable[[#This Row],[SP ROO Term]]*(365/SnapshotTable[[#This Row],[SP Term]]),"")</f>
        <v/>
      </c>
      <c r="CF282" s="236">
        <f>SnapshotTable[[#This Row],[LP Strike Price]] * SnapshotTable[[#This Row],[LP Qty]] * 100</f>
        <v>0</v>
      </c>
      <c r="CG282" s="31">
        <f>IF(ISNUMBER(SnapshotTable[[#This Row],[SP Premium]]), (SnapshotTable[[#This Row],[SP Qty]] * SnapshotTable[[#This Row],[SP Strike Price]]* 100) - SnapshotTable[[#This Row],[LP Protection]], 0)</f>
        <v>0</v>
      </c>
      <c r="CH282" s="7" t="str">
        <f>IF(ISNUMBER(SnapshotTable[[#This Row],[SP Break Even]]),-1 * (SnapshotTable[[#This Row],[SP Break Even]] - SnapshotTable[[#This Row],[Last Price]]) / SnapshotTable[[#This Row],[Last Price]], "")</f>
        <v/>
      </c>
      <c r="CI282" s="31">
        <f>IF(AND(ISNUMBER((SnapshotTable[[#This Row],[SP Potential Spend]])), SnapshotTable[[#This Row],[SP Strike Price]] &gt; SnapshotTable[[#This Row],[Last Price]], SnapshotTable[[#This Row],[SP Is Filled]]), SnapshotTable[[#This Row],[SP Potential Spend]] -  SnapshotTable[[#This Row],[LP Max Value]], 0)</f>
        <v>0</v>
      </c>
      <c r="CJ282" s="244"/>
      <c r="CK282" s="31">
        <f>IF(ISNUMBER(SnapshotTable[[#This Row],[SP Potential Spend]]),IF(ISNUMBER(SnapshotTable[[#This Row],[SP POW]]), SnapshotTable[[#This Row],[SP POW]] * SnapshotTable[[#This Row],[SP Potential Spend]], SnapshotTable[[#This Row],[SP Potential Spend]]), "")</f>
        <v>0</v>
      </c>
      <c r="CL282" s="164">
        <f>IF(NOT(SnapshotTable[[#This Row],[SP Is Filled]]),(SnapshotTable[[#This Row],[SP Qty]] * SnapshotTable[[#This Row],[SP Strike Price]] * 100) - SnapshotTable[[#This Row],[LP Max Value]],"")</f>
        <v>0</v>
      </c>
      <c r="CM282" s="31" t="str">
        <f>IF(SnapshotTable[[#This Row],[SP Actual Spend]]&lt;&gt;0, ((SnapshotTable[[#This Row],[SP Strike Price]]-SnapshotTable[[#This Row],[Last Price]]) *(SnapshotTable[[#This Row],[SP Qty]]*100) - SnapshotTable[[#This Row],[SP Premium]]) * - 1, "")</f>
        <v/>
      </c>
      <c r="CN282" s="154"/>
      <c r="CO282" s="369"/>
      <c r="CP282" s="320" t="str">
        <f>IF(SnapshotTable[[#This Row],[SP Is Filled]], btc_max_buyback_amount(SnapshotTable[[#This Row],[SP Fill Date]],SnapshotTable[[#This Row],[SP Exp Date]], SnapshotTable[[#This Row],[SP Book Price]]),"")</f>
        <v/>
      </c>
      <c r="CQ282" s="78"/>
      <c r="CR282"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2" s="155" t="str">
        <f>IF(SnapshotTable[[#This Row],[SP Is Filled]], btc_next_cutoff_date(SnapshotTable[[#This Row],[SP Fill Date]],SnapshotTable[[#This Row],[SP Exp Date]]),"")</f>
        <v/>
      </c>
      <c r="CT282" s="235" t="str" cm="1">
        <f t="array" ref="CT282">IF(SnapshotTable[[#This Row],[SP Is Filled]], btc_should_buy_back(SnapshotTable[[#This Row],[SP Fill Date]], SnapshotTable[[#This Row],[SP Exp Date]], SnapshotTable[[#This Row],[SP Book Price]], SnapshotTable[[#This Row],[SP Current Ask]], MockToday, SnapshotTable[[#This Row],[SP Buyback Override]]),"")</f>
        <v/>
      </c>
      <c r="CU282" s="156"/>
      <c r="CV282" s="235"/>
      <c r="CW282" s="378" t="str">
        <f>IF(ISNUMBER( SnapshotTable[[#This Row],[SP Term]]), SnapshotTable[[#This Row],[SP Exp Date]] - MockToday,"")</f>
        <v/>
      </c>
      <c r="CX282" s="31" t="str">
        <f>IF(SnapshotTable[[#This Row],[SP Is Filled]],SnapshotTable[[#This Row],[SP Buyback Price to Use]] * 100 * SnapshotTable[[#This Row],[SP Qty]], "")</f>
        <v/>
      </c>
      <c r="CY282" s="4" t="str">
        <f>IF(ISNUMBER(SnapshotTable[[#This Row],[SP Strike Price]]), SnapshotTable[[#This Row],[SP Strike Price]] * (1 - SP_MaxLoss_StrikePct), "")</f>
        <v/>
      </c>
      <c r="CZ282" s="31" t="str">
        <f>IF(ISNUMBER(SnapshotTable[[#This Row],[SP Strike  Stop Per Share]]),SnapshotTable[[#This Row],[SP Premium]] - ((SnapshotTable[[#This Row],[SP Strike Price]]-SnapshotTable[[#This Row],[SP Strike  Stop Per Share]]) *(SnapshotTable[[#This Row],[SP Qty]] * 100)),"")</f>
        <v/>
      </c>
      <c r="DA282" s="4" t="str">
        <f>IF(AND(ISNUMBER(SnapshotTable[[#This Row],[SP Premium]]),SnapshotTable[[#This Row],[SP Premium]]&gt;0), SnapshotTable[[#This Row],[SP Book Price]] * (1 + SP_MaxLoss_OptionPct), "")</f>
        <v/>
      </c>
      <c r="DB282" s="31" t="str">
        <f>IF(ISNUMBER(SnapshotTable[[#This Row],[SP Option  Stop Contract]]),(SnapshotTable[[#This Row],[SP Option  Stop Contract]] *(SnapshotTable[[#This Row],[SP Qty]] * 100) - SnapshotTable[[#This Row],[SP Premium]]),"")</f>
        <v/>
      </c>
      <c r="DC282" s="4"/>
      <c r="DD282" s="4"/>
      <c r="DE282" s="4" t="str">
        <f>IF(AND(SnapshotTable[[#This Row],[SP Qty]]&gt;0, SnapshotTable[[#This Row],[SP Stop To Use]]&gt;0),SnapshotTable[[#This Row],[SP Premium]] - ( SnapshotTable[[#This Row],[SP Qty]] * SnapshotTable[[#This Row],[SP Stop To Use]] * 100), "")</f>
        <v/>
      </c>
      <c r="DF282" s="31" t="str">
        <f>IF(AND(SnapshotTable[[#This Row],[SP Qty]]&gt;0,SnapshotTable[[#This Row],[SP Current Ask]]&gt;0), SnapshotTable[[#This Row],[SP Qty]] * SnapshotTable[[#This Row],[SP Current Ask]] * -100, "")</f>
        <v/>
      </c>
      <c r="DG282" s="31" t="str">
        <f>IF(ISNUMBER((SnapshotTable[[#This Row],[SP Total Value]])), SnapshotTable[[#This Row],[SP Premium]] + SnapshotTable[[#This Row],[SP Total Value]], "")</f>
        <v/>
      </c>
      <c r="DH282" s="294" t="str">
        <f>IF(ISNUMBER((SnapshotTable[[#This Row],[SP Total Value]])), SnapshotTable[[#This Row],[SP Gain Loss]] / SnapshotTable[[#This Row],[SP Premium]], "")</f>
        <v/>
      </c>
      <c r="DI282" s="406"/>
      <c r="DJ282" s="138"/>
      <c r="DK282" s="148"/>
      <c r="DL282" s="147"/>
      <c r="DM282" s="147"/>
      <c r="DO282" s="31">
        <f>IF(SnapshotTable[[#This Row],[LC Symbol Count]]=1, SnapshotTable[[#This Row],[LC Qty]] * SnapshotTable[[#This Row],[LC Book Price]] * 100, 0)</f>
        <v>0</v>
      </c>
      <c r="DP282" s="289" t="str">
        <f>IF(AND(SnapshotTable[[#This Row],[LC Exp Date]]&gt;0, SnapshotTable[[#This Row],[LC Strike Price]]&gt;0,SnapshotTable[[#This Row],[LC Qty]]&gt;0,SnapshotTable[[#This Row],[LC Book Date]]&gt;0,SnapshotTable[[#This Row],[LC Book Price]]&gt;0,SnapshotTable[[#This Row],[LC Fill Date]]=0),"Y","")</f>
        <v/>
      </c>
      <c r="DQ282" s="386" t="str">
        <f>IF(SnapshotTable[[#This Row],[LC Premium]] &gt; 0,SnapshotTable[[#This Row],[LC Exp Date]]-MAX(SnapshotTable[[#This Row],[LC Book Date]], SnapshotTable[[#This Row],[LC Fill Date]]),"")</f>
        <v/>
      </c>
      <c r="DR282" s="386" t="str">
        <f>IF(ISNUMBER(SnapshotTable[[#This Row],[LC Term]]), SnapshotTable[[#This Row],[LC Exp Date]] - MockToday, "")</f>
        <v/>
      </c>
      <c r="DS282" s="234" t="str">
        <f>IF(SnapshotTable[[#This Row],[LC Premium]]&gt;0,SnapshotTable[[#This Row],[LC Strike Price]] + SnapshotTable[[#This Row],[LC Book Price]],"")</f>
        <v/>
      </c>
      <c r="DU282" s="9" t="str">
        <f>IF(AND(SnapshotTable[[#This Row],[LC Symbol Count]]&gt;0, SnapshotTable[[#This Row],[LC Contract Value]]&gt;0), SnapshotTable[[#This Row],[LC Contract Value]] * SnapshotTable[[#This Row],[LC Qty]] * 100, "")</f>
        <v/>
      </c>
      <c r="DV282" s="9" t="str">
        <f>IF(AND(ISNUMBER(SnapshotTable[[#This Row],[LC Total Value]]), SnapshotTable[[#This Row],[LC Not Filled]]&lt;&gt;"Y"), SnapshotTable[[#This Row],[LC Total Value]]-SnapshotTable[[#This Row],[LC Premium]],"")</f>
        <v/>
      </c>
      <c r="DW282" s="240" t="str">
        <f>IF(ISNUMBER(SnapshotTable[[#This Row],[LC Actual Gain Loss]]), SnapshotTable[[#This Row],[LC Actual Gain Loss]] / SnapshotTable[[#This Row],[LC Premium]],"")</f>
        <v/>
      </c>
      <c r="DX282" s="284" t="str">
        <f>IF(ISNUMBER(SnapshotTable[[#This Row],[LC Book Price]]),SnapshotTable[[#This Row],[LC Book Price]] * 1.5,"")</f>
        <v/>
      </c>
      <c r="DY282" s="265" t="str">
        <f>IF(SnapshotTable[[#This Row],[LC Premium]]&gt;0, SnapshotTable[[#This Row],[LC Next Target]] * SnapshotTable[[#This Row],[LC Qty]] * 100,"")</f>
        <v/>
      </c>
      <c r="DZ282" s="265" t="str">
        <f>IF(ISNUMBER(SnapshotTable[[#This Row],[LC Target Gross]]), SnapshotTable[[#This Row],[LC Target Gross]] - SnapshotTable[[#This Row],[LC Premium]], "")</f>
        <v/>
      </c>
      <c r="EA282" s="305" t="str">
        <f>IF(ISNUMBER(SnapshotTable[[#This Row],[LC Target Gain Loss]]), SnapshotTable[[#This Row],[LC Target Gain Loss]]/SnapshotTable[[#This Row],[LC Premium]], "")</f>
        <v/>
      </c>
      <c r="EB282" s="262"/>
      <c r="EC282" s="290" t="str">
        <f>IF(SnapshotTable[[#This Row],[LC Premium]]&gt;0, SnapshotTable[[#This Row],[LC Book Price]] * (1 - LC_StopLoss_Pct),"")</f>
        <v/>
      </c>
      <c r="ED282" s="284"/>
      <c r="EE282" s="290" t="str">
        <f>IF(ISNUMBER(SnapshotTable[[#This Row],[LC Contract Value]]),IF(ISNUMBER(SnapshotTable[[#This Row],[LC Stop Loss Override]]), SnapshotTable[[#This Row],[LC Stop Loss Override]],SnapshotTable[[#This Row],[LC Stop Loss Calc Target]]),"")</f>
        <v/>
      </c>
      <c r="EF282" s="321" t="str">
        <f>IF(ISNUMBER(SnapshotTable[[#This Row],[LC Stop  To Use]]), (SnapshotTable[[#This Row],[LC Stop  To Use]] * SnapshotTable[[#This Row],[LC Qty]] * 100),"")</f>
        <v/>
      </c>
      <c r="EG282" s="9" t="str">
        <f>IF(ISNUMBER(SnapshotTable[[#This Row],[LC Total Value]]),SnapshotTable[[#This Row],[LC Stop Loss Amount]] - SnapshotTable[[#This Row],[LC Premium]],"")</f>
        <v/>
      </c>
      <c r="EH282" s="9">
        <f>IF(ISNUMBER(SnapshotTable[[#This Row],[LC Premium]]), SnapshotTable[[#This Row],[LC Qty]] * 100 * SnapshotTable[[#This Row],[LC Strike Price]], "")</f>
        <v>0</v>
      </c>
      <c r="EI282" s="240" t="str">
        <f>IF(AND(ISNUMBER(SnapshotTable[[#This Row],[LC Total Value]]),SnapshotTable[[#This Row],[LC Total Value]]&gt;0),SnapshotTable[[#This Row],[LC Stop Gain Loss]]  / SnapshotTable[[#This Row],[LC Premium]],"")</f>
        <v/>
      </c>
      <c r="EJ282" s="35">
        <f>IF(ISNUMBER(SnapshotTable[[#This Row],[Equity Shares]]),TRUNC(SnapshotTable[[#This Row],[Equity Shares]] / 100),0) + SnapshotTable[[#This Row],[LC Qty]]</f>
        <v>0</v>
      </c>
      <c r="EK282" s="147"/>
      <c r="EL282" s="138"/>
      <c r="EM282" s="148"/>
      <c r="EN282" s="147"/>
      <c r="EO282" s="147"/>
      <c r="EP282" s="138"/>
      <c r="EQ282" s="419" t="b">
        <f>AND(ISNUMBER(SnapshotTable[[#This Row],[SC Exp Date]]), ISNUMBER(SnapshotTable[[#This Row],[SC Strike Price]]), ISNUMBER(SnapshotTable[[#This Row],[SC Qty]]), ISNUMBER(SnapshotTable[[#This Row],[SC Book Date]]), ISNUMBER(SnapshotTable[[#This Row],[SC Book Price]]))</f>
        <v>0</v>
      </c>
      <c r="ER282" s="419" t="b">
        <f>AND(SnapshotTable[[#This Row],[SC Is Booked]], NOT(ISBLANK(SnapshotTable[[#This Row],[SC Fill Date]])))</f>
        <v>0</v>
      </c>
      <c r="ES282" s="370"/>
      <c r="ET282" s="34" t="str">
        <f>IF(AND(ISNUMBER(SnapshotTable[[#This Row],[SC Exp Date]]), ISNUMBER(SnapshotTable[[#This Row],[SC Book Date]])), SnapshotTable[[#This Row],[SC Exp Date]] - MAX(SnapshotTable[[#This Row],[SC Book Date]], SnapshotTable[[#This Row],[SC Fill Date]]) + 1, "")</f>
        <v/>
      </c>
      <c r="EU282" s="34" t="str">
        <f>IF(ISNUMBER(SnapshotTable[[#This Row],[SC Term]]), SnapshotTable[[#This Row],[SC Exp Date]]- MockToday, "")</f>
        <v/>
      </c>
      <c r="EV282" s="31">
        <f>IF(SnapshotTable[[#This Row],[SC Is Booked]], SnapshotTable[[#This Row],[SC Qty]] * SnapshotTable[[#This Row],[SC Book Price]] * 100, 0)</f>
        <v>0</v>
      </c>
      <c r="EW282" s="4" t="str">
        <f>IF(AND(ISNUMBER(SnapshotTable[[#This Row],[Last Price]]), ISNUMBER( SnapshotTable[[#This Row],[SC Book Price]])), SnapshotTable[[#This Row],[Last Price]] - SnapshotTable[[#This Row],[SC Book Price]],"")</f>
        <v/>
      </c>
      <c r="EX282" s="234" t="str">
        <f>IF(SnapshotTable[[#This Row],[SC Is Booked]],IF(SnapshotTable[[#This Row],[SC Intrinsic Value]] &gt; 0, SnapshotTable[[#This Row],[SC Strike Price]], SnapshotTable[[#This Row],[Last Price]]), "")</f>
        <v/>
      </c>
      <c r="EY282" s="4">
        <f>IF(SnapshotTable[[#This Row],[SC Is Booked]], (MinimumPremiumRequired * SnapshotTable[[#This Row],[SC Basis]] * SnapshotTable[[#This Row],[SC Term]]), 0)</f>
        <v>0</v>
      </c>
      <c r="EZ282" s="283"/>
      <c r="FA282" s="218"/>
      <c r="FB282" s="370"/>
      <c r="FC282" s="4">
        <f>IF(SnapshotTable[[#This Row],[SC Is Filled]], btc_max_buyback_amount(SnapshotTable[[#This Row],[SC Fill Date]],SnapshotTable[[#This Row],[SC Exp Date]], SnapshotTable[[#This Row],[SC Book Price]]),0)</f>
        <v>0</v>
      </c>
      <c r="FD282" s="5"/>
      <c r="FE282" s="144" t="str">
        <f>IF(SnapshotTable[[#This Row],[SC Is Filled]], btc_next_cutoff_date(SnapshotTable[[#This Row],[SC Fill Date]],SnapshotTable[[#This Row],[SC Exp Date]]),"")</f>
        <v/>
      </c>
      <c r="FF282" s="4" t="str" cm="1">
        <f t="array" ref="FF282">IF(SnapshotTable[[#This Row],[SC Is Filled]], btc_should_buy_back(SnapshotTable[[#This Row],[SC Fill Date]], SnapshotTable[[#This Row],[SC Exp Date]], SnapshotTable[[#This Row],[SC Book Price]], SnapshotTable[[#This Row],[SC Current Ask]], MockToday, SnapshotTable[[#This Row],[SC Buyback Override]]),"")</f>
        <v/>
      </c>
      <c r="FG282" s="4">
        <f>IF(SnapshotTable[[#This Row],[SC Is Filled]], MAX(0,SnapshotTable[[#This Row],[Last Price]]  - SnapshotTable[[#This Row],[SC Strike Price]]), 0)</f>
        <v>0</v>
      </c>
      <c r="FH282" s="382">
        <f>IF(SnapshotTable[[#This Row],[SC Is Filled]], IF(ISNUMBER(SnapshotTable[[#This Row],[SC Current Ask]]), SnapshotTable[[#This Row],[SC Current Ask]], SnapshotTable[[#This Row],[SC Book Price]]) - SnapshotTable[[#This Row],[SC Intrinsic Value]], 0)</f>
        <v>0</v>
      </c>
      <c r="FI282" s="143"/>
      <c r="FJ282" s="32" t="str">
        <f>IF(SnapshotTable[[#This Row],[SC Is Filled]],100 * SnapshotTable[[#This Row],[SC Qty]] * IF(ISNUMBER(SnapshotTable[[#This Row],[SC Buyback Override]]), SnapshotTable[[#This Row],[SC Buyback Override]], SnapshotTable[[#This Row],[SC Current Ask]]), "")</f>
        <v/>
      </c>
      <c r="FK282" s="250" t="str">
        <f>IF(SnapshotTable[[#This Row],[SC Time Val]]&gt;0, SnapshotTable[[#This Row],[SC Time Val]] / SnapshotTable[[#This Row],[Last Price]],"")</f>
        <v/>
      </c>
      <c r="FL282" s="302" t="str">
        <f>IF(SnapshotTable[[#This Row],[SC Is Booked]], ((SnapshotTable[[#This Row],[Last Price]] -SnapshotTable[[#This Row],[SC Strike Price]]) / SnapshotTable[[#This Row],[Last Price]]) * -1, "")</f>
        <v/>
      </c>
      <c r="FM282" s="157" t="str">
        <f>IF(SnapshotTable[[#This Row],[SC Is Booked]],  (SnapshotTable[[#This Row],[SC Qty]] * 100 * SnapshotTable[[#This Row],[SC Strike Price]]) - SnapshotTable[[#This Row],[SC Current Ask]], "")</f>
        <v/>
      </c>
      <c r="FN2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2" s="157" t="str">
        <f>IF(AND(ISNUMBER(SnapshotTable[[#This Row],[SC Exercise Gross]]), ISNUMBER(SnapshotTable[[#This Row],[Equity Basis Per Share]] )), SnapshotTable[[#This Row],[SC Exercise Gross]] - SnapshotTable[[#This Row],[Equity Basis Total]] +  SnapshotTable[[#This Row],[SC Premium]], "")</f>
        <v/>
      </c>
      <c r="FP282" s="5" t="str">
        <f>IF(ISNUMBER(SnapshotTable[[#This Row],[SC Exercise Gross]]), (SnapshotTable[[#This Row],[SC Exercise Gross]]) / (SnapshotTable[[#This Row],[SC Qty]] * 100), "")</f>
        <v/>
      </c>
      <c r="FQ282" s="27" t="str">
        <f>IF(SnapshotTable[[#This Row],[SC Is Booked]],SnapshotTable[[#This Row],[SC Time Val]] /SnapshotTable[[#This Row],[SC Basis]], "")</f>
        <v/>
      </c>
      <c r="FR282" s="27" t="str" cm="1">
        <f t="array" ref="FR282">IF(AND(ISNUMBER(SnapshotTable[[#This Row],[SC Term]]),ISNUMBER(SnapshotTable[[#This Row],[SC Simple ROO]])), EllmanAnnualize(SnapshotTable[[#This Row],[SC DTE]], SnapshotTable[[#This Row],[SC Simple ROO]] ),"")</f>
        <v/>
      </c>
      <c r="FS282" s="4">
        <f>IF(SnapshotTable[[#This Row],[SC Strike Price]] &gt; SnapshotTable[[#This Row],[Last Price]], SnapshotTable[[#This Row],[SC Strike Price]] - SnapshotTable[[#This Row],[Last Price]],0)</f>
        <v>0</v>
      </c>
      <c r="FT282" s="27" t="str">
        <f>IF(AND(ISNUMBER(SnapshotTable[[#This Row],[SC Upside Potential]]), SnapshotTable[[#This Row],[SC Upside Potential]] &gt; 0),(SnapshotTable[[#This Row],[SC Upside Potential]]/ SnapshotTable[[#This Row],[ACB]]),"")</f>
        <v/>
      </c>
      <c r="FU282" s="333" t="str">
        <f>IF(SnapshotTable[[#This Row],[SC Intrinsic Value]] &gt; 0,SnapshotTable[[#This Row],[SC Intrinsic Value]],"")</f>
        <v/>
      </c>
      <c r="FV282" s="27" t="str">
        <f>IF(AND( ISNUMBER( SnapshotTable[[#This Row],[ACB]]),ISNUMBER(SnapshotTable[[#This Row],[SC Downside Protect]])),SnapshotTable[[#This Row],[SC Downside Protect]] / SnapshotTable[[#This Row],[ACB]],"")</f>
        <v/>
      </c>
      <c r="FW282" s="236" t="str">
        <f>IF(AND(ISNUMBER(SnapshotTable[[#This Row],[SC Simple ROO]]),SnapshotTable[[#This Row],[SC Simple ROO]] &gt; 0), SnapshotTable[[#This Row],[SC Premium]] + (SnapshotTable[[#This Row],[SC Qty]] * SnapshotTable[[#This Row],[SC Upside Potential]]), "")</f>
        <v/>
      </c>
      <c r="FX282" s="302" t="str" cm="1">
        <f t="array" ref="FX282">IF(ISNUMBER(SnapshotTable[[#This Row],[SC Max Dollars]]), annualize(SnapshotTable[[#This Row],[SC Term]],(SnapshotTable[[#This Row],[SC Max Dollars]]/SnapshotTable[[#This Row],[SC Basis]])),"")</f>
        <v/>
      </c>
      <c r="FY282" s="236" t="str">
        <f>IF(AND(SnapshotTable[[#This Row],[SC Qty]]&gt;0,SnapshotTable[[#This Row],[SC Current Ask]]&gt;0), SnapshotTable[[#This Row],[SC Qty]] * SnapshotTable[[#This Row],[SC Current Ask]] * -100, "")</f>
        <v/>
      </c>
      <c r="FZ282" s="235" t="str">
        <f>IF(ISNUMBER((SnapshotTable[[#This Row],[SC Current Value]])), SnapshotTable[[#This Row],[SC Premium]] + SnapshotTable[[#This Row],[SC Current Value]], "")</f>
        <v/>
      </c>
      <c r="GA282" s="294" t="str">
        <f>IFERROR( IF(ISNUMBER((SnapshotTable[[#This Row],[SC Current Value]])), SnapshotTable[[#This Row],[SC Gain Loss]] / SnapshotTable[[#This Row],[SC Premium]], ""), "")</f>
        <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47.2485</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158" t="str">
        <f>IF(SnapshotTable[[#This Row],[Sale G/L]]&gt;0, SnapshotTable[[#This Row],[Sale G/L]] / SnapshotTable[[#This Row],[Sale Basis]], IF(ISNUMBER(SnapshotTable[[#This Row],[SC Exercise P&amp;L (TAX)]]), SnapshotTable[[#This Row],[SC Exercise P&amp;L (TAX)]] / SnapshotTable[[#This Row],[SC Basis]], ""))</f>
        <v/>
      </c>
      <c r="GK282" s="27"/>
      <c r="GL282" s="159"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
      </c>
      <c r="GO282" s="30" t="str">
        <f>IF(LEN(SnapshotTable[[#This Row],[SP Symbol]])&gt;0, 1, "")</f>
        <v/>
      </c>
      <c r="GP282" s="159" t="str">
        <f>IF(AND(SnapshotTable[[#This Row],[LC Exp Date]]&gt;0,SnapshotTable[[#This Row],[LC Strike Price]]&gt;0), [1]!ToOptionSymbol(SnapshotTable[[#This Row],[Symbol]], SnapshotTable[[#This Row],[LC Strike Price]],SnapshotTable[[#This Row],[LC Exp Date]],0), "")</f>
        <v/>
      </c>
      <c r="GQ282" s="160" t="str">
        <f>IF(LEN(SnapshotTable[[#This Row],[LC Symbol]])&gt;0, 1, "")</f>
        <v/>
      </c>
      <c r="GR282" s="159" t="str">
        <f>IF(AND(SnapshotTable[[#This Row],[SC Exp Date]]&gt;0,SnapshotTable[[#This Row],[SC Strike Price]]&gt;0), [1]!ToOptionSymbol(SnapshotTable[[#This Row],[Symbol]], SnapshotTable[[#This Row],[SC Strike Price]],SnapshotTable[[#This Row],[SC Exp Date]],0), "")</f>
        <v/>
      </c>
      <c r="GS282" s="160" t="str">
        <f>IF(LEN(SnapshotTable[[#This Row],[SC Symbol]])&gt;0, 1, "")</f>
        <v/>
      </c>
      <c r="GT282" s="161" t="str">
        <f>IF(COUNT(SnapshotTable[[#This Row],[LP Symbol Count]],SnapshotTable[[#This Row],[SP Symbol Count]],SnapshotTable[[#This Row],[LC Symbol Count]],SnapshotTable[[#This Row],[SC Symbol Count]])&gt;0, "Y", "")</f>
        <v/>
      </c>
      <c r="GU2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2" s="231">
        <f>MAX(SnapshotTable[[#This Row],[Equity Basis Total]],SnapshotTable[[#This Row],[Equity Value]]) + (SnapshotTable[[#This Row],[SP Potential Spend]]- SnapshotTable[[#This Row],[SP Premium]] + SnapshotTable[[#This Row],[LP Premium]])+ (SnapshotTable[[#This Row],[LC Premium]] - SnapshotTable[[#This Row],[SC Premium]])</f>
        <v>0</v>
      </c>
      <c r="GW282" s="139" t="str">
        <f>IF(AND(SnapshotTable[[#This Row],[Exposure]] &lt;&gt; 0),SnapshotTable[[#This Row],[Exposure]] / SnapshotTable[[#Totals],[Exposure]], "")</f>
        <v/>
      </c>
      <c r="GX282" s="5"/>
      <c r="HK282" s="1"/>
      <c r="HL282" s="1"/>
      <c r="HM282" s="1"/>
      <c r="HN282" s="1"/>
      <c r="HO282" s="1"/>
      <c r="HP282" s="1"/>
    </row>
    <row r="283" spans="2:224" s="47" customFormat="1" ht="12.75" hidden="1" customHeight="1" x14ac:dyDescent="0.25">
      <c r="B283" s="12" t="s">
        <v>1092</v>
      </c>
      <c r="C283" s="422">
        <v>262.55</v>
      </c>
      <c r="D283" s="208" t="s">
        <v>1093</v>
      </c>
      <c r="E283" s="39">
        <f>SnapshotTable[[#This Row],[Last Price]]*(1 -CrashDiscount)</f>
        <v>223.16749999999999</v>
      </c>
      <c r="F283" s="26" t="s">
        <v>906</v>
      </c>
      <c r="G283" s="26" t="s">
        <v>49</v>
      </c>
      <c r="H283" s="149"/>
      <c r="I283" s="194">
        <v>45236</v>
      </c>
      <c r="J283" s="195">
        <v>45145.666666666664</v>
      </c>
      <c r="K283" s="196"/>
      <c r="L283" s="326"/>
      <c r="M283" s="140"/>
      <c r="N283" s="140"/>
      <c r="O283" s="140"/>
      <c r="P283" s="22"/>
      <c r="Q283" s="25"/>
      <c r="R283" s="4" t="str">
        <f>IF(SnapshotTable[[#This Row],[Equity Basis Total]] &gt; 0, SnapshotTable[[#This Row],[Equity Basis Total]] / SnapshotTable[[#This Row],[Equity Shares]], "")</f>
        <v/>
      </c>
      <c r="S283" s="269">
        <f>SnapshotTable[[#This Row],[Last Price]] * SnapshotTable[[#This Row],[Equity Shares]]</f>
        <v>0</v>
      </c>
      <c r="T283" s="269">
        <f>SnapshotTable[[#This Row],[Equity Value]] - SnapshotTable[[#This Row],[Equity Basis Total]]</f>
        <v>0</v>
      </c>
      <c r="U283" s="270" t="str">
        <f>IF(SnapshotTable[[#This Row],[Equity Basis Total]] &gt; 0, SnapshotTable[[#This Row],[Equity G/L]] / SnapshotTable[[#This Row],[Equity Basis Total]], "")</f>
        <v/>
      </c>
      <c r="V283" s="268">
        <v>340</v>
      </c>
      <c r="W283" s="268">
        <v>265</v>
      </c>
      <c r="X283" s="4" t="str">
        <f>IF(AND(ISNUMBER(SnapshotTable[[#This Row],[Equity Basis Per Share]]),ISNUMBER(SnapshotTable[[#This Row],[Equity Target]])),SnapshotTable[[#This Row],[Equity Target]]-SnapshotTable[[#This Row],[Equity Basis Per Share]],"")</f>
        <v/>
      </c>
      <c r="Y283" s="4" t="str">
        <f>IF(AND(ISNUMBER(SnapshotTable[[#This Row],[Equity Basis Per Share]]),ISNUMBER(SnapshotTable[[#This Row],[Equity Stop Loss]])),SnapshotTable[[#This Row],[Equity Stop Loss]]-SnapshotTable[[#This Row],[Equity Basis Per Share]],"")</f>
        <v/>
      </c>
      <c r="Z283" s="275" t="str">
        <f>IFERROR( TEXT(SnapshotTable[[#This Row],[Equity Max Gain Per Share]] /ABS( SnapshotTable[[#This Row],[Equity Max Loss Per Share]]),"0.0 " ) &amp; " : 1", "")</f>
        <v/>
      </c>
      <c r="AA283" s="31" t="str">
        <f>IF(ISNUMBER(SnapshotTable[[#This Row],[Equity Max Gain Per Share]]),SnapshotTable[[#This Row],[Equity Max Gain Per Share]] * SnapshotTable[[#This Row],[Equity Shares]],"")</f>
        <v/>
      </c>
      <c r="AB283" s="31" t="str">
        <f>IF(ISNUMBER(SnapshotTable[[#This Row],[Equity Max Loss Per Share]]),SnapshotTable[[#This Row],[Equity Max Loss Per Share]] * SnapshotTable[[#This Row],[Equity Shares]],"")</f>
        <v/>
      </c>
      <c r="AC283" s="150"/>
      <c r="AD283" s="151"/>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1"/>
      <c r="AI283" s="5"/>
      <c r="AJ283" s="138">
        <v>289.33</v>
      </c>
      <c r="AK283" s="152" t="str">
        <f>IF(ISNUMBER( SnapshotTable[[#This Row],[EBF Target]]),(SnapshotTable[[#This Row],[EBF Target]] - SnapshotTable[[#This Row],[Last Price]]) / SnapshotTable[[#This Row],[Last Price]], "")</f>
        <v/>
      </c>
      <c r="AL283" s="152"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2">
        <f>IF(AND(ISNUMBER( SnapshotTable[[#This Row],[Long Term Target]]), ISNUMBER(SnapshotTable[[#This Row],[Last Price]])),(SnapshotTable[[#This Row],[Long Term Target]] - SnapshotTable[[#This Row],[Last Price]]) / SnapshotTable[[#This Row],[Last Price]], "")</f>
        <v>0.10199961912016747</v>
      </c>
      <c r="AP283" s="5">
        <v>265</v>
      </c>
      <c r="AQ283" s="38" t="s">
        <v>89</v>
      </c>
      <c r="AR283" s="5">
        <v>203.47</v>
      </c>
      <c r="AS283" s="38" t="s">
        <v>32</v>
      </c>
      <c r="AT283" s="146" t="s">
        <v>1133</v>
      </c>
      <c r="AU283" s="187" t="str">
        <f>IF(OR(SnapshotTable[[#This Row],[LP No Fill]]="Y",SnapshotTable[[#This Row],[SP Is Filled]],SnapshotTable[[#This Row],[LC Not Filled]]="Y",SnapshotTable[[#This Row],[SC Is Filled]]),"Y","")</f>
        <v/>
      </c>
      <c r="AV283" s="219"/>
      <c r="AW283" s="225"/>
      <c r="AX283" s="220"/>
      <c r="AY283" s="219" t="str">
        <f>IF(SnapshotTable[[#This Row],[Implied Move]]&gt;0, SnapshotTable[[#This Row],[Last Price]]-SnapshotTable[[#This Row],[Implied Move]],"")</f>
        <v/>
      </c>
      <c r="AZ283" s="219" t="str">
        <f>IF(SnapshotTable[[#This Row],[Implied Move]]&gt;0, SnapshotTable[[#This Row],[Last Price]] + SnapshotTable[[#This Row],[Implied Move]],"")</f>
        <v/>
      </c>
      <c r="BA283" s="331">
        <v>275.85000000000002</v>
      </c>
      <c r="BB283" s="347"/>
      <c r="BC2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3" s="351"/>
      <c r="BE283" s="5"/>
      <c r="BF283" s="14"/>
      <c r="BG283" s="13"/>
      <c r="BH283" s="13"/>
      <c r="BI283" s="5"/>
      <c r="BJ283" s="136">
        <f>IF(SnapshotTable[[#This Row],[LP Qty]] &gt; 0, SnapshotTable[[#This Row],[LP Qty]] * SnapshotTable[[#This Row],[LP Book Price]] * 100,0)</f>
        <v>0</v>
      </c>
      <c r="BK283" s="136">
        <f>IF(SnapshotTable[[#This Row],[LP Premium]] &gt; 0, SnapshotTable[[#This Row],[LP Qty]] * SnapshotTable[[#This Row],[LP Strike Price]] * 100,0)</f>
        <v>0</v>
      </c>
      <c r="BL283" s="154"/>
      <c r="BM283" s="385" t="str">
        <f>IF(SnapshotTable[[#This Row],[LP Premium]] &gt; 0,SnapshotTable[[#This Row],[LP Exp Date]]-MAX(SnapshotTable[[#This Row],[LP Book Date]], SnapshotTable[[#This Row],[LP Fill Date]]),"")</f>
        <v/>
      </c>
      <c r="BN283" s="385" t="str">
        <f>IF(ISNUMBER( SnapshotTable[[#This Row],[LP Term]]), SnapshotTable[[#This Row],[LP Exp Date]] - MockToday,"")</f>
        <v/>
      </c>
      <c r="BO283" s="163"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7"/>
      <c r="BU283" s="13"/>
      <c r="BV283" s="5"/>
      <c r="BW283" s="419" t="b">
        <f>AND(ISNUMBER(SnapshotTable[[#This Row],[SP Exp Date]]), ISNUMBER(SnapshotTable[[#This Row],[SP Strike Price]]), ISNUMBER(SnapshotTable[[#This Row],[SP Qty]]), ISNUMBER(SnapshotTable[[#This Row],[SP Book Date]]), ISNUMBER(SnapshotTable[[#This Row],[SP Book Price]]))</f>
        <v>0</v>
      </c>
      <c r="BX283" s="419" t="b">
        <f>AND(SnapshotTable[[#This Row],[SP Is Booked]], NOT(ISBLANK(SnapshotTable[[#This Row],[SP Fill Date]])))</f>
        <v>0</v>
      </c>
      <c r="BY283" s="33">
        <f>IF(SnapshotTable[[#This Row],[SP Is Booked]], SnapshotTable[[#This Row],[SP Qty]] * SnapshotTable[[#This Row],[SP Book Price]] * 100, 0)</f>
        <v>0</v>
      </c>
      <c r="BZ283" s="369"/>
      <c r="CA283" s="368">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3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44">
        <v>0.9</v>
      </c>
      <c r="CK283" s="31">
        <f>IF(ISNUMBER(SnapshotTable[[#This Row],[SP Potential Spend]]),IF(ISNUMBER(SnapshotTable[[#This Row],[SP POW]]), SnapshotTable[[#This Row],[SP POW]] * SnapshotTable[[#This Row],[SP Potential Spend]], SnapshotTable[[#This Row],[SP Potential Spend]]), "")</f>
        <v>0</v>
      </c>
      <c r="CL283" s="164">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218"/>
      <c r="CO283" s="369"/>
      <c r="CP283" s="4" t="str">
        <f>IF(SnapshotTable[[#This Row],[SP Is Filled]], btc_max_buyback_amount(SnapshotTable[[#This Row],[SP Fill Date]],SnapshotTable[[#This Row],[SP Exp Date]], SnapshotTable[[#This Row],[SP Book Price]]),"")</f>
        <v/>
      </c>
      <c r="CQ283" s="78"/>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5" t="str">
        <f>IF(SnapshotTable[[#This Row],[SP Is Filled]], btc_next_cutoff_date(SnapshotTable[[#This Row],[SP Fill Date]],SnapshotTable[[#This Row],[SP Exp Date]]),"")</f>
        <v/>
      </c>
      <c r="CT283" s="23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3"/>
      <c r="CV283" s="235"/>
      <c r="CW283" s="378"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294" t="str">
        <f>IF(ISNUMBER((SnapshotTable[[#This Row],[SP Total Value]])), SnapshotTable[[#This Row],[SP Gain Loss]] / SnapshotTable[[#This Row],[SP Premium]], "")</f>
        <v/>
      </c>
      <c r="DI283" s="406"/>
      <c r="DJ283" s="138"/>
      <c r="DK283" s="148"/>
      <c r="DL283" s="13"/>
      <c r="DM283" s="13"/>
      <c r="DN283" s="5"/>
      <c r="DO283" s="31">
        <f>IF(SnapshotTable[[#This Row],[LC Symbol Count]]=1, SnapshotTable[[#This Row],[LC Qty]] * SnapshotTable[[#This Row],[LC Book Price]] * 100, 0)</f>
        <v>0</v>
      </c>
      <c r="DP283" s="163" t="str">
        <f>IF(AND(SnapshotTable[[#This Row],[LC Exp Date]]&gt;0, SnapshotTable[[#This Row],[LC Strike Price]]&gt;0,SnapshotTable[[#This Row],[LC Qty]]&gt;0,SnapshotTable[[#This Row],[LC Book Date]]&gt;0,SnapshotTable[[#This Row],[LC Book Price]]&gt;0,SnapshotTable[[#This Row],[LC Fill Date]]=0),"Y","")</f>
        <v/>
      </c>
      <c r="DQ283" s="386" t="str">
        <f>IF(SnapshotTable[[#This Row],[LC Premium]] &gt; 0,SnapshotTable[[#This Row],[LC Exp Date]]-MAX(SnapshotTable[[#This Row],[LC Book Date]], SnapshotTable[[#This Row],[LC Fill Date]]),"")</f>
        <v/>
      </c>
      <c r="DR283" s="386" t="str">
        <f>IF(ISNUMBER(SnapshotTable[[#This Row],[LC Term]]), SnapshotTable[[#This Row],[LC Exp Date]] - MockToday, "")</f>
        <v/>
      </c>
      <c r="DS283" s="234" t="str">
        <f>IF(SnapshotTable[[#This Row],[LC Premium]]&gt;0,SnapshotTable[[#This Row],[LC Strike Price]] + SnapshotTable[[#This Row],[LC Book Price]],"")</f>
        <v/>
      </c>
      <c r="DT283" s="5"/>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40" t="str">
        <f>IF(ISNUMBER(SnapshotTable[[#This Row],[LC Actual Gain Loss]]), SnapshotTable[[#This Row],[LC Actual Gain Loss]] / SnapshotTable[[#This Row],[LC Premium]],"")</f>
        <v/>
      </c>
      <c r="DX283" s="284" t="str">
        <f>IF(ISNUMBER(SnapshotTable[[#This Row],[LC Book Price]]),SnapshotTable[[#This Row],[LC Book Price]] * 1.5,"")</f>
        <v/>
      </c>
      <c r="DY283" s="265" t="str">
        <f>IF(SnapshotTable[[#This Row],[LC Premium]]&gt;0, SnapshotTable[[#This Row],[LC Next Target]] * SnapshotTable[[#This Row],[LC Qty]] * 100,"")</f>
        <v/>
      </c>
      <c r="DZ283" s="265" t="str">
        <f>IF(ISNUMBER(SnapshotTable[[#This Row],[LC Target Gross]]), SnapshotTable[[#This Row],[LC Target Gross]] - SnapshotTable[[#This Row],[LC Premium]], "")</f>
        <v/>
      </c>
      <c r="EA283" s="305" t="str">
        <f>IF(ISNUMBER(SnapshotTable[[#This Row],[LC Target Gain Loss]]), SnapshotTable[[#This Row],[LC Target Gain Loss]]/SnapshotTable[[#This Row],[LC Premium]], "")</f>
        <v/>
      </c>
      <c r="EB283" s="262"/>
      <c r="EC283" s="283" t="str">
        <f>IF(SnapshotTable[[#This Row],[LC Premium]]&gt;0, SnapshotTable[[#This Row],[LC Book Price]] * (1 - LC_StopLoss_Pct),"")</f>
        <v/>
      </c>
      <c r="ED283" s="284"/>
      <c r="EE283" s="28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4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0</v>
      </c>
      <c r="EK283" s="147"/>
      <c r="EL283" s="138"/>
      <c r="EM283" s="148"/>
      <c r="EN283" s="147"/>
      <c r="EO283" s="147"/>
      <c r="EP283" s="138"/>
      <c r="EQ283" s="419" t="b">
        <f>AND(ISNUMBER(SnapshotTable[[#This Row],[SC Exp Date]]), ISNUMBER(SnapshotTable[[#This Row],[SC Strike Price]]), ISNUMBER(SnapshotTable[[#This Row],[SC Qty]]), ISNUMBER(SnapshotTable[[#This Row],[SC Book Date]]), ISNUMBER(SnapshotTable[[#This Row],[SC Book Price]]))</f>
        <v>0</v>
      </c>
      <c r="ER283" s="419" t="b">
        <f>AND(SnapshotTable[[#This Row],[SC Is Booked]], NOT(ISBLANK(SnapshotTable[[#This Row],[SC Fill Date]])))</f>
        <v>0</v>
      </c>
      <c r="ES283" s="370"/>
      <c r="ET283" s="34" t="str">
        <f>IF(AND(ISNUMBER(SnapshotTable[[#This Row],[SC Exp Date]]), ISNUMBER(SnapshotTable[[#This Row],[SC Book Date]])), SnapshotTable[[#This Row],[SC Exp Date]] - MAX(SnapshotTable[[#This Row],[SC Book Date]], SnapshotTable[[#This Row],[SC Fill Date]]) + 1, "")</f>
        <v/>
      </c>
      <c r="EU283" s="34" t="str">
        <f>IF(ISNUMBER(SnapshotTable[[#This Row],[SC Term]]), SnapshotTable[[#This Row],[SC Exp Date]]- MockToday, "")</f>
        <v/>
      </c>
      <c r="EV283" s="31">
        <f>IF(SnapshotTable[[#This Row],[SC Is Booked]], SnapshotTable[[#This Row],[SC Qty]] * SnapshotTable[[#This Row],[SC Book Price]] * 100, 0)</f>
        <v>0</v>
      </c>
      <c r="EW283" s="4" t="str">
        <f>IF(AND(ISNUMBER(SnapshotTable[[#This Row],[Last Price]]), ISNUMBER( SnapshotTable[[#This Row],[SC Book Price]])), SnapshotTable[[#This Row],[Last Price]] - SnapshotTable[[#This Row],[SC Book Price]],"")</f>
        <v/>
      </c>
      <c r="EX283" s="234" t="str">
        <f>IF(SnapshotTable[[#This Row],[SC Is Booked]],IF(SnapshotTable[[#This Row],[SC Intrinsic Value]] &gt; 0, SnapshotTable[[#This Row],[SC Strike Price]], SnapshotTable[[#This Row],[Last Price]]), "")</f>
        <v/>
      </c>
      <c r="EY283" s="4">
        <f>IF(SnapshotTable[[#This Row],[SC Is Booked]], (MinimumPremiumRequired * SnapshotTable[[#This Row],[SC Basis]] * SnapshotTable[[#This Row],[SC Term]]), 0)</f>
        <v>0</v>
      </c>
      <c r="EZ283" s="283"/>
      <c r="FA283" s="218"/>
      <c r="FB283" s="370"/>
      <c r="FC283" s="4">
        <f>IF(SnapshotTable[[#This Row],[SC Is Filled]], btc_max_buyback_amount(SnapshotTable[[#This Row],[SC Fill Date]],SnapshotTable[[#This Row],[SC Exp Date]], SnapshotTable[[#This Row],[SC Book Price]]),0)</f>
        <v>0</v>
      </c>
      <c r="FD283" s="5"/>
      <c r="FE283" s="144"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382">
        <f>IF(SnapshotTable[[#This Row],[SC Is Filled]], IF(ISNUMBER(SnapshotTable[[#This Row],[SC Current Ask]]), SnapshotTable[[#This Row],[SC Current Ask]], SnapshotTable[[#This Row],[SC Book Price]]) - SnapshotTable[[#This Row],[SC Intrinsic Value]], 0)</f>
        <v>0</v>
      </c>
      <c r="FI283" s="143"/>
      <c r="FJ283" s="32" t="str">
        <f>IF(SnapshotTable[[#This Row],[SC Is Filled]],100 * SnapshotTable[[#This Row],[SC Qty]] * IF(ISNUMBER(SnapshotTable[[#This Row],[SC Buyback Override]]), SnapshotTable[[#This Row],[SC Buyback Override]], SnapshotTable[[#This Row],[SC Current Ask]]), "")</f>
        <v/>
      </c>
      <c r="FK283" s="250" t="str">
        <f>IF(SnapshotTable[[#This Row],[SC Time Val]]&gt;0, SnapshotTable[[#This Row],[SC Time Val]] / SnapshotTable[[#This Row],[Last Price]],"")</f>
        <v/>
      </c>
      <c r="FL283" s="302" t="str">
        <f>IF(SnapshotTable[[#This Row],[SC Is Booked]], ((SnapshotTable[[#This Row],[Last Price]] -SnapshotTable[[#This Row],[SC Strike Price]]) / SnapshotTable[[#This Row],[Last Price]]) * -1, "")</f>
        <v/>
      </c>
      <c r="FM283" s="157" t="str">
        <f>IF(SnapshotTable[[#This Row],[SC Is Booked]],  (SnapshotTable[[#This Row],[SC Qty]] * 100 * SnapshotTable[[#This Row],[SC Strike Price]]) - SnapshotTable[[#This Row],[SC Current Ask]], "")</f>
        <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t="str">
        <f>IF(AND(ISNUMBER(SnapshotTable[[#This Row],[SC Exercise Gross]]), ISNUMBER(SnapshotTable[[#This Row],[Equity Basis Per Share]] )), SnapshotTable[[#This Row],[SC Exercise Gross]] - SnapshotTable[[#This Row],[Equity Basis Total]] +  SnapshotTable[[#This Row],[SC Premium]], "")</f>
        <v/>
      </c>
      <c r="FP283" s="5" t="str">
        <f>IF(ISNUMBER(SnapshotTable[[#This Row],[SC Exercise Gross]]), (SnapshotTable[[#This Row],[SC Exercise Gross]]) / (SnapshotTable[[#This Row],[SC Qty]] * 100), "")</f>
        <v/>
      </c>
      <c r="FQ283" s="27" t="str">
        <f>IF(SnapshotTable[[#This Row],[SC Is Booked]],SnapshotTable[[#This Row],[SC Time Val]] /SnapshotTable[[#This Row],[SC Basis]], "")</f>
        <v/>
      </c>
      <c r="FR283" s="27" t="str" cm="1">
        <f t="array" ref="FR283">IF(AND(ISNUMBER(SnapshotTable[[#This Row],[SC Term]]),ISNUMBER(SnapshotTable[[#This Row],[SC Simple ROO]])), EllmanAnnualize(SnapshotTable[[#This Row],[SC DTE]], SnapshotTable[[#This Row],[SC Simple ROO]] ),"")</f>
        <v/>
      </c>
      <c r="FS283" s="4">
        <f>IF(SnapshotTable[[#This Row],[SC Strike Price]] &gt; SnapshotTable[[#This Row],[Last Price]], SnapshotTable[[#This Row],[SC Strike Price]] - SnapshotTable[[#This Row],[Last Price]],0)</f>
        <v>0</v>
      </c>
      <c r="FT283" s="27" t="str">
        <f>IF(AND(ISNUMBER(SnapshotTable[[#This Row],[SC Upside Potential]]), SnapshotTable[[#This Row],[SC Upside Potential]] &gt; 0),(SnapshotTable[[#This Row],[SC Upside Potential]]/ SnapshotTable[[#This Row],[ACB]]),"")</f>
        <v/>
      </c>
      <c r="FU283" s="333"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36" t="str">
        <f>IF(AND(ISNUMBER(SnapshotTable[[#This Row],[SC Simple ROO]]),SnapshotTable[[#This Row],[SC Simple ROO]] &gt; 0), SnapshotTable[[#This Row],[SC Premium]] + (SnapshotTable[[#This Row],[SC Qty]] * SnapshotTable[[#This Row],[SC Upside Potential]]), "")</f>
        <v/>
      </c>
      <c r="FX283" s="302" t="str" cm="1">
        <f t="array" ref="FX283">IF(ISNUMBER(SnapshotTable[[#This Row],[SC Max Dollars]]), annualize(SnapshotTable[[#This Row],[SC Term]],(SnapshotTable[[#This Row],[SC Max Dollars]]/SnapshotTable[[#This Row],[SC Basis]])),"")</f>
        <v/>
      </c>
      <c r="FY283" s="23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294" t="str">
        <f>IFERROR( IF(ISNUMBER((SnapshotTable[[#This Row],[SC Current Value]])), SnapshotTable[[#This Row],[SC Gain Loss]] / SnapshotTable[[#This Row],[SC Premium]], ""), "")</f>
        <v/>
      </c>
      <c r="GB283" s="42">
        <f>SnapshotTable[[#This Row],[Equity Shares]] * SaleSharesToConsiderPercentage</f>
        <v>0</v>
      </c>
      <c r="GC283" s="40">
        <f>SnapshotTable[[#This Row],[Long Term Target]] * SellingPriceToConsiderBasedOnTargetPercentage</f>
        <v>274.86349999999999</v>
      </c>
      <c r="GD283" s="40">
        <f>SnapshotTable[[#This Row],[Last Price]] * (1+ SellingPriceToConsiderBasedOnTargetPercentage)</f>
        <v>511.97250000000003</v>
      </c>
      <c r="GE283" s="41"/>
      <c r="GF283" s="40"/>
      <c r="GG283" s="31">
        <f>SnapshotTable[[#This Row],[Booked Sale Shares]] * SnapshotTable[[#This Row],[Booked Sale Price]]</f>
        <v>0</v>
      </c>
      <c r="GH283" s="31" t="str">
        <f>IF(SnapshotTable[[#This Row],[Equity Basis Total]] &gt; 0, SnapshotTable[[#This Row],[Equity Basis Per Share]] * SnapshotTable[[#This Row],[Booked Sale Shares]], "")</f>
        <v/>
      </c>
      <c r="GI283" s="31">
        <f>IF(SnapshotTable[[#This Row],[Sale Proceeds]]&gt;0, SnapshotTable[[#This Row],[Sale Proceeds]] - SnapshotTable[[#This Row],[Sale Basis]], 0)</f>
        <v>0</v>
      </c>
      <c r="GJ283" s="27" t="str">
        <f>IF(SnapshotTable[[#This Row],[Sale G/L]]&gt;0, SnapshotTable[[#This Row],[Sale G/L]] / SnapshotTable[[#This Row],[Sale Basis]], IF(ISNUMBER(SnapshotTable[[#This Row],[SC Exercise P&amp;L (TAX)]]), SnapshotTable[[#This Row],[SC Exercise P&amp;L (TAX)]] / SnapshotTable[[#This Row],[SC Basis]], ""))</f>
        <v/>
      </c>
      <c r="GK283" s="27" t="s">
        <v>1120</v>
      </c>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
      </c>
      <c r="GS283" s="30" t="str">
        <f>IF(LEN(SnapshotTable[[#This Row],[SC Symbol]])&gt;0, 1, "")</f>
        <v/>
      </c>
      <c r="GT283" s="29" t="str">
        <f>IF(COUNT(SnapshotTable[[#This Row],[LP Symbol Count]],SnapshotTable[[#This Row],[SP Symbol Count]],SnapshotTable[[#This Row],[LC Symbol Count]],SnapshotTable[[#This Row],[SC Symbol Count]])&gt;0, "Y", "")</f>
        <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3" s="231">
        <f>MAX(SnapshotTable[[#This Row],[Equity Basis Total]],SnapshotTable[[#This Row],[Equity Value]]) + (SnapshotTable[[#This Row],[SP Potential Spend]]- SnapshotTable[[#This Row],[SP Premium]] + SnapshotTable[[#This Row],[LP Premium]])+ (SnapshotTable[[#This Row],[LC Premium]] - SnapshotTable[[#This Row],[SC Premium]])</f>
        <v>0</v>
      </c>
      <c r="GW283" s="139" t="str">
        <f>IF(AND(SnapshotTable[[#This Row],[Exposure]] &lt;&gt; 0),SnapshotTable[[#This Row],[Exposure]] / SnapshotTable[[#Totals],[Exposure]], "")</f>
        <v/>
      </c>
      <c r="GY283" s="381"/>
      <c r="HE283" s="381"/>
      <c r="HF283" s="381"/>
      <c r="HG283" s="381"/>
      <c r="HH283" s="381"/>
      <c r="HI283" s="381"/>
      <c r="HJ283" s="381"/>
    </row>
    <row r="284" spans="2:224" s="47" customFormat="1" ht="12.75" hidden="1" customHeight="1" x14ac:dyDescent="0.25">
      <c r="B284" s="12" t="s">
        <v>1151</v>
      </c>
      <c r="C284" s="422">
        <v>14.62</v>
      </c>
      <c r="D284" s="208"/>
      <c r="E284" s="39">
        <f>SnapshotTable[[#This Row],[Last Price]]*(1 -CrashDiscount)</f>
        <v>12.427</v>
      </c>
      <c r="F284" s="26" t="s">
        <v>970</v>
      </c>
      <c r="G284" s="26" t="s">
        <v>872</v>
      </c>
      <c r="H284" s="149"/>
      <c r="I284" s="194"/>
      <c r="J284" s="195"/>
      <c r="K284" s="196"/>
      <c r="L284" s="326"/>
      <c r="M284" s="140"/>
      <c r="N284" s="140"/>
      <c r="O284" s="140"/>
      <c r="P284" s="22"/>
      <c r="Q284" s="25"/>
      <c r="R284" s="4" t="str">
        <f>IF(SnapshotTable[[#This Row],[Equity Basis Total]] &gt; 0, SnapshotTable[[#This Row],[Equity Basis Total]] / SnapshotTable[[#This Row],[Equity Shares]], "")</f>
        <v/>
      </c>
      <c r="S284" s="269">
        <f>SnapshotTable[[#This Row],[Last Price]] * SnapshotTable[[#This Row],[Equity Shares]]</f>
        <v>0</v>
      </c>
      <c r="T284" s="269">
        <f>SnapshotTable[[#This Row],[Equity Value]] - SnapshotTable[[#This Row],[Equity Basis Total]]</f>
        <v>0</v>
      </c>
      <c r="U284" s="270" t="str">
        <f>IF(SnapshotTable[[#This Row],[Equity Basis Total]] &gt; 0, SnapshotTable[[#This Row],[Equity G/L]] / SnapshotTable[[#This Row],[Equity Basis Total]], "")</f>
        <v/>
      </c>
      <c r="V284" s="268">
        <v>14.4</v>
      </c>
      <c r="W284" s="268">
        <v>11.85</v>
      </c>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7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0"/>
      <c r="AD284" s="151"/>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1"/>
      <c r="AI284" s="5"/>
      <c r="AJ284" s="138"/>
      <c r="AK284" s="152" t="str">
        <f>IF(ISNUMBER( SnapshotTable[[#This Row],[EBF Target]]),(SnapshotTable[[#This Row],[EBF Target]] - SnapshotTable[[#This Row],[Last Price]]) / SnapshotTable[[#This Row],[Last Price]], "")</f>
        <v/>
      </c>
      <c r="AL284" s="152"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2" t="str">
        <f>IF(AND(ISNUMBER( SnapshotTable[[#This Row],[Long Term Target]]), ISNUMBER(SnapshotTable[[#This Row],[Last Price]])),(SnapshotTable[[#This Row],[Long Term Target]] - SnapshotTable[[#This Row],[Last Price]]) / SnapshotTable[[#This Row],[Last Price]], "")</f>
        <v/>
      </c>
      <c r="AP284" s="5">
        <v>14</v>
      </c>
      <c r="AQ284" s="38" t="s">
        <v>27</v>
      </c>
      <c r="AR284" s="5">
        <v>14</v>
      </c>
      <c r="AS284" s="38" t="s">
        <v>26</v>
      </c>
      <c r="AT284" s="146" t="s">
        <v>542</v>
      </c>
      <c r="AU284" s="187" t="str">
        <f>IF(OR(SnapshotTable[[#This Row],[LP No Fill]]="Y",SnapshotTable[[#This Row],[SP Is Filled]],SnapshotTable[[#This Row],[LC Not Filled]]="Y",SnapshotTable[[#This Row],[SC Is Filled]]),"Y","")</f>
        <v/>
      </c>
      <c r="AV284" s="219"/>
      <c r="AW284" s="225"/>
      <c r="AX284" s="220"/>
      <c r="AY284" s="219" t="str">
        <f>IF(SnapshotTable[[#This Row],[Implied Move]]&gt;0, SnapshotTable[[#This Row],[Last Price]]-SnapshotTable[[#This Row],[Implied Move]],"")</f>
        <v/>
      </c>
      <c r="AZ284" s="219" t="str">
        <f>IF(SnapshotTable[[#This Row],[Implied Move]]&gt;0, SnapshotTable[[#This Row],[Last Price]] + SnapshotTable[[#This Row],[Implied Move]],"")</f>
        <v/>
      </c>
      <c r="BA284" s="331">
        <v>11.11</v>
      </c>
      <c r="BB284" s="347"/>
      <c r="BC2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4" s="351"/>
      <c r="BE284" s="5"/>
      <c r="BF284" s="14"/>
      <c r="BG284" s="13"/>
      <c r="BH284" s="13"/>
      <c r="BI284" s="5"/>
      <c r="BJ284" s="136">
        <f>IF(SnapshotTable[[#This Row],[LP Qty]] &gt; 0, SnapshotTable[[#This Row],[LP Qty]] * SnapshotTable[[#This Row],[LP Book Price]] * 100,0)</f>
        <v>0</v>
      </c>
      <c r="BK284" s="136">
        <f>IF(SnapshotTable[[#This Row],[LP Premium]] &gt; 0, SnapshotTable[[#This Row],[LP Qty]] * SnapshotTable[[#This Row],[LP Strike Price]] * 100,0)</f>
        <v>0</v>
      </c>
      <c r="BL284" s="154"/>
      <c r="BM284" s="385" t="str">
        <f>IF(SnapshotTable[[#This Row],[LP Premium]] &gt; 0,SnapshotTable[[#This Row],[LP Exp Date]]-MAX(SnapshotTable[[#This Row],[LP Book Date]], SnapshotTable[[#This Row],[LP Fill Date]]),"")</f>
        <v/>
      </c>
      <c r="BN284" s="385" t="str">
        <f>IF(ISNUMBER( SnapshotTable[[#This Row],[LP Term]]), SnapshotTable[[#This Row],[LP Exp Date]] - MockToday,"")</f>
        <v/>
      </c>
      <c r="BO284" s="163"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7"/>
      <c r="BU284" s="13"/>
      <c r="BV284" s="5"/>
      <c r="BW284" s="419" t="b">
        <f>AND(ISNUMBER(SnapshotTable[[#This Row],[SP Exp Date]]), ISNUMBER(SnapshotTable[[#This Row],[SP Strike Price]]), ISNUMBER(SnapshotTable[[#This Row],[SP Qty]]), ISNUMBER(SnapshotTable[[#This Row],[SP Book Date]]), ISNUMBER(SnapshotTable[[#This Row],[SP Book Price]]))</f>
        <v>0</v>
      </c>
      <c r="BX284" s="419" t="b">
        <f>AND(SnapshotTable[[#This Row],[SP Is Booked]], NOT(ISBLANK(SnapshotTable[[#This Row],[SP Fill Date]])))</f>
        <v>0</v>
      </c>
      <c r="BY284" s="33">
        <f>IF(SnapshotTable[[#This Row],[SP Is Booked]], SnapshotTable[[#This Row],[SP Qty]] * SnapshotTable[[#This Row],[SP Book Price]] * 100, 0)</f>
        <v>0</v>
      </c>
      <c r="BZ284" s="369"/>
      <c r="CA284" s="368">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3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44">
        <v>0.01</v>
      </c>
      <c r="CK284" s="31">
        <f>IF(ISNUMBER(SnapshotTable[[#This Row],[SP Potential Spend]]),IF(ISNUMBER(SnapshotTable[[#This Row],[SP POW]]), SnapshotTable[[#This Row],[SP POW]] * SnapshotTable[[#This Row],[SP Potential Spend]], SnapshotTable[[#This Row],[SP Potential Spend]]), "")</f>
        <v>0</v>
      </c>
      <c r="CL284" s="164">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8"/>
      <c r="CO284" s="369"/>
      <c r="CP284" s="4" t="str">
        <f>IF(SnapshotTable[[#This Row],[SP Is Filled]], btc_max_buyback_amount(SnapshotTable[[#This Row],[SP Fill Date]],SnapshotTable[[#This Row],[SP Exp Date]], SnapshotTable[[#This Row],[SP Book Price]]),"")</f>
        <v/>
      </c>
      <c r="CQ284" s="78"/>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5" t="str">
        <f>IF(SnapshotTable[[#This Row],[SP Is Filled]], btc_next_cutoff_date(SnapshotTable[[#This Row],[SP Fill Date]],SnapshotTable[[#This Row],[SP Exp Date]]),"")</f>
        <v/>
      </c>
      <c r="CT284" s="23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3"/>
      <c r="CV284" s="235"/>
      <c r="CW284" s="378"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294" t="str">
        <f>IF(ISNUMBER((SnapshotTable[[#This Row],[SP Total Value]])), SnapshotTable[[#This Row],[SP Gain Loss]] / SnapshotTable[[#This Row],[SP Premium]], "")</f>
        <v/>
      </c>
      <c r="DI284" s="406"/>
      <c r="DJ284" s="138"/>
      <c r="DK284" s="148"/>
      <c r="DL284" s="13"/>
      <c r="DM284" s="13"/>
      <c r="DN284" s="5"/>
      <c r="DO284" s="31">
        <f>IF(SnapshotTable[[#This Row],[LC Symbol Count]]=1, SnapshotTable[[#This Row],[LC Qty]] * SnapshotTable[[#This Row],[LC Book Price]] * 100, 0)</f>
        <v>0</v>
      </c>
      <c r="DP284" s="163" t="str">
        <f>IF(AND(SnapshotTable[[#This Row],[LC Exp Date]]&gt;0, SnapshotTable[[#This Row],[LC Strike Price]]&gt;0,SnapshotTable[[#This Row],[LC Qty]]&gt;0,SnapshotTable[[#This Row],[LC Book Date]]&gt;0,SnapshotTable[[#This Row],[LC Book Price]]&gt;0,SnapshotTable[[#This Row],[LC Fill Date]]=0),"Y","")</f>
        <v/>
      </c>
      <c r="DQ284" s="386" t="str">
        <f>IF(SnapshotTable[[#This Row],[LC Premium]] &gt; 0,SnapshotTable[[#This Row],[LC Exp Date]]-MAX(SnapshotTable[[#This Row],[LC Book Date]], SnapshotTable[[#This Row],[LC Fill Date]]),"")</f>
        <v/>
      </c>
      <c r="DR284" s="386" t="str">
        <f>IF(ISNUMBER(SnapshotTable[[#This Row],[LC Term]]), SnapshotTable[[#This Row],[LC Exp Date]] - MockToday, "")</f>
        <v/>
      </c>
      <c r="DS284" s="234" t="str">
        <f>IF(SnapshotTable[[#This Row],[LC Premium]]&gt;0,SnapshotTable[[#This Row],[LC Strike Price]] + SnapshotTable[[#This Row],[LC Book Price]],"")</f>
        <v/>
      </c>
      <c r="DT284" s="5"/>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40" t="str">
        <f>IF(ISNUMBER(SnapshotTable[[#This Row],[LC Actual Gain Loss]]), SnapshotTable[[#This Row],[LC Actual Gain Loss]] / SnapshotTable[[#This Row],[LC Premium]],"")</f>
        <v/>
      </c>
      <c r="DX284" s="284" t="str">
        <f>IF(ISNUMBER(SnapshotTable[[#This Row],[LC Book Price]]),SnapshotTable[[#This Row],[LC Book Price]] * 1.5,"")</f>
        <v/>
      </c>
      <c r="DY284" s="265" t="str">
        <f>IF(SnapshotTable[[#This Row],[LC Premium]]&gt;0, SnapshotTable[[#This Row],[LC Next Target]] * SnapshotTable[[#This Row],[LC Qty]] * 100,"")</f>
        <v/>
      </c>
      <c r="DZ284" s="265" t="str">
        <f>IF(ISNUMBER(SnapshotTable[[#This Row],[LC Target Gross]]), SnapshotTable[[#This Row],[LC Target Gross]] - SnapshotTable[[#This Row],[LC Premium]], "")</f>
        <v/>
      </c>
      <c r="EA284" s="305" t="str">
        <f>IF(ISNUMBER(SnapshotTable[[#This Row],[LC Target Gain Loss]]), SnapshotTable[[#This Row],[LC Target Gain Loss]]/SnapshotTable[[#This Row],[LC Premium]], "")</f>
        <v/>
      </c>
      <c r="EB284" s="262"/>
      <c r="EC284" s="283" t="str">
        <f>IF(SnapshotTable[[#This Row],[LC Premium]]&gt;0, SnapshotTable[[#This Row],[LC Book Price]] * (1 - LC_StopLoss_Pct),"")</f>
        <v/>
      </c>
      <c r="ED284" s="284"/>
      <c r="EE284" s="28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4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0</v>
      </c>
      <c r="EK284" s="147"/>
      <c r="EL284" s="138"/>
      <c r="EM284" s="148"/>
      <c r="EN284" s="147"/>
      <c r="EO284" s="147"/>
      <c r="EP284" s="138"/>
      <c r="EQ284" s="419" t="b">
        <f>AND(ISNUMBER(SnapshotTable[[#This Row],[SC Exp Date]]), ISNUMBER(SnapshotTable[[#This Row],[SC Strike Price]]), ISNUMBER(SnapshotTable[[#This Row],[SC Qty]]), ISNUMBER(SnapshotTable[[#This Row],[SC Book Date]]), ISNUMBER(SnapshotTable[[#This Row],[SC Book Price]]))</f>
        <v>0</v>
      </c>
      <c r="ER284" s="419" t="b">
        <f>AND(SnapshotTable[[#This Row],[SC Is Booked]], NOT(ISBLANK(SnapshotTable[[#This Row],[SC Fill Date]])))</f>
        <v>0</v>
      </c>
      <c r="ES284" s="370">
        <v>0.59</v>
      </c>
      <c r="ET284" s="34" t="str">
        <f>IF(AND(ISNUMBER(SnapshotTable[[#This Row],[SC Exp Date]]), ISNUMBER(SnapshotTable[[#This Row],[SC Book Date]])), SnapshotTable[[#This Row],[SC Exp Date]] - MAX(SnapshotTable[[#This Row],[SC Book Date]], SnapshotTable[[#This Row],[SC Fill Date]]) + 1, "")</f>
        <v/>
      </c>
      <c r="EU284" s="34" t="str">
        <f>IF(ISNUMBER(SnapshotTable[[#This Row],[SC Term]]), SnapshotTable[[#This Row],[SC Exp Date]]- MockToday, "")</f>
        <v/>
      </c>
      <c r="EV284" s="31">
        <f>IF(SnapshotTable[[#This Row],[SC Is Booked]], SnapshotTable[[#This Row],[SC Qty]] * SnapshotTable[[#This Row],[SC Book Price]] * 100, 0)</f>
        <v>0</v>
      </c>
      <c r="EW284" s="4" t="str">
        <f>IF(AND(ISNUMBER(SnapshotTable[[#This Row],[Last Price]]), ISNUMBER( SnapshotTable[[#This Row],[SC Book Price]])), SnapshotTable[[#This Row],[Last Price]] - SnapshotTable[[#This Row],[SC Book Price]],"")</f>
        <v/>
      </c>
      <c r="EX284" s="234" t="str">
        <f>IF(SnapshotTable[[#This Row],[SC Is Booked]],IF(SnapshotTable[[#This Row],[SC Intrinsic Value]] &gt; 0, SnapshotTable[[#This Row],[SC Strike Price]], SnapshotTable[[#This Row],[Last Price]]), "")</f>
        <v/>
      </c>
      <c r="EY284" s="4">
        <f>IF(SnapshotTable[[#This Row],[SC Is Booked]], (MinimumPremiumRequired * SnapshotTable[[#This Row],[SC Basis]] * SnapshotTable[[#This Row],[SC Term]]), 0)</f>
        <v>0</v>
      </c>
      <c r="EZ284" s="283"/>
      <c r="FA284" s="218"/>
      <c r="FB284" s="370"/>
      <c r="FC284" s="4">
        <f>IF(SnapshotTable[[#This Row],[SC Is Filled]], btc_max_buyback_amount(SnapshotTable[[#This Row],[SC Fill Date]],SnapshotTable[[#This Row],[SC Exp Date]], SnapshotTable[[#This Row],[SC Book Price]]),0)</f>
        <v>0</v>
      </c>
      <c r="FD284" s="5"/>
      <c r="FE284" s="144" t="str">
        <f>IF(SnapshotTable[[#This Row],[SC Is Filled]], btc_next_cutoff_date(SnapshotTable[[#This Row],[SC Fill Date]],SnapshotTable[[#This Row],[SC Exp Date]]),"")</f>
        <v/>
      </c>
      <c r="FF284" s="4" t="str" cm="1">
        <f t="array" ref="FF284">IF(SnapshotTable[[#This Row],[SC Is Filled]], btc_should_buy_back(SnapshotTable[[#This Row],[SC Fill Date]], SnapshotTable[[#This Row],[SC Exp Date]], SnapshotTable[[#This Row],[SC Book Price]], SnapshotTable[[#This Row],[SC Current Ask]], MockToday, SnapshotTable[[#This Row],[SC Buyback Override]]),"")</f>
        <v/>
      </c>
      <c r="FG284" s="4">
        <f>IF(SnapshotTable[[#This Row],[SC Is Filled]], MAX(0,SnapshotTable[[#This Row],[Last Price]]  - SnapshotTable[[#This Row],[SC Strike Price]]), 0)</f>
        <v>0</v>
      </c>
      <c r="FH284" s="382">
        <f>IF(SnapshotTable[[#This Row],[SC Is Filled]], IF(ISNUMBER(SnapshotTable[[#This Row],[SC Current Ask]]), SnapshotTable[[#This Row],[SC Current Ask]], SnapshotTable[[#This Row],[SC Book Price]]) - SnapshotTable[[#This Row],[SC Intrinsic Value]], 0)</f>
        <v>0</v>
      </c>
      <c r="FI284" s="143"/>
      <c r="FJ284" s="32" t="str">
        <f>IF(SnapshotTable[[#This Row],[SC Is Filled]],100 * SnapshotTable[[#This Row],[SC Qty]] * IF(ISNUMBER(SnapshotTable[[#This Row],[SC Buyback Override]]), SnapshotTable[[#This Row],[SC Buyback Override]], SnapshotTable[[#This Row],[SC Current Ask]]), "")</f>
        <v/>
      </c>
      <c r="FK284" s="250" t="str">
        <f>IF(SnapshotTable[[#This Row],[SC Time Val]]&gt;0, SnapshotTable[[#This Row],[SC Time Val]] / SnapshotTable[[#This Row],[Last Price]],"")</f>
        <v/>
      </c>
      <c r="FL284" s="302" t="str">
        <f>IF(SnapshotTable[[#This Row],[SC Is Booked]], ((SnapshotTable[[#This Row],[Last Price]] -SnapshotTable[[#This Row],[SC Strike Price]]) / SnapshotTable[[#This Row],[Last Price]]) * -1, "")</f>
        <v/>
      </c>
      <c r="FM284" s="157" t="str">
        <f>IF(SnapshotTable[[#This Row],[SC Is Booked]],  (SnapshotTable[[#This Row],[SC Qty]] * 100 * SnapshotTable[[#This Row],[SC Strike Price]]) - SnapshotTable[[#This Row],[SC Current Ask]], "")</f>
        <v/>
      </c>
      <c r="FN2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t="str">
        <f>IF(AND(ISNUMBER(SnapshotTable[[#This Row],[SC Exercise Gross]]), ISNUMBER(SnapshotTable[[#This Row],[Equity Basis Per Share]] )), SnapshotTable[[#This Row],[SC Exercise Gross]] - SnapshotTable[[#This Row],[Equity Basis Total]] +  SnapshotTable[[#This Row],[SC Premium]], "")</f>
        <v/>
      </c>
      <c r="FP284" s="5" t="str">
        <f>IF(ISNUMBER(SnapshotTable[[#This Row],[SC Exercise Gross]]), (SnapshotTable[[#This Row],[SC Exercise Gross]]) / (SnapshotTable[[#This Row],[SC Qty]] * 100), "")</f>
        <v/>
      </c>
      <c r="FQ284" s="27" t="str">
        <f>IF(SnapshotTable[[#This Row],[SC Is Booked]],SnapshotTable[[#This Row],[SC Time Val]] /SnapshotTable[[#This Row],[SC Basis]], "")</f>
        <v/>
      </c>
      <c r="FR284" s="27" t="str" cm="1">
        <f t="array" ref="FR284">IF(AND(ISNUMBER(SnapshotTable[[#This Row],[SC Term]]),ISNUMBER(SnapshotTable[[#This Row],[SC Simple ROO]])), EllmanAnnualize(SnapshotTable[[#This Row],[SC DTE]], SnapshotTable[[#This Row],[SC Simple ROO]] ),"")</f>
        <v/>
      </c>
      <c r="FS284" s="4">
        <f>IF(SnapshotTable[[#This Row],[SC Strike Price]] &gt; SnapshotTable[[#This Row],[Last Price]], SnapshotTable[[#This Row],[SC Strike Price]] - SnapshotTable[[#This Row],[Last Price]],0)</f>
        <v>0</v>
      </c>
      <c r="FT284" s="27" t="str">
        <f>IF(AND(ISNUMBER(SnapshotTable[[#This Row],[SC Upside Potential]]), SnapshotTable[[#This Row],[SC Upside Potential]] &gt; 0),(SnapshotTable[[#This Row],[SC Upside Potential]]/ SnapshotTable[[#This Row],[ACB]]),"")</f>
        <v/>
      </c>
      <c r="FU284" s="333" t="str">
        <f>IF(SnapshotTable[[#This Row],[SC Intrinsic Value]] &gt; 0,SnapshotTable[[#This Row],[SC Intrinsic Value]],"")</f>
        <v/>
      </c>
      <c r="FV284" s="27" t="str">
        <f>IF(AND( ISNUMBER( SnapshotTable[[#This Row],[ACB]]),ISNUMBER(SnapshotTable[[#This Row],[SC Downside Protect]])),SnapshotTable[[#This Row],[SC Downside Protect]] / SnapshotTable[[#This Row],[ACB]],"")</f>
        <v/>
      </c>
      <c r="FW284" s="236" t="str">
        <f>IF(AND(ISNUMBER(SnapshotTable[[#This Row],[SC Simple ROO]]),SnapshotTable[[#This Row],[SC Simple ROO]] &gt; 0), SnapshotTable[[#This Row],[SC Premium]] + (SnapshotTable[[#This Row],[SC Qty]] * SnapshotTable[[#This Row],[SC Upside Potential]]), "")</f>
        <v/>
      </c>
      <c r="FX284" s="302" t="str" cm="1">
        <f t="array" ref="FX284">IF(ISNUMBER(SnapshotTable[[#This Row],[SC Max Dollars]]), annualize(SnapshotTable[[#This Row],[SC Term]],(SnapshotTable[[#This Row],[SC Max Dollars]]/SnapshotTable[[#This Row],[SC Basis]])),"")</f>
        <v/>
      </c>
      <c r="FY284" s="236" t="str">
        <f>IF(AND(SnapshotTable[[#This Row],[SC Qty]]&gt;0,SnapshotTable[[#This Row],[SC Current Ask]]&gt;0), SnapshotTable[[#This Row],[SC Qty]] * SnapshotTable[[#This Row],[SC Current Ask]] * -100, "")</f>
        <v/>
      </c>
      <c r="FZ284" s="31" t="str">
        <f>IF(ISNUMBER((SnapshotTable[[#This Row],[SC Current Value]])), SnapshotTable[[#This Row],[SC Premium]] + SnapshotTable[[#This Row],[SC Current Value]], "")</f>
        <v/>
      </c>
      <c r="GA284" s="294" t="str">
        <f>IFERROR( IF(ISNUMBER((SnapshotTable[[#This Row],[SC Current Value]])), SnapshotTable[[#This Row],[SC Gain Loss]] / SnapshotTable[[#This Row],[SC Premium]], ""), "")</f>
        <v/>
      </c>
      <c r="GB284" s="42">
        <f>SnapshotTable[[#This Row],[Equity Shares]] * SaleSharesToConsiderPercentage</f>
        <v>0</v>
      </c>
      <c r="GC284" s="40">
        <f>SnapshotTable[[#This Row],[Long Term Target]] * SellingPriceToConsiderBasedOnTargetPercentage</f>
        <v>0</v>
      </c>
      <c r="GD284" s="40">
        <f>SnapshotTable[[#This Row],[Last Price]] * (1+ SellingPriceToConsiderBasedOnTargetPercentage)</f>
        <v>28.508999999999997</v>
      </c>
      <c r="GE284" s="41"/>
      <c r="GF284" s="40"/>
      <c r="GG284" s="31">
        <f>SnapshotTable[[#This Row],[Booked Sale Shares]] * SnapshotTable[[#This Row],[Booked Sale Price]]</f>
        <v>0</v>
      </c>
      <c r="GH284" s="31" t="str">
        <f>IF(SnapshotTable[[#This Row],[Equity Basis Total]] &gt; 0, SnapshotTable[[#This Row],[Equity Basis Per Share]] * SnapshotTable[[#This Row],[Booked Sale Shares]], "")</f>
        <v/>
      </c>
      <c r="GI284" s="31">
        <f>IF(SnapshotTable[[#This Row],[Sale Proceeds]]&gt;0, SnapshotTable[[#This Row],[Sale Proceeds]] - SnapshotTable[[#This Row],[Sale Basis]], 0)</f>
        <v>0</v>
      </c>
      <c r="GJ284" s="27" t="str">
        <f>IF(SnapshotTable[[#This Row],[Sale G/L]]&gt;0, SnapshotTable[[#This Row],[Sale G/L]] / SnapshotTable[[#This Row],[Sale Basis]], IF(ISNUMBER(SnapshotTable[[#This Row],[SC Exercise P&amp;L (TAX)]]), SnapshotTable[[#This Row],[SC Exercise P&amp;L (TAX)]] / SnapshotTable[[#This Row],[SC Basis]], ""))</f>
        <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IF(AND(SnapshotTable[[#This Row],[SC Exp Date]]&gt;0,SnapshotTable[[#This Row],[SC Strike Price]]&gt;0), [1]!ToOptionSymbol(SnapshotTable[[#This Row],[Symbol]], SnapshotTable[[#This Row],[SC Strike Price]],SnapshotTable[[#This Row],[SC Exp Date]],0), "")</f>
        <v/>
      </c>
      <c r="GS284" s="30" t="str">
        <f>IF(LEN(SnapshotTable[[#This Row],[SC Symbol]])&gt;0, 1, "")</f>
        <v/>
      </c>
      <c r="GT284" s="29" t="str">
        <f>IF(COUNT(SnapshotTable[[#This Row],[LP Symbol Count]],SnapshotTable[[#This Row],[SP Symbol Count]],SnapshotTable[[#This Row],[LC Symbol Count]],SnapshotTable[[#This Row],[SC Symbol Count]])&gt;0, "Y", "")</f>
        <v/>
      </c>
      <c r="GU2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4" s="231">
        <f>MAX(SnapshotTable[[#This Row],[Equity Basis Total]],SnapshotTable[[#This Row],[Equity Value]]) + (SnapshotTable[[#This Row],[SP Potential Spend]]- SnapshotTable[[#This Row],[SP Premium]] + SnapshotTable[[#This Row],[LP Premium]])+ (SnapshotTable[[#This Row],[LC Premium]] - SnapshotTable[[#This Row],[SC Premium]])</f>
        <v>0</v>
      </c>
      <c r="GW284" s="139" t="str">
        <f>IF(AND(SnapshotTable[[#This Row],[Exposure]] &lt;&gt; 0),SnapshotTable[[#This Row],[Exposure]] / SnapshotTable[[#Totals],[Exposure]], "")</f>
        <v/>
      </c>
      <c r="GY284" s="381"/>
      <c r="HE284" s="381"/>
      <c r="HF284" s="381"/>
      <c r="HG284" s="381"/>
      <c r="HH284" s="381"/>
      <c r="HI284" s="381"/>
      <c r="HJ284" s="381"/>
    </row>
    <row r="285" spans="2:224" s="47" customFormat="1" ht="12.75" hidden="1" customHeight="1" x14ac:dyDescent="0.25">
      <c r="B285" s="12" t="s">
        <v>119</v>
      </c>
      <c r="C285" s="422">
        <v>89.25</v>
      </c>
      <c r="D285" s="208"/>
      <c r="E285" s="39">
        <f>SnapshotTable[[#This Row],[Last Price]]*(1 -CrashDiscount)</f>
        <v>75.862499999999997</v>
      </c>
      <c r="F285" s="26" t="s">
        <v>21</v>
      </c>
      <c r="G285" s="26" t="s">
        <v>20</v>
      </c>
      <c r="H285" s="149"/>
      <c r="I285" s="194">
        <v>44770.25</v>
      </c>
      <c r="J285" s="195">
        <v>44770.25</v>
      </c>
      <c r="K285" s="196"/>
      <c r="L285" s="326"/>
      <c r="M285" s="140"/>
      <c r="N285" s="140"/>
      <c r="O285" s="140"/>
      <c r="P285" s="22"/>
      <c r="Q285" s="25"/>
      <c r="R285" s="4" t="str">
        <f>IF(SnapshotTable[[#This Row],[Equity Basis Total]] &gt; 0, SnapshotTable[[#This Row],[Equity Basis Total]] / SnapshotTable[[#This Row],[Equity Shares]], "")</f>
        <v/>
      </c>
      <c r="S285" s="269">
        <f>SnapshotTable[[#This Row],[Last Price]] * SnapshotTable[[#This Row],[Equity Shares]]</f>
        <v>0</v>
      </c>
      <c r="T285" s="269">
        <f>SnapshotTable[[#This Row],[Equity Value]] - SnapshotTable[[#This Row],[Equity Basis Total]]</f>
        <v>0</v>
      </c>
      <c r="U285" s="270" t="str">
        <f>IF(SnapshotTable[[#This Row],[Equity Basis Total]] &gt; 0, SnapshotTable[[#This Row],[Equity G/L]] / SnapshotTable[[#This Row],[Equity Basis Total]], "")</f>
        <v/>
      </c>
      <c r="V285" s="268"/>
      <c r="W285" s="26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7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0">
        <v>0</v>
      </c>
      <c r="AD285" s="151">
        <v>42634</v>
      </c>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1">
        <v>42607</v>
      </c>
      <c r="AI285" s="5"/>
      <c r="AJ285" s="138">
        <v>141.5</v>
      </c>
      <c r="AK285" s="152" t="str">
        <f>IF(ISNUMBER( SnapshotTable[[#This Row],[EBF Target]]),(SnapshotTable[[#This Row],[EBF Target]] - SnapshotTable[[#This Row],[Last Price]]) / SnapshotTable[[#This Row],[Last Price]], "")</f>
        <v/>
      </c>
      <c r="AL285" s="152"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2">
        <f>IF(AND(ISNUMBER( SnapshotTable[[#This Row],[Long Term Target]]), ISNUMBER(SnapshotTable[[#This Row],[Last Price]])),(SnapshotTable[[#This Row],[Long Term Target]] - SnapshotTable[[#This Row],[Last Price]]) / SnapshotTable[[#This Row],[Last Price]], "")</f>
        <v>0.58543417366946782</v>
      </c>
      <c r="AP285" s="5"/>
      <c r="AQ285" s="38"/>
      <c r="AR285" s="5"/>
      <c r="AS285" s="38"/>
      <c r="AT285" s="146"/>
      <c r="AU285" s="187" t="str">
        <f>IF(OR(SnapshotTable[[#This Row],[LP No Fill]]="Y",SnapshotTable[[#This Row],[SP Is Filled]],SnapshotTable[[#This Row],[LC Not Filled]]="Y",SnapshotTable[[#This Row],[SC Is Filled]]),"Y","")</f>
        <v/>
      </c>
      <c r="AV285" s="219"/>
      <c r="AW285" s="225"/>
      <c r="AX285" s="220"/>
      <c r="AY285" s="219" t="str">
        <f>IF(SnapshotTable[[#This Row],[Implied Move]]&gt;0, SnapshotTable[[#This Row],[Last Price]]-SnapshotTable[[#This Row],[Implied Move]],"")</f>
        <v/>
      </c>
      <c r="AZ285" s="219" t="str">
        <f>IF(SnapshotTable[[#This Row],[Implied Move]]&gt;0, SnapshotTable[[#This Row],[Last Price]] + SnapshotTable[[#This Row],[Implied Move]],"")</f>
        <v/>
      </c>
      <c r="BA285" s="331"/>
      <c r="BB285" s="347"/>
      <c r="BC2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5" s="351"/>
      <c r="BE285" s="5"/>
      <c r="BF285" s="14"/>
      <c r="BG285" s="13"/>
      <c r="BH285" s="13"/>
      <c r="BI285" s="5"/>
      <c r="BJ285" s="136">
        <f>IF(SnapshotTable[[#This Row],[LP Qty]] &gt; 0, SnapshotTable[[#This Row],[LP Qty]] * SnapshotTable[[#This Row],[LP Book Price]] * 100,0)</f>
        <v>0</v>
      </c>
      <c r="BK285" s="136">
        <f>IF(SnapshotTable[[#This Row],[LP Premium]] &gt; 0, SnapshotTable[[#This Row],[LP Qty]] * SnapshotTable[[#This Row],[LP Strike Price]] * 100,0)</f>
        <v>0</v>
      </c>
      <c r="BL285" s="154"/>
      <c r="BM285" s="385" t="str">
        <f>IF(SnapshotTable[[#This Row],[LP Premium]] &gt; 0,SnapshotTable[[#This Row],[LP Exp Date]]-MAX(SnapshotTable[[#This Row],[LP Book Date]], SnapshotTable[[#This Row],[LP Fill Date]]),"")</f>
        <v/>
      </c>
      <c r="BN285" s="385" t="str">
        <f>IF(ISNUMBER( SnapshotTable[[#This Row],[LP Term]]), SnapshotTable[[#This Row],[LP Exp Date]] - MockToday,"")</f>
        <v/>
      </c>
      <c r="BO285" s="163"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7"/>
      <c r="BU285" s="13"/>
      <c r="BV285" s="5"/>
      <c r="BW285" s="419" t="b">
        <f>AND(ISNUMBER(SnapshotTable[[#This Row],[SP Exp Date]]), ISNUMBER(SnapshotTable[[#This Row],[SP Strike Price]]), ISNUMBER(SnapshotTable[[#This Row],[SP Qty]]), ISNUMBER(SnapshotTable[[#This Row],[SP Book Date]]), ISNUMBER(SnapshotTable[[#This Row],[SP Book Price]]))</f>
        <v>0</v>
      </c>
      <c r="BX285" s="419" t="b">
        <f>AND(SnapshotTable[[#This Row],[SP Is Booked]], NOT(ISBLANK(SnapshotTable[[#This Row],[SP Fill Date]])))</f>
        <v>0</v>
      </c>
      <c r="BY285" s="33">
        <f>IF(SnapshotTable[[#This Row],[SP Is Booked]], SnapshotTable[[#This Row],[SP Qty]] * SnapshotTable[[#This Row],[SP Book Price]] * 100, 0)</f>
        <v>0</v>
      </c>
      <c r="BZ285" s="369"/>
      <c r="CA285" s="368">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3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44"/>
      <c r="CK285" s="31">
        <f>IF(ISNUMBER(SnapshotTable[[#This Row],[SP Potential Spend]]),IF(ISNUMBER(SnapshotTable[[#This Row],[SP POW]]), SnapshotTable[[#This Row],[SP POW]] * SnapshotTable[[#This Row],[SP Potential Spend]], SnapshotTable[[#This Row],[SP Potential Spend]]), "")</f>
        <v>0</v>
      </c>
      <c r="CL285" s="164">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8"/>
      <c r="CO285" s="369"/>
      <c r="CP285" s="4" t="str">
        <f>IF(SnapshotTable[[#This Row],[SP Is Filled]], btc_max_buyback_amount(SnapshotTable[[#This Row],[SP Fill Date]],SnapshotTable[[#This Row],[SP Exp Date]], SnapshotTable[[#This Row],[SP Book Price]]),"")</f>
        <v/>
      </c>
      <c r="CQ285" s="78"/>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5" t="str">
        <f>IF(SnapshotTable[[#This Row],[SP Is Filled]], btc_next_cutoff_date(SnapshotTable[[#This Row],[SP Fill Date]],SnapshotTable[[#This Row],[SP Exp Date]]),"")</f>
        <v/>
      </c>
      <c r="CT285" s="23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3"/>
      <c r="CV285" s="235"/>
      <c r="CW285" s="378"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294" t="str">
        <f>IF(ISNUMBER((SnapshotTable[[#This Row],[SP Total Value]])), SnapshotTable[[#This Row],[SP Gain Loss]] / SnapshotTable[[#This Row],[SP Premium]], "")</f>
        <v/>
      </c>
      <c r="DI285" s="406"/>
      <c r="DJ285" s="138"/>
      <c r="DK285" s="148"/>
      <c r="DL285" s="13"/>
      <c r="DM285" s="13"/>
      <c r="DN285" s="5"/>
      <c r="DO285" s="31">
        <f>IF(SnapshotTable[[#This Row],[LC Symbol Count]]=1, SnapshotTable[[#This Row],[LC Qty]] * SnapshotTable[[#This Row],[LC Book Price]] * 100, 0)</f>
        <v>0</v>
      </c>
      <c r="DP285" s="163" t="str">
        <f>IF(AND(SnapshotTable[[#This Row],[LC Exp Date]]&gt;0, SnapshotTable[[#This Row],[LC Strike Price]]&gt;0,SnapshotTable[[#This Row],[LC Qty]]&gt;0,SnapshotTable[[#This Row],[LC Book Date]]&gt;0,SnapshotTable[[#This Row],[LC Book Price]]&gt;0,SnapshotTable[[#This Row],[LC Fill Date]]=0),"Y","")</f>
        <v/>
      </c>
      <c r="DQ285" s="386" t="str">
        <f>IF(SnapshotTable[[#This Row],[LC Premium]] &gt; 0,SnapshotTable[[#This Row],[LC Exp Date]]-MAX(SnapshotTable[[#This Row],[LC Book Date]], SnapshotTable[[#This Row],[LC Fill Date]]),"")</f>
        <v/>
      </c>
      <c r="DR285" s="386" t="str">
        <f>IF(ISNUMBER(SnapshotTable[[#This Row],[LC Term]]), SnapshotTable[[#This Row],[LC Exp Date]] - MockToday, "")</f>
        <v/>
      </c>
      <c r="DS285" s="234" t="str">
        <f>IF(SnapshotTable[[#This Row],[LC Premium]]&gt;0,SnapshotTable[[#This Row],[LC Strike Price]] + SnapshotTable[[#This Row],[LC Book Price]],"")</f>
        <v/>
      </c>
      <c r="DT285" s="5"/>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40" t="str">
        <f>IF(ISNUMBER(SnapshotTable[[#This Row],[LC Actual Gain Loss]]), SnapshotTable[[#This Row],[LC Actual Gain Loss]] / SnapshotTable[[#This Row],[LC Premium]],"")</f>
        <v/>
      </c>
      <c r="DX285" s="284" t="str">
        <f>IF(ISNUMBER(SnapshotTable[[#This Row],[LC Book Price]]),SnapshotTable[[#This Row],[LC Book Price]] * 1.5,"")</f>
        <v/>
      </c>
      <c r="DY285" s="265" t="str">
        <f>IF(SnapshotTable[[#This Row],[LC Premium]]&gt;0, SnapshotTable[[#This Row],[LC Next Target]] * SnapshotTable[[#This Row],[LC Qty]] * 100,"")</f>
        <v/>
      </c>
      <c r="DZ285" s="265" t="str">
        <f>IF(ISNUMBER(SnapshotTable[[#This Row],[LC Target Gross]]), SnapshotTable[[#This Row],[LC Target Gross]] - SnapshotTable[[#This Row],[LC Premium]], "")</f>
        <v/>
      </c>
      <c r="EA285" s="305" t="str">
        <f>IF(ISNUMBER(SnapshotTable[[#This Row],[LC Target Gain Loss]]), SnapshotTable[[#This Row],[LC Target Gain Loss]]/SnapshotTable[[#This Row],[LC Premium]], "")</f>
        <v/>
      </c>
      <c r="EB285" s="262"/>
      <c r="EC285" s="283" t="str">
        <f>IF(SnapshotTable[[#This Row],[LC Premium]]&gt;0, SnapshotTable[[#This Row],[LC Book Price]] * (1 - LC_StopLoss_Pct),"")</f>
        <v/>
      </c>
      <c r="ED285" s="284"/>
      <c r="EE285" s="28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0</v>
      </c>
      <c r="EI285" s="24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0</v>
      </c>
      <c r="EK285" s="147"/>
      <c r="EL285" s="138"/>
      <c r="EM285" s="148"/>
      <c r="EN285" s="147"/>
      <c r="EO285" s="147"/>
      <c r="EP285" s="138"/>
      <c r="EQ285" s="419" t="b">
        <f>AND(ISNUMBER(SnapshotTable[[#This Row],[SC Exp Date]]), ISNUMBER(SnapshotTable[[#This Row],[SC Strike Price]]), ISNUMBER(SnapshotTable[[#This Row],[SC Qty]]), ISNUMBER(SnapshotTable[[#This Row],[SC Book Date]]), ISNUMBER(SnapshotTable[[#This Row],[SC Book Price]]))</f>
        <v>0</v>
      </c>
      <c r="ER285" s="419" t="b">
        <f>AND(SnapshotTable[[#This Row],[SC Is Booked]], NOT(ISBLANK(SnapshotTable[[#This Row],[SC Fill Date]])))</f>
        <v>0</v>
      </c>
      <c r="ES285" s="370"/>
      <c r="ET285" s="34" t="str">
        <f>IF(AND(ISNUMBER(SnapshotTable[[#This Row],[SC Exp Date]]), ISNUMBER(SnapshotTable[[#This Row],[SC Book Date]])), SnapshotTable[[#This Row],[SC Exp Date]] - MAX(SnapshotTable[[#This Row],[SC Book Date]], SnapshotTable[[#This Row],[SC Fill Date]]) + 1, "")</f>
        <v/>
      </c>
      <c r="EU285" s="34" t="str">
        <f>IF(ISNUMBER(SnapshotTable[[#This Row],[SC Term]]), SnapshotTable[[#This Row],[SC Exp Date]]- MockToday, "")</f>
        <v/>
      </c>
      <c r="EV285" s="31">
        <f>IF(SnapshotTable[[#This Row],[SC Is Booked]], SnapshotTable[[#This Row],[SC Qty]] * SnapshotTable[[#This Row],[SC Book Price]] * 100, 0)</f>
        <v>0</v>
      </c>
      <c r="EW285" s="4" t="str">
        <f>IF(AND(ISNUMBER(SnapshotTable[[#This Row],[Last Price]]), ISNUMBER( SnapshotTable[[#This Row],[SC Book Price]])), SnapshotTable[[#This Row],[Last Price]] - SnapshotTable[[#This Row],[SC Book Price]],"")</f>
        <v/>
      </c>
      <c r="EX285" s="234" t="str">
        <f>IF(SnapshotTable[[#This Row],[SC Is Booked]],IF(SnapshotTable[[#This Row],[SC Intrinsic Value]] &gt; 0, SnapshotTable[[#This Row],[SC Strike Price]], SnapshotTable[[#This Row],[Last Price]]), "")</f>
        <v/>
      </c>
      <c r="EY285" s="4">
        <f>IF(SnapshotTable[[#This Row],[SC Is Booked]], (MinimumPremiumRequired * SnapshotTable[[#This Row],[SC Basis]] * SnapshotTable[[#This Row],[SC Term]]), 0)</f>
        <v>0</v>
      </c>
      <c r="EZ285" s="283"/>
      <c r="FA285" s="218"/>
      <c r="FB285" s="370"/>
      <c r="FC285" s="4">
        <f>IF(SnapshotTable[[#This Row],[SC Is Filled]], btc_max_buyback_amount(SnapshotTable[[#This Row],[SC Fill Date]],SnapshotTable[[#This Row],[SC Exp Date]], SnapshotTable[[#This Row],[SC Book Price]]),0)</f>
        <v>0</v>
      </c>
      <c r="FD285" s="5"/>
      <c r="FE285" s="144"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382">
        <f>IF(SnapshotTable[[#This Row],[SC Is Filled]], IF(ISNUMBER(SnapshotTable[[#This Row],[SC Current Ask]]), SnapshotTable[[#This Row],[SC Current Ask]], SnapshotTable[[#This Row],[SC Book Price]]) - SnapshotTable[[#This Row],[SC Intrinsic Value]], 0)</f>
        <v>0</v>
      </c>
      <c r="FI285" s="143"/>
      <c r="FJ285" s="32" t="str">
        <f>IF(SnapshotTable[[#This Row],[SC Is Filled]],100 * SnapshotTable[[#This Row],[SC Qty]] * IF(ISNUMBER(SnapshotTable[[#This Row],[SC Buyback Override]]), SnapshotTable[[#This Row],[SC Buyback Override]], SnapshotTable[[#This Row],[SC Current Ask]]), "")</f>
        <v/>
      </c>
      <c r="FK285" s="250" t="str">
        <f>IF(SnapshotTable[[#This Row],[SC Time Val]]&gt;0, SnapshotTable[[#This Row],[SC Time Val]] / SnapshotTable[[#This Row],[Last Price]],"")</f>
        <v/>
      </c>
      <c r="FL285" s="302" t="str">
        <f>IF(SnapshotTable[[#This Row],[SC Is Booked]], ((SnapshotTable[[#This Row],[Last Price]] -SnapshotTable[[#This Row],[SC Strike Price]]) / SnapshotTable[[#This Row],[Last Price]]) * -1, "")</f>
        <v/>
      </c>
      <c r="FM285" s="157" t="str">
        <f>IF(SnapshotTable[[#This Row],[SC Is Booked]],  (SnapshotTable[[#This Row],[SC Qty]] * 100 * SnapshotTable[[#This Row],[SC Strike Price]]) - SnapshotTable[[#This Row],[SC Current Ask]], "")</f>
        <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t="str">
        <f>IF(ISNUMBER(SnapshotTable[[#This Row],[SC Exercise Gross]]), (SnapshotTable[[#This Row],[SC Exercise Gross]]) / (SnapshotTable[[#This Row],[SC Qty]] * 100), "")</f>
        <v/>
      </c>
      <c r="FQ285" s="27" t="str">
        <f>IF(SnapshotTable[[#This Row],[SC Is Booked]],SnapshotTable[[#This Row],[SC Time Val]] /SnapshotTable[[#This Row],[SC Basis]], "")</f>
        <v/>
      </c>
      <c r="FR285" s="27" t="str" cm="1">
        <f t="array" ref="FR285">IF(AND(ISNUMBER(SnapshotTable[[#This Row],[SC Term]]),ISNUMBER(SnapshotTable[[#This Row],[SC Simple ROO]])), EllmanAnnualize(SnapshotTable[[#This Row],[SC DTE]], SnapshotTable[[#This Row],[SC Simple ROO]] ),"")</f>
        <v/>
      </c>
      <c r="FS285" s="4">
        <f>IF(SnapshotTable[[#This Row],[SC Strike Price]] &gt; SnapshotTable[[#This Row],[Last Price]], SnapshotTable[[#This Row],[SC Strike Price]] - SnapshotTable[[#This Row],[Last Price]],0)</f>
        <v>0</v>
      </c>
      <c r="FT285" s="27" t="str">
        <f>IF(AND(ISNUMBER(SnapshotTable[[#This Row],[SC Upside Potential]]), SnapshotTable[[#This Row],[SC Upside Potential]] &gt; 0),(SnapshotTable[[#This Row],[SC Upside Potential]]/ SnapshotTable[[#This Row],[ACB]]),"")</f>
        <v/>
      </c>
      <c r="FU285" s="333"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36" t="str">
        <f>IF(AND(ISNUMBER(SnapshotTable[[#This Row],[SC Simple ROO]]),SnapshotTable[[#This Row],[SC Simple ROO]] &gt; 0), SnapshotTable[[#This Row],[SC Premium]] + (SnapshotTable[[#This Row],[SC Qty]] * SnapshotTable[[#This Row],[SC Upside Potential]]), "")</f>
        <v/>
      </c>
      <c r="FX285" s="302" t="str" cm="1">
        <f t="array" ref="FX285">IF(ISNUMBER(SnapshotTable[[#This Row],[SC Max Dollars]]), annualize(SnapshotTable[[#This Row],[SC Term]],(SnapshotTable[[#This Row],[SC Max Dollars]]/SnapshotTable[[#This Row],[SC Basis]])),"")</f>
        <v/>
      </c>
      <c r="FY285" s="23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29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134.42499999999998</v>
      </c>
      <c r="GD285" s="40">
        <f>SnapshotTable[[#This Row],[Last Price]] * (1+ SellingPriceToConsiderBasedOnTargetPercentage)</f>
        <v>174.03749999999999</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758</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
      </c>
      <c r="GQ285" s="30" t="str">
        <f>IF(LEN(SnapshotTable[[#This Row],[LC Symbol]])&gt;0, 1, "")</f>
        <v/>
      </c>
      <c r="GR285" s="43" t="str">
        <f>IF(AND(SnapshotTable[[#This Row],[SC Exp Date]]&gt;0,SnapshotTable[[#This Row],[SC Strike Price]]&gt;0), [1]!ToOptionSymbol(SnapshotTable[[#This Row],[Symbol]], SnapshotTable[[#This Row],[SC Strike Price]],SnapshotTable[[#This Row],[SC Exp Date]],0), "")</f>
        <v/>
      </c>
      <c r="GS285" s="30" t="str">
        <f>IF(LEN(SnapshotTable[[#This Row],[SC Symbol]])&gt;0, 1, "")</f>
        <v/>
      </c>
      <c r="GT285" s="29" t="str">
        <f>IF(COUNT(SnapshotTable[[#This Row],[LP Symbol Count]],SnapshotTable[[#This Row],[SP Symbol Count]],SnapshotTable[[#This Row],[LC Symbol Count]],SnapshotTable[[#This Row],[SC Symbol Count]])&gt;0, "Y", "")</f>
        <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5" s="231">
        <f>MAX(SnapshotTable[[#This Row],[Equity Basis Total]],SnapshotTable[[#This Row],[Equity Value]]) + (SnapshotTable[[#This Row],[SP Potential Spend]]- SnapshotTable[[#This Row],[SP Premium]] + SnapshotTable[[#This Row],[LP Premium]])+ (SnapshotTable[[#This Row],[LC Premium]] - SnapshotTable[[#This Row],[SC Premium]])</f>
        <v>0</v>
      </c>
      <c r="GW285" s="139" t="str">
        <f>IF(AND(SnapshotTable[[#This Row],[Exposure]] &lt;&gt; 0),SnapshotTable[[#This Row],[Exposure]] / SnapshotTable[[#Totals],[Exposure]], "")</f>
        <v/>
      </c>
      <c r="GY285" s="381"/>
      <c r="HE285" s="381"/>
      <c r="HF285" s="381"/>
      <c r="HG285" s="381"/>
      <c r="HH285" s="381"/>
      <c r="HI285" s="381"/>
      <c r="HJ285" s="381"/>
    </row>
    <row r="286" spans="2:224" s="47" customFormat="1" ht="12.75" hidden="1" customHeight="1" x14ac:dyDescent="0.25">
      <c r="B286" s="12" t="s">
        <v>53</v>
      </c>
      <c r="C286" s="422">
        <v>23.04</v>
      </c>
      <c r="D286" s="208" t="s">
        <v>884</v>
      </c>
      <c r="E286" s="39">
        <f>SnapshotTable[[#This Row],[Last Price]]*(1 -CrashDiscount)</f>
        <v>19.584</v>
      </c>
      <c r="F286" s="26" t="s">
        <v>36</v>
      </c>
      <c r="G286" s="26" t="s">
        <v>9</v>
      </c>
      <c r="H286" s="149"/>
      <c r="I286" s="194">
        <v>44945</v>
      </c>
      <c r="J286" s="195">
        <v>44945</v>
      </c>
      <c r="K286" s="196"/>
      <c r="L286" s="326"/>
      <c r="M286" s="140"/>
      <c r="N286" s="140"/>
      <c r="O286" s="140"/>
      <c r="P286" s="22"/>
      <c r="Q286" s="25"/>
      <c r="R286" s="4" t="str">
        <f>IF(SnapshotTable[[#This Row],[Equity Basis Total]] &gt; 0, SnapshotTable[[#This Row],[Equity Basis Total]] / SnapshotTable[[#This Row],[Equity Shares]], "")</f>
        <v/>
      </c>
      <c r="S286" s="269">
        <f>SnapshotTable[[#This Row],[Last Price]] * SnapshotTable[[#This Row],[Equity Shares]]</f>
        <v>0</v>
      </c>
      <c r="T286" s="269">
        <f>SnapshotTable[[#This Row],[Equity Value]] - SnapshotTable[[#This Row],[Equity Basis Total]]</f>
        <v>0</v>
      </c>
      <c r="U286" s="270" t="str">
        <f>IF(SnapshotTable[[#This Row],[Equity Basis Total]] &gt; 0, SnapshotTable[[#This Row],[Equity G/L]] / SnapshotTable[[#This Row],[Equity Basis Total]], "")</f>
        <v/>
      </c>
      <c r="V286" s="268"/>
      <c r="W286" s="26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7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0">
        <v>2.08</v>
      </c>
      <c r="AD286" s="151">
        <v>44502</v>
      </c>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9.027777777777779E-2</v>
      </c>
      <c r="AH286" s="151">
        <v>44477</v>
      </c>
      <c r="AI286" s="5"/>
      <c r="AJ286" s="138">
        <v>26.71</v>
      </c>
      <c r="AK286" s="152" t="str">
        <f>IF(ISNUMBER( SnapshotTable[[#This Row],[EBF Target]]),(SnapshotTable[[#This Row],[EBF Target]] - SnapshotTable[[#This Row],[Last Price]]) / SnapshotTable[[#This Row],[Last Price]], "")</f>
        <v/>
      </c>
      <c r="AL286" s="152" t="str">
        <f>IF(AND(SnapshotTable[[#This Row],[Equity Basis Total]] &gt; 0,ISNUMBER( SnapshotTable[[#This Row],[Long Term Target]])), SnapshotTable[[#This Row],[From Basis $]] / SnapshotTable[[#This Row],[Equity Basis Total]], "")</f>
        <v/>
      </c>
      <c r="AM286" s="9">
        <f>IF( AND(SnapshotTable[[#This Row],[Equity Shares]] &gt;0,ISNUMBER( SnapshotTable[[#This Row],[Long Term Target]])),(SnapshotTable[[#This Row],[Equity Shares]] * SnapshotTable[[#This Row],[Long Term Target]]) - SnapshotTable[[#This Row],[Equity Basis Total]],0)</f>
        <v>0</v>
      </c>
      <c r="AN286" s="9">
        <f>IF( AND(SnapshotTable[[#This Row],[Equity Shares]] &gt;0,ISNUMBER( SnapshotTable[[#This Row],[Long Term Target]])),(SnapshotTable[[#This Row],[Equity Shares]]*SnapshotTable[[#This Row],[Long Term Target]]) - SnapshotTable[[#This Row],[Equity Value]],0)</f>
        <v>0</v>
      </c>
      <c r="AO286" s="152">
        <f>IF(AND(ISNUMBER( SnapshotTable[[#This Row],[Long Term Target]]), ISNUMBER(SnapshotTable[[#This Row],[Last Price]])),(SnapshotTable[[#This Row],[Long Term Target]] - SnapshotTable[[#This Row],[Last Price]]) / SnapshotTable[[#This Row],[Last Price]], "")</f>
        <v>0.15928819444444453</v>
      </c>
      <c r="AP286" s="5">
        <v>16.5</v>
      </c>
      <c r="AQ286" s="38" t="s">
        <v>27</v>
      </c>
      <c r="AR286" s="5">
        <v>16.5</v>
      </c>
      <c r="AS286" s="38" t="s">
        <v>38</v>
      </c>
      <c r="AT286" s="146" t="s">
        <v>542</v>
      </c>
      <c r="AU286" s="187" t="str">
        <f>IF(OR(SnapshotTable[[#This Row],[LP No Fill]]="Y",SnapshotTable[[#This Row],[SP Is Filled]],SnapshotTable[[#This Row],[LC Not Filled]]="Y",SnapshotTable[[#This Row],[SC Is Filled]]),"Y","")</f>
        <v/>
      </c>
      <c r="AV286" s="219"/>
      <c r="AW286" s="225">
        <v>0.52900000000000003</v>
      </c>
      <c r="AX286" s="220">
        <v>44379</v>
      </c>
      <c r="AY286" s="219">
        <f>IF(SnapshotTable[[#This Row],[Implied Move]]&gt;0, SnapshotTable[[#This Row],[Last Price]]-SnapshotTable[[#This Row],[Implied Move]],"")</f>
        <v>22.510999999999999</v>
      </c>
      <c r="AZ286" s="219">
        <f>IF(SnapshotTable[[#This Row],[Implied Move]]&gt;0, SnapshotTable[[#This Row],[Last Price]] + SnapshotTable[[#This Row],[Implied Move]],"")</f>
        <v>23.568999999999999</v>
      </c>
      <c r="BA286" s="331">
        <v>24.27</v>
      </c>
      <c r="BB286" s="347"/>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51"/>
      <c r="BE286" s="5"/>
      <c r="BF286" s="14"/>
      <c r="BG286" s="13"/>
      <c r="BH286" s="13"/>
      <c r="BI286" s="5"/>
      <c r="BJ286" s="136">
        <f>IF(SnapshotTable[[#This Row],[LP Qty]] &gt; 0, SnapshotTable[[#This Row],[LP Qty]] * SnapshotTable[[#This Row],[LP Book Price]] * 100,0)</f>
        <v>0</v>
      </c>
      <c r="BK286" s="136">
        <f>IF(SnapshotTable[[#This Row],[LP Premium]] &gt; 0, SnapshotTable[[#This Row],[LP Qty]] * SnapshotTable[[#This Row],[LP Strike Price]] * 100,0)</f>
        <v>0</v>
      </c>
      <c r="BL286" s="154"/>
      <c r="BM286" s="385" t="str">
        <f>IF(SnapshotTable[[#This Row],[LP Premium]] &gt; 0,SnapshotTable[[#This Row],[LP Exp Date]]-MAX(SnapshotTable[[#This Row],[LP Book Date]], SnapshotTable[[#This Row],[LP Fill Date]]),"")</f>
        <v/>
      </c>
      <c r="BN286" s="385" t="str">
        <f>IF(ISNUMBER( SnapshotTable[[#This Row],[LP Term]]), SnapshotTable[[#This Row],[LP Exp Date]] - MockToday,"")</f>
        <v/>
      </c>
      <c r="BO286" s="163"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7"/>
      <c r="BU286" s="13"/>
      <c r="BV286" s="5"/>
      <c r="BW286" s="419" t="b">
        <f>AND(ISNUMBER(SnapshotTable[[#This Row],[SP Exp Date]]), ISNUMBER(SnapshotTable[[#This Row],[SP Strike Price]]), ISNUMBER(SnapshotTable[[#This Row],[SP Qty]]), ISNUMBER(SnapshotTable[[#This Row],[SP Book Date]]), ISNUMBER(SnapshotTable[[#This Row],[SP Book Price]]))</f>
        <v>0</v>
      </c>
      <c r="BX286" s="419" t="b">
        <f>AND(SnapshotTable[[#This Row],[SP Is Booked]], NOT(ISBLANK(SnapshotTable[[#This Row],[SP Fill Date]])))</f>
        <v>0</v>
      </c>
      <c r="BY286" s="33">
        <f>IF(SnapshotTable[[#This Row],[SP Is Booked]], SnapshotTable[[#This Row],[SP Qty]] * SnapshotTable[[#This Row],[SP Book Price]] * 100, 0)</f>
        <v>0</v>
      </c>
      <c r="BZ286" s="369"/>
      <c r="CA286" s="368">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3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44"/>
      <c r="CK286" s="31">
        <f>IF(ISNUMBER(SnapshotTable[[#This Row],[SP Potential Spend]]),IF(ISNUMBER(SnapshotTable[[#This Row],[SP POW]]), SnapshotTable[[#This Row],[SP POW]] * SnapshotTable[[#This Row],[SP Potential Spend]], SnapshotTable[[#This Row],[SP Potential Spend]]), "")</f>
        <v>0</v>
      </c>
      <c r="CL286" s="164">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218"/>
      <c r="CO286" s="369"/>
      <c r="CP286" s="4" t="str">
        <f>IF(SnapshotTable[[#This Row],[SP Is Filled]], btc_max_buyback_amount(SnapshotTable[[#This Row],[SP Fill Date]],SnapshotTable[[#This Row],[SP Exp Date]], SnapshotTable[[#This Row],[SP Book Price]]),"")</f>
        <v/>
      </c>
      <c r="CQ286" s="78"/>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5" t="str">
        <f>IF(SnapshotTable[[#This Row],[SP Is Filled]], btc_next_cutoff_date(SnapshotTable[[#This Row],[SP Fill Date]],SnapshotTable[[#This Row],[SP Exp Date]]),"")</f>
        <v/>
      </c>
      <c r="CT286" s="23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43"/>
      <c r="CV286" s="235"/>
      <c r="CW286" s="378"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294" t="str">
        <f>IF(ISNUMBER((SnapshotTable[[#This Row],[SP Total Value]])), SnapshotTable[[#This Row],[SP Gain Loss]] / SnapshotTable[[#This Row],[SP Premium]], "")</f>
        <v/>
      </c>
      <c r="DI286" s="406"/>
      <c r="DJ286" s="138"/>
      <c r="DK286" s="148"/>
      <c r="DL286" s="13"/>
      <c r="DM286" s="13"/>
      <c r="DN286" s="5"/>
      <c r="DO286" s="31">
        <f>IF(SnapshotTable[[#This Row],[LC Symbol Count]]=1, SnapshotTable[[#This Row],[LC Qty]] * SnapshotTable[[#This Row],[LC Book Price]] * 100, 0)</f>
        <v>0</v>
      </c>
      <c r="DP286" s="163" t="str">
        <f>IF(AND(SnapshotTable[[#This Row],[LC Exp Date]]&gt;0, SnapshotTable[[#This Row],[LC Strike Price]]&gt;0,SnapshotTable[[#This Row],[LC Qty]]&gt;0,SnapshotTable[[#This Row],[LC Book Date]]&gt;0,SnapshotTable[[#This Row],[LC Book Price]]&gt;0,SnapshotTable[[#This Row],[LC Fill Date]]=0),"Y","")</f>
        <v/>
      </c>
      <c r="DQ286" s="386" t="str">
        <f>IF(SnapshotTable[[#This Row],[LC Premium]] &gt; 0,SnapshotTable[[#This Row],[LC Exp Date]]-MAX(SnapshotTable[[#This Row],[LC Book Date]], SnapshotTable[[#This Row],[LC Fill Date]]),"")</f>
        <v/>
      </c>
      <c r="DR286" s="386" t="str">
        <f>IF(ISNUMBER(SnapshotTable[[#This Row],[LC Term]]), SnapshotTable[[#This Row],[LC Exp Date]] - MockToday, "")</f>
        <v/>
      </c>
      <c r="DS286" s="234" t="str">
        <f>IF(SnapshotTable[[#This Row],[LC Premium]]&gt;0,SnapshotTable[[#This Row],[LC Strike Price]] + SnapshotTable[[#This Row],[LC Book Price]],"")</f>
        <v/>
      </c>
      <c r="DT286" s="5"/>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40" t="str">
        <f>IF(ISNUMBER(SnapshotTable[[#This Row],[LC Actual Gain Loss]]), SnapshotTable[[#This Row],[LC Actual Gain Loss]] / SnapshotTable[[#This Row],[LC Premium]],"")</f>
        <v/>
      </c>
      <c r="DX286" s="284" t="str">
        <f>IF(ISNUMBER(SnapshotTable[[#This Row],[LC Book Price]]),SnapshotTable[[#This Row],[LC Book Price]] * 1.5,"")</f>
        <v/>
      </c>
      <c r="DY286" s="265" t="str">
        <f>IF(SnapshotTable[[#This Row],[LC Premium]]&gt;0, SnapshotTable[[#This Row],[LC Next Target]] * SnapshotTable[[#This Row],[LC Qty]] * 100,"")</f>
        <v/>
      </c>
      <c r="DZ286" s="265" t="str">
        <f>IF(ISNUMBER(SnapshotTable[[#This Row],[LC Target Gross]]), SnapshotTable[[#This Row],[LC Target Gross]] - SnapshotTable[[#This Row],[LC Premium]], "")</f>
        <v/>
      </c>
      <c r="EA286" s="305" t="str">
        <f>IF(ISNUMBER(SnapshotTable[[#This Row],[LC Target Gain Loss]]), SnapshotTable[[#This Row],[LC Target Gain Loss]]/SnapshotTable[[#This Row],[LC Premium]], "")</f>
        <v/>
      </c>
      <c r="EB286" s="262"/>
      <c r="EC286" s="283" t="str">
        <f>IF(SnapshotTable[[#This Row],[LC Premium]]&gt;0, SnapshotTable[[#This Row],[LC Book Price]] * (1 - LC_StopLoss_Pct),"")</f>
        <v/>
      </c>
      <c r="ED286" s="284"/>
      <c r="EE286" s="28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4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0</v>
      </c>
      <c r="EK286" s="147"/>
      <c r="EL286" s="138"/>
      <c r="EM286" s="148"/>
      <c r="EN286" s="147"/>
      <c r="EO286" s="147"/>
      <c r="EP286" s="138"/>
      <c r="EQ286" s="419" t="b">
        <f>AND(ISNUMBER(SnapshotTable[[#This Row],[SC Exp Date]]), ISNUMBER(SnapshotTable[[#This Row],[SC Strike Price]]), ISNUMBER(SnapshotTable[[#This Row],[SC Qty]]), ISNUMBER(SnapshotTable[[#This Row],[SC Book Date]]), ISNUMBER(SnapshotTable[[#This Row],[SC Book Price]]))</f>
        <v>0</v>
      </c>
      <c r="ER286" s="419" t="b">
        <f>AND(SnapshotTable[[#This Row],[SC Is Booked]], NOT(ISBLANK(SnapshotTable[[#This Row],[SC Fill Date]])))</f>
        <v>0</v>
      </c>
      <c r="ES286" s="370"/>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3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283"/>
      <c r="FA286" s="423"/>
      <c r="FB286" s="370"/>
      <c r="FC286" s="4">
        <f>IF(SnapshotTable[[#This Row],[SC Is Filled]], btc_max_buyback_amount(SnapshotTable[[#This Row],[SC Fill Date]],SnapshotTable[[#This Row],[SC Exp Date]], SnapshotTable[[#This Row],[SC Book Price]]),0)</f>
        <v>0</v>
      </c>
      <c r="FD286" s="5"/>
      <c r="FE286" s="144"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382">
        <f>IF(SnapshotTable[[#This Row],[SC Is Filled]], IF(ISNUMBER(SnapshotTable[[#This Row],[SC Current Ask]]), SnapshotTable[[#This Row],[SC Current Ask]], SnapshotTable[[#This Row],[SC Book Price]]) - SnapshotTable[[#This Row],[SC Intrinsic Value]], 0)</f>
        <v>0</v>
      </c>
      <c r="FI286" s="143">
        <v>44862</v>
      </c>
      <c r="FJ286" s="32" t="str">
        <f>IF(SnapshotTable[[#This Row],[SC Is Filled]],100 * SnapshotTable[[#This Row],[SC Qty]] * IF(ISNUMBER(SnapshotTable[[#This Row],[SC Buyback Override]]), SnapshotTable[[#This Row],[SC Buyback Override]], SnapshotTable[[#This Row],[SC Current Ask]]), "")</f>
        <v/>
      </c>
      <c r="FK286" s="250" t="str">
        <f>IF(SnapshotTable[[#This Row],[SC Time Val]]&gt;0, SnapshotTable[[#This Row],[SC Time Val]] / SnapshotTable[[#This Row],[Last Price]],"")</f>
        <v/>
      </c>
      <c r="FL286" s="302" t="str">
        <f>IF(SnapshotTable[[#This Row],[SC Is Booked]], ((SnapshotTable[[#This Row],[Last Price]] -SnapshotTable[[#This Row],[SC Strike Price]]) / SnapshotTable[[#This Row],[Last Price]]) * -1, "")</f>
        <v/>
      </c>
      <c r="FM286" s="157" t="str">
        <f>IF(SnapshotTable[[#This Row],[SC Is Booked]],  (SnapshotTable[[#This Row],[SC Qty]] * 100 * SnapshotTable[[#This Row],[SC Strike Price]]) - SnapshotTable[[#This Row],[SC Current Ask]], "")</f>
        <v/>
      </c>
      <c r="FN2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31"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33"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36" t="str">
        <f>IF(AND(ISNUMBER(SnapshotTable[[#This Row],[SC Simple ROO]]),SnapshotTable[[#This Row],[SC Simple ROO]] &gt; 0), SnapshotTable[[#This Row],[SC Premium]] + (SnapshotTable[[#This Row],[SC Qty]] * SnapshotTable[[#This Row],[SC Upside Potential]]), "")</f>
        <v/>
      </c>
      <c r="FX286" s="302" t="str" cm="1">
        <f t="array" ref="FX286">IF(ISNUMBER(SnapshotTable[[#This Row],[SC Max Dollars]]), annualize(SnapshotTable[[#This Row],[SC Term]],(SnapshotTable[[#This Row],[SC Max Dollars]]/SnapshotTable[[#This Row],[SC Basis]])),"")</f>
        <v/>
      </c>
      <c r="FY286" s="236" t="str">
        <f>IF(AND(SnapshotTable[[#This Row],[SC Qty]]&gt;0,SnapshotTable[[#This Row],[SC Current Ask]]&gt;0), SnapshotTable[[#This Row],[SC Qty]] * SnapshotTable[[#This Row],[SC Current Ask]] * -100, "")</f>
        <v/>
      </c>
      <c r="FZ286" s="31" t="str">
        <f>IF(ISNUMBER((SnapshotTable[[#This Row],[SC Current Value]])), SnapshotTable[[#This Row],[SC Premium]] + SnapshotTable[[#This Row],[SC Current Value]], "")</f>
        <v/>
      </c>
      <c r="GA286" s="294" t="str">
        <f>IFERROR( IF(ISNUMBER((SnapshotTable[[#This Row],[SC Current Value]])), SnapshotTable[[#This Row],[SC Gain Loss]] / SnapshotTable[[#This Row],[SC Premium]], ""), "")</f>
        <v/>
      </c>
      <c r="GB286" s="42">
        <f>SnapshotTable[[#This Row],[Equity Shares]] * SaleSharesToConsiderPercentage</f>
        <v>0</v>
      </c>
      <c r="GC286" s="40">
        <f>SnapshotTable[[#This Row],[Long Term Target]] * SellingPriceToConsiderBasedOnTargetPercentage</f>
        <v>25.374500000000001</v>
      </c>
      <c r="GD286" s="40">
        <f>SnapshotTable[[#This Row],[Last Price]] * (1+ SellingPriceToConsiderBasedOnTargetPercentage)</f>
        <v>44.927999999999997</v>
      </c>
      <c r="GE286" s="41"/>
      <c r="GF286" s="40"/>
      <c r="GG286" s="31">
        <f>SnapshotTable[[#This Row],[Booked Sale Shares]] * SnapshotTable[[#This Row],[Booked Sale Price]]</f>
        <v>0</v>
      </c>
      <c r="GH286" s="31" t="str">
        <f>IF(SnapshotTable[[#This Row],[Equity Basis Total]] &gt; 0, SnapshotTable[[#This Row],[Equity Basis Per Share]] * SnapshotTable[[#This Row],[Booked Sale Shares]], "")</f>
        <v/>
      </c>
      <c r="GI286" s="31">
        <f>IF(SnapshotTable[[#This Row],[Sale Proceeds]]&gt;0, SnapshotTable[[#This Row],[Sale Proceeds]] - SnapshotTable[[#This Row],[Sale Basis]], 0)</f>
        <v>0</v>
      </c>
      <c r="GJ286" s="27" t="str">
        <f>IF(SnapshotTable[[#This Row],[Sale G/L]]&gt;0, SnapshotTable[[#This Row],[Sale G/L]] / SnapshotTable[[#This Row],[Sale Basis]], IF(ISNUMBER(SnapshotTable[[#This Row],[SC Exercise P&amp;L (TAX)]]), SnapshotTable[[#This Row],[SC Exercise P&amp;L (TAX)]] / SnapshotTable[[#This Row],[SC Basis]], ""))</f>
        <v/>
      </c>
      <c r="GK286" s="27" t="s">
        <v>718</v>
      </c>
      <c r="GL286" s="43"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43" t="str">
        <f>IF(AND(SnapshotTable[[#This Row],[LC Exp Date]]&gt;0,SnapshotTable[[#This Row],[LC Strike Price]]&gt;0), [1]!ToOptionSymbol(SnapshotTable[[#This Row],[Symbol]], SnapshotTable[[#This Row],[LC Strike Price]],SnapshotTable[[#This Row],[LC Exp Date]],0), "")</f>
        <v/>
      </c>
      <c r="GQ286" s="30" t="str">
        <f>IF(LEN(SnapshotTable[[#This Row],[LC Symbol]])&gt;0, 1, "")</f>
        <v/>
      </c>
      <c r="GR286" s="43" t="str">
        <f>IF(AND(SnapshotTable[[#This Row],[SC Exp Date]]&gt;0,SnapshotTable[[#This Row],[SC Strike Price]]&gt;0), [1]!ToOptionSymbol(SnapshotTable[[#This Row],[Symbol]], SnapshotTable[[#This Row],[SC Strike Price]],SnapshotTable[[#This Row],[SC Exp Date]],0), "")</f>
        <v/>
      </c>
      <c r="GS286" s="30" t="str">
        <f>IF(LEN(SnapshotTable[[#This Row],[SC Symbol]])&gt;0, 1, "")</f>
        <v/>
      </c>
      <c r="GT286" s="29"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6" s="231">
        <f>MAX(SnapshotTable[[#This Row],[Equity Basis Total]],SnapshotTable[[#This Row],[Equity Value]]) + (SnapshotTable[[#This Row],[SP Potential Spend]]- SnapshotTable[[#This Row],[SP Premium]] + SnapshotTable[[#This Row],[LP Premium]])+ (SnapshotTable[[#This Row],[LC Premium]] - SnapshotTable[[#This Row],[SC Premium]])</f>
        <v>0</v>
      </c>
      <c r="GW286" s="139" t="str">
        <f>IF(AND(SnapshotTable[[#This Row],[Exposure]] &lt;&gt; 0),SnapshotTable[[#This Row],[Exposure]] / SnapshotTable[[#Totals],[Exposure]], "")</f>
        <v/>
      </c>
      <c r="GY286" s="381"/>
      <c r="HE286" s="381"/>
      <c r="HF286" s="381"/>
      <c r="HG286" s="381"/>
      <c r="HH286" s="381"/>
      <c r="HI286" s="381"/>
      <c r="HJ286" s="381"/>
    </row>
    <row r="287" spans="2:224" s="47" customFormat="1" ht="12.75" hidden="1" customHeight="1" x14ac:dyDescent="0.25">
      <c r="B287" s="12" t="s">
        <v>897</v>
      </c>
      <c r="C287" s="422">
        <v>10.33</v>
      </c>
      <c r="D287" s="208"/>
      <c r="E287" s="39">
        <f>SnapshotTable[[#This Row],[Last Price]]*(1 -CrashDiscount)</f>
        <v>8.7805</v>
      </c>
      <c r="F287" s="26" t="s">
        <v>903</v>
      </c>
      <c r="G287" s="26" t="s">
        <v>821</v>
      </c>
      <c r="H287" s="149"/>
      <c r="I287" s="194">
        <v>44771.166666666664</v>
      </c>
      <c r="J287" s="195">
        <v>44771.166666666664</v>
      </c>
      <c r="K287" s="196"/>
      <c r="L287" s="326"/>
      <c r="M287" s="140"/>
      <c r="N287" s="140"/>
      <c r="O287" s="140"/>
      <c r="P287" s="22"/>
      <c r="Q287" s="25"/>
      <c r="R287" s="4" t="str">
        <f>IF(SnapshotTable[[#This Row],[Equity Basis Total]] &gt; 0, SnapshotTable[[#This Row],[Equity Basis Total]] / SnapshotTable[[#This Row],[Equity Shares]], "")</f>
        <v/>
      </c>
      <c r="S287" s="269">
        <f>SnapshotTable[[#This Row],[Last Price]] * SnapshotTable[[#This Row],[Equity Shares]]</f>
        <v>0</v>
      </c>
      <c r="T287" s="269">
        <f>SnapshotTable[[#This Row],[Equity Value]] - SnapshotTable[[#This Row],[Equity Basis Total]]</f>
        <v>0</v>
      </c>
      <c r="U287" s="270" t="str">
        <f>IF(SnapshotTable[[#This Row],[Equity Basis Total]] &gt; 0, SnapshotTable[[#This Row],[Equity G/L]] / SnapshotTable[[#This Row],[Equity Basis Total]], "")</f>
        <v/>
      </c>
      <c r="V287" s="268"/>
      <c r="W287" s="26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7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0"/>
      <c r="AD287" s="151"/>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1"/>
      <c r="AI287" s="5"/>
      <c r="AJ287" s="138">
        <v>86.49</v>
      </c>
      <c r="AK287" s="152" t="str">
        <f>IF(ISNUMBER( SnapshotTable[[#This Row],[EBF Target]]),(SnapshotTable[[#This Row],[EBF Target]] - SnapshotTable[[#This Row],[Last Price]]) / SnapshotTable[[#This Row],[Last Price]], "")</f>
        <v/>
      </c>
      <c r="AL287" s="152"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2">
        <f>IF(AND(ISNUMBER( SnapshotTable[[#This Row],[Long Term Target]]), ISNUMBER(SnapshotTable[[#This Row],[Last Price]])),(SnapshotTable[[#This Row],[Long Term Target]] - SnapshotTable[[#This Row],[Last Price]]) / SnapshotTable[[#This Row],[Last Price]], "")</f>
        <v>7.3727008712487896</v>
      </c>
      <c r="AP287" s="5"/>
      <c r="AQ287" s="38"/>
      <c r="AR287" s="5"/>
      <c r="AS287" s="38"/>
      <c r="AT287" s="146"/>
      <c r="AU287" s="187" t="str">
        <f>IF(OR(SnapshotTable[[#This Row],[LP No Fill]]="Y",SnapshotTable[[#This Row],[SP Is Filled]],SnapshotTable[[#This Row],[LC Not Filled]]="Y",SnapshotTable[[#This Row],[SC Is Filled]]),"Y","")</f>
        <v/>
      </c>
      <c r="AV287" s="219"/>
      <c r="AW287" s="225"/>
      <c r="AX287" s="220"/>
      <c r="AY287" s="219" t="str">
        <f>IF(SnapshotTable[[#This Row],[Implied Move]]&gt;0, SnapshotTable[[#This Row],[Last Price]]-SnapshotTable[[#This Row],[Implied Move]],"")</f>
        <v/>
      </c>
      <c r="AZ287" s="219" t="str">
        <f>IF(SnapshotTable[[#This Row],[Implied Move]]&gt;0, SnapshotTable[[#This Row],[Last Price]] + SnapshotTable[[#This Row],[Implied Move]],"")</f>
        <v/>
      </c>
      <c r="BA287" s="331"/>
      <c r="BB287" s="347"/>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51"/>
      <c r="BE287" s="138"/>
      <c r="BF287" s="166"/>
      <c r="BG287" s="167"/>
      <c r="BH287" s="167"/>
      <c r="BI287" s="221"/>
      <c r="BJ287" s="153">
        <f>IF(SnapshotTable[[#This Row],[LP Qty]] &gt; 0, SnapshotTable[[#This Row],[LP Qty]] * SnapshotTable[[#This Row],[LP Book Price]] * 100,0)</f>
        <v>0</v>
      </c>
      <c r="BK287" s="136">
        <f>IF(SnapshotTable[[#This Row],[LP Premium]] &gt; 0, SnapshotTable[[#This Row],[LP Qty]] * SnapshotTable[[#This Row],[LP Strike Price]] * 100,0)</f>
        <v>0</v>
      </c>
      <c r="BL287" s="154"/>
      <c r="BM287" s="385" t="str">
        <f>IF(SnapshotTable[[#This Row],[LP Premium]] &gt; 0,SnapshotTable[[#This Row],[LP Exp Date]]-MAX(SnapshotTable[[#This Row],[LP Book Date]], SnapshotTable[[#This Row],[LP Fill Date]]),"")</f>
        <v/>
      </c>
      <c r="BN287" s="385" t="str">
        <f>IF(ISNUMBER( SnapshotTable[[#This Row],[LP Term]]), SnapshotTable[[#This Row],[LP Exp Date]] - MockToday,"")</f>
        <v/>
      </c>
      <c r="BO287" s="163"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7"/>
      <c r="BU287" s="13"/>
      <c r="BV287" s="5"/>
      <c r="BW287" s="419" t="b">
        <f>AND(ISNUMBER(SnapshotTable[[#This Row],[SP Exp Date]]), ISNUMBER(SnapshotTable[[#This Row],[SP Strike Price]]), ISNUMBER(SnapshotTable[[#This Row],[SP Qty]]), ISNUMBER(SnapshotTable[[#This Row],[SP Book Date]]), ISNUMBER(SnapshotTable[[#This Row],[SP Book Price]]))</f>
        <v>0</v>
      </c>
      <c r="BX287" s="419" t="b">
        <f>AND(SnapshotTable[[#This Row],[SP Is Booked]], NOT(ISBLANK(SnapshotTable[[#This Row],[SP Fill Date]])))</f>
        <v>0</v>
      </c>
      <c r="BY287" s="33">
        <f>IF(SnapshotTable[[#This Row],[SP Is Booked]], SnapshotTable[[#This Row],[SP Qty]] * SnapshotTable[[#This Row],[SP Book Price]] * 100, 0)</f>
        <v>0</v>
      </c>
      <c r="BZ287" s="369"/>
      <c r="CA287" s="368">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3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44"/>
      <c r="CK287" s="31">
        <f>IF(ISNUMBER(SnapshotTable[[#This Row],[SP Potential Spend]]),IF(ISNUMBER(SnapshotTable[[#This Row],[SP POW]]), SnapshotTable[[#This Row],[SP POW]] * SnapshotTable[[#This Row],[SP Potential Spend]], SnapshotTable[[#This Row],[SP Potential Spend]]), "")</f>
        <v>0</v>
      </c>
      <c r="CL287" s="164">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154"/>
      <c r="CO287" s="369"/>
      <c r="CP287" s="4" t="str">
        <f>IF(SnapshotTable[[#This Row],[SP Is Filled]], btc_max_buyback_amount(SnapshotTable[[#This Row],[SP Fill Date]],SnapshotTable[[#This Row],[SP Exp Date]], SnapshotTable[[#This Row],[SP Book Price]]),"")</f>
        <v/>
      </c>
      <c r="CQ287" s="78"/>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5" t="str">
        <f>IF(SnapshotTable[[#This Row],[SP Is Filled]], btc_next_cutoff_date(SnapshotTable[[#This Row],[SP Fill Date]],SnapshotTable[[#This Row],[SP Exp Date]]),"")</f>
        <v/>
      </c>
      <c r="CT287" s="23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56"/>
      <c r="CV287" s="235"/>
      <c r="CW287" s="378"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294" t="str">
        <f>IF(ISNUMBER((SnapshotTable[[#This Row],[SP Total Value]])), SnapshotTable[[#This Row],[SP Gain Loss]] / SnapshotTable[[#This Row],[SP Premium]], "")</f>
        <v/>
      </c>
      <c r="DI287" s="406"/>
      <c r="DJ287" s="138"/>
      <c r="DK287" s="148"/>
      <c r="DL287" s="147"/>
      <c r="DM287" s="147"/>
      <c r="DN287" s="5"/>
      <c r="DO287" s="31">
        <f>IF(SnapshotTable[[#This Row],[LC Symbol Count]]=1, SnapshotTable[[#This Row],[LC Qty]] * SnapshotTable[[#This Row],[LC Book Price]] * 100, 0)</f>
        <v>0</v>
      </c>
      <c r="DP287" s="289" t="str">
        <f>IF(AND(SnapshotTable[[#This Row],[LC Exp Date]]&gt;0, SnapshotTable[[#This Row],[LC Strike Price]]&gt;0,SnapshotTable[[#This Row],[LC Qty]]&gt;0,SnapshotTable[[#This Row],[LC Book Date]]&gt;0,SnapshotTable[[#This Row],[LC Book Price]]&gt;0,SnapshotTable[[#This Row],[LC Fill Date]]=0),"Y","")</f>
        <v/>
      </c>
      <c r="DQ287" s="386" t="str">
        <f>IF(SnapshotTable[[#This Row],[LC Premium]] &gt; 0,SnapshotTable[[#This Row],[LC Exp Date]]-MAX(SnapshotTable[[#This Row],[LC Book Date]], SnapshotTable[[#This Row],[LC Fill Date]]),"")</f>
        <v/>
      </c>
      <c r="DR287" s="386" t="str">
        <f>IF(ISNUMBER(SnapshotTable[[#This Row],[LC Term]]), SnapshotTable[[#This Row],[LC Exp Date]] - MockToday, "")</f>
        <v/>
      </c>
      <c r="DS287" s="234" t="str">
        <f>IF(SnapshotTable[[#This Row],[LC Premium]]&gt;0,SnapshotTable[[#This Row],[LC Strike Price]] + SnapshotTable[[#This Row],[LC Book Price]],"")</f>
        <v/>
      </c>
      <c r="DT287" s="5"/>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40" t="str">
        <f>IF(ISNUMBER(SnapshotTable[[#This Row],[LC Actual Gain Loss]]), SnapshotTable[[#This Row],[LC Actual Gain Loss]] / SnapshotTable[[#This Row],[LC Premium]],"")</f>
        <v/>
      </c>
      <c r="DX287" s="284" t="str">
        <f>IF(ISNUMBER(SnapshotTable[[#This Row],[LC Book Price]]),SnapshotTable[[#This Row],[LC Book Price]] * 1.5,"")</f>
        <v/>
      </c>
      <c r="DY287" s="265" t="str">
        <f>IF(SnapshotTable[[#This Row],[LC Premium]]&gt;0, SnapshotTable[[#This Row],[LC Next Target]] * SnapshotTable[[#This Row],[LC Qty]] * 100,"")</f>
        <v/>
      </c>
      <c r="DZ287" s="265" t="str">
        <f>IF(ISNUMBER(SnapshotTable[[#This Row],[LC Target Gross]]), SnapshotTable[[#This Row],[LC Target Gross]] - SnapshotTable[[#This Row],[LC Premium]], "")</f>
        <v/>
      </c>
      <c r="EA287" s="305" t="str">
        <f>IF(ISNUMBER(SnapshotTable[[#This Row],[LC Target Gain Loss]]), SnapshotTable[[#This Row],[LC Target Gain Loss]]/SnapshotTable[[#This Row],[LC Premium]], "")</f>
        <v/>
      </c>
      <c r="EB287" s="262"/>
      <c r="EC287" s="283" t="str">
        <f>IF(SnapshotTable[[#This Row],[LC Premium]]&gt;0, SnapshotTable[[#This Row],[LC Book Price]] * (1 - LC_StopLoss_Pct),"")</f>
        <v/>
      </c>
      <c r="ED287" s="284"/>
      <c r="EE287" s="28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4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7"/>
      <c r="EL287" s="138"/>
      <c r="EM287" s="148"/>
      <c r="EN287" s="147"/>
      <c r="EO287" s="147"/>
      <c r="EP287" s="138"/>
      <c r="EQ287" s="419" t="b">
        <f>AND(ISNUMBER(SnapshotTable[[#This Row],[SC Exp Date]]), ISNUMBER(SnapshotTable[[#This Row],[SC Strike Price]]), ISNUMBER(SnapshotTable[[#This Row],[SC Qty]]), ISNUMBER(SnapshotTable[[#This Row],[SC Book Date]]), ISNUMBER(SnapshotTable[[#This Row],[SC Book Price]]))</f>
        <v>0</v>
      </c>
      <c r="ER287" s="419" t="b">
        <f>AND(SnapshotTable[[#This Row],[SC Is Booked]], NOT(ISBLANK(SnapshotTable[[#This Row],[SC Fill Date]])))</f>
        <v>0</v>
      </c>
      <c r="ES287" s="370"/>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3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283"/>
      <c r="FA287" s="218"/>
      <c r="FB287" s="370"/>
      <c r="FC287" s="4">
        <f>IF(SnapshotTable[[#This Row],[SC Is Filled]], btc_max_buyback_amount(SnapshotTable[[#This Row],[SC Fill Date]],SnapshotTable[[#This Row],[SC Exp Date]], SnapshotTable[[#This Row],[SC Book Price]]),0)</f>
        <v>0</v>
      </c>
      <c r="FD287" s="5"/>
      <c r="FE287" s="144"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382">
        <f>IF(SnapshotTable[[#This Row],[SC Is Filled]], IF(ISNUMBER(SnapshotTable[[#This Row],[SC Current Ask]]), SnapshotTable[[#This Row],[SC Current Ask]], SnapshotTable[[#This Row],[SC Book Price]]) - SnapshotTable[[#This Row],[SC Intrinsic Value]], 0)</f>
        <v>0</v>
      </c>
      <c r="FI287" s="143"/>
      <c r="FJ287" s="32" t="str">
        <f>IF(SnapshotTable[[#This Row],[SC Is Filled]],100 * SnapshotTable[[#This Row],[SC Qty]] * IF(ISNUMBER(SnapshotTable[[#This Row],[SC Buyback Override]]), SnapshotTable[[#This Row],[SC Buyback Override]], SnapshotTable[[#This Row],[SC Current Ask]]), "")</f>
        <v/>
      </c>
      <c r="FK287" s="250" t="str">
        <f>IF(SnapshotTable[[#This Row],[SC Time Val]]&gt;0, SnapshotTable[[#This Row],[SC Time Val]] / SnapshotTable[[#This Row],[Last Price]],"")</f>
        <v/>
      </c>
      <c r="FL287" s="302" t="str">
        <f>IF(SnapshotTable[[#This Row],[SC Is Booked]], ((SnapshotTable[[#This Row],[Last Price]] -SnapshotTable[[#This Row],[SC Strike Price]]) / SnapshotTable[[#This Row],[Last Price]]) * -1, "")</f>
        <v/>
      </c>
      <c r="FM287" s="157" t="str">
        <f>IF(SnapshotTable[[#This Row],[SC Is Booked]],  (SnapshotTable[[#This Row],[SC Qty]] * 100 * SnapshotTable[[#This Row],[SC Strike Price]]) - SnapshotTable[[#This Row],[SC Current Ask]], "")</f>
        <v/>
      </c>
      <c r="FN28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157"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33"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36" t="str">
        <f>IF(AND(ISNUMBER(SnapshotTable[[#This Row],[SC Simple ROO]]),SnapshotTable[[#This Row],[SC Simple ROO]] &gt; 0), SnapshotTable[[#This Row],[SC Premium]] + (SnapshotTable[[#This Row],[SC Qty]] * SnapshotTable[[#This Row],[SC Upside Potential]]), "")</f>
        <v/>
      </c>
      <c r="FX287" s="302" t="str" cm="1">
        <f t="array" ref="FX287">IF(ISNUMBER(SnapshotTable[[#This Row],[SC Max Dollars]]), annualize(SnapshotTable[[#This Row],[SC Term]],(SnapshotTable[[#This Row],[SC Max Dollars]]/SnapshotTable[[#This Row],[SC Basis]])),"")</f>
        <v/>
      </c>
      <c r="FY287" s="236" t="str">
        <f>IF(AND(SnapshotTable[[#This Row],[SC Qty]]&gt;0,SnapshotTable[[#This Row],[SC Current Ask]]&gt;0), SnapshotTable[[#This Row],[SC Qty]] * SnapshotTable[[#This Row],[SC Current Ask]] * -100, "")</f>
        <v/>
      </c>
      <c r="FZ287" s="235" t="str">
        <f>IF(ISNUMBER((SnapshotTable[[#This Row],[SC Current Value]])), SnapshotTable[[#This Row],[SC Premium]] + SnapshotTable[[#This Row],[SC Current Value]], "")</f>
        <v/>
      </c>
      <c r="GA287" s="29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82.165499999999994</v>
      </c>
      <c r="GD287" s="40">
        <f>SnapshotTable[[#This Row],[Last Price]] * (1+ SellingPriceToConsiderBasedOnTargetPercentage)</f>
        <v>20.1435</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158" t="str">
        <f>IF(SnapshotTable[[#This Row],[Sale G/L]]&gt;0, SnapshotTable[[#This Row],[Sale G/L]] / SnapshotTable[[#This Row],[Sale Basis]], IF(ISNUMBER(SnapshotTable[[#This Row],[SC Exercise P&amp;L (TAX)]]), SnapshotTable[[#This Row],[SC Exercise P&amp;L (TAX)]] / SnapshotTable[[#This Row],[SC Basis]], ""))</f>
        <v/>
      </c>
      <c r="GK287" s="158"/>
      <c r="GL287" s="159"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159" t="str">
        <f>IF(AND(SnapshotTable[[#This Row],[LC Exp Date]]&gt;0,SnapshotTable[[#This Row],[LC Strike Price]]&gt;0), [1]!ToOptionSymbol(SnapshotTable[[#This Row],[Symbol]], SnapshotTable[[#This Row],[LC Strike Price]],SnapshotTable[[#This Row],[LC Exp Date]],0), "")</f>
        <v/>
      </c>
      <c r="GQ287" s="160" t="str">
        <f>IF(LEN(SnapshotTable[[#This Row],[LC Symbol]])&gt;0, 1, "")</f>
        <v/>
      </c>
      <c r="GR287" s="159" t="str">
        <f>IF(AND(SnapshotTable[[#This Row],[SC Exp Date]]&gt;0,SnapshotTable[[#This Row],[SC Strike Price]]&gt;0), [1]!ToOptionSymbol(SnapshotTable[[#This Row],[Symbol]], SnapshotTable[[#This Row],[SC Strike Price]],SnapshotTable[[#This Row],[SC Exp Date]],0), "")</f>
        <v/>
      </c>
      <c r="GS287" s="160" t="str">
        <f>IF(LEN(SnapshotTable[[#This Row],[SC Symbol]])&gt;0, 1, "")</f>
        <v/>
      </c>
      <c r="GT287" s="161"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31">
        <f>MAX(SnapshotTable[[#This Row],[Equity Basis Total]],SnapshotTable[[#This Row],[Equity Value]]) + (SnapshotTable[[#This Row],[SP Potential Spend]]- SnapshotTable[[#This Row],[SP Premium]] + SnapshotTable[[#This Row],[LP Premium]])+ (SnapshotTable[[#This Row],[LC Premium]] - SnapshotTable[[#This Row],[SC Premium]])</f>
        <v>0</v>
      </c>
      <c r="GW287" s="139" t="str">
        <f>IF(AND(SnapshotTable[[#This Row],[Exposure]] &lt;&gt; 0),SnapshotTable[[#This Row],[Exposure]] / SnapshotTable[[#Totals],[Exposure]], "")</f>
        <v/>
      </c>
      <c r="GY287" s="381"/>
      <c r="HE287" s="381"/>
      <c r="HF287" s="381"/>
      <c r="HG287" s="381"/>
      <c r="HH287" s="381"/>
      <c r="HI287" s="381"/>
      <c r="HJ287" s="381"/>
    </row>
    <row r="288" spans="2:224" s="47" customFormat="1" ht="12.75" hidden="1" customHeight="1" x14ac:dyDescent="0.25">
      <c r="B288" s="12" t="s">
        <v>1045</v>
      </c>
      <c r="C288" s="422">
        <v>53.72</v>
      </c>
      <c r="D288" s="208" t="s">
        <v>578</v>
      </c>
      <c r="E288" s="39">
        <f>SnapshotTable[[#This Row],[Last Price]]*(1 -CrashDiscount)</f>
        <v>45.661999999999999</v>
      </c>
      <c r="F288" s="26" t="s">
        <v>5</v>
      </c>
      <c r="G288" s="26" t="s">
        <v>4</v>
      </c>
      <c r="H288" s="149"/>
      <c r="I288" s="194"/>
      <c r="J288" s="195"/>
      <c r="K288" s="196"/>
      <c r="L288" s="326"/>
      <c r="M288" s="140"/>
      <c r="N288" s="140"/>
      <c r="O288" s="140"/>
      <c r="P288" s="22"/>
      <c r="Q288" s="25"/>
      <c r="R288" s="4" t="str">
        <f>IF(SnapshotTable[[#This Row],[Equity Basis Total]] &gt; 0, SnapshotTable[[#This Row],[Equity Basis Total]] / SnapshotTable[[#This Row],[Equity Shares]], "")</f>
        <v/>
      </c>
      <c r="S288" s="269">
        <f>SnapshotTable[[#This Row],[Last Price]] * SnapshotTable[[#This Row],[Equity Shares]]</f>
        <v>0</v>
      </c>
      <c r="T288" s="269">
        <f>SnapshotTable[[#This Row],[Equity Value]] - SnapshotTable[[#This Row],[Equity Basis Total]]</f>
        <v>0</v>
      </c>
      <c r="U288" s="270" t="str">
        <f>IF(SnapshotTable[[#This Row],[Equity Basis Total]] &gt; 0, SnapshotTable[[#This Row],[Equity G/L]] / SnapshotTable[[#This Row],[Equity Basis Total]], "")</f>
        <v/>
      </c>
      <c r="V288" s="268"/>
      <c r="W288" s="26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7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0"/>
      <c r="AD288" s="151"/>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1"/>
      <c r="AI288" s="5"/>
      <c r="AJ288" s="138"/>
      <c r="AK288" s="152" t="str">
        <f>IF(ISNUMBER( SnapshotTable[[#This Row],[EBF Target]]),(SnapshotTable[[#This Row],[EBF Target]] - SnapshotTable[[#This Row],[Last Price]]) / SnapshotTable[[#This Row],[Last Price]], "")</f>
        <v/>
      </c>
      <c r="AL288" s="152"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2" t="str">
        <f>IF(AND(ISNUMBER( SnapshotTable[[#This Row],[Long Term Target]]), ISNUMBER(SnapshotTable[[#This Row],[Last Price]])),(SnapshotTable[[#This Row],[Long Term Target]] - SnapshotTable[[#This Row],[Last Price]]) / SnapshotTable[[#This Row],[Last Price]], "")</f>
        <v/>
      </c>
      <c r="AP288" s="5"/>
      <c r="AQ288" s="38"/>
      <c r="AR288" s="5"/>
      <c r="AS288" s="38"/>
      <c r="AT288" s="146"/>
      <c r="AU288" s="187" t="str">
        <f>IF(OR(SnapshotTable[[#This Row],[LP No Fill]]="Y",SnapshotTable[[#This Row],[SP Is Filled]],SnapshotTable[[#This Row],[LC Not Filled]]="Y",SnapshotTable[[#This Row],[SC Is Filled]]),"Y","")</f>
        <v/>
      </c>
      <c r="AV288" s="219"/>
      <c r="AW288" s="225"/>
      <c r="AX288" s="220"/>
      <c r="AY288" s="219" t="str">
        <f>IF(SnapshotTable[[#This Row],[Implied Move]]&gt;0, SnapshotTable[[#This Row],[Last Price]]-SnapshotTable[[#This Row],[Implied Move]],"")</f>
        <v/>
      </c>
      <c r="AZ288" s="219" t="str">
        <f>IF(SnapshotTable[[#This Row],[Implied Move]]&gt;0, SnapshotTable[[#This Row],[Last Price]] + SnapshotTable[[#This Row],[Implied Move]],"")</f>
        <v/>
      </c>
      <c r="BA288" s="331">
        <v>75.3</v>
      </c>
      <c r="BB288" s="347"/>
      <c r="BC2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8" s="351"/>
      <c r="BE288" s="5"/>
      <c r="BF288" s="14"/>
      <c r="BG288" s="13"/>
      <c r="BH288" s="13"/>
      <c r="BI288" s="5"/>
      <c r="BJ288" s="136">
        <f>IF(SnapshotTable[[#This Row],[LP Qty]] &gt; 0, SnapshotTable[[#This Row],[LP Qty]] * SnapshotTable[[#This Row],[LP Book Price]] * 100,0)</f>
        <v>0</v>
      </c>
      <c r="BK288" s="136">
        <f>IF(SnapshotTable[[#This Row],[LP Premium]] &gt; 0, SnapshotTable[[#This Row],[LP Qty]] * SnapshotTable[[#This Row],[LP Strike Price]] * 100,0)</f>
        <v>0</v>
      </c>
      <c r="BL288" s="154"/>
      <c r="BM288" s="385" t="str">
        <f>IF(SnapshotTable[[#This Row],[LP Premium]] &gt; 0,SnapshotTable[[#This Row],[LP Exp Date]]-MAX(SnapshotTable[[#This Row],[LP Book Date]], SnapshotTable[[#This Row],[LP Fill Date]]),"")</f>
        <v/>
      </c>
      <c r="BN288" s="385" t="str">
        <f>IF(ISNUMBER( SnapshotTable[[#This Row],[LP Term]]), SnapshotTable[[#This Row],[LP Exp Date]] - MockToday,"")</f>
        <v/>
      </c>
      <c r="BO288" s="163"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7"/>
      <c r="BU288" s="13"/>
      <c r="BV288" s="5"/>
      <c r="BW288" s="419" t="b">
        <f>AND(ISNUMBER(SnapshotTable[[#This Row],[SP Exp Date]]), ISNUMBER(SnapshotTable[[#This Row],[SP Strike Price]]), ISNUMBER(SnapshotTable[[#This Row],[SP Qty]]), ISNUMBER(SnapshotTable[[#This Row],[SP Book Date]]), ISNUMBER(SnapshotTable[[#This Row],[SP Book Price]]))</f>
        <v>0</v>
      </c>
      <c r="BX288" s="419" t="b">
        <f>AND(SnapshotTable[[#This Row],[SP Is Booked]], NOT(ISBLANK(SnapshotTable[[#This Row],[SP Fill Date]])))</f>
        <v>0</v>
      </c>
      <c r="BY288" s="33">
        <f>IF(SnapshotTable[[#This Row],[SP Is Booked]], SnapshotTable[[#This Row],[SP Qty]] * SnapshotTable[[#This Row],[SP Book Price]] * 100, 0)</f>
        <v>0</v>
      </c>
      <c r="BZ288" s="369"/>
      <c r="CA288" s="368">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3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44"/>
      <c r="CK288" s="31">
        <f>IF(ISNUMBER(SnapshotTable[[#This Row],[SP Potential Spend]]),IF(ISNUMBER(SnapshotTable[[#This Row],[SP POW]]), SnapshotTable[[#This Row],[SP POW]] * SnapshotTable[[#This Row],[SP Potential Spend]], SnapshotTable[[#This Row],[SP Potential Spend]]), "")</f>
        <v>0</v>
      </c>
      <c r="CL288" s="164">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218"/>
      <c r="CO288" s="369"/>
      <c r="CP288" s="4" t="str">
        <f>IF(SnapshotTable[[#This Row],[SP Is Filled]], btc_max_buyback_amount(SnapshotTable[[#This Row],[SP Fill Date]],SnapshotTable[[#This Row],[SP Exp Date]], SnapshotTable[[#This Row],[SP Book Price]]),"")</f>
        <v/>
      </c>
      <c r="CQ288" s="78"/>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5" t="str">
        <f>IF(SnapshotTable[[#This Row],[SP Is Filled]], btc_next_cutoff_date(SnapshotTable[[#This Row],[SP Fill Date]],SnapshotTable[[#This Row],[SP Exp Date]]),"")</f>
        <v/>
      </c>
      <c r="CT288" s="23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3"/>
      <c r="CV288" s="235"/>
      <c r="CW288" s="378"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294" t="str">
        <f>IF(ISNUMBER((SnapshotTable[[#This Row],[SP Total Value]])), SnapshotTable[[#This Row],[SP Gain Loss]] / SnapshotTable[[#This Row],[SP Premium]], "")</f>
        <v/>
      </c>
      <c r="DI288" s="406"/>
      <c r="DJ288" s="138"/>
      <c r="DK288" s="148"/>
      <c r="DL288" s="13"/>
      <c r="DM288" s="13"/>
      <c r="DN288" s="5"/>
      <c r="DO288" s="31">
        <f>IF(SnapshotTable[[#This Row],[LC Symbol Count]]=1, SnapshotTable[[#This Row],[LC Qty]] * SnapshotTable[[#This Row],[LC Book Price]] * 100, 0)</f>
        <v>0</v>
      </c>
      <c r="DP288" s="163" t="str">
        <f>IF(AND(SnapshotTable[[#This Row],[LC Exp Date]]&gt;0, SnapshotTable[[#This Row],[LC Strike Price]]&gt;0,SnapshotTable[[#This Row],[LC Qty]]&gt;0,SnapshotTable[[#This Row],[LC Book Date]]&gt;0,SnapshotTable[[#This Row],[LC Book Price]]&gt;0,SnapshotTable[[#This Row],[LC Fill Date]]=0),"Y","")</f>
        <v/>
      </c>
      <c r="DQ288" s="386" t="str">
        <f>IF(SnapshotTable[[#This Row],[LC Premium]] &gt; 0,SnapshotTable[[#This Row],[LC Exp Date]]-MAX(SnapshotTable[[#This Row],[LC Book Date]], SnapshotTable[[#This Row],[LC Fill Date]]),"")</f>
        <v/>
      </c>
      <c r="DR288" s="386" t="str">
        <f>IF(ISNUMBER(SnapshotTable[[#This Row],[LC Term]]), SnapshotTable[[#This Row],[LC Exp Date]] - MockToday, "")</f>
        <v/>
      </c>
      <c r="DS288" s="234" t="str">
        <f>IF(SnapshotTable[[#This Row],[LC Premium]]&gt;0,SnapshotTable[[#This Row],[LC Strike Price]] + SnapshotTable[[#This Row],[LC Book Price]],"")</f>
        <v/>
      </c>
      <c r="DT288" s="5"/>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40" t="str">
        <f>IF(ISNUMBER(SnapshotTable[[#This Row],[LC Actual Gain Loss]]), SnapshotTable[[#This Row],[LC Actual Gain Loss]] / SnapshotTable[[#This Row],[LC Premium]],"")</f>
        <v/>
      </c>
      <c r="DX288" s="284" t="str">
        <f>IF(ISNUMBER(SnapshotTable[[#This Row],[LC Book Price]]),SnapshotTable[[#This Row],[LC Book Price]] * 1.5,"")</f>
        <v/>
      </c>
      <c r="DY288" s="265" t="str">
        <f>IF(SnapshotTable[[#This Row],[LC Premium]]&gt;0, SnapshotTable[[#This Row],[LC Next Target]] * SnapshotTable[[#This Row],[LC Qty]] * 100,"")</f>
        <v/>
      </c>
      <c r="DZ288" s="265" t="str">
        <f>IF(ISNUMBER(SnapshotTable[[#This Row],[LC Target Gross]]), SnapshotTable[[#This Row],[LC Target Gross]] - SnapshotTable[[#This Row],[LC Premium]], "")</f>
        <v/>
      </c>
      <c r="EA288" s="305" t="str">
        <f>IF(ISNUMBER(SnapshotTable[[#This Row],[LC Target Gain Loss]]), SnapshotTable[[#This Row],[LC Target Gain Loss]]/SnapshotTable[[#This Row],[LC Premium]], "")</f>
        <v/>
      </c>
      <c r="EB288" s="262"/>
      <c r="EC288" s="283" t="str">
        <f>IF(SnapshotTable[[#This Row],[LC Premium]]&gt;0, SnapshotTable[[#This Row],[LC Book Price]] * (1 - LC_StopLoss_Pct),"")</f>
        <v/>
      </c>
      <c r="ED288" s="284"/>
      <c r="EE288" s="28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0</v>
      </c>
      <c r="EI288" s="24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0</v>
      </c>
      <c r="EK288" s="147"/>
      <c r="EL288" s="138"/>
      <c r="EM288" s="148"/>
      <c r="EN288" s="147"/>
      <c r="EO288" s="147"/>
      <c r="EP288" s="138"/>
      <c r="EQ288" s="419" t="b">
        <f>AND(ISNUMBER(SnapshotTable[[#This Row],[SC Exp Date]]), ISNUMBER(SnapshotTable[[#This Row],[SC Strike Price]]), ISNUMBER(SnapshotTable[[#This Row],[SC Qty]]), ISNUMBER(SnapshotTable[[#This Row],[SC Book Date]]), ISNUMBER(SnapshotTable[[#This Row],[SC Book Price]]))</f>
        <v>0</v>
      </c>
      <c r="ER288" s="419" t="b">
        <f>AND(SnapshotTable[[#This Row],[SC Is Booked]], NOT(ISBLANK(SnapshotTable[[#This Row],[SC Fill Date]])))</f>
        <v>0</v>
      </c>
      <c r="ES288" s="370"/>
      <c r="ET288" s="34" t="str">
        <f>IF(AND(ISNUMBER(SnapshotTable[[#This Row],[SC Exp Date]]), ISNUMBER(SnapshotTable[[#This Row],[SC Book Date]])), SnapshotTable[[#This Row],[SC Exp Date]] - MAX(SnapshotTable[[#This Row],[SC Book Date]], SnapshotTable[[#This Row],[SC Fill Date]]) + 1, "")</f>
        <v/>
      </c>
      <c r="EU288" s="34" t="str">
        <f>IF(ISNUMBER(SnapshotTable[[#This Row],[SC Term]]), SnapshotTable[[#This Row],[SC Exp Date]]- MockToday, "")</f>
        <v/>
      </c>
      <c r="EV288" s="31">
        <f>IF(SnapshotTable[[#This Row],[SC Is Booked]], SnapshotTable[[#This Row],[SC Qty]] * SnapshotTable[[#This Row],[SC Book Price]] * 100, 0)</f>
        <v>0</v>
      </c>
      <c r="EW288" s="4" t="str">
        <f>IF(AND(ISNUMBER(SnapshotTable[[#This Row],[Last Price]]), ISNUMBER( SnapshotTable[[#This Row],[SC Book Price]])), SnapshotTable[[#This Row],[Last Price]] - SnapshotTable[[#This Row],[SC Book Price]],"")</f>
        <v/>
      </c>
      <c r="EX288" s="234" t="str">
        <f>IF(SnapshotTable[[#This Row],[SC Is Booked]],IF(SnapshotTable[[#This Row],[SC Intrinsic Value]] &gt; 0, SnapshotTable[[#This Row],[SC Strike Price]], SnapshotTable[[#This Row],[Last Price]]), "")</f>
        <v/>
      </c>
      <c r="EY288" s="4">
        <f>IF(SnapshotTable[[#This Row],[SC Is Booked]], (MinimumPremiumRequired * SnapshotTable[[#This Row],[SC Basis]] * SnapshotTable[[#This Row],[SC Term]]), 0)</f>
        <v>0</v>
      </c>
      <c r="EZ288" s="283"/>
      <c r="FA288" s="218"/>
      <c r="FB288" s="370"/>
      <c r="FC288" s="4">
        <f>IF(SnapshotTable[[#This Row],[SC Is Filled]], btc_max_buyback_amount(SnapshotTable[[#This Row],[SC Fill Date]],SnapshotTable[[#This Row],[SC Exp Date]], SnapshotTable[[#This Row],[SC Book Price]]),0)</f>
        <v>0</v>
      </c>
      <c r="FD288" s="5"/>
      <c r="FE288" s="144"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382">
        <f>IF(SnapshotTable[[#This Row],[SC Is Filled]], IF(ISNUMBER(SnapshotTable[[#This Row],[SC Current Ask]]), SnapshotTable[[#This Row],[SC Current Ask]], SnapshotTable[[#This Row],[SC Book Price]]) - SnapshotTable[[#This Row],[SC Intrinsic Value]], 0)</f>
        <v>0</v>
      </c>
      <c r="FI288" s="143"/>
      <c r="FJ288" s="32" t="str">
        <f>IF(SnapshotTable[[#This Row],[SC Is Filled]],100 * SnapshotTable[[#This Row],[SC Qty]] * IF(ISNUMBER(SnapshotTable[[#This Row],[SC Buyback Override]]), SnapshotTable[[#This Row],[SC Buyback Override]], SnapshotTable[[#This Row],[SC Current Ask]]), "")</f>
        <v/>
      </c>
      <c r="FK288" s="250" t="str">
        <f>IF(SnapshotTable[[#This Row],[SC Time Val]]&gt;0, SnapshotTable[[#This Row],[SC Time Val]] / SnapshotTable[[#This Row],[Last Price]],"")</f>
        <v/>
      </c>
      <c r="FL288" s="302" t="str">
        <f>IF(SnapshotTable[[#This Row],[SC Is Booked]], ((SnapshotTable[[#This Row],[Last Price]] -SnapshotTable[[#This Row],[SC Strike Price]]) / SnapshotTable[[#This Row],[Last Price]]) * -1, "")</f>
        <v/>
      </c>
      <c r="FM288" s="157" t="str">
        <f>IF(SnapshotTable[[#This Row],[SC Is Booked]],  (SnapshotTable[[#This Row],[SC Qty]] * 100 * SnapshotTable[[#This Row],[SC Strike Price]]) - SnapshotTable[[#This Row],[SC Current Ask]], "")</f>
        <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t="str">
        <f>IF(ISNUMBER(SnapshotTable[[#This Row],[SC Exercise Gross]]), (SnapshotTable[[#This Row],[SC Exercise Gross]]) / (SnapshotTable[[#This Row],[SC Qty]] * 100), "")</f>
        <v/>
      </c>
      <c r="FQ288" s="27" t="str">
        <f>IF(SnapshotTable[[#This Row],[SC Is Booked]],SnapshotTable[[#This Row],[SC Time Val]] /SnapshotTable[[#This Row],[SC Basis]], "")</f>
        <v/>
      </c>
      <c r="FR288" s="27" t="str" cm="1">
        <f t="array" ref="FR288">IF(AND(ISNUMBER(SnapshotTable[[#This Row],[SC Term]]),ISNUMBER(SnapshotTable[[#This Row],[SC Simple ROO]])), EllmanAnnualize(SnapshotTable[[#This Row],[SC DTE]], SnapshotTable[[#This Row],[SC Simple ROO]] ),"")</f>
        <v/>
      </c>
      <c r="FS288" s="4">
        <f>IF(SnapshotTable[[#This Row],[SC Strike Price]] &gt; SnapshotTable[[#This Row],[Last Price]], SnapshotTable[[#This Row],[SC Strike Price]] - SnapshotTable[[#This Row],[Last Price]],0)</f>
        <v>0</v>
      </c>
      <c r="FT288" s="27" t="str">
        <f>IF(AND(ISNUMBER(SnapshotTable[[#This Row],[SC Upside Potential]]), SnapshotTable[[#This Row],[SC Upside Potential]] &gt; 0),(SnapshotTable[[#This Row],[SC Upside Potential]]/ SnapshotTable[[#This Row],[ACB]]),"")</f>
        <v/>
      </c>
      <c r="FU288" s="333"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36" t="str">
        <f>IF(AND(ISNUMBER(SnapshotTable[[#This Row],[SC Simple ROO]]),SnapshotTable[[#This Row],[SC Simple ROO]] &gt; 0), SnapshotTable[[#This Row],[SC Premium]] + (SnapshotTable[[#This Row],[SC Qty]] * SnapshotTable[[#This Row],[SC Upside Potential]]), "")</f>
        <v/>
      </c>
      <c r="FX288" s="302" t="str" cm="1">
        <f t="array" ref="FX288">IF(ISNUMBER(SnapshotTable[[#This Row],[SC Max Dollars]]), annualize(SnapshotTable[[#This Row],[SC Term]],(SnapshotTable[[#This Row],[SC Max Dollars]]/SnapshotTable[[#This Row],[SC Basis]])),"")</f>
        <v/>
      </c>
      <c r="FY288" s="23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29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104.75399999999999</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
      </c>
      <c r="GQ288" s="30" t="str">
        <f>IF(LEN(SnapshotTable[[#This Row],[LC Symbol]])&gt;0, 1, "")</f>
        <v/>
      </c>
      <c r="GR288" s="43" t="str">
        <f>IF(AND(SnapshotTable[[#This Row],[SC Exp Date]]&gt;0,SnapshotTable[[#This Row],[SC Strike Price]]&gt;0), [1]!ToOptionSymbol(SnapshotTable[[#This Row],[Symbol]], SnapshotTable[[#This Row],[SC Strike Price]],SnapshotTable[[#This Row],[SC Exp Date]],0), "")</f>
        <v/>
      </c>
      <c r="GS288" s="30" t="str">
        <f>IF(LEN(SnapshotTable[[#This Row],[SC Symbol]])&gt;0, 1, "")</f>
        <v/>
      </c>
      <c r="GT288" s="29" t="str">
        <f>IF(COUNT(SnapshotTable[[#This Row],[LP Symbol Count]],SnapshotTable[[#This Row],[SP Symbol Count]],SnapshotTable[[#This Row],[LC Symbol Count]],SnapshotTable[[#This Row],[SC Symbol Count]])&gt;0, "Y", "")</f>
        <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8" s="231">
        <f>MAX(SnapshotTable[[#This Row],[Equity Basis Total]],SnapshotTable[[#This Row],[Equity Value]]) + (SnapshotTable[[#This Row],[SP Potential Spend]]- SnapshotTable[[#This Row],[SP Premium]] + SnapshotTable[[#This Row],[LP Premium]])+ (SnapshotTable[[#This Row],[LC Premium]] - SnapshotTable[[#This Row],[SC Premium]])</f>
        <v>0</v>
      </c>
      <c r="GW288" s="139" t="str">
        <f>IF(AND(SnapshotTable[[#This Row],[Exposure]] &lt;&gt; 0),SnapshotTable[[#This Row],[Exposure]] / SnapshotTable[[#Totals],[Exposure]], "")</f>
        <v/>
      </c>
      <c r="GY288" s="381"/>
      <c r="HE288" s="381"/>
      <c r="HF288" s="381"/>
      <c r="HG288" s="381"/>
      <c r="HH288" s="381"/>
      <c r="HI288" s="381"/>
      <c r="HJ288" s="381"/>
    </row>
    <row r="289" spans="2:224" s="47" customFormat="1" ht="12.75" hidden="1" customHeight="1" x14ac:dyDescent="0.25">
      <c r="B289" s="12" t="s">
        <v>591</v>
      </c>
      <c r="C289" s="422">
        <v>8.92</v>
      </c>
      <c r="D289" s="208" t="s">
        <v>587</v>
      </c>
      <c r="E289" s="39">
        <f>SnapshotTable[[#This Row],[Last Price]]*(1 -CrashDiscount)</f>
        <v>7.5819999999999999</v>
      </c>
      <c r="F289" s="26" t="s">
        <v>592</v>
      </c>
      <c r="G289" s="26" t="s">
        <v>9</v>
      </c>
      <c r="H289" s="149"/>
      <c r="I289" s="194">
        <v>44768.670138888891</v>
      </c>
      <c r="J289" s="195">
        <v>44768.670138888891</v>
      </c>
      <c r="K289" s="196"/>
      <c r="L289" s="326"/>
      <c r="M289" s="140"/>
      <c r="N289" s="140"/>
      <c r="O289" s="140"/>
      <c r="P289" s="22"/>
      <c r="Q289" s="25"/>
      <c r="R289" s="4" t="str">
        <f>IF(SnapshotTable[[#This Row],[Equity Basis Total]] &gt; 0, SnapshotTable[[#This Row],[Equity Basis Total]] / SnapshotTable[[#This Row],[Equity Shares]], "")</f>
        <v/>
      </c>
      <c r="S289" s="269">
        <f>SnapshotTable[[#This Row],[Last Price]] * SnapshotTable[[#This Row],[Equity Shares]]</f>
        <v>0</v>
      </c>
      <c r="T289" s="269">
        <f>SnapshotTable[[#This Row],[Equity Value]] - SnapshotTable[[#This Row],[Equity Basis Total]]</f>
        <v>0</v>
      </c>
      <c r="U289" s="270" t="str">
        <f>IF(SnapshotTable[[#This Row],[Equity Basis Total]] &gt; 0, SnapshotTable[[#This Row],[Equity G/L]] / SnapshotTable[[#This Row],[Equity Basis Total]], "")</f>
        <v/>
      </c>
      <c r="V289" s="268"/>
      <c r="W289" s="26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7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0"/>
      <c r="AD289" s="151"/>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1"/>
      <c r="AI289" s="5"/>
      <c r="AJ289" s="138">
        <v>57.66</v>
      </c>
      <c r="AK289" s="152" t="str">
        <f>IF(ISNUMBER( SnapshotTable[[#This Row],[EBF Target]]),(SnapshotTable[[#This Row],[EBF Target]] - SnapshotTable[[#This Row],[Last Price]]) / SnapshotTable[[#This Row],[Last Price]], "")</f>
        <v/>
      </c>
      <c r="AL289" s="152"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2">
        <f>IF(AND(ISNUMBER( SnapshotTable[[#This Row],[Long Term Target]]), ISNUMBER(SnapshotTable[[#This Row],[Last Price]])),(SnapshotTable[[#This Row],[Long Term Target]] - SnapshotTable[[#This Row],[Last Price]]) / SnapshotTable[[#This Row],[Last Price]], "")</f>
        <v>5.4641255605381165</v>
      </c>
      <c r="AP289" s="5">
        <v>43</v>
      </c>
      <c r="AQ289" s="38" t="s">
        <v>38</v>
      </c>
      <c r="AR289" s="5">
        <v>43</v>
      </c>
      <c r="AS289" s="38" t="s">
        <v>26</v>
      </c>
      <c r="AT289" s="146" t="s">
        <v>538</v>
      </c>
      <c r="AU289" s="187" t="str">
        <f>IF(OR(SnapshotTable[[#This Row],[LP No Fill]]="Y",SnapshotTable[[#This Row],[SP Is Filled]],SnapshotTable[[#This Row],[LC Not Filled]]="Y",SnapshotTable[[#This Row],[SC Is Filled]]),"Y","")</f>
        <v/>
      </c>
      <c r="AV289" s="219"/>
      <c r="AW289" s="225"/>
      <c r="AX289" s="220"/>
      <c r="AY289" s="219" t="str">
        <f>IF(SnapshotTable[[#This Row],[Implied Move]]&gt;0, SnapshotTable[[#This Row],[Last Price]]-SnapshotTable[[#This Row],[Implied Move]],"")</f>
        <v/>
      </c>
      <c r="AZ289" s="219" t="str">
        <f>IF(SnapshotTable[[#This Row],[Implied Move]]&gt;0, SnapshotTable[[#This Row],[Last Price]] + SnapshotTable[[#This Row],[Implied Move]],"")</f>
        <v/>
      </c>
      <c r="BA289" s="331">
        <v>41.71</v>
      </c>
      <c r="BB289" s="347"/>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51"/>
      <c r="BE289" s="138"/>
      <c r="BF289" s="166"/>
      <c r="BG289" s="167"/>
      <c r="BH289" s="167"/>
      <c r="BI289" s="5"/>
      <c r="BJ289" s="153">
        <f>IF(SnapshotTable[[#This Row],[LP Qty]] &gt; 0, SnapshotTable[[#This Row],[LP Qty]] * SnapshotTable[[#This Row],[LP Book Price]] * 100,0)</f>
        <v>0</v>
      </c>
      <c r="BK289" s="136">
        <f>IF(SnapshotTable[[#This Row],[LP Premium]] &gt; 0, SnapshotTable[[#This Row],[LP Qty]] * SnapshotTable[[#This Row],[LP Strike Price]] * 100,0)</f>
        <v>0</v>
      </c>
      <c r="BL289" s="154"/>
      <c r="BM289" s="385" t="str">
        <f>IF(SnapshotTable[[#This Row],[LP Premium]] &gt; 0,SnapshotTable[[#This Row],[LP Exp Date]]-MAX(SnapshotTable[[#This Row],[LP Book Date]], SnapshotTable[[#This Row],[LP Fill Date]]),"")</f>
        <v/>
      </c>
      <c r="BN289" s="385" t="str">
        <f>IF(ISNUMBER( SnapshotTable[[#This Row],[LP Term]]), SnapshotTable[[#This Row],[LP Exp Date]] - MockToday,"")</f>
        <v/>
      </c>
      <c r="BO289" s="163"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7"/>
      <c r="BU289" s="13"/>
      <c r="BV289" s="5"/>
      <c r="BW289" s="419" t="b">
        <f>AND(ISNUMBER(SnapshotTable[[#This Row],[SP Exp Date]]), ISNUMBER(SnapshotTable[[#This Row],[SP Strike Price]]), ISNUMBER(SnapshotTable[[#This Row],[SP Qty]]), ISNUMBER(SnapshotTable[[#This Row],[SP Book Date]]), ISNUMBER(SnapshotTable[[#This Row],[SP Book Price]]))</f>
        <v>0</v>
      </c>
      <c r="BX289" s="419" t="b">
        <f>AND(SnapshotTable[[#This Row],[SP Is Booked]], NOT(ISBLANK(SnapshotTable[[#This Row],[SP Fill Date]])))</f>
        <v>0</v>
      </c>
      <c r="BY289" s="33">
        <f>IF(SnapshotTable[[#This Row],[SP Is Booked]], SnapshotTable[[#This Row],[SP Qty]] * SnapshotTable[[#This Row],[SP Book Price]] * 100, 0)</f>
        <v>0</v>
      </c>
      <c r="BZ289" s="369"/>
      <c r="CA289" s="368">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3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44"/>
      <c r="CK289" s="31">
        <f>IF(ISNUMBER(SnapshotTable[[#This Row],[SP Potential Spend]]),IF(ISNUMBER(SnapshotTable[[#This Row],[SP POW]]), SnapshotTable[[#This Row],[SP POW]] * SnapshotTable[[#This Row],[SP Potential Spend]], SnapshotTable[[#This Row],[SP Potential Spend]]), "")</f>
        <v>0</v>
      </c>
      <c r="CL289" s="164">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218"/>
      <c r="CO289" s="369"/>
      <c r="CP289" s="4" t="str">
        <f>IF(SnapshotTable[[#This Row],[SP Is Filled]], btc_max_buyback_amount(SnapshotTable[[#This Row],[SP Fill Date]],SnapshotTable[[#This Row],[SP Exp Date]], SnapshotTable[[#This Row],[SP Book Price]]),"")</f>
        <v/>
      </c>
      <c r="CQ289" s="78"/>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5" t="str">
        <f>IF(SnapshotTable[[#This Row],[SP Is Filled]], btc_next_cutoff_date(SnapshotTable[[#This Row],[SP Fill Date]],SnapshotTable[[#This Row],[SP Exp Date]]),"")</f>
        <v/>
      </c>
      <c r="CT289" s="23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6">
        <v>44750</v>
      </c>
      <c r="CV289" s="235"/>
      <c r="CW289" s="378"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4"/>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294" t="str">
        <f>IF(ISNUMBER((SnapshotTable[[#This Row],[SP Total Value]])), SnapshotTable[[#This Row],[SP Gain Loss]] / SnapshotTable[[#This Row],[SP Premium]], "")</f>
        <v/>
      </c>
      <c r="DI289" s="406"/>
      <c r="DJ289" s="138"/>
      <c r="DK289" s="148"/>
      <c r="DL289" s="147"/>
      <c r="DM289" s="147"/>
      <c r="DN289" s="5"/>
      <c r="DO289" s="31">
        <f>IF(SnapshotTable[[#This Row],[LC Symbol Count]]=1, SnapshotTable[[#This Row],[LC Qty]] * SnapshotTable[[#This Row],[LC Book Price]] * 100, 0)</f>
        <v>0</v>
      </c>
      <c r="DP289" s="163" t="str">
        <f>IF(AND(SnapshotTable[[#This Row],[LC Exp Date]]&gt;0, SnapshotTable[[#This Row],[LC Strike Price]]&gt;0,SnapshotTable[[#This Row],[LC Qty]]&gt;0,SnapshotTable[[#This Row],[LC Book Date]]&gt;0,SnapshotTable[[#This Row],[LC Book Price]]&gt;0,SnapshotTable[[#This Row],[LC Fill Date]]=0),"Y","")</f>
        <v/>
      </c>
      <c r="DQ289" s="386" t="str">
        <f>IF(SnapshotTable[[#This Row],[LC Premium]] &gt; 0,SnapshotTable[[#This Row],[LC Exp Date]]-MAX(SnapshotTable[[#This Row],[LC Book Date]], SnapshotTable[[#This Row],[LC Fill Date]]),"")</f>
        <v/>
      </c>
      <c r="DR289" s="386" t="str">
        <f>IF(ISNUMBER(SnapshotTable[[#This Row],[LC Term]]), SnapshotTable[[#This Row],[LC Exp Date]] - MockToday, "")</f>
        <v/>
      </c>
      <c r="DS289" s="234" t="str">
        <f>IF(SnapshotTable[[#This Row],[LC Premium]]&gt;0,SnapshotTable[[#This Row],[LC Strike Price]] + SnapshotTable[[#This Row],[LC Book Price]],"")</f>
        <v/>
      </c>
      <c r="DT289" s="5"/>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40" t="str">
        <f>IF(ISNUMBER(SnapshotTable[[#This Row],[LC Actual Gain Loss]]), SnapshotTable[[#This Row],[LC Actual Gain Loss]] / SnapshotTable[[#This Row],[LC Premium]],"")</f>
        <v/>
      </c>
      <c r="DX289" s="284" t="str">
        <f>IF(ISNUMBER(SnapshotTable[[#This Row],[LC Book Price]]),SnapshotTable[[#This Row],[LC Book Price]] * 1.5,"")</f>
        <v/>
      </c>
      <c r="DY289" s="265" t="str">
        <f>IF(SnapshotTable[[#This Row],[LC Premium]]&gt;0, SnapshotTable[[#This Row],[LC Next Target]] * SnapshotTable[[#This Row],[LC Qty]] * 100,"")</f>
        <v/>
      </c>
      <c r="DZ289" s="265" t="str">
        <f>IF(ISNUMBER(SnapshotTable[[#This Row],[LC Target Gross]]), SnapshotTable[[#This Row],[LC Target Gross]] - SnapshotTable[[#This Row],[LC Premium]], "")</f>
        <v/>
      </c>
      <c r="EA289" s="305" t="str">
        <f>IF(ISNUMBER(SnapshotTable[[#This Row],[LC Target Gain Loss]]), SnapshotTable[[#This Row],[LC Target Gain Loss]]/SnapshotTable[[#This Row],[LC Premium]], "")</f>
        <v/>
      </c>
      <c r="EB289" s="262"/>
      <c r="EC289" s="283" t="str">
        <f>IF(SnapshotTable[[#This Row],[LC Premium]]&gt;0, SnapshotTable[[#This Row],[LC Book Price]] * (1 - LC_StopLoss_Pct),"")</f>
        <v/>
      </c>
      <c r="ED289" s="284"/>
      <c r="EE289" s="28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4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7"/>
      <c r="EL289" s="138"/>
      <c r="EM289" s="148"/>
      <c r="EN289" s="147"/>
      <c r="EO289" s="147"/>
      <c r="EP289" s="138"/>
      <c r="EQ289" s="419" t="b">
        <f>AND(ISNUMBER(SnapshotTable[[#This Row],[SC Exp Date]]), ISNUMBER(SnapshotTable[[#This Row],[SC Strike Price]]), ISNUMBER(SnapshotTable[[#This Row],[SC Qty]]), ISNUMBER(SnapshotTable[[#This Row],[SC Book Date]]), ISNUMBER(SnapshotTable[[#This Row],[SC Book Price]]))</f>
        <v>0</v>
      </c>
      <c r="ER289" s="419" t="b">
        <f>AND(SnapshotTable[[#This Row],[SC Is Booked]], NOT(ISBLANK(SnapshotTable[[#This Row],[SC Fill Date]])))</f>
        <v>0</v>
      </c>
      <c r="ES289" s="370"/>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3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283"/>
      <c r="FA289" s="218"/>
      <c r="FB289" s="370"/>
      <c r="FC289" s="4">
        <f>IF(SnapshotTable[[#This Row],[SC Is Filled]], btc_max_buyback_amount(SnapshotTable[[#This Row],[SC Fill Date]],SnapshotTable[[#This Row],[SC Exp Date]], SnapshotTable[[#This Row],[SC Book Price]]),0)</f>
        <v>0</v>
      </c>
      <c r="FD289" s="5"/>
      <c r="FE289" s="144"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382">
        <f>IF(SnapshotTable[[#This Row],[SC Is Filled]], IF(ISNUMBER(SnapshotTable[[#This Row],[SC Current Ask]]), SnapshotTable[[#This Row],[SC Current Ask]], SnapshotTable[[#This Row],[SC Book Price]]) - SnapshotTable[[#This Row],[SC Intrinsic Value]], 0)</f>
        <v>0</v>
      </c>
      <c r="FI289" s="143"/>
      <c r="FJ289" s="32" t="str">
        <f>IF(SnapshotTable[[#This Row],[SC Is Filled]],100 * SnapshotTable[[#This Row],[SC Qty]] * IF(ISNUMBER(SnapshotTable[[#This Row],[SC Buyback Override]]), SnapshotTable[[#This Row],[SC Buyback Override]], SnapshotTable[[#This Row],[SC Current Ask]]), "")</f>
        <v/>
      </c>
      <c r="FK289" s="250" t="str">
        <f>IF(SnapshotTable[[#This Row],[SC Time Val]]&gt;0, SnapshotTable[[#This Row],[SC Time Val]] / SnapshotTable[[#This Row],[Last Price]],"")</f>
        <v/>
      </c>
      <c r="FL289" s="302" t="str">
        <f>IF(SnapshotTable[[#This Row],[SC Is Booked]], ((SnapshotTable[[#This Row],[Last Price]] -SnapshotTable[[#This Row],[SC Strike Price]]) / SnapshotTable[[#This Row],[Last Price]]) * -1, "")</f>
        <v/>
      </c>
      <c r="FM289" s="157" t="str">
        <f>IF(SnapshotTable[[#This Row],[SC Is Booked]],  (SnapshotTable[[#This Row],[SC Qty]] * 100 * SnapshotTable[[#This Row],[SC Strike Price]]) - SnapshotTable[[#This Row],[SC Current Ask]], "")</f>
        <v/>
      </c>
      <c r="FN28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7"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33"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36" t="str">
        <f>IF(AND(ISNUMBER(SnapshotTable[[#This Row],[SC Simple ROO]]),SnapshotTable[[#This Row],[SC Simple ROO]] &gt; 0), SnapshotTable[[#This Row],[SC Premium]] + (SnapshotTable[[#This Row],[SC Qty]] * SnapshotTable[[#This Row],[SC Upside Potential]]), "")</f>
        <v/>
      </c>
      <c r="FX289" s="302" t="str" cm="1">
        <f t="array" ref="FX289">IF(ISNUMBER(SnapshotTable[[#This Row],[SC Max Dollars]]), annualize(SnapshotTable[[#This Row],[SC Term]],(SnapshotTable[[#This Row],[SC Max Dollars]]/SnapshotTable[[#This Row],[SC Basis]])),"")</f>
        <v/>
      </c>
      <c r="FY289" s="236" t="str">
        <f>IF(AND(SnapshotTable[[#This Row],[SC Qty]]&gt;0,SnapshotTable[[#This Row],[SC Current Ask]]&gt;0), SnapshotTable[[#This Row],[SC Qty]] * SnapshotTable[[#This Row],[SC Current Ask]] * -100, "")</f>
        <v/>
      </c>
      <c r="FZ289" s="31" t="str">
        <f>IF(ISNUMBER((SnapshotTable[[#This Row],[SC Current Value]])), SnapshotTable[[#This Row],[SC Premium]] + SnapshotTable[[#This Row],[SC Current Value]], "")</f>
        <v/>
      </c>
      <c r="GA289" s="29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54.776999999999994</v>
      </c>
      <c r="GD289" s="40">
        <f>SnapshotTable[[#This Row],[Last Price]] * (1+ SellingPriceToConsiderBasedOnTargetPercentage)</f>
        <v>17.393999999999998</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8" t="str">
        <f>IF(SnapshotTable[[#This Row],[Sale G/L]]&gt;0, SnapshotTable[[#This Row],[Sale G/L]] / SnapshotTable[[#This Row],[Sale Basis]], IF(ISNUMBER(SnapshotTable[[#This Row],[SC Exercise P&amp;L (TAX)]]), SnapshotTable[[#This Row],[SC Exercise P&amp;L (TAX)]] / SnapshotTable[[#This Row],[SC Basis]], ""))</f>
        <v/>
      </c>
      <c r="GK289" s="158" t="s">
        <v>759</v>
      </c>
      <c r="GL289" s="159"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59" t="str">
        <f>IF(AND(SnapshotTable[[#This Row],[LC Exp Date]]&gt;0,SnapshotTable[[#This Row],[LC Strike Price]]&gt;0), [1]!ToOptionSymbol(SnapshotTable[[#This Row],[Symbol]], SnapshotTable[[#This Row],[LC Strike Price]],SnapshotTable[[#This Row],[LC Exp Date]],0), "")</f>
        <v/>
      </c>
      <c r="GQ289" s="160" t="str">
        <f>IF(LEN(SnapshotTable[[#This Row],[LC Symbol]])&gt;0, 1, "")</f>
        <v/>
      </c>
      <c r="GR289" s="159" t="str">
        <f>IF(AND(SnapshotTable[[#This Row],[SC Exp Date]]&gt;0,SnapshotTable[[#This Row],[SC Strike Price]]&gt;0), [1]!ToOptionSymbol(SnapshotTable[[#This Row],[Symbol]], SnapshotTable[[#This Row],[SC Strike Price]],SnapshotTable[[#This Row],[SC Exp Date]],0), "")</f>
        <v/>
      </c>
      <c r="GS289" s="160" t="str">
        <f>IF(LEN(SnapshotTable[[#This Row],[SC Symbol]])&gt;0, 1, "")</f>
        <v/>
      </c>
      <c r="GT289" s="161"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31">
        <f>MAX(SnapshotTable[[#This Row],[Equity Basis Total]],SnapshotTable[[#This Row],[Equity Value]]) + (SnapshotTable[[#This Row],[SP Potential Spend]]- SnapshotTable[[#This Row],[SP Premium]] + SnapshotTable[[#This Row],[LP Premium]])+ (SnapshotTable[[#This Row],[LC Premium]] - SnapshotTable[[#This Row],[SC Premium]])</f>
        <v>0</v>
      </c>
      <c r="GW289" s="139" t="str">
        <f>IF(AND(SnapshotTable[[#This Row],[Exposure]] &lt;&gt; 0),SnapshotTable[[#This Row],[Exposure]] / SnapshotTable[[#Totals],[Exposure]], "")</f>
        <v/>
      </c>
      <c r="GY289" s="381"/>
      <c r="HE289" s="381"/>
      <c r="HF289" s="381"/>
      <c r="HG289" s="381"/>
      <c r="HH289" s="381"/>
      <c r="HI289" s="381"/>
      <c r="HJ289" s="381"/>
    </row>
    <row r="290" spans="2:224" ht="12.75" hidden="1" customHeight="1" x14ac:dyDescent="0.25">
      <c r="B290" s="12" t="s">
        <v>609</v>
      </c>
      <c r="C290" s="422">
        <v>369.46</v>
      </c>
      <c r="D290" s="208"/>
      <c r="E290" s="39">
        <f>SnapshotTable[[#This Row],[Last Price]]*(1 -CrashDiscount)</f>
        <v>314.041</v>
      </c>
      <c r="F290" s="26" t="s">
        <v>243</v>
      </c>
      <c r="G290" s="26" t="s">
        <v>9</v>
      </c>
      <c r="H290" s="149"/>
      <c r="I290" s="194">
        <v>44785</v>
      </c>
      <c r="J290" s="195">
        <v>44785</v>
      </c>
      <c r="K290" s="196" t="s">
        <v>3</v>
      </c>
      <c r="L290" s="326"/>
      <c r="M290" s="140"/>
      <c r="N290" s="140"/>
      <c r="O290" s="140"/>
      <c r="P290" s="22"/>
      <c r="Q290" s="25"/>
      <c r="R290" s="4" t="str">
        <f>IF(SnapshotTable[[#This Row],[Equity Basis Total]] &gt; 0, SnapshotTable[[#This Row],[Equity Basis Total]] / SnapshotTable[[#This Row],[Equity Shares]], "")</f>
        <v/>
      </c>
      <c r="S290" s="269">
        <f>SnapshotTable[[#This Row],[Last Price]] * SnapshotTable[[#This Row],[Equity Shares]]</f>
        <v>0</v>
      </c>
      <c r="T290" s="269">
        <f>SnapshotTable[[#This Row],[Equity Value]] - SnapshotTable[[#This Row],[Equity Basis Total]]</f>
        <v>0</v>
      </c>
      <c r="U290" s="270" t="str">
        <f>IF(SnapshotTable[[#This Row],[Equity Basis Total]] &gt; 0, SnapshotTable[[#This Row],[Equity G/L]] / SnapshotTable[[#This Row],[Equity Basis Total]], "")</f>
        <v/>
      </c>
      <c r="V290" s="268"/>
      <c r="W290" s="26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7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0"/>
      <c r="AD290" s="151"/>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1"/>
      <c r="AI290" s="5"/>
      <c r="AJ290" s="138">
        <v>68.75</v>
      </c>
      <c r="AK290" s="152" t="str">
        <f>IF(ISNUMBER( SnapshotTable[[#This Row],[EBF Target]]),(SnapshotTable[[#This Row],[EBF Target]] - SnapshotTable[[#This Row],[Last Price]]) / SnapshotTable[[#This Row],[Last Price]], "")</f>
        <v/>
      </c>
      <c r="AL290" s="152"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2">
        <f>IF(AND(ISNUMBER( SnapshotTable[[#This Row],[Long Term Target]]), ISNUMBER(SnapshotTable[[#This Row],[Last Price]])),(SnapshotTable[[#This Row],[Long Term Target]] - SnapshotTable[[#This Row],[Last Price]]) / SnapshotTable[[#This Row],[Last Price]], "")</f>
        <v>-0.81391760948411196</v>
      </c>
      <c r="AP290" s="5"/>
      <c r="AQ290" s="38"/>
      <c r="AR290" s="5"/>
      <c r="AS290" s="38"/>
      <c r="AT290" s="146"/>
      <c r="AU290" s="187" t="str">
        <f>IF(OR(SnapshotTable[[#This Row],[LP No Fill]]="Y",SnapshotTable[[#This Row],[SP Is Filled]],SnapshotTable[[#This Row],[LC Not Filled]]="Y",SnapshotTable[[#This Row],[SC Is Filled]]),"Y","")</f>
        <v/>
      </c>
      <c r="AV290" s="219"/>
      <c r="AW290" s="225"/>
      <c r="AX290" s="220"/>
      <c r="AY290" s="219" t="str">
        <f>IF(SnapshotTable[[#This Row],[Implied Move]]&gt;0, SnapshotTable[[#This Row],[Last Price]]-SnapshotTable[[#This Row],[Implied Move]],"")</f>
        <v/>
      </c>
      <c r="AZ290" s="219" t="str">
        <f>IF(SnapshotTable[[#This Row],[Implied Move]]&gt;0, SnapshotTable[[#This Row],[Last Price]] + SnapshotTable[[#This Row],[Implied Move]],"")</f>
        <v/>
      </c>
      <c r="BA290" s="331">
        <v>63.1</v>
      </c>
      <c r="BB290" s="347"/>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51"/>
      <c r="BE290" s="138"/>
      <c r="BF290" s="166"/>
      <c r="BG290" s="167"/>
      <c r="BH290" s="167"/>
      <c r="BI290" s="221"/>
      <c r="BJ290" s="153">
        <f>IF(SnapshotTable[[#This Row],[LP Qty]] &gt; 0, SnapshotTable[[#This Row],[LP Qty]] * SnapshotTable[[#This Row],[LP Book Price]] * 100,0)</f>
        <v>0</v>
      </c>
      <c r="BK290" s="136">
        <f>IF(SnapshotTable[[#This Row],[LP Premium]] &gt; 0, SnapshotTable[[#This Row],[LP Qty]] * SnapshotTable[[#This Row],[LP Strike Price]] * 100,0)</f>
        <v>0</v>
      </c>
      <c r="BL290" s="154"/>
      <c r="BM290" s="385" t="str">
        <f>IF(SnapshotTable[[#This Row],[LP Premium]] &gt; 0,SnapshotTable[[#This Row],[LP Exp Date]]-MAX(SnapshotTable[[#This Row],[LP Book Date]], SnapshotTable[[#This Row],[LP Fill Date]]),"")</f>
        <v/>
      </c>
      <c r="BN290" s="385" t="str">
        <f>IF(ISNUMBER( SnapshotTable[[#This Row],[LP Term]]), SnapshotTable[[#This Row],[LP Exp Date]] - MockToday,"")</f>
        <v/>
      </c>
      <c r="BO290" s="163"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7"/>
      <c r="BU290" s="13"/>
      <c r="BV290" s="5"/>
      <c r="BW290" s="419" t="b">
        <f>AND(ISNUMBER(SnapshotTable[[#This Row],[SP Exp Date]]), ISNUMBER(SnapshotTable[[#This Row],[SP Strike Price]]), ISNUMBER(SnapshotTable[[#This Row],[SP Qty]]), ISNUMBER(SnapshotTable[[#This Row],[SP Book Date]]), ISNUMBER(SnapshotTable[[#This Row],[SP Book Price]]))</f>
        <v>0</v>
      </c>
      <c r="BX290" s="419" t="b">
        <f>AND(SnapshotTable[[#This Row],[SP Is Booked]], NOT(ISBLANK(SnapshotTable[[#This Row],[SP Fill Date]])))</f>
        <v>0</v>
      </c>
      <c r="BY290" s="33">
        <f>IF(SnapshotTable[[#This Row],[SP Is Booked]], SnapshotTable[[#This Row],[SP Qty]] * SnapshotTable[[#This Row],[SP Book Price]] * 100, 0)</f>
        <v>0</v>
      </c>
      <c r="BZ290" s="369"/>
      <c r="CA290" s="368">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3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44"/>
      <c r="CK290" s="31">
        <f>IF(ISNUMBER(SnapshotTable[[#This Row],[SP Potential Spend]]),IF(ISNUMBER(SnapshotTable[[#This Row],[SP POW]]), SnapshotTable[[#This Row],[SP POW]] * SnapshotTable[[#This Row],[SP Potential Spend]], SnapshotTable[[#This Row],[SP Potential Spend]]), "")</f>
        <v>0</v>
      </c>
      <c r="CL290" s="164">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154"/>
      <c r="CO290" s="369"/>
      <c r="CP290" s="4" t="str">
        <f>IF(SnapshotTable[[#This Row],[SP Is Filled]], btc_max_buyback_amount(SnapshotTable[[#This Row],[SP Fill Date]],SnapshotTable[[#This Row],[SP Exp Date]], SnapshotTable[[#This Row],[SP Book Price]]),"")</f>
        <v/>
      </c>
      <c r="CQ290" s="78"/>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5" t="str">
        <f>IF(SnapshotTable[[#This Row],[SP Is Filled]], btc_next_cutoff_date(SnapshotTable[[#This Row],[SP Fill Date]],SnapshotTable[[#This Row],[SP Exp Date]]),"")</f>
        <v/>
      </c>
      <c r="CT290" s="23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56"/>
      <c r="CV290" s="235"/>
      <c r="CW290" s="378"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294" t="str">
        <f>IF(ISNUMBER((SnapshotTable[[#This Row],[SP Total Value]])), SnapshotTable[[#This Row],[SP Gain Loss]] / SnapshotTable[[#This Row],[SP Premium]], "")</f>
        <v/>
      </c>
      <c r="DI290" s="406"/>
      <c r="DJ290" s="138"/>
      <c r="DK290" s="148"/>
      <c r="DL290" s="147"/>
      <c r="DM290" s="147"/>
      <c r="DO290" s="31">
        <f>IF(SnapshotTable[[#This Row],[LC Symbol Count]]=1, SnapshotTable[[#This Row],[LC Qty]] * SnapshotTable[[#This Row],[LC Book Price]] * 100, 0)</f>
        <v>0</v>
      </c>
      <c r="DP290" s="163" t="str">
        <f>IF(AND(SnapshotTable[[#This Row],[LC Exp Date]]&gt;0, SnapshotTable[[#This Row],[LC Strike Price]]&gt;0,SnapshotTable[[#This Row],[LC Qty]]&gt;0,SnapshotTable[[#This Row],[LC Book Date]]&gt;0,SnapshotTable[[#This Row],[LC Book Price]]&gt;0,SnapshotTable[[#This Row],[LC Fill Date]]=0),"Y","")</f>
        <v/>
      </c>
      <c r="DQ290" s="386" t="str">
        <f>IF(SnapshotTable[[#This Row],[LC Premium]] &gt; 0,SnapshotTable[[#This Row],[LC Exp Date]]-MAX(SnapshotTable[[#This Row],[LC Book Date]], SnapshotTable[[#This Row],[LC Fill Date]]),"")</f>
        <v/>
      </c>
      <c r="DR290" s="386" t="str">
        <f>IF(ISNUMBER(SnapshotTable[[#This Row],[LC Term]]), SnapshotTable[[#This Row],[LC Exp Date]] - MockToday, "")</f>
        <v/>
      </c>
      <c r="DS290" s="23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40" t="str">
        <f>IF(ISNUMBER(SnapshotTable[[#This Row],[LC Actual Gain Loss]]), SnapshotTable[[#This Row],[LC Actual Gain Loss]] / SnapshotTable[[#This Row],[LC Premium]],"")</f>
        <v/>
      </c>
      <c r="DX290" s="284" t="str">
        <f>IF(ISNUMBER(SnapshotTable[[#This Row],[LC Book Price]]),SnapshotTable[[#This Row],[LC Book Price]] * 1.5,"")</f>
        <v/>
      </c>
      <c r="DY290" s="265" t="str">
        <f>IF(SnapshotTable[[#This Row],[LC Premium]]&gt;0, SnapshotTable[[#This Row],[LC Next Target]] * SnapshotTable[[#This Row],[LC Qty]] * 100,"")</f>
        <v/>
      </c>
      <c r="DZ290" s="265" t="str">
        <f>IF(ISNUMBER(SnapshotTable[[#This Row],[LC Target Gross]]), SnapshotTable[[#This Row],[LC Target Gross]] - SnapshotTable[[#This Row],[LC Premium]], "")</f>
        <v/>
      </c>
      <c r="EA290" s="305" t="str">
        <f>IF(ISNUMBER(SnapshotTable[[#This Row],[LC Target Gain Loss]]), SnapshotTable[[#This Row],[LC Target Gain Loss]]/SnapshotTable[[#This Row],[LC Premium]], "")</f>
        <v/>
      </c>
      <c r="EB290" s="262"/>
      <c r="EC290" s="283" t="str">
        <f>IF(SnapshotTable[[#This Row],[LC Premium]]&gt;0, SnapshotTable[[#This Row],[LC Book Price]] * (1 - LC_StopLoss_Pct),"")</f>
        <v/>
      </c>
      <c r="ED290" s="284"/>
      <c r="EE290" s="28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4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7"/>
      <c r="EL290" s="138"/>
      <c r="EM290" s="148"/>
      <c r="EN290" s="147"/>
      <c r="EO290" s="147"/>
      <c r="EP290" s="138"/>
      <c r="EQ290" s="419" t="b">
        <f>AND(ISNUMBER(SnapshotTable[[#This Row],[SC Exp Date]]), ISNUMBER(SnapshotTable[[#This Row],[SC Strike Price]]), ISNUMBER(SnapshotTable[[#This Row],[SC Qty]]), ISNUMBER(SnapshotTable[[#This Row],[SC Book Date]]), ISNUMBER(SnapshotTable[[#This Row],[SC Book Price]]))</f>
        <v>0</v>
      </c>
      <c r="ER290" s="419" t="b">
        <f>AND(SnapshotTable[[#This Row],[SC Is Booked]], NOT(ISBLANK(SnapshotTable[[#This Row],[SC Fill Date]])))</f>
        <v>0</v>
      </c>
      <c r="ES290" s="370"/>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3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283"/>
      <c r="FA290" s="423"/>
      <c r="FB290" s="370"/>
      <c r="FC290" s="4">
        <f>IF(SnapshotTable[[#This Row],[SC Is Filled]], btc_max_buyback_amount(SnapshotTable[[#This Row],[SC Fill Date]],SnapshotTable[[#This Row],[SC Exp Date]], SnapshotTable[[#This Row],[SC Book Price]]),0)</f>
        <v>0</v>
      </c>
      <c r="FD290" s="5"/>
      <c r="FE290" s="144"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382">
        <f>IF(SnapshotTable[[#This Row],[SC Is Filled]], IF(ISNUMBER(SnapshotTable[[#This Row],[SC Current Ask]]), SnapshotTable[[#This Row],[SC Current Ask]], SnapshotTable[[#This Row],[SC Book Price]]) - SnapshotTable[[#This Row],[SC Intrinsic Value]], 0)</f>
        <v>0</v>
      </c>
      <c r="FI290" s="143"/>
      <c r="FJ290" s="32" t="str">
        <f>IF(SnapshotTable[[#This Row],[SC Is Filled]],100 * SnapshotTable[[#This Row],[SC Qty]] * IF(ISNUMBER(SnapshotTable[[#This Row],[SC Buyback Override]]), SnapshotTable[[#This Row],[SC Buyback Override]], SnapshotTable[[#This Row],[SC Current Ask]]), "")</f>
        <v/>
      </c>
      <c r="FK290" s="250" t="str">
        <f>IF(SnapshotTable[[#This Row],[SC Time Val]]&gt;0, SnapshotTable[[#This Row],[SC Time Val]] / SnapshotTable[[#This Row],[Last Price]],"")</f>
        <v/>
      </c>
      <c r="FL290" s="302" t="str">
        <f>IF(SnapshotTable[[#This Row],[SC Is Booked]], ((SnapshotTable[[#This Row],[Last Price]] -SnapshotTable[[#This Row],[SC Strike Price]]) / SnapshotTable[[#This Row],[Last Price]]) * -1, "")</f>
        <v/>
      </c>
      <c r="FM290" s="157" t="str">
        <f>IF(SnapshotTable[[#This Row],[SC Is Booked]],  (SnapshotTable[[#This Row],[SC Qty]] * 100 * SnapshotTable[[#This Row],[SC Strike Price]]) - SnapshotTable[[#This Row],[SC Current Ask]], "")</f>
        <v/>
      </c>
      <c r="FN29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157"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33"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36" t="str">
        <f>IF(AND(ISNUMBER(SnapshotTable[[#This Row],[SC Simple ROO]]),SnapshotTable[[#This Row],[SC Simple ROO]] &gt; 0), SnapshotTable[[#This Row],[SC Premium]] + (SnapshotTable[[#This Row],[SC Qty]] * SnapshotTable[[#This Row],[SC Upside Potential]]), "")</f>
        <v/>
      </c>
      <c r="FX290" s="302" t="str" cm="1">
        <f t="array" ref="FX290">IF(ISNUMBER(SnapshotTable[[#This Row],[SC Max Dollars]]), annualize(SnapshotTable[[#This Row],[SC Term]],(SnapshotTable[[#This Row],[SC Max Dollars]]/SnapshotTable[[#This Row],[SC Basis]])),"")</f>
        <v/>
      </c>
      <c r="FY290" s="23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29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65.3125</v>
      </c>
      <c r="GD290" s="40">
        <f>SnapshotTable[[#This Row],[Last Price]] * (1+ SellingPriceToConsiderBasedOnTargetPercentage)</f>
        <v>720.44699999999989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158" t="str">
        <f>IF(SnapshotTable[[#This Row],[Sale G/L]]&gt;0, SnapshotTable[[#This Row],[Sale G/L]] / SnapshotTable[[#This Row],[Sale Basis]], IF(ISNUMBER(SnapshotTable[[#This Row],[SC Exercise P&amp;L (TAX)]]), SnapshotTable[[#This Row],[SC Exercise P&amp;L (TAX)]] / SnapshotTable[[#This Row],[SC Basis]], ""))</f>
        <v/>
      </c>
      <c r="GK290" s="158" t="s">
        <v>760</v>
      </c>
      <c r="GL290" s="159"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159" t="str">
        <f>IF(AND(SnapshotTable[[#This Row],[LC Exp Date]]&gt;0,SnapshotTable[[#This Row],[LC Strike Price]]&gt;0), [1]!ToOptionSymbol(SnapshotTable[[#This Row],[Symbol]], SnapshotTable[[#This Row],[LC Strike Price]],SnapshotTable[[#This Row],[LC Exp Date]],0), "")</f>
        <v/>
      </c>
      <c r="GQ290" s="160" t="str">
        <f>IF(LEN(SnapshotTable[[#This Row],[LC Symbol]])&gt;0, 1, "")</f>
        <v/>
      </c>
      <c r="GR290" s="159" t="str">
        <f>IF(AND(SnapshotTable[[#This Row],[SC Exp Date]]&gt;0,SnapshotTable[[#This Row],[SC Strike Price]]&gt;0), [1]!ToOptionSymbol(SnapshotTable[[#This Row],[Symbol]], SnapshotTable[[#This Row],[SC Strike Price]],SnapshotTable[[#This Row],[SC Exp Date]],0), "")</f>
        <v/>
      </c>
      <c r="GS290" s="160" t="str">
        <f>IF(LEN(SnapshotTable[[#This Row],[SC Symbol]])&gt;0, 1, "")</f>
        <v/>
      </c>
      <c r="GT290" s="161"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31">
        <f>MAX(SnapshotTable[[#This Row],[Equity Basis Total]],SnapshotTable[[#This Row],[Equity Value]]) + (SnapshotTable[[#This Row],[SP Potential Spend]]- SnapshotTable[[#This Row],[SP Premium]] + SnapshotTable[[#This Row],[LP Premium]])+ (SnapshotTable[[#This Row],[LC Premium]] - SnapshotTable[[#This Row],[SC Premium]])</f>
        <v>0</v>
      </c>
      <c r="GW290" s="139" t="str">
        <f>IF(AND(SnapshotTable[[#This Row],[Exposure]] &lt;&gt; 0),SnapshotTable[[#This Row],[Exposure]] / SnapshotTable[[#Totals],[Exposure]], "")</f>
        <v/>
      </c>
      <c r="HE290" s="268"/>
      <c r="HF290" s="268"/>
      <c r="HK290" s="1"/>
      <c r="HL290" s="1"/>
      <c r="HM290" s="1"/>
      <c r="HN290" s="1"/>
      <c r="HO290" s="1"/>
      <c r="HP290" s="1"/>
    </row>
    <row r="291" spans="2:224" ht="12.75" hidden="1" customHeight="1" x14ac:dyDescent="0.25">
      <c r="B291" s="12" t="s">
        <v>956</v>
      </c>
      <c r="C291" s="422">
        <v>30.15</v>
      </c>
      <c r="D291" s="208" t="s">
        <v>885</v>
      </c>
      <c r="E291" s="39">
        <f>SnapshotTable[[#This Row],[Last Price]]*(1 -CrashDiscount)</f>
        <v>25.627499999999998</v>
      </c>
      <c r="F291" s="26" t="s">
        <v>935</v>
      </c>
      <c r="G291" s="325" t="s">
        <v>49</v>
      </c>
      <c r="H291" s="149"/>
      <c r="I291" s="194">
        <v>44775.291666666664</v>
      </c>
      <c r="J291" s="195">
        <v>44775.291666666664</v>
      </c>
      <c r="K291" s="196"/>
      <c r="L291" s="326"/>
      <c r="M291" s="140"/>
      <c r="N291" s="140"/>
      <c r="O291" s="140"/>
      <c r="P291" s="22"/>
      <c r="Q291" s="25"/>
      <c r="R291" s="4" t="str">
        <f>IF(SnapshotTable[[#This Row],[Equity Basis Total]] &gt; 0, SnapshotTable[[#This Row],[Equity Basis Total]] / SnapshotTable[[#This Row],[Equity Shares]], "")</f>
        <v/>
      </c>
      <c r="S291" s="269">
        <f>SnapshotTable[[#This Row],[Last Price]] * SnapshotTable[[#This Row],[Equity Shares]]</f>
        <v>0</v>
      </c>
      <c r="T291" s="269">
        <f>SnapshotTable[[#This Row],[Equity Value]] - SnapshotTable[[#This Row],[Equity Basis Total]]</f>
        <v>0</v>
      </c>
      <c r="U291" s="270" t="str">
        <f>IF(SnapshotTable[[#This Row],[Equity Basis Total]] &gt; 0, SnapshotTable[[#This Row],[Equity G/L]] / SnapshotTable[[#This Row],[Equity Basis Total]], "")</f>
        <v/>
      </c>
      <c r="V291" s="268"/>
      <c r="W291" s="26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7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0"/>
      <c r="AD291" s="151"/>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0</v>
      </c>
      <c r="AH291" s="151"/>
      <c r="AI291" s="5"/>
      <c r="AJ291" s="138">
        <v>11.92</v>
      </c>
      <c r="AK291" s="152" t="str">
        <f>IF(ISNUMBER( SnapshotTable[[#This Row],[EBF Target]]),(SnapshotTable[[#This Row],[EBF Target]] - SnapshotTable[[#This Row],[Last Price]]) / SnapshotTable[[#This Row],[Last Price]], "")</f>
        <v/>
      </c>
      <c r="AL291" s="152"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2">
        <f>IF(AND(ISNUMBER( SnapshotTable[[#This Row],[Long Term Target]]), ISNUMBER(SnapshotTable[[#This Row],[Last Price]])),(SnapshotTable[[#This Row],[Long Term Target]] - SnapshotTable[[#This Row],[Last Price]]) / SnapshotTable[[#This Row],[Last Price]], "")</f>
        <v>-0.60464344941956871</v>
      </c>
      <c r="AP291" s="5">
        <v>11</v>
      </c>
      <c r="AQ291" s="38" t="s">
        <v>27</v>
      </c>
      <c r="AR291" s="5">
        <v>11</v>
      </c>
      <c r="AS291" s="38" t="s">
        <v>38</v>
      </c>
      <c r="AT291" s="146" t="s">
        <v>542</v>
      </c>
      <c r="AU291" s="187" t="str">
        <f>IF(OR(SnapshotTable[[#This Row],[LP No Fill]]="Y",SnapshotTable[[#This Row],[SP Is Filled]],SnapshotTable[[#This Row],[LC Not Filled]]="Y",SnapshotTable[[#This Row],[SC Is Filled]]),"Y","")</f>
        <v/>
      </c>
      <c r="AV291" s="219"/>
      <c r="AW291" s="225"/>
      <c r="AX291" s="220"/>
      <c r="AY291" s="219" t="str">
        <f>IF(SnapshotTable[[#This Row],[Implied Move]]&gt;0, SnapshotTable[[#This Row],[Last Price]]-SnapshotTable[[#This Row],[Implied Move]],"")</f>
        <v/>
      </c>
      <c r="AZ291" s="219" t="str">
        <f>IF(SnapshotTable[[#This Row],[Implied Move]]&gt;0, SnapshotTable[[#This Row],[Last Price]] + SnapshotTable[[#This Row],[Implied Move]],"")</f>
        <v/>
      </c>
      <c r="BA291" s="331">
        <v>10.71</v>
      </c>
      <c r="BB291" s="347"/>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51"/>
      <c r="BE291" s="5"/>
      <c r="BF291" s="14"/>
      <c r="BG291" s="13"/>
      <c r="BH291" s="13"/>
      <c r="BI291" s="5"/>
      <c r="BJ291" s="136">
        <f>IF(SnapshotTable[[#This Row],[LP Qty]] &gt; 0, SnapshotTable[[#This Row],[LP Qty]] * SnapshotTable[[#This Row],[LP Book Price]] * 100,0)</f>
        <v>0</v>
      </c>
      <c r="BK291" s="136">
        <f>IF(SnapshotTable[[#This Row],[LP Premium]] &gt; 0, SnapshotTable[[#This Row],[LP Qty]] * SnapshotTable[[#This Row],[LP Strike Price]] * 100,0)</f>
        <v>0</v>
      </c>
      <c r="BL291" s="154"/>
      <c r="BM291" s="385" t="str">
        <f>IF(SnapshotTable[[#This Row],[LP Premium]] &gt; 0,SnapshotTable[[#This Row],[LP Exp Date]]-MAX(SnapshotTable[[#This Row],[LP Book Date]], SnapshotTable[[#This Row],[LP Fill Date]]),"")</f>
        <v/>
      </c>
      <c r="BN291" s="385" t="str">
        <f>IF(ISNUMBER( SnapshotTable[[#This Row],[LP Term]]), SnapshotTable[[#This Row],[LP Exp Date]] - MockToday,"")</f>
        <v/>
      </c>
      <c r="BO291" s="163"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7"/>
      <c r="BU291" s="13"/>
      <c r="BV291" s="5"/>
      <c r="BW291" s="419" t="b">
        <f>AND(ISNUMBER(SnapshotTable[[#This Row],[SP Exp Date]]), ISNUMBER(SnapshotTable[[#This Row],[SP Strike Price]]), ISNUMBER(SnapshotTable[[#This Row],[SP Qty]]), ISNUMBER(SnapshotTable[[#This Row],[SP Book Date]]), ISNUMBER(SnapshotTable[[#This Row],[SP Book Price]]))</f>
        <v>0</v>
      </c>
      <c r="BX291" s="419" t="b">
        <f>AND(SnapshotTable[[#This Row],[SP Is Booked]], NOT(ISBLANK(SnapshotTable[[#This Row],[SP Fill Date]])))</f>
        <v>0</v>
      </c>
      <c r="BY291" s="33">
        <f>IF(SnapshotTable[[#This Row],[SP Is Booked]], SnapshotTable[[#This Row],[SP Qty]] * SnapshotTable[[#This Row],[SP Book Price]] * 100, 0)</f>
        <v>0</v>
      </c>
      <c r="BZ291" s="369"/>
      <c r="CA291" s="368">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3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44"/>
      <c r="CK291" s="31">
        <f>IF(ISNUMBER(SnapshotTable[[#This Row],[SP Potential Spend]]),IF(ISNUMBER(SnapshotTable[[#This Row],[SP POW]]), SnapshotTable[[#This Row],[SP POW]] * SnapshotTable[[#This Row],[SP Potential Spend]], SnapshotTable[[#This Row],[SP Potential Spend]]), "")</f>
        <v>0</v>
      </c>
      <c r="CL291" s="164">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218"/>
      <c r="CO291" s="369"/>
      <c r="CP291" s="4" t="str">
        <f>IF(SnapshotTable[[#This Row],[SP Is Filled]], btc_max_buyback_amount(SnapshotTable[[#This Row],[SP Fill Date]],SnapshotTable[[#This Row],[SP Exp Date]], SnapshotTable[[#This Row],[SP Book Price]]),"")</f>
        <v/>
      </c>
      <c r="CQ291" s="78"/>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5" t="str">
        <f>IF(SnapshotTable[[#This Row],[SP Is Filled]], btc_next_cutoff_date(SnapshotTable[[#This Row],[SP Fill Date]],SnapshotTable[[#This Row],[SP Exp Date]]),"")</f>
        <v/>
      </c>
      <c r="CT291" s="23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3"/>
      <c r="CV291" s="235"/>
      <c r="CW291" s="378"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294" t="str">
        <f>IF(ISNUMBER((SnapshotTable[[#This Row],[SP Total Value]])), SnapshotTable[[#This Row],[SP Gain Loss]] / SnapshotTable[[#This Row],[SP Premium]], "")</f>
        <v/>
      </c>
      <c r="DI291" s="406"/>
      <c r="DJ291" s="138"/>
      <c r="DK291" s="148"/>
      <c r="DL291" s="13"/>
      <c r="DM291" s="13"/>
      <c r="DO291" s="31">
        <f>IF(SnapshotTable[[#This Row],[LC Symbol Count]]=1, SnapshotTable[[#This Row],[LC Qty]] * SnapshotTable[[#This Row],[LC Book Price]] * 100, 0)</f>
        <v>0</v>
      </c>
      <c r="DP291" s="163" t="str">
        <f>IF(AND(SnapshotTable[[#This Row],[LC Exp Date]]&gt;0, SnapshotTable[[#This Row],[LC Strike Price]]&gt;0,SnapshotTable[[#This Row],[LC Qty]]&gt;0,SnapshotTable[[#This Row],[LC Book Date]]&gt;0,SnapshotTable[[#This Row],[LC Book Price]]&gt;0,SnapshotTable[[#This Row],[LC Fill Date]]=0),"Y","")</f>
        <v/>
      </c>
      <c r="DQ291" s="386" t="str">
        <f>IF(SnapshotTable[[#This Row],[LC Premium]] &gt; 0,SnapshotTable[[#This Row],[LC Exp Date]]-MAX(SnapshotTable[[#This Row],[LC Book Date]], SnapshotTable[[#This Row],[LC Fill Date]]),"")</f>
        <v/>
      </c>
      <c r="DR291" s="386" t="str">
        <f>IF(ISNUMBER(SnapshotTable[[#This Row],[LC Term]]), SnapshotTable[[#This Row],[LC Exp Date]] - MockToday, "")</f>
        <v/>
      </c>
      <c r="DS291" s="23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40" t="str">
        <f>IF(ISNUMBER(SnapshotTable[[#This Row],[LC Actual Gain Loss]]), SnapshotTable[[#This Row],[LC Actual Gain Loss]] / SnapshotTable[[#This Row],[LC Premium]],"")</f>
        <v/>
      </c>
      <c r="DX291" s="284" t="str">
        <f>IF(ISNUMBER(SnapshotTable[[#This Row],[LC Book Price]]),SnapshotTable[[#This Row],[LC Book Price]] * 1.5,"")</f>
        <v/>
      </c>
      <c r="DY291" s="265" t="str">
        <f>IF(SnapshotTable[[#This Row],[LC Premium]]&gt;0, SnapshotTable[[#This Row],[LC Next Target]] * SnapshotTable[[#This Row],[LC Qty]] * 100,"")</f>
        <v/>
      </c>
      <c r="DZ291" s="265" t="str">
        <f>IF(ISNUMBER(SnapshotTable[[#This Row],[LC Target Gross]]), SnapshotTable[[#This Row],[LC Target Gross]] - SnapshotTable[[#This Row],[LC Premium]], "")</f>
        <v/>
      </c>
      <c r="EA291" s="305" t="str">
        <f>IF(ISNUMBER(SnapshotTable[[#This Row],[LC Target Gain Loss]]), SnapshotTable[[#This Row],[LC Target Gain Loss]]/SnapshotTable[[#This Row],[LC Premium]], "")</f>
        <v/>
      </c>
      <c r="EB291" s="262"/>
      <c r="EC291" s="283" t="str">
        <f>IF(SnapshotTable[[#This Row],[LC Premium]]&gt;0, SnapshotTable[[#This Row],[LC Book Price]] * (1 - LC_StopLoss_Pct),"")</f>
        <v/>
      </c>
      <c r="ED291" s="284"/>
      <c r="EE291" s="28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4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7"/>
      <c r="EL291" s="138"/>
      <c r="EM291" s="148"/>
      <c r="EN291" s="147"/>
      <c r="EO291" s="147"/>
      <c r="EP291" s="138"/>
      <c r="EQ291" s="419" t="b">
        <f>AND(ISNUMBER(SnapshotTable[[#This Row],[SC Exp Date]]), ISNUMBER(SnapshotTable[[#This Row],[SC Strike Price]]), ISNUMBER(SnapshotTable[[#This Row],[SC Qty]]), ISNUMBER(SnapshotTable[[#This Row],[SC Book Date]]), ISNUMBER(SnapshotTable[[#This Row],[SC Book Price]]))</f>
        <v>0</v>
      </c>
      <c r="ER291" s="419" t="b">
        <f>AND(SnapshotTable[[#This Row],[SC Is Booked]], NOT(ISBLANK(SnapshotTable[[#This Row],[SC Fill Date]])))</f>
        <v>0</v>
      </c>
      <c r="ES291" s="370"/>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3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283"/>
      <c r="FA291" s="218"/>
      <c r="FB291" s="370"/>
      <c r="FC291" s="4">
        <f>IF(SnapshotTable[[#This Row],[SC Is Filled]], btc_max_buyback_amount(SnapshotTable[[#This Row],[SC Fill Date]],SnapshotTable[[#This Row],[SC Exp Date]], SnapshotTable[[#This Row],[SC Book Price]]),0)</f>
        <v>0</v>
      </c>
      <c r="FD291" s="5"/>
      <c r="FE291" s="144"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382">
        <f>IF(SnapshotTable[[#This Row],[SC Is Filled]], IF(ISNUMBER(SnapshotTable[[#This Row],[SC Current Ask]]), SnapshotTable[[#This Row],[SC Current Ask]], SnapshotTable[[#This Row],[SC Book Price]]) - SnapshotTable[[#This Row],[SC Intrinsic Value]], 0)</f>
        <v>0</v>
      </c>
      <c r="FI291" s="143"/>
      <c r="FJ291" s="32" t="str">
        <f>IF(SnapshotTable[[#This Row],[SC Is Filled]],100 * SnapshotTable[[#This Row],[SC Qty]] * IF(ISNUMBER(SnapshotTable[[#This Row],[SC Buyback Override]]), SnapshotTable[[#This Row],[SC Buyback Override]], SnapshotTable[[#This Row],[SC Current Ask]]), "")</f>
        <v/>
      </c>
      <c r="FK291" s="250" t="str">
        <f>IF(SnapshotTable[[#This Row],[SC Time Val]]&gt;0, SnapshotTable[[#This Row],[SC Time Val]] / SnapshotTable[[#This Row],[Last Price]],"")</f>
        <v/>
      </c>
      <c r="FL291" s="302" t="str">
        <f>IF(SnapshotTable[[#This Row],[SC Is Booked]], ((SnapshotTable[[#This Row],[Last Price]] -SnapshotTable[[#This Row],[SC Strike Price]]) / SnapshotTable[[#This Row],[Last Price]]) * -1, "")</f>
        <v/>
      </c>
      <c r="FM291" s="157"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33"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36" t="str">
        <f>IF(AND(ISNUMBER(SnapshotTable[[#This Row],[SC Simple ROO]]),SnapshotTable[[#This Row],[SC Simple ROO]] &gt; 0), SnapshotTable[[#This Row],[SC Premium]] + (SnapshotTable[[#This Row],[SC Qty]] * SnapshotTable[[#This Row],[SC Upside Potential]]), "")</f>
        <v/>
      </c>
      <c r="FX291" s="302" t="str" cm="1">
        <f t="array" ref="FX291">IF(ISNUMBER(SnapshotTable[[#This Row],[SC Max Dollars]]), annualize(SnapshotTable[[#This Row],[SC Term]],(SnapshotTable[[#This Row],[SC Max Dollars]]/SnapshotTable[[#This Row],[SC Basis]])),"")</f>
        <v/>
      </c>
      <c r="FY291" s="23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29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11.324</v>
      </c>
      <c r="GD291" s="40">
        <f>SnapshotTable[[#This Row],[Last Price]] * (1+ SellingPriceToConsiderBasedOnTargetPercentage)</f>
        <v>58.792499999999997</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31">
        <f>MAX(SnapshotTable[[#This Row],[Equity Basis Total]],SnapshotTable[[#This Row],[Equity Value]]) + (SnapshotTable[[#This Row],[SP Potential Spend]]- SnapshotTable[[#This Row],[SP Premium]] + SnapshotTable[[#This Row],[LP Premium]])+ (SnapshotTable[[#This Row],[LC Premium]] - SnapshotTable[[#This Row],[SC Premium]])</f>
        <v>0</v>
      </c>
      <c r="GW291" s="139" t="str">
        <f>IF(AND(SnapshotTable[[#This Row],[Exposure]] &lt;&gt; 0),SnapshotTable[[#This Row],[Exposure]] / SnapshotTable[[#Totals],[Exposure]], "")</f>
        <v/>
      </c>
      <c r="GX291" s="5"/>
      <c r="HK291" s="1"/>
      <c r="HL291" s="1"/>
      <c r="HM291" s="1"/>
      <c r="HN291" s="1"/>
      <c r="HO291" s="1"/>
      <c r="HP291" s="1"/>
    </row>
    <row r="292" spans="2:224" ht="12.75" hidden="1" customHeight="1" x14ac:dyDescent="0.25">
      <c r="B292" s="12" t="s">
        <v>1153</v>
      </c>
      <c r="C292" s="422">
        <v>3.87</v>
      </c>
      <c r="D292" s="208" t="s">
        <v>258</v>
      </c>
      <c r="E292" s="39">
        <f>SnapshotTable[[#This Row],[Last Price]]*(1 -CrashDiscount)</f>
        <v>3.2894999999999999</v>
      </c>
      <c r="F292" s="26" t="s">
        <v>550</v>
      </c>
      <c r="G292" s="26" t="s">
        <v>41</v>
      </c>
      <c r="H292" s="149"/>
      <c r="I292" s="194"/>
      <c r="J292" s="195"/>
      <c r="K292" s="196"/>
      <c r="L292" s="326"/>
      <c r="M292" s="140"/>
      <c r="N292" s="140"/>
      <c r="O292" s="140"/>
      <c r="P292" s="22">
        <v>7000</v>
      </c>
      <c r="Q292" s="25">
        <v>26060</v>
      </c>
      <c r="R292" s="4">
        <f>IF(SnapshotTable[[#This Row],[Equity Basis Total]] &gt; 0, SnapshotTable[[#This Row],[Equity Basis Total]] / SnapshotTable[[#This Row],[Equity Shares]], "")</f>
        <v>3.7228571428571429</v>
      </c>
      <c r="S292" s="269">
        <f>SnapshotTable[[#This Row],[Last Price]] * SnapshotTable[[#This Row],[Equity Shares]]</f>
        <v>27090</v>
      </c>
      <c r="T292" s="269">
        <f>SnapshotTable[[#This Row],[Equity Value]] - SnapshotTable[[#This Row],[Equity Basis Total]]</f>
        <v>1030</v>
      </c>
      <c r="U292" s="270">
        <f>IF(SnapshotTable[[#This Row],[Equity Basis Total]] &gt; 0, SnapshotTable[[#This Row],[Equity G/L]] / SnapshotTable[[#This Row],[Equity Basis Total]], "")</f>
        <v>3.9524174980813509E-2</v>
      </c>
      <c r="V292" s="268"/>
      <c r="W292" s="26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7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0"/>
      <c r="AD292" s="151"/>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1"/>
      <c r="AI292" s="5"/>
      <c r="AJ292" s="138"/>
      <c r="AK292" s="152" t="str">
        <f>IF(ISNUMBER( SnapshotTable[[#This Row],[EBF Target]]),(SnapshotTable[[#This Row],[EBF Target]] - SnapshotTable[[#This Row],[Last Price]]) / SnapshotTable[[#This Row],[Last Price]], "")</f>
        <v/>
      </c>
      <c r="AL292" s="152"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2" t="str">
        <f>IF(AND(ISNUMBER( SnapshotTable[[#This Row],[Long Term Target]]), ISNUMBER(SnapshotTable[[#This Row],[Last Price]])),(SnapshotTable[[#This Row],[Long Term Target]] - SnapshotTable[[#This Row],[Last Price]]) / SnapshotTable[[#This Row],[Last Price]], "")</f>
        <v/>
      </c>
      <c r="AP292" s="5">
        <v>5</v>
      </c>
      <c r="AQ292" s="38" t="s">
        <v>27</v>
      </c>
      <c r="AR292" s="5">
        <v>2</v>
      </c>
      <c r="AS292" s="38" t="s">
        <v>1083</v>
      </c>
      <c r="AT292" s="146" t="s">
        <v>533</v>
      </c>
      <c r="AU292" s="187" t="str">
        <f>IF(OR(SnapshotTable[[#This Row],[LP No Fill]]="Y",SnapshotTable[[#This Row],[SP Is Filled]],SnapshotTable[[#This Row],[LC Not Filled]]="Y",SnapshotTable[[#This Row],[SC Is Filled]]),"Y","")</f>
        <v>Y</v>
      </c>
      <c r="AV292" s="219"/>
      <c r="AW292" s="225"/>
      <c r="AX292" s="220"/>
      <c r="AY292" s="219" t="str">
        <f>IF(SnapshotTable[[#This Row],[Implied Move]]&gt;0, SnapshotTable[[#This Row],[Last Price]]-SnapshotTable[[#This Row],[Implied Move]],"")</f>
        <v/>
      </c>
      <c r="AZ292" s="219" t="str">
        <f>IF(SnapshotTable[[#This Row],[Implied Move]]&gt;0, SnapshotTable[[#This Row],[Last Price]] + SnapshotTable[[#This Row],[Implied Move]],"")</f>
        <v/>
      </c>
      <c r="BA292" s="331">
        <v>3.12</v>
      </c>
      <c r="BB292" s="347"/>
      <c r="BC29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292" s="351"/>
      <c r="BE292" s="5"/>
      <c r="BF292" s="14"/>
      <c r="BG292" s="13"/>
      <c r="BH292" s="13"/>
      <c r="BI292" s="5"/>
      <c r="BJ292" s="136">
        <f>IF(SnapshotTable[[#This Row],[LP Qty]] &gt; 0, SnapshotTable[[#This Row],[LP Qty]] * SnapshotTable[[#This Row],[LP Book Price]] * 100,0)</f>
        <v>0</v>
      </c>
      <c r="BK292" s="136">
        <f>IF(SnapshotTable[[#This Row],[LP Premium]] &gt; 0, SnapshotTable[[#This Row],[LP Qty]] * SnapshotTable[[#This Row],[LP Strike Price]] * 100,0)</f>
        <v>0</v>
      </c>
      <c r="BL292" s="154"/>
      <c r="BM292" s="385" t="str">
        <f>IF(SnapshotTable[[#This Row],[LP Premium]] &gt; 0,SnapshotTable[[#This Row],[LP Exp Date]]-MAX(SnapshotTable[[#This Row],[LP Book Date]], SnapshotTable[[#This Row],[LP Fill Date]]),"")</f>
        <v/>
      </c>
      <c r="BN292" s="385" t="str">
        <f>IF(ISNUMBER( SnapshotTable[[#This Row],[LP Term]]), SnapshotTable[[#This Row],[LP Exp Date]] - MockToday,"")</f>
        <v/>
      </c>
      <c r="BO292" s="163"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v>46346</v>
      </c>
      <c r="BR292" s="5">
        <v>4</v>
      </c>
      <c r="BS292" s="36">
        <v>30</v>
      </c>
      <c r="BT292" s="147">
        <v>46178</v>
      </c>
      <c r="BU292" s="13">
        <v>46178</v>
      </c>
      <c r="BV292" s="5">
        <v>0.5</v>
      </c>
      <c r="BW292" s="419" t="b">
        <f>AND(ISNUMBER(SnapshotTable[[#This Row],[SP Exp Date]]), ISNUMBER(SnapshotTable[[#This Row],[SP Strike Price]]), ISNUMBER(SnapshotTable[[#This Row],[SP Qty]]), ISNUMBER(SnapshotTable[[#This Row],[SP Book Date]]), ISNUMBER(SnapshotTable[[#This Row],[SP Book Price]]))</f>
        <v>1</v>
      </c>
      <c r="BX292" s="419" t="b">
        <f>AND(SnapshotTable[[#This Row],[SP Is Booked]], NOT(ISBLANK(SnapshotTable[[#This Row],[SP Fill Date]])))</f>
        <v>1</v>
      </c>
      <c r="BY292" s="33">
        <f>IF(SnapshotTable[[#This Row],[SP Is Booked]], SnapshotTable[[#This Row],[SP Qty]] * SnapshotTable[[#This Row],[SP Book Price]] * 100, 0)</f>
        <v>1500</v>
      </c>
      <c r="BZ292" s="369">
        <v>0.37</v>
      </c>
      <c r="CA292" s="368">
        <f>SnapshotTable[[#This Row],[LP Qty]]</f>
        <v>0</v>
      </c>
      <c r="CB292" s="4">
        <f>IF(SnapshotTable[[#This Row],[SP Is Booked]], SnapshotTable[[#This Row],[SP Strike Price]] - SnapshotTable[[#This Row],[SP Book Price]], "")</f>
        <v>3.5</v>
      </c>
      <c r="CC292" s="19">
        <f>IF(SnapshotTable[[#This Row],[SP Is Booked]],SnapshotTable[[#This Row],[SP Exp Date]]-MAX(SnapshotTable[[#This Row],[SP Book Date]], SnapshotTable[[#This Row],[SP Fill Date]]),"")</f>
        <v>168</v>
      </c>
      <c r="CD292" s="7">
        <f>IF(SnapshotTable[[#This Row],[SP Is Booked]], SnapshotTable[[#This Row],[SP Book Price]]/SnapshotTable[[#This Row],[SP Strike Price]], "")</f>
        <v>0.125</v>
      </c>
      <c r="CE292" s="7">
        <f>IF(ISNUMBER(SnapshotTable[[#This Row],[SP ROO Term]]),SnapshotTable[[#This Row],[SP ROO Term]]*(365/SnapshotTable[[#This Row],[SP Term]]),"")</f>
        <v>0.27157738095238093</v>
      </c>
      <c r="CF292" s="236">
        <f>SnapshotTable[[#This Row],[LP Strike Price]] * SnapshotTable[[#This Row],[LP Qty]] * 100</f>
        <v>0</v>
      </c>
      <c r="CG292" s="31">
        <f>IF(ISNUMBER(SnapshotTable[[#This Row],[SP Premium]]), (SnapshotTable[[#This Row],[SP Qty]] * SnapshotTable[[#This Row],[SP Strike Price]]* 100) - SnapshotTable[[#This Row],[LP Protection]], 0)</f>
        <v>12000</v>
      </c>
      <c r="CH292" s="7">
        <f>IF(ISNUMBER(SnapshotTable[[#This Row],[SP Break Even]]),-1 * (SnapshotTable[[#This Row],[SP Break Even]] - SnapshotTable[[#This Row],[Last Price]]) / SnapshotTable[[#This Row],[Last Price]], "")</f>
        <v>9.5607235142118885E-2</v>
      </c>
      <c r="CI292" s="31">
        <f>IF(AND(ISNUMBER((SnapshotTable[[#This Row],[SP Potential Spend]])), SnapshotTable[[#This Row],[SP Strike Price]] &gt; SnapshotTable[[#This Row],[Last Price]], SnapshotTable[[#This Row],[SP Is Filled]]), SnapshotTable[[#This Row],[SP Potential Spend]] -  SnapshotTable[[#This Row],[LP Max Value]], 0)</f>
        <v>12000</v>
      </c>
      <c r="CJ292" s="244"/>
      <c r="CK292" s="31">
        <f>IF(ISNUMBER(SnapshotTable[[#This Row],[SP Potential Spend]]),IF(ISNUMBER(SnapshotTable[[#This Row],[SP POW]]), SnapshotTable[[#This Row],[SP POW]] * SnapshotTable[[#This Row],[SP Potential Spend]], SnapshotTable[[#This Row],[SP Potential Spend]]), "")</f>
        <v>12000</v>
      </c>
      <c r="CL292" s="164" t="str">
        <f>IF(NOT(SnapshotTable[[#This Row],[SP Is Filled]]),(SnapshotTable[[#This Row],[SP Qty]] * SnapshotTable[[#This Row],[SP Strike Price]] * 100) - SnapshotTable[[#This Row],[LP Max Value]],"")</f>
        <v/>
      </c>
      <c r="CM292" s="31">
        <f>IF(SnapshotTable[[#This Row],[SP Actual Spend]]&lt;&gt;0, ((SnapshotTable[[#This Row],[SP Strike Price]]-SnapshotTable[[#This Row],[Last Price]]) *(SnapshotTable[[#This Row],[SP Qty]]*100) - SnapshotTable[[#This Row],[SP Premium]]) * - 1, "")</f>
        <v>1110.0000000000005</v>
      </c>
      <c r="CN292" s="78">
        <v>0.55000000000000004</v>
      </c>
      <c r="CO292" s="369">
        <v>0.37</v>
      </c>
      <c r="CP292" s="4" t="e">
        <f ca="1">IF(SnapshotTable[[#This Row],[SP Is Filled]], btc_max_buyback_amount(SnapshotTable[[#This Row],[SP Fill Date]],SnapshotTable[[#This Row],[SP Exp Date]], SnapshotTable[[#This Row],[SP Book Price]]),"")</f>
        <v>#NAME?</v>
      </c>
      <c r="CQ292" s="78"/>
      <c r="CR29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92" s="155" t="e">
        <f ca="1">IF(SnapshotTable[[#This Row],[SP Is Filled]], btc_next_cutoff_date(SnapshotTable[[#This Row],[SP Fill Date]],SnapshotTable[[#This Row],[SP Exp Date]]),"")</f>
        <v>#NAME?</v>
      </c>
      <c r="CT292" s="235" t="e" cm="1">
        <f t="array" aca="1" ref="CT292" ca="1">IF(SnapshotTable[[#This Row],[SP Is Filled]], btc_should_buy_back(SnapshotTable[[#This Row],[SP Fill Date]], SnapshotTable[[#This Row],[SP Exp Date]], SnapshotTable[[#This Row],[SP Book Price]], SnapshotTable[[#This Row],[SP Current Ask]], MockToday, SnapshotTable[[#This Row],[SP Buyback Override]]),"")</f>
        <v>#NAME?</v>
      </c>
      <c r="CU292" s="156">
        <v>46265</v>
      </c>
      <c r="CV292" s="235"/>
      <c r="CW292" s="378">
        <f ca="1">IF(ISNUMBER( SnapshotTable[[#This Row],[SP Term]]), SnapshotTable[[#This Row],[SP Exp Date]] - MockToday,"")</f>
        <v>113</v>
      </c>
      <c r="CX292" s="31" t="e">
        <f ca="1">IF(SnapshotTable[[#This Row],[SP Is Filled]],SnapshotTable[[#This Row],[SP Buyback Price to Use]] * 100 * SnapshotTable[[#This Row],[SP Qty]], "")</f>
        <v>#NAME?</v>
      </c>
      <c r="CY292" s="4">
        <f>IF(ISNUMBER(SnapshotTable[[#This Row],[SP Strike Price]]), SnapshotTable[[#This Row],[SP Strike Price]] * (1 - SP_MaxLoss_StrikePct), "")</f>
        <v>3.88</v>
      </c>
      <c r="CZ292" s="31">
        <f>IF(ISNUMBER(SnapshotTable[[#This Row],[SP Strike  Stop Per Share]]),SnapshotTable[[#This Row],[SP Premium]] - ((SnapshotTable[[#This Row],[SP Strike Price]]-SnapshotTable[[#This Row],[SP Strike  Stop Per Share]]) *(SnapshotTable[[#This Row],[SP Qty]] * 100)),"")</f>
        <v>1139.9999999999995</v>
      </c>
      <c r="DA292" s="4">
        <f>IF(AND(ISNUMBER(SnapshotTable[[#This Row],[SP Premium]]),SnapshotTable[[#This Row],[SP Premium]]&gt;0), SnapshotTable[[#This Row],[SP Book Price]] * (1 + SP_MaxLoss_OptionPct), "")</f>
        <v>0.75</v>
      </c>
      <c r="DB292" s="31">
        <f>IF(ISNUMBER(SnapshotTable[[#This Row],[SP Option  Stop Contract]]),(SnapshotTable[[#This Row],[SP Option  Stop Contract]] *(SnapshotTable[[#This Row],[SP Qty]] * 100) - SnapshotTable[[#This Row],[SP Premium]]),"")</f>
        <v>750</v>
      </c>
      <c r="DC292" s="4"/>
      <c r="DD292" s="4"/>
      <c r="DE292" s="4" t="str">
        <f>IF(AND(SnapshotTable[[#This Row],[SP Qty]]&gt;0, SnapshotTable[[#This Row],[SP Stop To Use]]&gt;0),SnapshotTable[[#This Row],[SP Premium]] - ( SnapshotTable[[#This Row],[SP Qty]] * SnapshotTable[[#This Row],[SP Stop To Use]] * 100), "")</f>
        <v/>
      </c>
      <c r="DF292" s="31">
        <f>IF(AND(SnapshotTable[[#This Row],[SP Qty]]&gt;0,SnapshotTable[[#This Row],[SP Current Ask]]&gt;0), SnapshotTable[[#This Row],[SP Qty]] * SnapshotTable[[#This Row],[SP Current Ask]] * -100, "")</f>
        <v>-1650</v>
      </c>
      <c r="DG292" s="31">
        <f>IF(ISNUMBER((SnapshotTable[[#This Row],[SP Total Value]])), SnapshotTable[[#This Row],[SP Premium]] + SnapshotTable[[#This Row],[SP Total Value]], "")</f>
        <v>-150</v>
      </c>
      <c r="DH292" s="294">
        <f>IF(ISNUMBER((SnapshotTable[[#This Row],[SP Total Value]])), SnapshotTable[[#This Row],[SP Gain Loss]] / SnapshotTable[[#This Row],[SP Premium]], "")</f>
        <v>-0.1</v>
      </c>
      <c r="DI292" s="406"/>
      <c r="DJ292" s="138"/>
      <c r="DK292" s="148"/>
      <c r="DL292" s="13"/>
      <c r="DM292" s="13"/>
      <c r="DO292" s="31">
        <f>IF(SnapshotTable[[#This Row],[LC Symbol Count]]=1, SnapshotTable[[#This Row],[LC Qty]] * SnapshotTable[[#This Row],[LC Book Price]] * 100, 0)</f>
        <v>0</v>
      </c>
      <c r="DP292" s="163" t="str">
        <f>IF(AND(SnapshotTable[[#This Row],[LC Exp Date]]&gt;0, SnapshotTable[[#This Row],[LC Strike Price]]&gt;0,SnapshotTable[[#This Row],[LC Qty]]&gt;0,SnapshotTable[[#This Row],[LC Book Date]]&gt;0,SnapshotTable[[#This Row],[LC Book Price]]&gt;0,SnapshotTable[[#This Row],[LC Fill Date]]=0),"Y","")</f>
        <v/>
      </c>
      <c r="DQ292" s="386" t="str">
        <f>IF(SnapshotTable[[#This Row],[LC Premium]] &gt; 0,SnapshotTable[[#This Row],[LC Exp Date]]-MAX(SnapshotTable[[#This Row],[LC Book Date]], SnapshotTable[[#This Row],[LC Fill Date]]),"")</f>
        <v/>
      </c>
      <c r="DR292" s="386" t="str">
        <f>IF(ISNUMBER(SnapshotTable[[#This Row],[LC Term]]), SnapshotTable[[#This Row],[LC Exp Date]] - MockToday, "")</f>
        <v/>
      </c>
      <c r="DS292" s="23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40" t="str">
        <f>IF(ISNUMBER(SnapshotTable[[#This Row],[LC Actual Gain Loss]]), SnapshotTable[[#This Row],[LC Actual Gain Loss]] / SnapshotTable[[#This Row],[LC Premium]],"")</f>
        <v/>
      </c>
      <c r="DX292" s="284" t="str">
        <f>IF(ISNUMBER(SnapshotTable[[#This Row],[LC Book Price]]),SnapshotTable[[#This Row],[LC Book Price]] * 1.5,"")</f>
        <v/>
      </c>
      <c r="DY292" s="265" t="str">
        <f>IF(SnapshotTable[[#This Row],[LC Premium]]&gt;0, SnapshotTable[[#This Row],[LC Next Target]] * SnapshotTable[[#This Row],[LC Qty]] * 100,"")</f>
        <v/>
      </c>
      <c r="DZ292" s="265" t="str">
        <f>IF(ISNUMBER(SnapshotTable[[#This Row],[LC Target Gross]]), SnapshotTable[[#This Row],[LC Target Gross]] - SnapshotTable[[#This Row],[LC Premium]], "")</f>
        <v/>
      </c>
      <c r="EA292" s="305" t="str">
        <f>IF(ISNUMBER(SnapshotTable[[#This Row],[LC Target Gain Loss]]), SnapshotTable[[#This Row],[LC Target Gain Loss]]/SnapshotTable[[#This Row],[LC Premium]], "")</f>
        <v/>
      </c>
      <c r="EB292" s="262"/>
      <c r="EC292" s="283" t="str">
        <f>IF(SnapshotTable[[#This Row],[LC Premium]]&gt;0, SnapshotTable[[#This Row],[LC Book Price]] * (1 - LC_StopLoss_Pct),"")</f>
        <v/>
      </c>
      <c r="ED292" s="284"/>
      <c r="EE292" s="28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4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70</v>
      </c>
      <c r="EK292" s="147"/>
      <c r="EL292" s="138"/>
      <c r="EM292" s="148"/>
      <c r="EN292" s="147"/>
      <c r="EO292" s="147"/>
      <c r="EP292" s="138"/>
      <c r="EQ292" s="419" t="b">
        <f>AND(ISNUMBER(SnapshotTable[[#This Row],[SC Exp Date]]), ISNUMBER(SnapshotTable[[#This Row],[SC Strike Price]]), ISNUMBER(SnapshotTable[[#This Row],[SC Qty]]), ISNUMBER(SnapshotTable[[#This Row],[SC Book Date]]), ISNUMBER(SnapshotTable[[#This Row],[SC Book Price]]))</f>
        <v>0</v>
      </c>
      <c r="ER292" s="419" t="b">
        <f>AND(SnapshotTable[[#This Row],[SC Is Booked]], NOT(ISBLANK(SnapshotTable[[#This Row],[SC Fill Date]])))</f>
        <v>0</v>
      </c>
      <c r="ES292" s="370"/>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3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283"/>
      <c r="FA292" s="218"/>
      <c r="FB292" s="370"/>
      <c r="FC292" s="4">
        <f>IF(SnapshotTable[[#This Row],[SC Is Filled]], btc_max_buyback_amount(SnapshotTable[[#This Row],[SC Fill Date]],SnapshotTable[[#This Row],[SC Exp Date]], SnapshotTable[[#This Row],[SC Book Price]]),0)</f>
        <v>0</v>
      </c>
      <c r="FD292" s="5"/>
      <c r="FE292" s="144"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382">
        <f>IF(SnapshotTable[[#This Row],[SC Is Filled]], IF(ISNUMBER(SnapshotTable[[#This Row],[SC Current Ask]]), SnapshotTable[[#This Row],[SC Current Ask]], SnapshotTable[[#This Row],[SC Book Price]]) - SnapshotTable[[#This Row],[SC Intrinsic Value]], 0)</f>
        <v>0</v>
      </c>
      <c r="FI292" s="143"/>
      <c r="FJ292" s="32" t="str">
        <f>IF(SnapshotTable[[#This Row],[SC Is Filled]],100 * SnapshotTable[[#This Row],[SC Qty]] * IF(ISNUMBER(SnapshotTable[[#This Row],[SC Buyback Override]]), SnapshotTable[[#This Row],[SC Buyback Override]], SnapshotTable[[#This Row],[SC Current Ask]]), "")</f>
        <v/>
      </c>
      <c r="FK292" s="250" t="str">
        <f>IF(SnapshotTable[[#This Row],[SC Time Val]]&gt;0, SnapshotTable[[#This Row],[SC Time Val]] / SnapshotTable[[#This Row],[Last Price]],"")</f>
        <v/>
      </c>
      <c r="FL292" s="302" t="str">
        <f>IF(SnapshotTable[[#This Row],[SC Is Booked]], ((SnapshotTable[[#This Row],[Last Price]] -SnapshotTable[[#This Row],[SC Strike Price]]) / SnapshotTable[[#This Row],[Last Price]]) * -1, "")</f>
        <v/>
      </c>
      <c r="FM292" s="157" t="str">
        <f>IF(SnapshotTable[[#This Row],[SC Is Booked]],  (SnapshotTable[[#This Row],[SC Qty]] * 100 * SnapshotTable[[#This Row],[SC Strike Price]]) - SnapshotTable[[#This Row],[SC Current Ask]], "")</f>
        <v/>
      </c>
      <c r="FN2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31"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33"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36" t="str">
        <f>IF(AND(ISNUMBER(SnapshotTable[[#This Row],[SC Simple ROO]]),SnapshotTable[[#This Row],[SC Simple ROO]] &gt; 0), SnapshotTable[[#This Row],[SC Premium]] + (SnapshotTable[[#This Row],[SC Qty]] * SnapshotTable[[#This Row],[SC Upside Potential]]), "")</f>
        <v/>
      </c>
      <c r="FX292" s="302" t="str" cm="1">
        <f t="array" ref="FX292">IF(ISNUMBER(SnapshotTable[[#This Row],[SC Max Dollars]]), annualize(SnapshotTable[[#This Row],[SC Term]],(SnapshotTable[[#This Row],[SC Max Dollars]]/SnapshotTable[[#This Row],[SC Basis]])),"")</f>
        <v/>
      </c>
      <c r="FY292" s="236" t="str">
        <f>IF(AND(SnapshotTable[[#This Row],[SC Qty]]&gt;0,SnapshotTable[[#This Row],[SC Current Ask]]&gt;0), SnapshotTable[[#This Row],[SC Qty]] * SnapshotTable[[#This Row],[SC Current Ask]] * -100, "")</f>
        <v/>
      </c>
      <c r="FZ292" s="31" t="str">
        <f>IF(ISNUMBER((SnapshotTable[[#This Row],[SC Current Value]])), SnapshotTable[[#This Row],[SC Premium]] + SnapshotTable[[#This Row],[SC Current Value]], "")</f>
        <v/>
      </c>
      <c r="GA292" s="294" t="str">
        <f>IFERROR( IF(ISNUMBER((SnapshotTable[[#This Row],[SC Current Value]])), SnapshotTable[[#This Row],[SC Gain Loss]] / SnapshotTable[[#This Row],[SC Premium]], ""), "")</f>
        <v/>
      </c>
      <c r="GB292" s="42">
        <f>SnapshotTable[[#This Row],[Equity Shares]] * SaleSharesToConsiderPercentage</f>
        <v>1400</v>
      </c>
      <c r="GC292" s="40">
        <f>SnapshotTable[[#This Row],[Long Term Target]] * SellingPriceToConsiderBasedOnTargetPercentage</f>
        <v>0</v>
      </c>
      <c r="GD292" s="40">
        <f>SnapshotTable[[#This Row],[Last Price]] * (1+ SellingPriceToConsiderBasedOnTargetPercentage)</f>
        <v>7.5465</v>
      </c>
      <c r="GE292" s="41"/>
      <c r="GF292" s="40"/>
      <c r="GG292" s="31">
        <f>SnapshotTable[[#This Row],[Booked Sale Shares]] * SnapshotTable[[#This Row],[Booked Sale Price]]</f>
        <v>0</v>
      </c>
      <c r="GH292" s="31">
        <f>IF(SnapshotTable[[#This Row],[Equity Basis Total]] &gt; 0, SnapshotTable[[#This Row],[Equity Basis Per Share]] * SnapshotTable[[#This Row],[Booked Sale Shares]], "")</f>
        <v>0</v>
      </c>
      <c r="GI292" s="31">
        <f>IF(SnapshotTable[[#This Row],[Sale Proceeds]]&gt;0, SnapshotTable[[#This Row],[Sale Proceeds]] - SnapshotTable[[#This Row],[Sale Basis]], 0)</f>
        <v>0</v>
      </c>
      <c r="GJ292" s="27" t="str">
        <f>IF(SnapshotTable[[#This Row],[Sale G/L]]&gt;0, SnapshotTable[[#This Row],[Sale G/L]] / SnapshotTable[[#This Row],[Sale Basis]], IF(ISNUMBER(SnapshotTable[[#This Row],[SC Exercise P&amp;L (TAX)]]), SnapshotTable[[#This Row],[SC Exercise P&amp;L (TAX)]] / SnapshotTable[[#This Row],[SC Basis]], ""))</f>
        <v/>
      </c>
      <c r="GK292" s="27" t="s">
        <v>1245</v>
      </c>
      <c r="GL292" s="43"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BTG261120P00004000</v>
      </c>
      <c r="GO292" s="30">
        <f>IF(LEN(SnapshotTable[[#This Row],[SP Symbol]])&gt;0, 1, "")</f>
        <v>1</v>
      </c>
      <c r="GP292" s="43" t="str">
        <f>IF(AND(SnapshotTable[[#This Row],[LC Exp Date]]&gt;0,SnapshotTable[[#This Row],[LC Strike Price]]&gt;0), [1]!ToOptionSymbol(SnapshotTable[[#This Row],[Symbol]], SnapshotTable[[#This Row],[LC Strike Price]],SnapshotTable[[#This Row],[LC Exp Date]],0), "")</f>
        <v/>
      </c>
      <c r="GQ292" s="30" t="str">
        <f>IF(LEN(SnapshotTable[[#This Row],[LC Symbol]])&gt;0, 1, "")</f>
        <v/>
      </c>
      <c r="GR292" s="43" t="str">
        <f>IF(AND(SnapshotTable[[#This Row],[SC Exp Date]]&gt;0,SnapshotTable[[#This Row],[SC Strike Price]]&gt;0), [1]!ToOptionSymbol(SnapshotTable[[#This Row],[Symbol]], SnapshotTable[[#This Row],[SC Strike Price]],SnapshotTable[[#This Row],[SC Exp Date]],0), "")</f>
        <v/>
      </c>
      <c r="GS292" s="30" t="str">
        <f>IF(LEN(SnapshotTable[[#This Row],[SC Symbol]])&gt;0, 1, "")</f>
        <v/>
      </c>
      <c r="GT292" s="29" t="str">
        <f>IF(COUNT(SnapshotTable[[#This Row],[LP Symbol Count]],SnapshotTable[[#This Row],[SP Symbol Count]],SnapshotTable[[#This Row],[LC Symbol Count]],SnapshotTable[[#This Row],[SC Symbol Count]])&gt;0, "Y", "")</f>
        <v>Y</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92" s="231">
        <f>MAX(SnapshotTable[[#This Row],[Equity Basis Total]],SnapshotTable[[#This Row],[Equity Value]]) + (SnapshotTable[[#This Row],[SP Potential Spend]]- SnapshotTable[[#This Row],[SP Premium]] + SnapshotTable[[#This Row],[LP Premium]])+ (SnapshotTable[[#This Row],[LC Premium]] - SnapshotTable[[#This Row],[SC Premium]])</f>
        <v>37590</v>
      </c>
      <c r="GW292" s="139">
        <f ca="1">IF(AND(SnapshotTable[[#This Row],[Exposure]] &lt;&gt; 0),SnapshotTable[[#This Row],[Exposure]] / SnapshotTable[[#Totals],[Exposure]], "")</f>
        <v>0.17693794829928694</v>
      </c>
      <c r="GX292" s="13"/>
      <c r="HK292" s="1"/>
      <c r="HL292" s="1"/>
      <c r="HM292" s="1"/>
      <c r="HN292" s="1"/>
      <c r="HO292" s="1"/>
      <c r="HP292" s="1"/>
    </row>
    <row r="293" spans="2:224" s="47" customFormat="1" ht="12.75" hidden="1" customHeight="1" x14ac:dyDescent="0.25">
      <c r="B293" s="12" t="s">
        <v>197</v>
      </c>
      <c r="C293" s="422">
        <v>137.91999999999999</v>
      </c>
      <c r="D293" s="208"/>
      <c r="E293" s="39">
        <f>SnapshotTable[[#This Row],[Last Price]]*(1 -CrashDiscount)</f>
        <v>117.23199999999999</v>
      </c>
      <c r="F293" s="26" t="s">
        <v>124</v>
      </c>
      <c r="G293" s="26" t="s">
        <v>14</v>
      </c>
      <c r="H293" s="149"/>
      <c r="I293" s="194">
        <v>44790.270833333336</v>
      </c>
      <c r="J293" s="195">
        <v>44790.270833333336</v>
      </c>
      <c r="K293" s="196"/>
      <c r="L293" s="326"/>
      <c r="M293" s="140"/>
      <c r="N293" s="140"/>
      <c r="O293" s="140"/>
      <c r="P293" s="22"/>
      <c r="Q293" s="25"/>
      <c r="R293" s="4" t="str">
        <f>IF(SnapshotTable[[#This Row],[Equity Basis Total]] &gt; 0, SnapshotTable[[#This Row],[Equity Basis Total]] / SnapshotTable[[#This Row],[Equity Shares]], "")</f>
        <v/>
      </c>
      <c r="S293" s="269">
        <f>SnapshotTable[[#This Row],[Last Price]] * SnapshotTable[[#This Row],[Equity Shares]]</f>
        <v>0</v>
      </c>
      <c r="T293" s="269">
        <f>SnapshotTable[[#This Row],[Equity Value]] - SnapshotTable[[#This Row],[Equity Basis Total]]</f>
        <v>0</v>
      </c>
      <c r="U293" s="270" t="str">
        <f>IF(SnapshotTable[[#This Row],[Equity Basis Total]] &gt; 0, SnapshotTable[[#This Row],[Equity G/L]] / SnapshotTable[[#This Row],[Equity Basis Total]], "")</f>
        <v/>
      </c>
      <c r="V293" s="268"/>
      <c r="W293" s="26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7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0">
        <v>1</v>
      </c>
      <c r="AD293" s="151">
        <v>42732</v>
      </c>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7.2505800464037129E-3</v>
      </c>
      <c r="AH293" s="151">
        <v>43789</v>
      </c>
      <c r="AI293" s="5"/>
      <c r="AJ293" s="138">
        <v>124.39</v>
      </c>
      <c r="AK293" s="152" t="str">
        <f>IF(ISNUMBER( SnapshotTable[[#This Row],[EBF Target]]),(SnapshotTable[[#This Row],[EBF Target]] - SnapshotTable[[#This Row],[Last Price]]) / SnapshotTable[[#This Row],[Last Price]], "")</f>
        <v/>
      </c>
      <c r="AL293" s="152"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2">
        <f>IF(AND(ISNUMBER( SnapshotTable[[#This Row],[Long Term Target]]), ISNUMBER(SnapshotTable[[#This Row],[Last Price]])),(SnapshotTable[[#This Row],[Long Term Target]] - SnapshotTable[[#This Row],[Last Price]]) / SnapshotTable[[#This Row],[Last Price]], "")</f>
        <v>-9.8100348027842135E-2</v>
      </c>
      <c r="AP293" s="5">
        <v>165</v>
      </c>
      <c r="AQ293" s="38" t="s">
        <v>110</v>
      </c>
      <c r="AR293" s="5">
        <v>157.5</v>
      </c>
      <c r="AS293" s="38" t="s">
        <v>109</v>
      </c>
      <c r="AT293" s="146" t="s">
        <v>533</v>
      </c>
      <c r="AU293" s="187" t="str">
        <f>IF(OR(SnapshotTable[[#This Row],[LP No Fill]]="Y",SnapshotTable[[#This Row],[SP Is Filled]],SnapshotTable[[#This Row],[LC Not Filled]]="Y",SnapshotTable[[#This Row],[SC Is Filled]]),"Y","")</f>
        <v/>
      </c>
      <c r="AV293" s="219"/>
      <c r="AW293" s="225"/>
      <c r="AX293" s="220"/>
      <c r="AY293" s="219" t="str">
        <f>IF(SnapshotTable[[#This Row],[Implied Move]]&gt;0, SnapshotTable[[#This Row],[Last Price]]-SnapshotTable[[#This Row],[Implied Move]],"")</f>
        <v/>
      </c>
      <c r="AZ293" s="219" t="str">
        <f>IF(SnapshotTable[[#This Row],[Implied Move]]&gt;0, SnapshotTable[[#This Row],[Last Price]] + SnapshotTable[[#This Row],[Implied Move]],"")</f>
        <v/>
      </c>
      <c r="BA293" s="331">
        <v>1.1000000000000001</v>
      </c>
      <c r="BB293" s="347"/>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51"/>
      <c r="BE293" s="5"/>
      <c r="BF293" s="14"/>
      <c r="BG293" s="13"/>
      <c r="BH293" s="13"/>
      <c r="BI293" s="5"/>
      <c r="BJ293" s="136">
        <f>IF(SnapshotTable[[#This Row],[LP Qty]] &gt; 0, SnapshotTable[[#This Row],[LP Qty]] * SnapshotTable[[#This Row],[LP Book Price]] * 100,0)</f>
        <v>0</v>
      </c>
      <c r="BK293" s="136">
        <f>IF(SnapshotTable[[#This Row],[LP Premium]] &gt; 0, SnapshotTable[[#This Row],[LP Qty]] * SnapshotTable[[#This Row],[LP Strike Price]] * 100,0)</f>
        <v>0</v>
      </c>
      <c r="BL293" s="154"/>
      <c r="BM293" s="385" t="str">
        <f>IF(SnapshotTable[[#This Row],[LP Premium]] &gt; 0,SnapshotTable[[#This Row],[LP Exp Date]]-MAX(SnapshotTable[[#This Row],[LP Book Date]], SnapshotTable[[#This Row],[LP Fill Date]]),"")</f>
        <v/>
      </c>
      <c r="BN293" s="385" t="str">
        <f>IF(ISNUMBER( SnapshotTable[[#This Row],[LP Term]]), SnapshotTable[[#This Row],[LP Exp Date]] - MockToday,"")</f>
        <v/>
      </c>
      <c r="BO293" s="163"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7"/>
      <c r="BU293" s="13"/>
      <c r="BV293" s="5"/>
      <c r="BW293" s="419" t="b">
        <f>AND(ISNUMBER(SnapshotTable[[#This Row],[SP Exp Date]]), ISNUMBER(SnapshotTable[[#This Row],[SP Strike Price]]), ISNUMBER(SnapshotTable[[#This Row],[SP Qty]]), ISNUMBER(SnapshotTable[[#This Row],[SP Book Date]]), ISNUMBER(SnapshotTable[[#This Row],[SP Book Price]]))</f>
        <v>0</v>
      </c>
      <c r="BX293" s="419" t="b">
        <f>AND(SnapshotTable[[#This Row],[SP Is Booked]], NOT(ISBLANK(SnapshotTable[[#This Row],[SP Fill Date]])))</f>
        <v>0</v>
      </c>
      <c r="BY293" s="33">
        <f>IF(SnapshotTable[[#This Row],[SP Is Booked]], SnapshotTable[[#This Row],[SP Qty]] * SnapshotTable[[#This Row],[SP Book Price]] * 100, 0)</f>
        <v>0</v>
      </c>
      <c r="BZ293" s="369"/>
      <c r="CA293" s="368">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3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44"/>
      <c r="CK293" s="31">
        <f>IF(ISNUMBER(SnapshotTable[[#This Row],[SP Potential Spend]]),IF(ISNUMBER(SnapshotTable[[#This Row],[SP POW]]), SnapshotTable[[#This Row],[SP POW]] * SnapshotTable[[#This Row],[SP Potential Spend]], SnapshotTable[[#This Row],[SP Potential Spend]]), "")</f>
        <v>0</v>
      </c>
      <c r="CL293" s="164">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78"/>
      <c r="CO293" s="369"/>
      <c r="CP293" s="4" t="str">
        <f>IF(SnapshotTable[[#This Row],[SP Is Filled]], btc_max_buyback_amount(SnapshotTable[[#This Row],[SP Fill Date]],SnapshotTable[[#This Row],[SP Exp Date]], SnapshotTable[[#This Row],[SP Book Price]]),"")</f>
        <v/>
      </c>
      <c r="CQ293" s="78"/>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5" t="str">
        <f>IF(SnapshotTable[[#This Row],[SP Is Filled]], btc_next_cutoff_date(SnapshotTable[[#This Row],[SP Fill Date]],SnapshotTable[[#This Row],[SP Exp Date]]),"")</f>
        <v/>
      </c>
      <c r="CT293" s="23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43"/>
      <c r="CV293" s="235"/>
      <c r="CW293" s="378"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294" t="str">
        <f>IF(ISNUMBER((SnapshotTable[[#This Row],[SP Total Value]])), SnapshotTable[[#This Row],[SP Gain Loss]] / SnapshotTable[[#This Row],[SP Premium]], "")</f>
        <v/>
      </c>
      <c r="DI293" s="406"/>
      <c r="DJ293" s="138"/>
      <c r="DK293" s="148"/>
      <c r="DL293" s="13"/>
      <c r="DM293" s="13"/>
      <c r="DN293" s="5"/>
      <c r="DO293" s="31">
        <f>IF(SnapshotTable[[#This Row],[LC Symbol Count]]=1, SnapshotTable[[#This Row],[LC Qty]] * SnapshotTable[[#This Row],[LC Book Price]] * 100, 0)</f>
        <v>0</v>
      </c>
      <c r="DP293" s="163" t="str">
        <f>IF(AND(SnapshotTable[[#This Row],[LC Exp Date]]&gt;0, SnapshotTable[[#This Row],[LC Strike Price]]&gt;0,SnapshotTable[[#This Row],[LC Qty]]&gt;0,SnapshotTable[[#This Row],[LC Book Date]]&gt;0,SnapshotTable[[#This Row],[LC Book Price]]&gt;0,SnapshotTable[[#This Row],[LC Fill Date]]=0),"Y","")</f>
        <v/>
      </c>
      <c r="DQ293" s="386" t="str">
        <f>IF(SnapshotTable[[#This Row],[LC Premium]] &gt; 0,SnapshotTable[[#This Row],[LC Exp Date]]-MAX(SnapshotTable[[#This Row],[LC Book Date]], SnapshotTable[[#This Row],[LC Fill Date]]),"")</f>
        <v/>
      </c>
      <c r="DR293" s="386" t="str">
        <f>IF(ISNUMBER(SnapshotTable[[#This Row],[LC Term]]), SnapshotTable[[#This Row],[LC Exp Date]] - MockToday, "")</f>
        <v/>
      </c>
      <c r="DS293" s="234" t="str">
        <f>IF(SnapshotTable[[#This Row],[LC Premium]]&gt;0,SnapshotTable[[#This Row],[LC Strike Price]] + SnapshotTable[[#This Row],[LC Book Price]],"")</f>
        <v/>
      </c>
      <c r="DT293" s="5"/>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40" t="str">
        <f>IF(ISNUMBER(SnapshotTable[[#This Row],[LC Actual Gain Loss]]), SnapshotTable[[#This Row],[LC Actual Gain Loss]] / SnapshotTable[[#This Row],[LC Premium]],"")</f>
        <v/>
      </c>
      <c r="DX293" s="284" t="str">
        <f>IF(ISNUMBER(SnapshotTable[[#This Row],[LC Book Price]]),SnapshotTable[[#This Row],[LC Book Price]] * 1.5,"")</f>
        <v/>
      </c>
      <c r="DY293" s="265" t="str">
        <f>IF(SnapshotTable[[#This Row],[LC Premium]]&gt;0, SnapshotTable[[#This Row],[LC Next Target]] * SnapshotTable[[#This Row],[LC Qty]] * 100,"")</f>
        <v/>
      </c>
      <c r="DZ293" s="265" t="str">
        <f>IF(ISNUMBER(SnapshotTable[[#This Row],[LC Target Gross]]), SnapshotTable[[#This Row],[LC Target Gross]] - SnapshotTable[[#This Row],[LC Premium]], "")</f>
        <v/>
      </c>
      <c r="EA293" s="305" t="str">
        <f>IF(ISNUMBER(SnapshotTable[[#This Row],[LC Target Gain Loss]]), SnapshotTable[[#This Row],[LC Target Gain Loss]]/SnapshotTable[[#This Row],[LC Premium]], "")</f>
        <v/>
      </c>
      <c r="EB293" s="262"/>
      <c r="EC293" s="283" t="str">
        <f>IF(SnapshotTable[[#This Row],[LC Premium]]&gt;0, SnapshotTable[[#This Row],[LC Book Price]] * (1 - LC_StopLoss_Pct),"")</f>
        <v/>
      </c>
      <c r="ED293" s="284"/>
      <c r="EE293" s="28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4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7"/>
      <c r="EL293" s="138"/>
      <c r="EM293" s="148"/>
      <c r="EN293" s="147"/>
      <c r="EO293" s="147"/>
      <c r="EP293" s="138"/>
      <c r="EQ293" s="419" t="b">
        <f>AND(ISNUMBER(SnapshotTable[[#This Row],[SC Exp Date]]), ISNUMBER(SnapshotTable[[#This Row],[SC Strike Price]]), ISNUMBER(SnapshotTable[[#This Row],[SC Qty]]), ISNUMBER(SnapshotTable[[#This Row],[SC Book Date]]), ISNUMBER(SnapshotTable[[#This Row],[SC Book Price]]))</f>
        <v>0</v>
      </c>
      <c r="ER293" s="419" t="b">
        <f>AND(SnapshotTable[[#This Row],[SC Is Booked]], NOT(ISBLANK(SnapshotTable[[#This Row],[SC Fill Date]])))</f>
        <v>0</v>
      </c>
      <c r="ES293" s="370"/>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3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283"/>
      <c r="FA293" s="218"/>
      <c r="FB293" s="370"/>
      <c r="FC293" s="4">
        <f>IF(SnapshotTable[[#This Row],[SC Is Filled]], btc_max_buyback_amount(SnapshotTable[[#This Row],[SC Fill Date]],SnapshotTable[[#This Row],[SC Exp Date]], SnapshotTable[[#This Row],[SC Book Price]]),0)</f>
        <v>0</v>
      </c>
      <c r="FD293" s="5"/>
      <c r="FE293" s="144"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382">
        <f>IF(SnapshotTable[[#This Row],[SC Is Filled]], IF(ISNUMBER(SnapshotTable[[#This Row],[SC Current Ask]]), SnapshotTable[[#This Row],[SC Current Ask]], SnapshotTable[[#This Row],[SC Book Price]]) - SnapshotTable[[#This Row],[SC Intrinsic Value]], 0)</f>
        <v>0</v>
      </c>
      <c r="FI293" s="143"/>
      <c r="FJ293" s="32" t="str">
        <f>IF(SnapshotTable[[#This Row],[SC Is Filled]],100 * SnapshotTable[[#This Row],[SC Qty]] * IF(ISNUMBER(SnapshotTable[[#This Row],[SC Buyback Override]]), SnapshotTable[[#This Row],[SC Buyback Override]], SnapshotTable[[#This Row],[SC Current Ask]]), "")</f>
        <v/>
      </c>
      <c r="FK293" s="250" t="str">
        <f>IF(SnapshotTable[[#This Row],[SC Time Val]]&gt;0, SnapshotTable[[#This Row],[SC Time Val]] / SnapshotTable[[#This Row],[Last Price]],"")</f>
        <v/>
      </c>
      <c r="FL293" s="302" t="str">
        <f>IF(SnapshotTable[[#This Row],[SC Is Booked]], ((SnapshotTable[[#This Row],[Last Price]] -SnapshotTable[[#This Row],[SC Strike Price]]) / SnapshotTable[[#This Row],[Last Price]]) * -1, "")</f>
        <v/>
      </c>
      <c r="FM293" s="157" t="str">
        <f>IF(SnapshotTable[[#This Row],[SC Is Booked]],  (SnapshotTable[[#This Row],[SC Qty]] * 100 * SnapshotTable[[#This Row],[SC Strike Price]]) - SnapshotTable[[#This Row],[SC Current Ask]], "")</f>
        <v/>
      </c>
      <c r="FN2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31"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33"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36" t="str">
        <f>IF(AND(ISNUMBER(SnapshotTable[[#This Row],[SC Simple ROO]]),SnapshotTable[[#This Row],[SC Simple ROO]] &gt; 0), SnapshotTable[[#This Row],[SC Premium]] + (SnapshotTable[[#This Row],[SC Qty]] * SnapshotTable[[#This Row],[SC Upside Potential]]), "")</f>
        <v/>
      </c>
      <c r="FX293" s="302" t="str" cm="1">
        <f t="array" ref="FX293">IF(ISNUMBER(SnapshotTable[[#This Row],[SC Max Dollars]]), annualize(SnapshotTable[[#This Row],[SC Term]],(SnapshotTable[[#This Row],[SC Max Dollars]]/SnapshotTable[[#This Row],[SC Basis]])),"")</f>
        <v/>
      </c>
      <c r="FY293" s="23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29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118.17049999999999</v>
      </c>
      <c r="GD293" s="40">
        <f>SnapshotTable[[#This Row],[Last Price]] * (1+ SellingPriceToConsiderBasedOnTargetPercentage)</f>
        <v>268.94399999999996</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27" t="str">
        <f>IF(SnapshotTable[[#This Row],[Sale G/L]]&gt;0, SnapshotTable[[#This Row],[Sale G/L]] / SnapshotTable[[#This Row],[Sale Basis]], IF(ISNUMBER(SnapshotTable[[#This Row],[SC Exercise P&amp;L (TAX)]]), SnapshotTable[[#This Row],[SC Exercise P&amp;L (TAX)]] / SnapshotTable[[#This Row],[SC Basis]], ""))</f>
        <v/>
      </c>
      <c r="GK293" s="27" t="s">
        <v>761</v>
      </c>
      <c r="GL293" s="43"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43" t="str">
        <f>IF(AND(SnapshotTable[[#This Row],[LC Exp Date]]&gt;0,SnapshotTable[[#This Row],[LC Strike Price]]&gt;0), [1]!ToOptionSymbol(SnapshotTable[[#This Row],[Symbol]], SnapshotTable[[#This Row],[LC Strike Price]],SnapshotTable[[#This Row],[LC Exp Date]],0), "")</f>
        <v/>
      </c>
      <c r="GQ293" s="30" t="str">
        <f>IF(LEN(SnapshotTable[[#This Row],[LC Symbol]])&gt;0, 1, "")</f>
        <v/>
      </c>
      <c r="GR293" s="43" t="str">
        <f>IF(AND(SnapshotTable[[#This Row],[SC Exp Date]]&gt;0,SnapshotTable[[#This Row],[SC Strike Price]]&gt;0), [1]!ToOptionSymbol(SnapshotTable[[#This Row],[Symbol]], SnapshotTable[[#This Row],[SC Strike Price]],SnapshotTable[[#This Row],[SC Exp Date]],0), "")</f>
        <v/>
      </c>
      <c r="GS293" s="30" t="str">
        <f>IF(LEN(SnapshotTable[[#This Row],[SC Symbol]])&gt;0, 1, "")</f>
        <v/>
      </c>
      <c r="GT293" s="29"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31">
        <f>MAX(SnapshotTable[[#This Row],[Equity Basis Total]],SnapshotTable[[#This Row],[Equity Value]]) + (SnapshotTable[[#This Row],[SP Potential Spend]]- SnapshotTable[[#This Row],[SP Premium]] + SnapshotTable[[#This Row],[LP Premium]])+ (SnapshotTable[[#This Row],[LC Premium]] - SnapshotTable[[#This Row],[SC Premium]])</f>
        <v>0</v>
      </c>
      <c r="GW293" s="139" t="str">
        <f>IF(AND(SnapshotTable[[#This Row],[Exposure]] &lt;&gt; 0),SnapshotTable[[#This Row],[Exposure]] / SnapshotTable[[#Totals],[Exposure]], "")</f>
        <v/>
      </c>
      <c r="GY293" s="381"/>
      <c r="HE293" s="381"/>
      <c r="HF293" s="381"/>
      <c r="HG293" s="381"/>
      <c r="HH293" s="381"/>
      <c r="HI293" s="381"/>
      <c r="HJ293" s="381"/>
    </row>
    <row r="294" spans="2:224" s="47" customFormat="1" ht="12.75" hidden="1" customHeight="1" x14ac:dyDescent="0.25">
      <c r="B294" s="12" t="s">
        <v>1178</v>
      </c>
      <c r="C294" s="422">
        <v>52.68</v>
      </c>
      <c r="D294" s="208" t="s">
        <v>578</v>
      </c>
      <c r="E294" s="39">
        <f>SnapshotTable[[#This Row],[Last Price]]*(1 -CrashDiscount)</f>
        <v>44.777999999999999</v>
      </c>
      <c r="F294" s="325" t="s">
        <v>223</v>
      </c>
      <c r="G294" s="325" t="s">
        <v>49</v>
      </c>
      <c r="H294" s="149"/>
      <c r="I294" s="194"/>
      <c r="J294" s="195"/>
      <c r="K294" s="196"/>
      <c r="L294" s="327"/>
      <c r="M294" s="140"/>
      <c r="N294" s="140"/>
      <c r="O294" s="140"/>
      <c r="P294" s="22"/>
      <c r="Q294" s="25"/>
      <c r="R294" s="4" t="str">
        <f>IF(SnapshotTable[[#This Row],[Equity Basis Total]] &gt; 0, SnapshotTable[[#This Row],[Equity Basis Total]] / SnapshotTable[[#This Row],[Equity Shares]], "")</f>
        <v/>
      </c>
      <c r="S294" s="329">
        <f>SnapshotTable[[#This Row],[Last Price]] * SnapshotTable[[#This Row],[Equity Shares]]</f>
        <v>0</v>
      </c>
      <c r="T294" s="269">
        <f>SnapshotTable[[#This Row],[Equity Value]] - SnapshotTable[[#This Row],[Equity Basis Total]]</f>
        <v>0</v>
      </c>
      <c r="U294" s="270" t="str">
        <f>IF(SnapshotTable[[#This Row],[Equity Basis Total]] &gt; 0, SnapshotTable[[#This Row],[Equity G/L]] / SnapshotTable[[#This Row],[Equity Basis Total]], "")</f>
        <v/>
      </c>
      <c r="V294" s="268"/>
      <c r="W294" s="26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7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0"/>
      <c r="AD294" s="151"/>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0</v>
      </c>
      <c r="AH294" s="151"/>
      <c r="AI294" s="330"/>
      <c r="AJ294" s="138">
        <v>33.75</v>
      </c>
      <c r="AK294" s="152" t="str">
        <f>IF(ISNUMBER( SnapshotTable[[#This Row],[EBF Target]]),(SnapshotTable[[#This Row],[EBF Target]] - SnapshotTable[[#This Row],[Last Price]]) / SnapshotTable[[#This Row],[Last Price]], "")</f>
        <v/>
      </c>
      <c r="AL294" s="152"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2">
        <f>IF(AND(ISNUMBER( SnapshotTable[[#This Row],[Long Term Target]]), ISNUMBER(SnapshotTable[[#This Row],[Last Price]])),(SnapshotTable[[#This Row],[Long Term Target]] - SnapshotTable[[#This Row],[Last Price]]) / SnapshotTable[[#This Row],[Last Price]], "")</f>
        <v>-0.35933940774487472</v>
      </c>
      <c r="AP294" s="5"/>
      <c r="AQ294" s="38"/>
      <c r="AR294" s="5"/>
      <c r="AS294" s="38"/>
      <c r="AT294" s="146" t="s">
        <v>1132</v>
      </c>
      <c r="AU294" s="187" t="str">
        <f>IF(OR(SnapshotTable[[#This Row],[LP No Fill]]="Y",SnapshotTable[[#This Row],[SP Is Filled]],SnapshotTable[[#This Row],[LC Not Filled]]="Y",SnapshotTable[[#This Row],[SC Is Filled]]),"Y","")</f>
        <v/>
      </c>
      <c r="AV294" s="338"/>
      <c r="AW294" s="339"/>
      <c r="AX294" s="220"/>
      <c r="AY294" s="219" t="str">
        <f>IF(SnapshotTable[[#This Row],[Implied Move]]&gt;0, SnapshotTable[[#This Row],[Last Price]]-SnapshotTable[[#This Row],[Implied Move]],"")</f>
        <v/>
      </c>
      <c r="AZ294" s="219" t="str">
        <f>IF(SnapshotTable[[#This Row],[Implied Move]]&gt;0, SnapshotTable[[#This Row],[Last Price]] + SnapshotTable[[#This Row],[Implied Move]],"")</f>
        <v/>
      </c>
      <c r="BA294" s="331">
        <v>24.61</v>
      </c>
      <c r="BB294" s="347"/>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51"/>
      <c r="BE294" s="138"/>
      <c r="BF294" s="166"/>
      <c r="BG294" s="167"/>
      <c r="BH294" s="167"/>
      <c r="BI294" s="221"/>
      <c r="BJ294" s="153">
        <f>IF(SnapshotTable[[#This Row],[LP Qty]] &gt; 0, SnapshotTable[[#This Row],[LP Qty]] * SnapshotTable[[#This Row],[LP Book Price]] * 100,0)</f>
        <v>0</v>
      </c>
      <c r="BK294" s="136">
        <f>IF(SnapshotTable[[#This Row],[LP Premium]] &gt; 0, SnapshotTable[[#This Row],[LP Qty]] * SnapshotTable[[#This Row],[LP Strike Price]] * 100,0)</f>
        <v>0</v>
      </c>
      <c r="BL294" s="154"/>
      <c r="BM294" s="385" t="str">
        <f>IF(SnapshotTable[[#This Row],[LP Premium]] &gt; 0,SnapshotTable[[#This Row],[LP Exp Date]]-MAX(SnapshotTable[[#This Row],[LP Book Date]], SnapshotTable[[#This Row],[LP Fill Date]]),"")</f>
        <v/>
      </c>
      <c r="BN294" s="385" t="str">
        <f>IF(ISNUMBER( SnapshotTable[[#This Row],[LP Term]]), SnapshotTable[[#This Row],[LP Exp Date]] - MockToday,"")</f>
        <v/>
      </c>
      <c r="BO294" s="163"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7"/>
      <c r="BU294" s="13"/>
      <c r="BV294" s="5"/>
      <c r="BW294" s="419" t="b">
        <f>AND(ISNUMBER(SnapshotTable[[#This Row],[SP Exp Date]]), ISNUMBER(SnapshotTable[[#This Row],[SP Strike Price]]), ISNUMBER(SnapshotTable[[#This Row],[SP Qty]]), ISNUMBER(SnapshotTable[[#This Row],[SP Book Date]]), ISNUMBER(SnapshotTable[[#This Row],[SP Book Price]]))</f>
        <v>0</v>
      </c>
      <c r="BX294" s="419" t="b">
        <f>AND(SnapshotTable[[#This Row],[SP Is Booked]], NOT(ISBLANK(SnapshotTable[[#This Row],[SP Fill Date]])))</f>
        <v>0</v>
      </c>
      <c r="BY294" s="33">
        <f>IF(SnapshotTable[[#This Row],[SP Is Booked]], SnapshotTable[[#This Row],[SP Qty]] * SnapshotTable[[#This Row],[SP Book Price]] * 100, 0)</f>
        <v>0</v>
      </c>
      <c r="BZ294" s="369"/>
      <c r="CA294" s="368">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3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44"/>
      <c r="CK294" s="31">
        <f>IF(ISNUMBER(SnapshotTable[[#This Row],[SP Potential Spend]]),IF(ISNUMBER(SnapshotTable[[#This Row],[SP POW]]), SnapshotTable[[#This Row],[SP POW]] * SnapshotTable[[#This Row],[SP Potential Spend]], SnapshotTable[[#This Row],[SP Potential Spend]]), "")</f>
        <v>0</v>
      </c>
      <c r="CL294" s="164">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154"/>
      <c r="CO294" s="369"/>
      <c r="CP294" s="320" t="str">
        <f>IF(SnapshotTable[[#This Row],[SP Is Filled]], btc_max_buyback_amount(SnapshotTable[[#This Row],[SP Fill Date]],SnapshotTable[[#This Row],[SP Exp Date]], SnapshotTable[[#This Row],[SP Book Price]]),"")</f>
        <v/>
      </c>
      <c r="CQ294" s="78"/>
      <c r="CR29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5" t="str">
        <f>IF(SnapshotTable[[#This Row],[SP Is Filled]], btc_next_cutoff_date(SnapshotTable[[#This Row],[SP Fill Date]],SnapshotTable[[#This Row],[SP Exp Date]]),"")</f>
        <v/>
      </c>
      <c r="CT294" s="23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3"/>
      <c r="CV294" s="235"/>
      <c r="CW294" s="378"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294" t="str">
        <f>IF(ISNUMBER((SnapshotTable[[#This Row],[SP Total Value]])), SnapshotTable[[#This Row],[SP Gain Loss]] / SnapshotTable[[#This Row],[SP Premium]], "")</f>
        <v/>
      </c>
      <c r="DI294" s="406"/>
      <c r="DJ294" s="138"/>
      <c r="DK294" s="166"/>
      <c r="DL294" s="167"/>
      <c r="DM294" s="167"/>
      <c r="DN294" s="5"/>
      <c r="DO294" s="31">
        <f>IF(SnapshotTable[[#This Row],[LC Symbol Count]]=1, SnapshotTable[[#This Row],[LC Qty]] * SnapshotTable[[#This Row],[LC Book Price]] * 100, 0)</f>
        <v>0</v>
      </c>
      <c r="DP294" s="289" t="str">
        <f>IF(AND(SnapshotTable[[#This Row],[LC Exp Date]]&gt;0, SnapshotTable[[#This Row],[LC Strike Price]]&gt;0,SnapshotTable[[#This Row],[LC Qty]]&gt;0,SnapshotTable[[#This Row],[LC Book Date]]&gt;0,SnapshotTable[[#This Row],[LC Book Price]]&gt;0,SnapshotTable[[#This Row],[LC Fill Date]]=0),"Y","")</f>
        <v/>
      </c>
      <c r="DQ294" s="386" t="str">
        <f>IF(SnapshotTable[[#This Row],[LC Premium]] &gt; 0,SnapshotTable[[#This Row],[LC Exp Date]]-MAX(SnapshotTable[[#This Row],[LC Book Date]], SnapshotTable[[#This Row],[LC Fill Date]]),"")</f>
        <v/>
      </c>
      <c r="DR294" s="386" t="str">
        <f>IF(ISNUMBER(SnapshotTable[[#This Row],[LC Term]]), SnapshotTable[[#This Row],[LC Exp Date]] - MockToday, "")</f>
        <v/>
      </c>
      <c r="DS294" s="234" t="str">
        <f>IF(SnapshotTable[[#This Row],[LC Premium]]&gt;0,SnapshotTable[[#This Row],[LC Strike Price]] + SnapshotTable[[#This Row],[LC Book Price]],"")</f>
        <v/>
      </c>
      <c r="DT294" s="5"/>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40" t="str">
        <f>IF(ISNUMBER(SnapshotTable[[#This Row],[LC Actual Gain Loss]]), SnapshotTable[[#This Row],[LC Actual Gain Loss]] / SnapshotTable[[#This Row],[LC Premium]],"")</f>
        <v/>
      </c>
      <c r="DX294" s="284" t="str">
        <f>IF(ISNUMBER(SnapshotTable[[#This Row],[LC Book Price]]),SnapshotTable[[#This Row],[LC Book Price]] * 1.5,"")</f>
        <v/>
      </c>
      <c r="DY294" s="265" t="str">
        <f>IF(SnapshotTable[[#This Row],[LC Premium]]&gt;0, SnapshotTable[[#This Row],[LC Next Target]] * SnapshotTable[[#This Row],[LC Qty]] * 100,"")</f>
        <v/>
      </c>
      <c r="DZ294" s="265" t="str">
        <f>IF(ISNUMBER(SnapshotTable[[#This Row],[LC Target Gross]]), SnapshotTable[[#This Row],[LC Target Gross]] - SnapshotTable[[#This Row],[LC Premium]], "")</f>
        <v/>
      </c>
      <c r="EA294" s="305" t="str">
        <f>IF(ISNUMBER(SnapshotTable[[#This Row],[LC Target Gain Loss]]), SnapshotTable[[#This Row],[LC Target Gain Loss]]/SnapshotTable[[#This Row],[LC Premium]], "")</f>
        <v/>
      </c>
      <c r="EB294" s="262"/>
      <c r="EC294" s="290" t="str">
        <f>IF(SnapshotTable[[#This Row],[LC Premium]]&gt;0, SnapshotTable[[#This Row],[LC Book Price]] * (1 - LC_StopLoss_Pct),"")</f>
        <v/>
      </c>
      <c r="ED294" s="284"/>
      <c r="EE294" s="290" t="str">
        <f>IF(ISNUMBER(SnapshotTable[[#This Row],[LC Contract Value]]),IF(ISNUMBER(SnapshotTable[[#This Row],[LC Stop Loss Override]]), SnapshotTable[[#This Row],[LC Stop Loss Override]],SnapshotTable[[#This Row],[LC Stop Loss Calc Target]]),"")</f>
        <v/>
      </c>
      <c r="EF294" s="32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4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7"/>
      <c r="EL294" s="138"/>
      <c r="EM294" s="148"/>
      <c r="EN294" s="147"/>
      <c r="EO294" s="147"/>
      <c r="EP294" s="138"/>
      <c r="EQ294" s="419" t="b">
        <f>AND(ISNUMBER(SnapshotTable[[#This Row],[SC Exp Date]]), ISNUMBER(SnapshotTable[[#This Row],[SC Strike Price]]), ISNUMBER(SnapshotTable[[#This Row],[SC Qty]]), ISNUMBER(SnapshotTable[[#This Row],[SC Book Date]]), ISNUMBER(SnapshotTable[[#This Row],[SC Book Price]]))</f>
        <v>0</v>
      </c>
      <c r="ER294" s="419" t="b">
        <f>AND(SnapshotTable[[#This Row],[SC Is Booked]], NOT(ISBLANK(SnapshotTable[[#This Row],[SC Fill Date]])))</f>
        <v>0</v>
      </c>
      <c r="ES294" s="370"/>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3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283"/>
      <c r="FA294" s="218"/>
      <c r="FB294" s="370"/>
      <c r="FC294" s="4">
        <f>IF(SnapshotTable[[#This Row],[SC Is Filled]], btc_max_buyback_amount(SnapshotTable[[#This Row],[SC Fill Date]],SnapshotTable[[#This Row],[SC Exp Date]], SnapshotTable[[#This Row],[SC Book Price]]),0)</f>
        <v>0</v>
      </c>
      <c r="FD294" s="5"/>
      <c r="FE294" s="144"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382">
        <f>IF(SnapshotTable[[#This Row],[SC Is Filled]], IF(ISNUMBER(SnapshotTable[[#This Row],[SC Current Ask]]), SnapshotTable[[#This Row],[SC Current Ask]], SnapshotTable[[#This Row],[SC Book Price]]) - SnapshotTable[[#This Row],[SC Intrinsic Value]], 0)</f>
        <v>0</v>
      </c>
      <c r="FI294" s="143"/>
      <c r="FJ294" s="32" t="str">
        <f>IF(SnapshotTable[[#This Row],[SC Is Filled]],100 * SnapshotTable[[#This Row],[SC Qty]] * IF(ISNUMBER(SnapshotTable[[#This Row],[SC Buyback Override]]), SnapshotTable[[#This Row],[SC Buyback Override]], SnapshotTable[[#This Row],[SC Current Ask]]), "")</f>
        <v/>
      </c>
      <c r="FK294" s="250" t="str">
        <f>IF(SnapshotTable[[#This Row],[SC Time Val]]&gt;0, SnapshotTable[[#This Row],[SC Time Val]] / SnapshotTable[[#This Row],[Last Price]],"")</f>
        <v/>
      </c>
      <c r="FL294" s="302" t="str">
        <f>IF(SnapshotTable[[#This Row],[SC Is Booked]], ((SnapshotTable[[#This Row],[Last Price]] -SnapshotTable[[#This Row],[SC Strike Price]]) / SnapshotTable[[#This Row],[Last Price]]) * -1, "")</f>
        <v/>
      </c>
      <c r="FM294" s="157" t="str">
        <f>IF(SnapshotTable[[#This Row],[SC Is Booked]],  (SnapshotTable[[#This Row],[SC Qty]] * 100 * SnapshotTable[[#This Row],[SC Strike Price]]) - SnapshotTable[[#This Row],[SC Current Ask]], "")</f>
        <v/>
      </c>
      <c r="FN29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157"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33"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36" t="str">
        <f>IF(AND(ISNUMBER(SnapshotTable[[#This Row],[SC Simple ROO]]),SnapshotTable[[#This Row],[SC Simple ROO]] &gt; 0), SnapshotTable[[#This Row],[SC Premium]] + (SnapshotTable[[#This Row],[SC Qty]] * SnapshotTable[[#This Row],[SC Upside Potential]]), "")</f>
        <v/>
      </c>
      <c r="FX294" s="302" t="str" cm="1">
        <f t="array" ref="FX294">IF(ISNUMBER(SnapshotTable[[#This Row],[SC Max Dollars]]), annualize(SnapshotTable[[#This Row],[SC Term]],(SnapshotTable[[#This Row],[SC Max Dollars]]/SnapshotTable[[#This Row],[SC Basis]])),"")</f>
        <v/>
      </c>
      <c r="FY294" s="236" t="str">
        <f>IF(AND(SnapshotTable[[#This Row],[SC Qty]]&gt;0,SnapshotTable[[#This Row],[SC Current Ask]]&gt;0), SnapshotTable[[#This Row],[SC Qty]] * SnapshotTable[[#This Row],[SC Current Ask]] * -100, "")</f>
        <v/>
      </c>
      <c r="FZ294" s="235" t="str">
        <f>IF(ISNUMBER((SnapshotTable[[#This Row],[SC Current Value]])), SnapshotTable[[#This Row],[SC Premium]] + SnapshotTable[[#This Row],[SC Current Value]], "")</f>
        <v/>
      </c>
      <c r="GA294" s="29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32.0625</v>
      </c>
      <c r="GD294" s="40">
        <f>SnapshotTable[[#This Row],[Last Price]] * (1+ SellingPriceToConsiderBasedOnTargetPercentage)</f>
        <v>102.726</v>
      </c>
      <c r="GE294" s="41"/>
      <c r="GF294" s="40"/>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158" t="str">
        <f>IF(SnapshotTable[[#This Row],[Sale G/L]]&gt;0, SnapshotTable[[#This Row],[Sale G/L]] / SnapshotTable[[#This Row],[Sale Basis]], IF(ISNUMBER(SnapshotTable[[#This Row],[SC Exercise P&amp;L (TAX)]]), SnapshotTable[[#This Row],[SC Exercise P&amp;L (TAX)]] / SnapshotTable[[#This Row],[SC Basis]], ""))</f>
        <v/>
      </c>
      <c r="GK294" s="27"/>
      <c r="GL294" s="159"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159" t="str">
        <f>IF(AND(SnapshotTable[[#This Row],[LC Exp Date]]&gt;0,SnapshotTable[[#This Row],[LC Strike Price]]&gt;0), [1]!ToOptionSymbol(SnapshotTable[[#This Row],[Symbol]], SnapshotTable[[#This Row],[LC Strike Price]],SnapshotTable[[#This Row],[LC Exp Date]],0), "")</f>
        <v/>
      </c>
      <c r="GQ294" s="160" t="str">
        <f>IF(LEN(SnapshotTable[[#This Row],[LC Symbol]])&gt;0, 1, "")</f>
        <v/>
      </c>
      <c r="GR294" s="159" t="str">
        <f>IF(AND(SnapshotTable[[#This Row],[SC Exp Date]]&gt;0,SnapshotTable[[#This Row],[SC Strike Price]]&gt;0), [1]!ToOptionSymbol(SnapshotTable[[#This Row],[Symbol]], SnapshotTable[[#This Row],[SC Strike Price]],SnapshotTable[[#This Row],[SC Exp Date]],0), "")</f>
        <v/>
      </c>
      <c r="GS294" s="160" t="str">
        <f>IF(LEN(SnapshotTable[[#This Row],[SC Symbol]])&gt;0, 1, "")</f>
        <v/>
      </c>
      <c r="GT294" s="161"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31">
        <f>MAX(SnapshotTable[[#This Row],[Equity Basis Total]],SnapshotTable[[#This Row],[Equity Value]]) + (SnapshotTable[[#This Row],[SP Potential Spend]]- SnapshotTable[[#This Row],[SP Premium]] + SnapshotTable[[#This Row],[LP Premium]])+ (SnapshotTable[[#This Row],[LC Premium]] - SnapshotTable[[#This Row],[SC Premium]])</f>
        <v>0</v>
      </c>
      <c r="GW294" s="139" t="str">
        <f>IF(AND(SnapshotTable[[#This Row],[Exposure]] &lt;&gt; 0),SnapshotTable[[#This Row],[Exposure]] / SnapshotTable[[#Totals],[Exposure]], "")</f>
        <v/>
      </c>
      <c r="GY294" s="381"/>
      <c r="HE294" s="381"/>
      <c r="HF294" s="381"/>
      <c r="HG294" s="381"/>
      <c r="HH294" s="381"/>
      <c r="HI294" s="381"/>
      <c r="HJ294" s="381"/>
    </row>
    <row r="295" spans="2:224" s="47" customFormat="1" ht="12.75" hidden="1" customHeight="1" x14ac:dyDescent="0.25">
      <c r="B295" s="12" t="s">
        <v>186</v>
      </c>
      <c r="C295" s="422">
        <v>348.21</v>
      </c>
      <c r="D295" s="208"/>
      <c r="E295" s="39">
        <f>SnapshotTable[[#This Row],[Last Price]]*(1 -CrashDiscount)</f>
        <v>295.9785</v>
      </c>
      <c r="F295" s="26" t="s">
        <v>24</v>
      </c>
      <c r="G295" s="26" t="s">
        <v>4</v>
      </c>
      <c r="H295" s="149"/>
      <c r="I295" s="194">
        <v>44755.291666666664</v>
      </c>
      <c r="J295" s="195">
        <v>44755.291666666664</v>
      </c>
      <c r="K295" s="196"/>
      <c r="L295" s="326"/>
      <c r="M295" s="140">
        <v>1</v>
      </c>
      <c r="N295" s="140" t="b">
        <v>1</v>
      </c>
      <c r="O295" s="140"/>
      <c r="P295" s="22"/>
      <c r="Q295" s="25"/>
      <c r="R295" s="4" t="str">
        <f>IF(SnapshotTable[[#This Row],[Equity Basis Total]] &gt; 0, SnapshotTable[[#This Row],[Equity Basis Total]] / SnapshotTable[[#This Row],[Equity Shares]], "")</f>
        <v/>
      </c>
      <c r="S295" s="269">
        <f>SnapshotTable[[#This Row],[Last Price]] * SnapshotTable[[#This Row],[Equity Shares]]</f>
        <v>0</v>
      </c>
      <c r="T295" s="269">
        <f>SnapshotTable[[#This Row],[Equity Value]] - SnapshotTable[[#This Row],[Equity Basis Total]]</f>
        <v>0</v>
      </c>
      <c r="U295" s="270" t="str">
        <f>IF(SnapshotTable[[#This Row],[Equity Basis Total]] &gt; 0, SnapshotTable[[#This Row],[Equity G/L]] / SnapshotTable[[#This Row],[Equity Basis Total]], "")</f>
        <v/>
      </c>
      <c r="V295" s="268"/>
      <c r="W295" s="26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7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0">
        <v>3.6</v>
      </c>
      <c r="AD295" s="151">
        <v>43769</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1.0338588782631171E-2</v>
      </c>
      <c r="AH295" s="151"/>
      <c r="AI295" s="5">
        <v>120</v>
      </c>
      <c r="AJ295" s="138">
        <v>113.88</v>
      </c>
      <c r="AK295" s="152">
        <f>IF(ISNUMBER( SnapshotTable[[#This Row],[EBF Target]]),(SnapshotTable[[#This Row],[EBF Target]] - SnapshotTable[[#This Row],[Last Price]]) / SnapshotTable[[#This Row],[Last Price]], "")</f>
        <v>-0.65538037391229431</v>
      </c>
      <c r="AL295" s="152"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2">
        <f>IF(AND(ISNUMBER( SnapshotTable[[#This Row],[Long Term Target]]), ISNUMBER(SnapshotTable[[#This Row],[Last Price]])),(SnapshotTable[[#This Row],[Long Term Target]] - SnapshotTable[[#This Row],[Last Price]]) / SnapshotTable[[#This Row],[Last Price]], "")</f>
        <v>-0.67295597484276726</v>
      </c>
      <c r="AP295" s="5"/>
      <c r="AQ295" s="38"/>
      <c r="AR295" s="5"/>
      <c r="AS295" s="38"/>
      <c r="AT295" s="146"/>
      <c r="AU295" s="187" t="str">
        <f>IF(OR(SnapshotTable[[#This Row],[LP No Fill]]="Y",SnapshotTable[[#This Row],[SP Is Filled]],SnapshotTable[[#This Row],[LC Not Filled]]="Y",SnapshotTable[[#This Row],[SC Is Filled]]),"Y","")</f>
        <v/>
      </c>
      <c r="AV295" s="219"/>
      <c r="AW295" s="225"/>
      <c r="AX295" s="220"/>
      <c r="AY295" s="219" t="str">
        <f>IF(SnapshotTable[[#This Row],[Implied Move]]&gt;0, SnapshotTable[[#This Row],[Last Price]]-SnapshotTable[[#This Row],[Implied Move]],"")</f>
        <v/>
      </c>
      <c r="AZ295" s="219" t="str">
        <f>IF(SnapshotTable[[#This Row],[Implied Move]]&gt;0, SnapshotTable[[#This Row],[Last Price]] + SnapshotTable[[#This Row],[Implied Move]],"")</f>
        <v/>
      </c>
      <c r="BA295" s="331">
        <v>308.08999999999997</v>
      </c>
      <c r="BB295" s="347"/>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51"/>
      <c r="BE295" s="5"/>
      <c r="BF295" s="14"/>
      <c r="BG295" s="13"/>
      <c r="BH295" s="13"/>
      <c r="BI295" s="5"/>
      <c r="BJ295" s="136">
        <f>IF(SnapshotTable[[#This Row],[LP Qty]] &gt; 0, SnapshotTable[[#This Row],[LP Qty]] * SnapshotTable[[#This Row],[LP Book Price]] * 100,0)</f>
        <v>0</v>
      </c>
      <c r="BK295" s="136">
        <f>IF(SnapshotTable[[#This Row],[LP Premium]] &gt; 0, SnapshotTable[[#This Row],[LP Qty]] * SnapshotTable[[#This Row],[LP Strike Price]] * 100,0)</f>
        <v>0</v>
      </c>
      <c r="BL295" s="154"/>
      <c r="BM295" s="385" t="str">
        <f>IF(SnapshotTable[[#This Row],[LP Premium]] &gt; 0,SnapshotTable[[#This Row],[LP Exp Date]]-MAX(SnapshotTable[[#This Row],[LP Book Date]], SnapshotTable[[#This Row],[LP Fill Date]]),"")</f>
        <v/>
      </c>
      <c r="BN295" s="385" t="str">
        <f>IF(ISNUMBER( SnapshotTable[[#This Row],[LP Term]]), SnapshotTable[[#This Row],[LP Exp Date]] - MockToday,"")</f>
        <v/>
      </c>
      <c r="BO295" s="163"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7"/>
      <c r="BU295" s="13"/>
      <c r="BV295" s="5"/>
      <c r="BW295" s="419" t="b">
        <f>AND(ISNUMBER(SnapshotTable[[#This Row],[SP Exp Date]]), ISNUMBER(SnapshotTable[[#This Row],[SP Strike Price]]), ISNUMBER(SnapshotTable[[#This Row],[SP Qty]]), ISNUMBER(SnapshotTable[[#This Row],[SP Book Date]]), ISNUMBER(SnapshotTable[[#This Row],[SP Book Price]]))</f>
        <v>0</v>
      </c>
      <c r="BX295" s="419" t="b">
        <f>AND(SnapshotTable[[#This Row],[SP Is Booked]], NOT(ISBLANK(SnapshotTable[[#This Row],[SP Fill Date]])))</f>
        <v>0</v>
      </c>
      <c r="BY295" s="33">
        <f>IF(SnapshotTable[[#This Row],[SP Is Booked]], SnapshotTable[[#This Row],[SP Qty]] * SnapshotTable[[#This Row],[SP Book Price]] * 100, 0)</f>
        <v>0</v>
      </c>
      <c r="BZ295" s="369"/>
      <c r="CA295" s="368">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3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44"/>
      <c r="CK295" s="31">
        <f>IF(ISNUMBER(SnapshotTable[[#This Row],[SP Potential Spend]]),IF(ISNUMBER(SnapshotTable[[#This Row],[SP POW]]), SnapshotTable[[#This Row],[SP POW]] * SnapshotTable[[#This Row],[SP Potential Spend]], SnapshotTable[[#This Row],[SP Potential Spend]]), "")</f>
        <v>0</v>
      </c>
      <c r="CL295" s="164">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8"/>
      <c r="CO295" s="369"/>
      <c r="CP295" s="4" t="str">
        <f>IF(SnapshotTable[[#This Row],[SP Is Filled]], btc_max_buyback_amount(SnapshotTable[[#This Row],[SP Fill Date]],SnapshotTable[[#This Row],[SP Exp Date]], SnapshotTable[[#This Row],[SP Book Price]]),"")</f>
        <v/>
      </c>
      <c r="CQ295" s="78"/>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5" t="str">
        <f>IF(SnapshotTable[[#This Row],[SP Is Filled]], btc_next_cutoff_date(SnapshotTable[[#This Row],[SP Fill Date]],SnapshotTable[[#This Row],[SP Exp Date]]),"")</f>
        <v/>
      </c>
      <c r="CT295" s="23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3"/>
      <c r="CV295" s="235"/>
      <c r="CW295" s="378"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294" t="str">
        <f>IF(ISNUMBER((SnapshotTable[[#This Row],[SP Total Value]])), SnapshotTable[[#This Row],[SP Gain Loss]] / SnapshotTable[[#This Row],[SP Premium]], "")</f>
        <v/>
      </c>
      <c r="DI295" s="406"/>
      <c r="DJ295" s="138"/>
      <c r="DK295" s="148"/>
      <c r="DL295" s="13"/>
      <c r="DM295" s="13"/>
      <c r="DN295" s="5"/>
      <c r="DO295" s="31">
        <f>IF(SnapshotTable[[#This Row],[LC Symbol Count]]=1, SnapshotTable[[#This Row],[LC Qty]] * SnapshotTable[[#This Row],[LC Book Price]] * 100, 0)</f>
        <v>0</v>
      </c>
      <c r="DP295" s="163" t="str">
        <f>IF(AND(SnapshotTable[[#This Row],[LC Exp Date]]&gt;0, SnapshotTable[[#This Row],[LC Strike Price]]&gt;0,SnapshotTable[[#This Row],[LC Qty]]&gt;0,SnapshotTable[[#This Row],[LC Book Date]]&gt;0,SnapshotTable[[#This Row],[LC Book Price]]&gt;0,SnapshotTable[[#This Row],[LC Fill Date]]=0),"Y","")</f>
        <v/>
      </c>
      <c r="DQ295" s="386" t="str">
        <f>IF(SnapshotTable[[#This Row],[LC Premium]] &gt; 0,SnapshotTable[[#This Row],[LC Exp Date]]-MAX(SnapshotTable[[#This Row],[LC Book Date]], SnapshotTable[[#This Row],[LC Fill Date]]),"")</f>
        <v/>
      </c>
      <c r="DR295" s="386" t="str">
        <f>IF(ISNUMBER(SnapshotTable[[#This Row],[LC Term]]), SnapshotTable[[#This Row],[LC Exp Date]] - MockToday, "")</f>
        <v/>
      </c>
      <c r="DS295" s="234" t="str">
        <f>IF(SnapshotTable[[#This Row],[LC Premium]]&gt;0,SnapshotTable[[#This Row],[LC Strike Price]] + SnapshotTable[[#This Row],[LC Book Price]],"")</f>
        <v/>
      </c>
      <c r="DT295" s="5"/>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40" t="str">
        <f>IF(ISNUMBER(SnapshotTable[[#This Row],[LC Actual Gain Loss]]), SnapshotTable[[#This Row],[LC Actual Gain Loss]] / SnapshotTable[[#This Row],[LC Premium]],"")</f>
        <v/>
      </c>
      <c r="DX295" s="284" t="str">
        <f>IF(ISNUMBER(SnapshotTable[[#This Row],[LC Book Price]]),SnapshotTable[[#This Row],[LC Book Price]] * 1.5,"")</f>
        <v/>
      </c>
      <c r="DY295" s="265" t="str">
        <f>IF(SnapshotTable[[#This Row],[LC Premium]]&gt;0, SnapshotTable[[#This Row],[LC Next Target]] * SnapshotTable[[#This Row],[LC Qty]] * 100,"")</f>
        <v/>
      </c>
      <c r="DZ295" s="265" t="str">
        <f>IF(ISNUMBER(SnapshotTable[[#This Row],[LC Target Gross]]), SnapshotTable[[#This Row],[LC Target Gross]] - SnapshotTable[[#This Row],[LC Premium]], "")</f>
        <v/>
      </c>
      <c r="EA295" s="305" t="str">
        <f>IF(ISNUMBER(SnapshotTable[[#This Row],[LC Target Gain Loss]]), SnapshotTable[[#This Row],[LC Target Gain Loss]]/SnapshotTable[[#This Row],[LC Premium]], "")</f>
        <v/>
      </c>
      <c r="EB295" s="262"/>
      <c r="EC295" s="283" t="str">
        <f>IF(SnapshotTable[[#This Row],[LC Premium]]&gt;0, SnapshotTable[[#This Row],[LC Book Price]] * (1 - LC_StopLoss_Pct),"")</f>
        <v/>
      </c>
      <c r="ED295" s="284"/>
      <c r="EE295" s="28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4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7"/>
      <c r="EL295" s="138"/>
      <c r="EM295" s="148"/>
      <c r="EN295" s="147"/>
      <c r="EO295" s="147"/>
      <c r="EP295" s="138"/>
      <c r="EQ295" s="419" t="b">
        <f>AND(ISNUMBER(SnapshotTable[[#This Row],[SC Exp Date]]), ISNUMBER(SnapshotTable[[#This Row],[SC Strike Price]]), ISNUMBER(SnapshotTable[[#This Row],[SC Qty]]), ISNUMBER(SnapshotTable[[#This Row],[SC Book Date]]), ISNUMBER(SnapshotTable[[#This Row],[SC Book Price]]))</f>
        <v>0</v>
      </c>
      <c r="ER295" s="419" t="b">
        <f>AND(SnapshotTable[[#This Row],[SC Is Booked]], NOT(ISBLANK(SnapshotTable[[#This Row],[SC Fill Date]])))</f>
        <v>0</v>
      </c>
      <c r="ES295" s="370"/>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3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283"/>
      <c r="FA295" s="218"/>
      <c r="FB295" s="370"/>
      <c r="FC295" s="4">
        <f>IF(SnapshotTable[[#This Row],[SC Is Filled]], btc_max_buyback_amount(SnapshotTable[[#This Row],[SC Fill Date]],SnapshotTable[[#This Row],[SC Exp Date]], SnapshotTable[[#This Row],[SC Book Price]]),0)</f>
        <v>0</v>
      </c>
      <c r="FD295" s="5"/>
      <c r="FE295" s="144"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382">
        <f>IF(SnapshotTable[[#This Row],[SC Is Filled]], IF(ISNUMBER(SnapshotTable[[#This Row],[SC Current Ask]]), SnapshotTable[[#This Row],[SC Current Ask]], SnapshotTable[[#This Row],[SC Book Price]]) - SnapshotTable[[#This Row],[SC Intrinsic Value]], 0)</f>
        <v>0</v>
      </c>
      <c r="FI295" s="143"/>
      <c r="FJ295" s="32" t="str">
        <f>IF(SnapshotTable[[#This Row],[SC Is Filled]],100 * SnapshotTable[[#This Row],[SC Qty]] * IF(ISNUMBER(SnapshotTable[[#This Row],[SC Buyback Override]]), SnapshotTable[[#This Row],[SC Buyback Override]], SnapshotTable[[#This Row],[SC Current Ask]]), "")</f>
        <v/>
      </c>
      <c r="FK295" s="250" t="str">
        <f>IF(SnapshotTable[[#This Row],[SC Time Val]]&gt;0, SnapshotTable[[#This Row],[SC Time Val]] / SnapshotTable[[#This Row],[Last Price]],"")</f>
        <v/>
      </c>
      <c r="FL295" s="302" t="str">
        <f>IF(SnapshotTable[[#This Row],[SC Is Booked]], ((SnapshotTable[[#This Row],[Last Price]] -SnapshotTable[[#This Row],[SC Strike Price]]) / SnapshotTable[[#This Row],[Last Price]]) * -1, "")</f>
        <v/>
      </c>
      <c r="FM295" s="157"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33"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36" t="str">
        <f>IF(AND(ISNUMBER(SnapshotTable[[#This Row],[SC Simple ROO]]),SnapshotTable[[#This Row],[SC Simple ROO]] &gt; 0), SnapshotTable[[#This Row],[SC Premium]] + (SnapshotTable[[#This Row],[SC Qty]] * SnapshotTable[[#This Row],[SC Upside Potential]]), "")</f>
        <v/>
      </c>
      <c r="FX295" s="302" t="str" cm="1">
        <f t="array" ref="FX295">IF(ISNUMBER(SnapshotTable[[#This Row],[SC Max Dollars]]), annualize(SnapshotTable[[#This Row],[SC Term]],(SnapshotTable[[#This Row],[SC Max Dollars]]/SnapshotTable[[#This Row],[SC Basis]])),"")</f>
        <v/>
      </c>
      <c r="FY295" s="23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29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108.18599999999999</v>
      </c>
      <c r="GD295" s="40">
        <f>SnapshotTable[[#This Row],[Last Price]] * (1+ SellingPriceToConsiderBasedOnTargetPercentage)</f>
        <v>679.00949999999989</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727</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31">
        <f>MAX(SnapshotTable[[#This Row],[Equity Basis Total]],SnapshotTable[[#This Row],[Equity Value]]) + (SnapshotTable[[#This Row],[SP Potential Spend]]- SnapshotTable[[#This Row],[SP Premium]] + SnapshotTable[[#This Row],[LP Premium]])+ (SnapshotTable[[#This Row],[LC Premium]] - SnapshotTable[[#This Row],[SC Premium]])</f>
        <v>0</v>
      </c>
      <c r="GW295" s="139" t="str">
        <f>IF(AND(SnapshotTable[[#This Row],[Exposure]] &lt;&gt; 0),SnapshotTable[[#This Row],[Exposure]] / SnapshotTable[[#Totals],[Exposure]], "")</f>
        <v/>
      </c>
      <c r="GY295" s="381"/>
      <c r="HE295" s="381"/>
      <c r="HF295" s="381"/>
      <c r="HG295" s="381"/>
      <c r="HH295" s="381"/>
      <c r="HI295" s="381"/>
      <c r="HJ295" s="381"/>
    </row>
    <row r="296" spans="2:224" ht="12.75" hidden="1" customHeight="1" x14ac:dyDescent="0.25">
      <c r="B296" s="12" t="s">
        <v>22</v>
      </c>
      <c r="C296" s="422">
        <v>141.63999999999999</v>
      </c>
      <c r="D296" s="208"/>
      <c r="E296" s="39">
        <f>SnapshotTable[[#This Row],[Last Price]]*(1 -CrashDiscount)</f>
        <v>120.39399999999999</v>
      </c>
      <c r="F296" s="26" t="s">
        <v>21</v>
      </c>
      <c r="G296" s="26" t="s">
        <v>20</v>
      </c>
      <c r="H296" s="149"/>
      <c r="I296" s="194">
        <v>44774.284722222219</v>
      </c>
      <c r="J296" s="195">
        <v>44774.284722222219</v>
      </c>
      <c r="K296" s="196"/>
      <c r="L296" s="326"/>
      <c r="M296" s="140"/>
      <c r="N296" s="140"/>
      <c r="O296" s="140"/>
      <c r="P296" s="22"/>
      <c r="Q296" s="25"/>
      <c r="R296" s="4" t="str">
        <f>IF(SnapshotTable[[#This Row],[Equity Basis Total]] &gt; 0, SnapshotTable[[#This Row],[Equity Basis Total]] / SnapshotTable[[#This Row],[Equity Shares]], "")</f>
        <v/>
      </c>
      <c r="S296" s="269">
        <f>SnapshotTable[[#This Row],[Last Price]] * SnapshotTable[[#This Row],[Equity Shares]]</f>
        <v>0</v>
      </c>
      <c r="T296" s="269">
        <f>SnapshotTable[[#This Row],[Equity Value]] - SnapshotTable[[#This Row],[Equity Basis Total]]</f>
        <v>0</v>
      </c>
      <c r="U296" s="270" t="str">
        <f>IF(SnapshotTable[[#This Row],[Equity Basis Total]] &gt; 0, SnapshotTable[[#This Row],[Equity G/L]] / SnapshotTable[[#This Row],[Equity Basis Total]], "")</f>
        <v/>
      </c>
      <c r="V296" s="268"/>
      <c r="W296" s="26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7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0">
        <v>1</v>
      </c>
      <c r="AD296" s="151">
        <v>42732</v>
      </c>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7.0601524992939856E-3</v>
      </c>
      <c r="AH296" s="151">
        <v>42712</v>
      </c>
      <c r="AI296" s="5"/>
      <c r="AJ296" s="138">
        <v>51.89</v>
      </c>
      <c r="AK296" s="152" t="str">
        <f>IF(ISNUMBER( SnapshotTable[[#This Row],[EBF Target]]),(SnapshotTable[[#This Row],[EBF Target]] - SnapshotTable[[#This Row],[Last Price]]) / SnapshotTable[[#This Row],[Last Price]], "")</f>
        <v/>
      </c>
      <c r="AL296" s="152"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2">
        <f>IF(AND(ISNUMBER( SnapshotTable[[#This Row],[Long Term Target]]), ISNUMBER(SnapshotTable[[#This Row],[Last Price]])),(SnapshotTable[[#This Row],[Long Term Target]] - SnapshotTable[[#This Row],[Last Price]]) / SnapshotTable[[#This Row],[Last Price]], "")</f>
        <v>-0.63364868681163511</v>
      </c>
      <c r="AP296" s="5"/>
      <c r="AQ296" s="38"/>
      <c r="AR296" s="5"/>
      <c r="AS296" s="38"/>
      <c r="AT296" s="146"/>
      <c r="AU296" s="187" t="str">
        <f>IF(OR(SnapshotTable[[#This Row],[LP No Fill]]="Y",SnapshotTable[[#This Row],[SP Is Filled]],SnapshotTable[[#This Row],[LC Not Filled]]="Y",SnapshotTable[[#This Row],[SC Is Filled]]),"Y","")</f>
        <v/>
      </c>
      <c r="AV296" s="219"/>
      <c r="AW296" s="225"/>
      <c r="AX296" s="220"/>
      <c r="AY296" s="219" t="str">
        <f>IF(SnapshotTable[[#This Row],[Implied Move]]&gt;0, SnapshotTable[[#This Row],[Last Price]]-SnapshotTable[[#This Row],[Implied Move]],"")</f>
        <v/>
      </c>
      <c r="AZ296" s="219" t="str">
        <f>IF(SnapshotTable[[#This Row],[Implied Move]]&gt;0, SnapshotTable[[#This Row],[Last Price]] + SnapshotTable[[#This Row],[Implied Move]],"")</f>
        <v/>
      </c>
      <c r="BA296" s="331"/>
      <c r="BB296" s="347"/>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51"/>
      <c r="BE296" s="5"/>
      <c r="BF296" s="14"/>
      <c r="BG296" s="13"/>
      <c r="BH296" s="13"/>
      <c r="BI296" s="5"/>
      <c r="BJ296" s="136">
        <f>IF(SnapshotTable[[#This Row],[LP Qty]] &gt; 0, SnapshotTable[[#This Row],[LP Qty]] * SnapshotTable[[#This Row],[LP Book Price]] * 100,0)</f>
        <v>0</v>
      </c>
      <c r="BK296" s="136">
        <f>IF(SnapshotTable[[#This Row],[LP Premium]] &gt; 0, SnapshotTable[[#This Row],[LP Qty]] * SnapshotTable[[#This Row],[LP Strike Price]] * 100,0)</f>
        <v>0</v>
      </c>
      <c r="BL296" s="154"/>
      <c r="BM296" s="385" t="str">
        <f>IF(SnapshotTable[[#This Row],[LP Premium]] &gt; 0,SnapshotTable[[#This Row],[LP Exp Date]]-MAX(SnapshotTable[[#This Row],[LP Book Date]], SnapshotTable[[#This Row],[LP Fill Date]]),"")</f>
        <v/>
      </c>
      <c r="BN296" s="385" t="str">
        <f>IF(ISNUMBER( SnapshotTable[[#This Row],[LP Term]]), SnapshotTable[[#This Row],[LP Exp Date]] - MockToday,"")</f>
        <v/>
      </c>
      <c r="BO296" s="163"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7"/>
      <c r="BU296" s="13"/>
      <c r="BV296" s="5"/>
      <c r="BW296" s="419" t="b">
        <f>AND(ISNUMBER(SnapshotTable[[#This Row],[SP Exp Date]]), ISNUMBER(SnapshotTable[[#This Row],[SP Strike Price]]), ISNUMBER(SnapshotTable[[#This Row],[SP Qty]]), ISNUMBER(SnapshotTable[[#This Row],[SP Book Date]]), ISNUMBER(SnapshotTable[[#This Row],[SP Book Price]]))</f>
        <v>0</v>
      </c>
      <c r="BX296" s="419" t="b">
        <f>AND(SnapshotTable[[#This Row],[SP Is Booked]], NOT(ISBLANK(SnapshotTable[[#This Row],[SP Fill Date]])))</f>
        <v>0</v>
      </c>
      <c r="BY296" s="33">
        <f>IF(SnapshotTable[[#This Row],[SP Is Booked]], SnapshotTable[[#This Row],[SP Qty]] * SnapshotTable[[#This Row],[SP Book Price]] * 100, 0)</f>
        <v>0</v>
      </c>
      <c r="BZ296" s="369"/>
      <c r="CA296" s="368">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3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44"/>
      <c r="CK296" s="31">
        <f>IF(ISNUMBER(SnapshotTable[[#This Row],[SP Potential Spend]]),IF(ISNUMBER(SnapshotTable[[#This Row],[SP POW]]), SnapshotTable[[#This Row],[SP POW]] * SnapshotTable[[#This Row],[SP Potential Spend]], SnapshotTable[[#This Row],[SP Potential Spend]]), "")</f>
        <v>0</v>
      </c>
      <c r="CL296" s="164">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8"/>
      <c r="CO296" s="369"/>
      <c r="CP296" s="4" t="str">
        <f>IF(SnapshotTable[[#This Row],[SP Is Filled]], btc_max_buyback_amount(SnapshotTable[[#This Row],[SP Fill Date]],SnapshotTable[[#This Row],[SP Exp Date]], SnapshotTable[[#This Row],[SP Book Price]]),"")</f>
        <v/>
      </c>
      <c r="CQ296" s="78"/>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5" t="str">
        <f>IF(SnapshotTable[[#This Row],[SP Is Filled]], btc_next_cutoff_date(SnapshotTable[[#This Row],[SP Fill Date]],SnapshotTable[[#This Row],[SP Exp Date]]),"")</f>
        <v/>
      </c>
      <c r="CT296" s="23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3"/>
      <c r="CV296" s="235"/>
      <c r="CW296" s="378"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294" t="str">
        <f>IF(ISNUMBER((SnapshotTable[[#This Row],[SP Total Value]])), SnapshotTable[[#This Row],[SP Gain Loss]] / SnapshotTable[[#This Row],[SP Premium]], "")</f>
        <v/>
      </c>
      <c r="DI296" s="406"/>
      <c r="DJ296" s="138"/>
      <c r="DK296" s="148"/>
      <c r="DL296" s="13"/>
      <c r="DM296" s="13"/>
      <c r="DO296" s="31">
        <f>IF(SnapshotTable[[#This Row],[LC Symbol Count]]=1, SnapshotTable[[#This Row],[LC Qty]] * SnapshotTable[[#This Row],[LC Book Price]] * 100, 0)</f>
        <v>0</v>
      </c>
      <c r="DP296" s="163" t="str">
        <f>IF(AND(SnapshotTable[[#This Row],[LC Exp Date]]&gt;0, SnapshotTable[[#This Row],[LC Strike Price]]&gt;0,SnapshotTable[[#This Row],[LC Qty]]&gt;0,SnapshotTable[[#This Row],[LC Book Date]]&gt;0,SnapshotTable[[#This Row],[LC Book Price]]&gt;0,SnapshotTable[[#This Row],[LC Fill Date]]=0),"Y","")</f>
        <v/>
      </c>
      <c r="DQ296" s="386" t="str">
        <f>IF(SnapshotTable[[#This Row],[LC Premium]] &gt; 0,SnapshotTable[[#This Row],[LC Exp Date]]-MAX(SnapshotTable[[#This Row],[LC Book Date]], SnapshotTable[[#This Row],[LC Fill Date]]),"")</f>
        <v/>
      </c>
      <c r="DR296" s="386" t="str">
        <f>IF(ISNUMBER(SnapshotTable[[#This Row],[LC Term]]), SnapshotTable[[#This Row],[LC Exp Date]] - MockToday, "")</f>
        <v/>
      </c>
      <c r="DS296" s="23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40" t="str">
        <f>IF(ISNUMBER(SnapshotTable[[#This Row],[LC Actual Gain Loss]]), SnapshotTable[[#This Row],[LC Actual Gain Loss]] / SnapshotTable[[#This Row],[LC Premium]],"")</f>
        <v/>
      </c>
      <c r="DX296" s="284" t="str">
        <f>IF(ISNUMBER(SnapshotTable[[#This Row],[LC Book Price]]),SnapshotTable[[#This Row],[LC Book Price]] * 1.5,"")</f>
        <v/>
      </c>
      <c r="DY296" s="265" t="str">
        <f>IF(SnapshotTable[[#This Row],[LC Premium]]&gt;0, SnapshotTable[[#This Row],[LC Next Target]] * SnapshotTable[[#This Row],[LC Qty]] * 100,"")</f>
        <v/>
      </c>
      <c r="DZ296" s="265" t="str">
        <f>IF(ISNUMBER(SnapshotTable[[#This Row],[LC Target Gross]]), SnapshotTable[[#This Row],[LC Target Gross]] - SnapshotTable[[#This Row],[LC Premium]], "")</f>
        <v/>
      </c>
      <c r="EA296" s="305" t="str">
        <f>IF(ISNUMBER(SnapshotTable[[#This Row],[LC Target Gain Loss]]), SnapshotTable[[#This Row],[LC Target Gain Loss]]/SnapshotTable[[#This Row],[LC Premium]], "")</f>
        <v/>
      </c>
      <c r="EB296" s="262"/>
      <c r="EC296" s="283" t="str">
        <f>IF(SnapshotTable[[#This Row],[LC Premium]]&gt;0, SnapshotTable[[#This Row],[LC Book Price]] * (1 - LC_StopLoss_Pct),"")</f>
        <v/>
      </c>
      <c r="ED296" s="284"/>
      <c r="EE296" s="28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4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7"/>
      <c r="EL296" s="138"/>
      <c r="EM296" s="148"/>
      <c r="EN296" s="147"/>
      <c r="EO296" s="147"/>
      <c r="EP296" s="138"/>
      <c r="EQ296" s="419" t="b">
        <f>AND(ISNUMBER(SnapshotTable[[#This Row],[SC Exp Date]]), ISNUMBER(SnapshotTable[[#This Row],[SC Strike Price]]), ISNUMBER(SnapshotTable[[#This Row],[SC Qty]]), ISNUMBER(SnapshotTable[[#This Row],[SC Book Date]]), ISNUMBER(SnapshotTable[[#This Row],[SC Book Price]]))</f>
        <v>0</v>
      </c>
      <c r="ER296" s="419" t="b">
        <f>AND(SnapshotTable[[#This Row],[SC Is Booked]], NOT(ISBLANK(SnapshotTable[[#This Row],[SC Fill Date]])))</f>
        <v>0</v>
      </c>
      <c r="ES296" s="370"/>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3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283"/>
      <c r="FA296" s="218"/>
      <c r="FB296" s="370"/>
      <c r="FC296" s="4">
        <f>IF(SnapshotTable[[#This Row],[SC Is Filled]], btc_max_buyback_amount(SnapshotTable[[#This Row],[SC Fill Date]],SnapshotTable[[#This Row],[SC Exp Date]], SnapshotTable[[#This Row],[SC Book Price]]),0)</f>
        <v>0</v>
      </c>
      <c r="FD296" s="5"/>
      <c r="FE296" s="144"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382">
        <f>IF(SnapshotTable[[#This Row],[SC Is Filled]], IF(ISNUMBER(SnapshotTable[[#This Row],[SC Current Ask]]), SnapshotTable[[#This Row],[SC Current Ask]], SnapshotTable[[#This Row],[SC Book Price]]) - SnapshotTable[[#This Row],[SC Intrinsic Value]], 0)</f>
        <v>0</v>
      </c>
      <c r="FI296" s="143"/>
      <c r="FJ296" s="32" t="str">
        <f>IF(SnapshotTable[[#This Row],[SC Is Filled]],100 * SnapshotTable[[#This Row],[SC Qty]] * IF(ISNUMBER(SnapshotTable[[#This Row],[SC Buyback Override]]), SnapshotTable[[#This Row],[SC Buyback Override]], SnapshotTable[[#This Row],[SC Current Ask]]), "")</f>
        <v/>
      </c>
      <c r="FK296" s="250" t="str">
        <f>IF(SnapshotTable[[#This Row],[SC Time Val]]&gt;0, SnapshotTable[[#This Row],[SC Time Val]] / SnapshotTable[[#This Row],[Last Price]],"")</f>
        <v/>
      </c>
      <c r="FL296" s="302" t="str">
        <f>IF(SnapshotTable[[#This Row],[SC Is Booked]], ((SnapshotTable[[#This Row],[Last Price]] -SnapshotTable[[#This Row],[SC Strike Price]]) / SnapshotTable[[#This Row],[Last Price]]) * -1, "")</f>
        <v/>
      </c>
      <c r="FM296" s="157"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33"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36" t="str">
        <f>IF(AND(ISNUMBER(SnapshotTable[[#This Row],[SC Simple ROO]]),SnapshotTable[[#This Row],[SC Simple ROO]] &gt; 0), SnapshotTable[[#This Row],[SC Premium]] + (SnapshotTable[[#This Row],[SC Qty]] * SnapshotTable[[#This Row],[SC Upside Potential]]), "")</f>
        <v/>
      </c>
      <c r="FX296" s="302" t="str" cm="1">
        <f t="array" ref="FX296">IF(ISNUMBER(SnapshotTable[[#This Row],[SC Max Dollars]]), annualize(SnapshotTable[[#This Row],[SC Term]],(SnapshotTable[[#This Row],[SC Max Dollars]]/SnapshotTable[[#This Row],[SC Basis]])),"")</f>
        <v/>
      </c>
      <c r="FY296" s="23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29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49.295499999999997</v>
      </c>
      <c r="GD296" s="40">
        <f>SnapshotTable[[#This Row],[Last Price]] * (1+ SellingPriceToConsiderBasedOnTargetPercentage)</f>
        <v>276.19799999999998</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762</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31">
        <f>MAX(SnapshotTable[[#This Row],[Equity Basis Total]],SnapshotTable[[#This Row],[Equity Value]]) + (SnapshotTable[[#This Row],[SP Potential Spend]]- SnapshotTable[[#This Row],[SP Premium]] + SnapshotTable[[#This Row],[LP Premium]])+ (SnapshotTable[[#This Row],[LC Premium]] - SnapshotTable[[#This Row],[SC Premium]])</f>
        <v>0</v>
      </c>
      <c r="GW296" s="139" t="str">
        <f>IF(AND(SnapshotTable[[#This Row],[Exposure]] &lt;&gt; 0),SnapshotTable[[#This Row],[Exposure]] / SnapshotTable[[#Totals],[Exposure]], "")</f>
        <v/>
      </c>
      <c r="HK296" s="1"/>
      <c r="HL296" s="1"/>
      <c r="HM296" s="1"/>
      <c r="HN296" s="1"/>
      <c r="HO296" s="1"/>
      <c r="HP296" s="1"/>
    </row>
    <row r="297" spans="2:224" ht="12.75" hidden="1" customHeight="1" x14ac:dyDescent="0.25">
      <c r="B297" s="12" t="s">
        <v>955</v>
      </c>
      <c r="C297" s="422">
        <v>4.16</v>
      </c>
      <c r="D297" s="208" t="s">
        <v>1025</v>
      </c>
      <c r="E297" s="39">
        <f>SnapshotTable[[#This Row],[Last Price]]*(1 -CrashDiscount)</f>
        <v>3.536</v>
      </c>
      <c r="F297" s="26" t="s">
        <v>935</v>
      </c>
      <c r="G297" s="26" t="s">
        <v>49</v>
      </c>
      <c r="H297" s="149"/>
      <c r="I297" s="194">
        <v>45204</v>
      </c>
      <c r="J297" s="195">
        <v>44748.291666666664</v>
      </c>
      <c r="K297" s="196"/>
      <c r="L297" s="326"/>
      <c r="M297" s="140"/>
      <c r="N297" s="140"/>
      <c r="O297" s="140"/>
      <c r="P297" s="22"/>
      <c r="Q297" s="25"/>
      <c r="R297" s="4" t="str">
        <f>IF(SnapshotTable[[#This Row],[Equity Basis Total]] &gt; 0, SnapshotTable[[#This Row],[Equity Basis Total]] / SnapshotTable[[#This Row],[Equity Shares]], "")</f>
        <v/>
      </c>
      <c r="S297" s="269">
        <f>SnapshotTable[[#This Row],[Last Price]] * SnapshotTable[[#This Row],[Equity Shares]]</f>
        <v>0</v>
      </c>
      <c r="T297" s="269">
        <f>SnapshotTable[[#This Row],[Equity Value]] - SnapshotTable[[#This Row],[Equity Basis Total]]</f>
        <v>0</v>
      </c>
      <c r="U297" s="270" t="str">
        <f>IF(SnapshotTable[[#This Row],[Equity Basis Total]] &gt; 0, SnapshotTable[[#This Row],[Equity G/L]] / SnapshotTable[[#This Row],[Equity Basis Total]], "")</f>
        <v/>
      </c>
      <c r="V297" s="268">
        <v>3.5</v>
      </c>
      <c r="W297" s="268">
        <v>2.75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7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0"/>
      <c r="AD297" s="151"/>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1"/>
      <c r="AI297" s="5"/>
      <c r="AJ297" s="138">
        <v>8.6999999999999993</v>
      </c>
      <c r="AK297" s="152" t="str">
        <f>IF(ISNUMBER( SnapshotTable[[#This Row],[EBF Target]]),(SnapshotTable[[#This Row],[EBF Target]] - SnapshotTable[[#This Row],[Last Price]]) / SnapshotTable[[#This Row],[Last Price]], "")</f>
        <v/>
      </c>
      <c r="AL297" s="152"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2">
        <f>IF(AND(ISNUMBER( SnapshotTable[[#This Row],[Long Term Target]]), ISNUMBER(SnapshotTable[[#This Row],[Last Price]])),(SnapshotTable[[#This Row],[Long Term Target]] - SnapshotTable[[#This Row],[Last Price]]) / SnapshotTable[[#This Row],[Last Price]], "")</f>
        <v>1.0913461538461535</v>
      </c>
      <c r="AP297" s="5">
        <v>2.5</v>
      </c>
      <c r="AQ297" s="38" t="s">
        <v>27</v>
      </c>
      <c r="AR297" s="5">
        <v>2.5</v>
      </c>
      <c r="AS297" s="38" t="s">
        <v>26</v>
      </c>
      <c r="AT297" s="146" t="s">
        <v>542</v>
      </c>
      <c r="AU297" s="187" t="str">
        <f>IF(OR(SnapshotTable[[#This Row],[LP No Fill]]="Y",SnapshotTable[[#This Row],[SP Is Filled]],SnapshotTable[[#This Row],[LC Not Filled]]="Y",SnapshotTable[[#This Row],[SC Is Filled]]),"Y","")</f>
        <v/>
      </c>
      <c r="AV297" s="219"/>
      <c r="AW297" s="225"/>
      <c r="AX297" s="220"/>
      <c r="AY297" s="219" t="str">
        <f>IF(SnapshotTable[[#This Row],[Implied Move]]&gt;0, SnapshotTable[[#This Row],[Last Price]]-SnapshotTable[[#This Row],[Implied Move]],"")</f>
        <v/>
      </c>
      <c r="AZ297" s="219" t="str">
        <f>IF(SnapshotTable[[#This Row],[Implied Move]]&gt;0, SnapshotTable[[#This Row],[Last Price]] + SnapshotTable[[#This Row],[Implied Move]],"")</f>
        <v/>
      </c>
      <c r="BA297" s="331">
        <v>2.4</v>
      </c>
      <c r="BB297" s="347"/>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51"/>
      <c r="BE297" s="5"/>
      <c r="BF297" s="14"/>
      <c r="BG297" s="13"/>
      <c r="BH297" s="13"/>
      <c r="BI297" s="5"/>
      <c r="BJ297" s="136">
        <f>IF(SnapshotTable[[#This Row],[LP Qty]] &gt; 0, SnapshotTable[[#This Row],[LP Qty]] * SnapshotTable[[#This Row],[LP Book Price]] * 100,0)</f>
        <v>0</v>
      </c>
      <c r="BK297" s="136">
        <f>IF(SnapshotTable[[#This Row],[LP Premium]] &gt; 0, SnapshotTable[[#This Row],[LP Qty]] * SnapshotTable[[#This Row],[LP Strike Price]] * 100,0)</f>
        <v>0</v>
      </c>
      <c r="BL297" s="154"/>
      <c r="BM297" s="385" t="str">
        <f>IF(SnapshotTable[[#This Row],[LP Premium]] &gt; 0,SnapshotTable[[#This Row],[LP Exp Date]]-MAX(SnapshotTable[[#This Row],[LP Book Date]], SnapshotTable[[#This Row],[LP Fill Date]]),"")</f>
        <v/>
      </c>
      <c r="BN297" s="385" t="str">
        <f>IF(ISNUMBER( SnapshotTable[[#This Row],[LP Term]]), SnapshotTable[[#This Row],[LP Exp Date]] - MockToday,"")</f>
        <v/>
      </c>
      <c r="BO297" s="163"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7"/>
      <c r="BU297" s="13"/>
      <c r="BV297" s="5"/>
      <c r="BW297" s="419" t="b">
        <f>AND(ISNUMBER(SnapshotTable[[#This Row],[SP Exp Date]]), ISNUMBER(SnapshotTable[[#This Row],[SP Strike Price]]), ISNUMBER(SnapshotTable[[#This Row],[SP Qty]]), ISNUMBER(SnapshotTable[[#This Row],[SP Book Date]]), ISNUMBER(SnapshotTable[[#This Row],[SP Book Price]]))</f>
        <v>0</v>
      </c>
      <c r="BX297" s="419" t="b">
        <f>AND(SnapshotTable[[#This Row],[SP Is Booked]], NOT(ISBLANK(SnapshotTable[[#This Row],[SP Fill Date]])))</f>
        <v>0</v>
      </c>
      <c r="BY297" s="33">
        <f>IF(SnapshotTable[[#This Row],[SP Is Booked]], SnapshotTable[[#This Row],[SP Qty]] * SnapshotTable[[#This Row],[SP Book Price]] * 100, 0)</f>
        <v>0</v>
      </c>
      <c r="BZ297" s="369"/>
      <c r="CA297" s="368">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3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44"/>
      <c r="CK297" s="31">
        <f>IF(ISNUMBER(SnapshotTable[[#This Row],[SP Potential Spend]]),IF(ISNUMBER(SnapshotTable[[#This Row],[SP POW]]), SnapshotTable[[#This Row],[SP POW]] * SnapshotTable[[#This Row],[SP Potential Spend]], SnapshotTable[[#This Row],[SP Potential Spend]]), "")</f>
        <v>0</v>
      </c>
      <c r="CL297" s="164">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218"/>
      <c r="CO297" s="369"/>
      <c r="CP297" s="4" t="str">
        <f>IF(SnapshotTable[[#This Row],[SP Is Filled]], btc_max_buyback_amount(SnapshotTable[[#This Row],[SP Fill Date]],SnapshotTable[[#This Row],[SP Exp Date]], SnapshotTable[[#This Row],[SP Book Price]]),"")</f>
        <v/>
      </c>
      <c r="CQ297" s="78"/>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5" t="str">
        <f>IF(SnapshotTable[[#This Row],[SP Is Filled]], btc_next_cutoff_date(SnapshotTable[[#This Row],[SP Fill Date]],SnapshotTable[[#This Row],[SP Exp Date]]),"")</f>
        <v/>
      </c>
      <c r="CT297" s="23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3"/>
      <c r="CV297" s="235"/>
      <c r="CW297" s="378"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294" t="str">
        <f>IF(ISNUMBER((SnapshotTable[[#This Row],[SP Total Value]])), SnapshotTable[[#This Row],[SP Gain Loss]] / SnapshotTable[[#This Row],[SP Premium]], "")</f>
        <v/>
      </c>
      <c r="DI297" s="406"/>
      <c r="DJ297" s="138"/>
      <c r="DK297" s="148"/>
      <c r="DL297" s="13"/>
      <c r="DM297" s="13"/>
      <c r="DO297" s="31">
        <f>IF(SnapshotTable[[#This Row],[LC Symbol Count]]=1, SnapshotTable[[#This Row],[LC Qty]] * SnapshotTable[[#This Row],[LC Book Price]] * 100, 0)</f>
        <v>0</v>
      </c>
      <c r="DP297" s="163" t="str">
        <f>IF(AND(SnapshotTable[[#This Row],[LC Exp Date]]&gt;0, SnapshotTable[[#This Row],[LC Strike Price]]&gt;0,SnapshotTable[[#This Row],[LC Qty]]&gt;0,SnapshotTable[[#This Row],[LC Book Date]]&gt;0,SnapshotTable[[#This Row],[LC Book Price]]&gt;0,SnapshotTable[[#This Row],[LC Fill Date]]=0),"Y","")</f>
        <v/>
      </c>
      <c r="DQ297" s="386" t="str">
        <f>IF(SnapshotTable[[#This Row],[LC Premium]] &gt; 0,SnapshotTable[[#This Row],[LC Exp Date]]-MAX(SnapshotTable[[#This Row],[LC Book Date]], SnapshotTable[[#This Row],[LC Fill Date]]),"")</f>
        <v/>
      </c>
      <c r="DR297" s="386" t="str">
        <f>IF(ISNUMBER(SnapshotTable[[#This Row],[LC Term]]), SnapshotTable[[#This Row],[LC Exp Date]] - MockToday, "")</f>
        <v/>
      </c>
      <c r="DS297" s="23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40" t="str">
        <f>IF(ISNUMBER(SnapshotTable[[#This Row],[LC Actual Gain Loss]]), SnapshotTable[[#This Row],[LC Actual Gain Loss]] / SnapshotTable[[#This Row],[LC Premium]],"")</f>
        <v/>
      </c>
      <c r="DX297" s="284" t="str">
        <f>IF(ISNUMBER(SnapshotTable[[#This Row],[LC Book Price]]),SnapshotTable[[#This Row],[LC Book Price]] * 1.5,"")</f>
        <v/>
      </c>
      <c r="DY297" s="265" t="str">
        <f>IF(SnapshotTable[[#This Row],[LC Premium]]&gt;0, SnapshotTable[[#This Row],[LC Next Target]] * SnapshotTable[[#This Row],[LC Qty]] * 100,"")</f>
        <v/>
      </c>
      <c r="DZ297" s="265" t="str">
        <f>IF(ISNUMBER(SnapshotTable[[#This Row],[LC Target Gross]]), SnapshotTable[[#This Row],[LC Target Gross]] - SnapshotTable[[#This Row],[LC Premium]], "")</f>
        <v/>
      </c>
      <c r="EA297" s="305" t="str">
        <f>IF(ISNUMBER(SnapshotTable[[#This Row],[LC Target Gain Loss]]), SnapshotTable[[#This Row],[LC Target Gain Loss]]/SnapshotTable[[#This Row],[LC Premium]], "")</f>
        <v/>
      </c>
      <c r="EB297" s="262"/>
      <c r="EC297" s="283" t="str">
        <f>IF(SnapshotTable[[#This Row],[LC Premium]]&gt;0, SnapshotTable[[#This Row],[LC Book Price]] * (1 - LC_StopLoss_Pct),"")</f>
        <v/>
      </c>
      <c r="ED297" s="284"/>
      <c r="EE297" s="28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4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7"/>
      <c r="EL297" s="138"/>
      <c r="EM297" s="148"/>
      <c r="EN297" s="147"/>
      <c r="EO297" s="147"/>
      <c r="EP297" s="138"/>
      <c r="EQ297" s="419" t="b">
        <f>AND(ISNUMBER(SnapshotTable[[#This Row],[SC Exp Date]]), ISNUMBER(SnapshotTable[[#This Row],[SC Strike Price]]), ISNUMBER(SnapshotTable[[#This Row],[SC Qty]]), ISNUMBER(SnapshotTable[[#This Row],[SC Book Date]]), ISNUMBER(SnapshotTable[[#This Row],[SC Book Price]]))</f>
        <v>0</v>
      </c>
      <c r="ER297" s="419" t="b">
        <f>AND(SnapshotTable[[#This Row],[SC Is Booked]], NOT(ISBLANK(SnapshotTable[[#This Row],[SC Fill Date]])))</f>
        <v>0</v>
      </c>
      <c r="ES297" s="370"/>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3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283"/>
      <c r="FA297" s="218"/>
      <c r="FB297" s="370">
        <v>0.1</v>
      </c>
      <c r="FC297" s="4">
        <f>IF(SnapshotTable[[#This Row],[SC Is Filled]], btc_max_buyback_amount(SnapshotTable[[#This Row],[SC Fill Date]],SnapshotTable[[#This Row],[SC Exp Date]], SnapshotTable[[#This Row],[SC Book Price]]),0)</f>
        <v>0</v>
      </c>
      <c r="FD297" s="5"/>
      <c r="FE297" s="144"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382">
        <f>IF(SnapshotTable[[#This Row],[SC Is Filled]], IF(ISNUMBER(SnapshotTable[[#This Row],[SC Current Ask]]), SnapshotTable[[#This Row],[SC Current Ask]], SnapshotTable[[#This Row],[SC Book Price]]) - SnapshotTable[[#This Row],[SC Intrinsic Value]], 0)</f>
        <v>0</v>
      </c>
      <c r="FI297" s="143"/>
      <c r="FJ297" s="32" t="str">
        <f>IF(SnapshotTable[[#This Row],[SC Is Filled]],100 * SnapshotTable[[#This Row],[SC Qty]] * IF(ISNUMBER(SnapshotTable[[#This Row],[SC Buyback Override]]), SnapshotTable[[#This Row],[SC Buyback Override]], SnapshotTable[[#This Row],[SC Current Ask]]), "")</f>
        <v/>
      </c>
      <c r="FK297" s="250" t="str">
        <f>IF(SnapshotTable[[#This Row],[SC Time Val]]&gt;0, SnapshotTable[[#This Row],[SC Time Val]] / SnapshotTable[[#This Row],[Last Price]],"")</f>
        <v/>
      </c>
      <c r="FL297" s="302" t="str">
        <f>IF(SnapshotTable[[#This Row],[SC Is Booked]], ((SnapshotTable[[#This Row],[Last Price]] -SnapshotTable[[#This Row],[SC Strike Price]]) / SnapshotTable[[#This Row],[Last Price]]) * -1, "")</f>
        <v/>
      </c>
      <c r="FM297" s="157"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33"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36" t="str">
        <f>IF(AND(ISNUMBER(SnapshotTable[[#This Row],[SC Simple ROO]]),SnapshotTable[[#This Row],[SC Simple ROO]] &gt; 0), SnapshotTable[[#This Row],[SC Premium]] + (SnapshotTable[[#This Row],[SC Qty]] * SnapshotTable[[#This Row],[SC Upside Potential]]), "")</f>
        <v/>
      </c>
      <c r="FX297" s="302" t="str" cm="1">
        <f t="array" ref="FX297">IF(ISNUMBER(SnapshotTable[[#This Row],[SC Max Dollars]]), annualize(SnapshotTable[[#This Row],[SC Term]],(SnapshotTable[[#This Row],[SC Max Dollars]]/SnapshotTable[[#This Row],[SC Basis]])),"")</f>
        <v/>
      </c>
      <c r="FY297" s="23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29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8.2649999999999988</v>
      </c>
      <c r="GD297" s="40">
        <f>SnapshotTable[[#This Row],[Last Price]] * (1+ SellingPriceToConsiderBasedOnTargetPercentage)</f>
        <v>8.1120000000000001</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t="s">
        <v>1021</v>
      </c>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31">
        <f>MAX(SnapshotTable[[#This Row],[Equity Basis Total]],SnapshotTable[[#This Row],[Equity Value]]) + (SnapshotTable[[#This Row],[SP Potential Spend]]- SnapshotTable[[#This Row],[SP Premium]] + SnapshotTable[[#This Row],[LP Premium]])+ (SnapshotTable[[#This Row],[LC Premium]] - SnapshotTable[[#This Row],[SC Premium]])</f>
        <v>0</v>
      </c>
      <c r="GW297" s="139" t="str">
        <f>IF(AND(SnapshotTable[[#This Row],[Exposure]] &lt;&gt; 0),SnapshotTable[[#This Row],[Exposure]] / SnapshotTable[[#Totals],[Exposure]], "")</f>
        <v/>
      </c>
      <c r="HK297" s="1"/>
      <c r="HL297" s="1"/>
      <c r="HM297" s="1"/>
      <c r="HN297" s="1"/>
      <c r="HO297" s="1"/>
      <c r="HP297" s="1"/>
    </row>
    <row r="298" spans="2:224" ht="12.75" hidden="1" customHeight="1" x14ac:dyDescent="0.25">
      <c r="B298" s="12" t="s">
        <v>167</v>
      </c>
      <c r="C298" s="422">
        <v>83.44</v>
      </c>
      <c r="D298" s="208"/>
      <c r="E298" s="39">
        <f>SnapshotTable[[#This Row],[Last Price]]*(1 -CrashDiscount)</f>
        <v>70.923999999999992</v>
      </c>
      <c r="F298" s="26" t="s">
        <v>5</v>
      </c>
      <c r="G298" s="26" t="s">
        <v>4</v>
      </c>
      <c r="H298" s="149"/>
      <c r="I298" s="194">
        <v>44748.291666666664</v>
      </c>
      <c r="J298" s="195">
        <v>44748.291666666664</v>
      </c>
      <c r="K298" s="196"/>
      <c r="L298" s="326"/>
      <c r="M298" s="140"/>
      <c r="N298" s="140"/>
      <c r="O298" s="140"/>
      <c r="P298" s="22"/>
      <c r="Q298" s="25"/>
      <c r="R298" s="4" t="str">
        <f>IF(SnapshotTable[[#This Row],[Equity Basis Total]] &gt; 0, SnapshotTable[[#This Row],[Equity Basis Total]] / SnapshotTable[[#This Row],[Equity Shares]], "")</f>
        <v/>
      </c>
      <c r="S298" s="269">
        <f>SnapshotTable[[#This Row],[Last Price]] * SnapshotTable[[#This Row],[Equity Shares]]</f>
        <v>0</v>
      </c>
      <c r="T298" s="269">
        <f>SnapshotTable[[#This Row],[Equity Value]] - SnapshotTable[[#This Row],[Equity Basis Total]]</f>
        <v>0</v>
      </c>
      <c r="U298" s="270" t="str">
        <f>IF(SnapshotTable[[#This Row],[Equity Basis Total]] &gt; 0, SnapshotTable[[#This Row],[Equity G/L]] / SnapshotTable[[#This Row],[Equity Basis Total]], "")</f>
        <v/>
      </c>
      <c r="V298" s="268"/>
      <c r="W298" s="26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7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0"/>
      <c r="AD298" s="151"/>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0</v>
      </c>
      <c r="AH298" s="151"/>
      <c r="AI298" s="5"/>
      <c r="AJ298" s="138" t="s">
        <v>164</v>
      </c>
      <c r="AK298" s="152" t="str">
        <f>IF(ISNUMBER( SnapshotTable[[#This Row],[EBF Target]]),(SnapshotTable[[#This Row],[EBF Target]] - SnapshotTable[[#This Row],[Last Price]]) / SnapshotTable[[#This Row],[Last Price]], "")</f>
        <v/>
      </c>
      <c r="AL298" s="152"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2" t="str">
        <f>IF(AND(ISNUMBER( SnapshotTable[[#This Row],[Long Term Target]]), ISNUMBER(SnapshotTable[[#This Row],[Last Price]])),(SnapshotTable[[#This Row],[Long Term Target]] - SnapshotTable[[#This Row],[Last Price]]) / SnapshotTable[[#This Row],[Last Price]], "")</f>
        <v/>
      </c>
      <c r="AP298" s="5">
        <v>2.65</v>
      </c>
      <c r="AQ298" s="38" t="s">
        <v>89</v>
      </c>
      <c r="AR298" s="5">
        <v>1.4</v>
      </c>
      <c r="AS298" s="38" t="s">
        <v>32</v>
      </c>
      <c r="AT298" s="146" t="s">
        <v>575</v>
      </c>
      <c r="AU298" s="187" t="str">
        <f>IF(OR(SnapshotTable[[#This Row],[LP No Fill]]="Y",SnapshotTable[[#This Row],[SP Is Filled]],SnapshotTable[[#This Row],[LC Not Filled]]="Y",SnapshotTable[[#This Row],[SC Is Filled]]),"Y","")</f>
        <v/>
      </c>
      <c r="AV298" s="219"/>
      <c r="AW298" s="225"/>
      <c r="AX298" s="220"/>
      <c r="AY298" s="219" t="str">
        <f>IF(SnapshotTable[[#This Row],[Implied Move]]&gt;0, SnapshotTable[[#This Row],[Last Price]]-SnapshotTable[[#This Row],[Implied Move]],"")</f>
        <v/>
      </c>
      <c r="AZ298" s="219" t="str">
        <f>IF(SnapshotTable[[#This Row],[Implied Move]]&gt;0, SnapshotTable[[#This Row],[Last Price]] + SnapshotTable[[#This Row],[Implied Move]],"")</f>
        <v/>
      </c>
      <c r="BA298" s="331">
        <v>1.97</v>
      </c>
      <c r="BB298" s="347"/>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51"/>
      <c r="BE298" s="5"/>
      <c r="BF298" s="14"/>
      <c r="BG298" s="13"/>
      <c r="BH298" s="13"/>
      <c r="BI298" s="5"/>
      <c r="BJ298" s="136">
        <f>IF(SnapshotTable[[#This Row],[LP Qty]] &gt; 0, SnapshotTable[[#This Row],[LP Qty]] * SnapshotTable[[#This Row],[LP Book Price]] * 100,0)</f>
        <v>0</v>
      </c>
      <c r="BK298" s="136">
        <f>IF(SnapshotTable[[#This Row],[LP Premium]] &gt; 0, SnapshotTable[[#This Row],[LP Qty]] * SnapshotTable[[#This Row],[LP Strike Price]] * 100,0)</f>
        <v>0</v>
      </c>
      <c r="BL298" s="154"/>
      <c r="BM298" s="385" t="str">
        <f>IF(SnapshotTable[[#This Row],[LP Premium]] &gt; 0,SnapshotTable[[#This Row],[LP Exp Date]]-MAX(SnapshotTable[[#This Row],[LP Book Date]], SnapshotTable[[#This Row],[LP Fill Date]]),"")</f>
        <v/>
      </c>
      <c r="BN298" s="385" t="str">
        <f>IF(ISNUMBER( SnapshotTable[[#This Row],[LP Term]]), SnapshotTable[[#This Row],[LP Exp Date]] - MockToday,"")</f>
        <v/>
      </c>
      <c r="BO298" s="163"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7"/>
      <c r="BU298" s="13"/>
      <c r="BV298" s="5"/>
      <c r="BW298" s="419" t="b">
        <f>AND(ISNUMBER(SnapshotTable[[#This Row],[SP Exp Date]]), ISNUMBER(SnapshotTable[[#This Row],[SP Strike Price]]), ISNUMBER(SnapshotTable[[#This Row],[SP Qty]]), ISNUMBER(SnapshotTable[[#This Row],[SP Book Date]]), ISNUMBER(SnapshotTable[[#This Row],[SP Book Price]]))</f>
        <v>0</v>
      </c>
      <c r="BX298" s="419" t="b">
        <f>AND(SnapshotTable[[#This Row],[SP Is Booked]], NOT(ISBLANK(SnapshotTable[[#This Row],[SP Fill Date]])))</f>
        <v>0</v>
      </c>
      <c r="BY298" s="33">
        <f>IF(SnapshotTable[[#This Row],[SP Is Booked]], SnapshotTable[[#This Row],[SP Qty]] * SnapshotTable[[#This Row],[SP Book Price]] * 100, 0)</f>
        <v>0</v>
      </c>
      <c r="BZ298" s="369"/>
      <c r="CA298" s="368">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3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44"/>
      <c r="CK298" s="31">
        <f>IF(ISNUMBER(SnapshotTable[[#This Row],[SP Potential Spend]]),IF(ISNUMBER(SnapshotTable[[#This Row],[SP POW]]), SnapshotTable[[#This Row],[SP POW]] * SnapshotTable[[#This Row],[SP Potential Spend]], SnapshotTable[[#This Row],[SP Potential Spend]]), "")</f>
        <v>0</v>
      </c>
      <c r="CL298" s="164">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8"/>
      <c r="CO298" s="369"/>
      <c r="CP298" s="4" t="str">
        <f>IF(SnapshotTable[[#This Row],[SP Is Filled]], btc_max_buyback_amount(SnapshotTable[[#This Row],[SP Fill Date]],SnapshotTable[[#This Row],[SP Exp Date]], SnapshotTable[[#This Row],[SP Book Price]]),"")</f>
        <v/>
      </c>
      <c r="CQ298" s="78"/>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5" t="str">
        <f>IF(SnapshotTable[[#This Row],[SP Is Filled]], btc_next_cutoff_date(SnapshotTable[[#This Row],[SP Fill Date]],SnapshotTable[[#This Row],[SP Exp Date]]),"")</f>
        <v/>
      </c>
      <c r="CT298" s="23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3"/>
      <c r="CV298" s="235"/>
      <c r="CW298" s="378"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294" t="str">
        <f>IF(ISNUMBER((SnapshotTable[[#This Row],[SP Total Value]])), SnapshotTable[[#This Row],[SP Gain Loss]] / SnapshotTable[[#This Row],[SP Premium]], "")</f>
        <v/>
      </c>
      <c r="DI298" s="406"/>
      <c r="DJ298" s="138"/>
      <c r="DK298" s="148"/>
      <c r="DL298" s="13"/>
      <c r="DM298" s="13"/>
      <c r="DO298" s="31">
        <f>IF(SnapshotTable[[#This Row],[LC Symbol Count]]=1, SnapshotTable[[#This Row],[LC Qty]] * SnapshotTable[[#This Row],[LC Book Price]] * 100, 0)</f>
        <v>0</v>
      </c>
      <c r="DP298" s="163" t="str">
        <f>IF(AND(SnapshotTable[[#This Row],[LC Exp Date]]&gt;0, SnapshotTable[[#This Row],[LC Strike Price]]&gt;0,SnapshotTable[[#This Row],[LC Qty]]&gt;0,SnapshotTable[[#This Row],[LC Book Date]]&gt;0,SnapshotTable[[#This Row],[LC Book Price]]&gt;0,SnapshotTable[[#This Row],[LC Fill Date]]=0),"Y","")</f>
        <v/>
      </c>
      <c r="DQ298" s="386" t="str">
        <f>IF(SnapshotTable[[#This Row],[LC Premium]] &gt; 0,SnapshotTable[[#This Row],[LC Exp Date]]-MAX(SnapshotTable[[#This Row],[LC Book Date]], SnapshotTable[[#This Row],[LC Fill Date]]),"")</f>
        <v/>
      </c>
      <c r="DR298" s="386" t="str">
        <f>IF(ISNUMBER(SnapshotTable[[#This Row],[LC Term]]), SnapshotTable[[#This Row],[LC Exp Date]] - MockToday, "")</f>
        <v/>
      </c>
      <c r="DS298" s="23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40" t="str">
        <f>IF(ISNUMBER(SnapshotTable[[#This Row],[LC Actual Gain Loss]]), SnapshotTable[[#This Row],[LC Actual Gain Loss]] / SnapshotTable[[#This Row],[LC Premium]],"")</f>
        <v/>
      </c>
      <c r="DX298" s="284" t="str">
        <f>IF(ISNUMBER(SnapshotTable[[#This Row],[LC Book Price]]),SnapshotTable[[#This Row],[LC Book Price]] * 1.5,"")</f>
        <v/>
      </c>
      <c r="DY298" s="265" t="str">
        <f>IF(SnapshotTable[[#This Row],[LC Premium]]&gt;0, SnapshotTable[[#This Row],[LC Next Target]] * SnapshotTable[[#This Row],[LC Qty]] * 100,"")</f>
        <v/>
      </c>
      <c r="DZ298" s="265" t="str">
        <f>IF(ISNUMBER(SnapshotTable[[#This Row],[LC Target Gross]]), SnapshotTable[[#This Row],[LC Target Gross]] - SnapshotTable[[#This Row],[LC Premium]], "")</f>
        <v/>
      </c>
      <c r="EA298" s="305" t="str">
        <f>IF(ISNUMBER(SnapshotTable[[#This Row],[LC Target Gain Loss]]), SnapshotTable[[#This Row],[LC Target Gain Loss]]/SnapshotTable[[#This Row],[LC Premium]], "")</f>
        <v/>
      </c>
      <c r="EB298" s="262"/>
      <c r="EC298" s="283" t="str">
        <f>IF(SnapshotTable[[#This Row],[LC Premium]]&gt;0, SnapshotTable[[#This Row],[LC Book Price]] * (1 - LC_StopLoss_Pct),"")</f>
        <v/>
      </c>
      <c r="ED298" s="284"/>
      <c r="EE298" s="28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4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7"/>
      <c r="EL298" s="138"/>
      <c r="EM298" s="148"/>
      <c r="EN298" s="147"/>
      <c r="EO298" s="147"/>
      <c r="EP298" s="138"/>
      <c r="EQ298" s="419" t="b">
        <f>AND(ISNUMBER(SnapshotTable[[#This Row],[SC Exp Date]]), ISNUMBER(SnapshotTable[[#This Row],[SC Strike Price]]), ISNUMBER(SnapshotTable[[#This Row],[SC Qty]]), ISNUMBER(SnapshotTable[[#This Row],[SC Book Date]]), ISNUMBER(SnapshotTable[[#This Row],[SC Book Price]]))</f>
        <v>0</v>
      </c>
      <c r="ER298" s="419" t="b">
        <f>AND(SnapshotTable[[#This Row],[SC Is Booked]], NOT(ISBLANK(SnapshotTable[[#This Row],[SC Fill Date]])))</f>
        <v>0</v>
      </c>
      <c r="ES298" s="370"/>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3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283"/>
      <c r="FA298" s="218"/>
      <c r="FB298" s="370"/>
      <c r="FC298" s="4">
        <f>IF(SnapshotTable[[#This Row],[SC Is Filled]], btc_max_buyback_amount(SnapshotTable[[#This Row],[SC Fill Date]],SnapshotTable[[#This Row],[SC Exp Date]], SnapshotTable[[#This Row],[SC Book Price]]),0)</f>
        <v>0</v>
      </c>
      <c r="FD298" s="5"/>
      <c r="FE298" s="144"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382">
        <f>IF(SnapshotTable[[#This Row],[SC Is Filled]], IF(ISNUMBER(SnapshotTable[[#This Row],[SC Current Ask]]), SnapshotTable[[#This Row],[SC Current Ask]], SnapshotTable[[#This Row],[SC Book Price]]) - SnapshotTable[[#This Row],[SC Intrinsic Value]], 0)</f>
        <v>0</v>
      </c>
      <c r="FI298" s="143"/>
      <c r="FJ298" s="32" t="str">
        <f>IF(SnapshotTable[[#This Row],[SC Is Filled]],100 * SnapshotTable[[#This Row],[SC Qty]] * IF(ISNUMBER(SnapshotTable[[#This Row],[SC Buyback Override]]), SnapshotTable[[#This Row],[SC Buyback Override]], SnapshotTable[[#This Row],[SC Current Ask]]), "")</f>
        <v/>
      </c>
      <c r="FK298" s="250" t="str">
        <f>IF(SnapshotTable[[#This Row],[SC Time Val]]&gt;0, SnapshotTable[[#This Row],[SC Time Val]] / SnapshotTable[[#This Row],[Last Price]],"")</f>
        <v/>
      </c>
      <c r="FL298" s="302" t="str">
        <f>IF(SnapshotTable[[#This Row],[SC Is Booked]], ((SnapshotTable[[#This Row],[Last Price]] -SnapshotTable[[#This Row],[SC Strike Price]]) / SnapshotTable[[#This Row],[Last Price]]) * -1, "")</f>
        <v/>
      </c>
      <c r="FM298" s="157"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33"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36" t="str">
        <f>IF(AND(ISNUMBER(SnapshotTable[[#This Row],[SC Simple ROO]]),SnapshotTable[[#This Row],[SC Simple ROO]] &gt; 0), SnapshotTable[[#This Row],[SC Premium]] + (SnapshotTable[[#This Row],[SC Qty]] * SnapshotTable[[#This Row],[SC Upside Potential]]), "")</f>
        <v/>
      </c>
      <c r="FX298" s="302" t="str" cm="1">
        <f t="array" ref="FX298">IF(ISNUMBER(SnapshotTable[[#This Row],[SC Max Dollars]]), annualize(SnapshotTable[[#This Row],[SC Term]],(SnapshotTable[[#This Row],[SC Max Dollars]]/SnapshotTable[[#This Row],[SC Basis]])),"")</f>
        <v/>
      </c>
      <c r="FY298" s="23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294" t="str">
        <f>IFERROR( IF(ISNUMBER((SnapshotTable[[#This Row],[SC Current Value]])), SnapshotTable[[#This Row],[SC Gain Loss]] / SnapshotTable[[#This Row],[SC Premium]], ""), "")</f>
        <v/>
      </c>
      <c r="GB298" s="42">
        <f>SnapshotTable[[#This Row],[Equity Shares]] * SaleSharesToConsiderPercentage</f>
        <v>0</v>
      </c>
      <c r="GC298" s="40" t="e">
        <f>SnapshotTable[[#This Row],[Long Term Target]] * SellingPriceToConsiderBasedOnTargetPercentage</f>
        <v>#VALUE!</v>
      </c>
      <c r="GD298" s="40">
        <f>SnapshotTable[[#This Row],[Last Price]] * (1+ SellingPriceToConsiderBasedOnTargetPercentage)</f>
        <v>162.708</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763</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31">
        <f>MAX(SnapshotTable[[#This Row],[Equity Basis Total]],SnapshotTable[[#This Row],[Equity Value]]) + (SnapshotTable[[#This Row],[SP Potential Spend]]- SnapshotTable[[#This Row],[SP Premium]] + SnapshotTable[[#This Row],[LP Premium]])+ (SnapshotTable[[#This Row],[LC Premium]] - SnapshotTable[[#This Row],[SC Premium]])</f>
        <v>0</v>
      </c>
      <c r="GW298" s="139" t="str">
        <f>IF(AND(SnapshotTable[[#This Row],[Exposure]] &lt;&gt; 0),SnapshotTable[[#This Row],[Exposure]] / SnapshotTable[[#Totals],[Exposure]], "")</f>
        <v/>
      </c>
      <c r="HK298" s="1"/>
      <c r="HL298" s="1"/>
      <c r="HM298" s="1"/>
      <c r="HN298" s="1"/>
      <c r="HO298" s="1"/>
      <c r="HP298" s="1"/>
    </row>
    <row r="299" spans="2:224" ht="12.75" hidden="1" customHeight="1" x14ac:dyDescent="0.25">
      <c r="B299" s="12" t="s">
        <v>500</v>
      </c>
      <c r="C299" s="422">
        <v>8.7799999999999994</v>
      </c>
      <c r="D299" s="208"/>
      <c r="E299" s="39">
        <f>SnapshotTable[[#This Row],[Last Price]]*(1 -CrashDiscount)</f>
        <v>7.4629999999999992</v>
      </c>
      <c r="F299" s="26" t="s">
        <v>94</v>
      </c>
      <c r="G299" s="26" t="s">
        <v>9</v>
      </c>
      <c r="H299" s="149"/>
      <c r="I299" s="194">
        <v>44788.670138888891</v>
      </c>
      <c r="J299" s="195">
        <v>44788.670138888891</v>
      </c>
      <c r="K299" s="196"/>
      <c r="L299" s="326"/>
      <c r="M299" s="140"/>
      <c r="N299" s="140"/>
      <c r="O299" s="140"/>
      <c r="P299" s="22"/>
      <c r="Q299" s="25"/>
      <c r="R299" s="4" t="str">
        <f>IF(SnapshotTable[[#This Row],[Equity Basis Total]] &gt; 0, SnapshotTable[[#This Row],[Equity Basis Total]] / SnapshotTable[[#This Row],[Equity Shares]], "")</f>
        <v/>
      </c>
      <c r="S299" s="269">
        <f>SnapshotTable[[#This Row],[Last Price]] * SnapshotTable[[#This Row],[Equity Shares]]</f>
        <v>0</v>
      </c>
      <c r="T299" s="269">
        <f>SnapshotTable[[#This Row],[Equity Value]] - SnapshotTable[[#This Row],[Equity Basis Total]]</f>
        <v>0</v>
      </c>
      <c r="U299" s="270" t="str">
        <f>IF(SnapshotTable[[#This Row],[Equity Basis Total]] &gt; 0, SnapshotTable[[#This Row],[Equity G/L]] / SnapshotTable[[#This Row],[Equity Basis Total]], "")</f>
        <v/>
      </c>
      <c r="V299" s="268"/>
      <c r="W299" s="26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7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0"/>
      <c r="AD299" s="151"/>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0</v>
      </c>
      <c r="AH299" s="151"/>
      <c r="AI299" s="5"/>
      <c r="AJ299" s="138">
        <v>99.79</v>
      </c>
      <c r="AK299" s="152" t="str">
        <f>IF(ISNUMBER( SnapshotTable[[#This Row],[EBF Target]]),(SnapshotTable[[#This Row],[EBF Target]] - SnapshotTable[[#This Row],[Last Price]]) / SnapshotTable[[#This Row],[Last Price]], "")</f>
        <v/>
      </c>
      <c r="AL299" s="152"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2">
        <f>IF(AND(ISNUMBER( SnapshotTable[[#This Row],[Long Term Target]]), ISNUMBER(SnapshotTable[[#This Row],[Last Price]])),(SnapshotTable[[#This Row],[Long Term Target]] - SnapshotTable[[#This Row],[Last Price]]) / SnapshotTable[[#This Row],[Last Price]], "")</f>
        <v>10.365603644646926</v>
      </c>
      <c r="AP299" s="5"/>
      <c r="AQ299" s="38"/>
      <c r="AR299" s="5"/>
      <c r="AS299" s="38"/>
      <c r="AT299" s="146"/>
      <c r="AU299" s="187" t="str">
        <f>IF(OR(SnapshotTable[[#This Row],[LP No Fill]]="Y",SnapshotTable[[#This Row],[SP Is Filled]],SnapshotTable[[#This Row],[LC Not Filled]]="Y",SnapshotTable[[#This Row],[SC Is Filled]]),"Y","")</f>
        <v/>
      </c>
      <c r="AV299" s="219"/>
      <c r="AW299" s="225"/>
      <c r="AX299" s="220"/>
      <c r="AY299" s="219" t="str">
        <f>IF(SnapshotTable[[#This Row],[Implied Move]]&gt;0, SnapshotTable[[#This Row],[Last Price]]-SnapshotTable[[#This Row],[Implied Move]],"")</f>
        <v/>
      </c>
      <c r="AZ299" s="219" t="str">
        <f>IF(SnapshotTable[[#This Row],[Implied Move]]&gt;0, SnapshotTable[[#This Row],[Last Price]] + SnapshotTable[[#This Row],[Implied Move]],"")</f>
        <v/>
      </c>
      <c r="BA299" s="331"/>
      <c r="BB299" s="347"/>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51"/>
      <c r="BE299" s="5"/>
      <c r="BF299" s="14"/>
      <c r="BG299" s="13"/>
      <c r="BH299" s="13"/>
      <c r="BI299" s="5"/>
      <c r="BJ299" s="136">
        <f>IF(SnapshotTable[[#This Row],[LP Qty]] &gt; 0, SnapshotTable[[#This Row],[LP Qty]] * SnapshotTable[[#This Row],[LP Book Price]] * 100,0)</f>
        <v>0</v>
      </c>
      <c r="BK299" s="136">
        <f>IF(SnapshotTable[[#This Row],[LP Premium]] &gt; 0, SnapshotTable[[#This Row],[LP Qty]] * SnapshotTable[[#This Row],[LP Strike Price]] * 100,0)</f>
        <v>0</v>
      </c>
      <c r="BL299" s="154"/>
      <c r="BM299" s="385" t="str">
        <f>IF(SnapshotTable[[#This Row],[LP Premium]] &gt; 0,SnapshotTable[[#This Row],[LP Exp Date]]-MAX(SnapshotTable[[#This Row],[LP Book Date]], SnapshotTable[[#This Row],[LP Fill Date]]),"")</f>
        <v/>
      </c>
      <c r="BN299" s="385" t="str">
        <f>IF(ISNUMBER( SnapshotTable[[#This Row],[LP Term]]), SnapshotTable[[#This Row],[LP Exp Date]] - MockToday,"")</f>
        <v/>
      </c>
      <c r="BO299" s="163"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7"/>
      <c r="BU299" s="13"/>
      <c r="BV299" s="5"/>
      <c r="BW299" s="419" t="b">
        <f>AND(ISNUMBER(SnapshotTable[[#This Row],[SP Exp Date]]), ISNUMBER(SnapshotTable[[#This Row],[SP Strike Price]]), ISNUMBER(SnapshotTable[[#This Row],[SP Qty]]), ISNUMBER(SnapshotTable[[#This Row],[SP Book Date]]), ISNUMBER(SnapshotTable[[#This Row],[SP Book Price]]))</f>
        <v>0</v>
      </c>
      <c r="BX299" s="419" t="b">
        <f>AND(SnapshotTable[[#This Row],[SP Is Booked]], NOT(ISBLANK(SnapshotTable[[#This Row],[SP Fill Date]])))</f>
        <v>0</v>
      </c>
      <c r="BY299" s="33">
        <f>IF(SnapshotTable[[#This Row],[SP Is Booked]], SnapshotTable[[#This Row],[SP Qty]] * SnapshotTable[[#This Row],[SP Book Price]] * 100, 0)</f>
        <v>0</v>
      </c>
      <c r="BZ299" s="369"/>
      <c r="CA299" s="368">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3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44"/>
      <c r="CK299" s="31">
        <f>IF(ISNUMBER(SnapshotTable[[#This Row],[SP Potential Spend]]),IF(ISNUMBER(SnapshotTable[[#This Row],[SP POW]]), SnapshotTable[[#This Row],[SP POW]] * SnapshotTable[[#This Row],[SP Potential Spend]], SnapshotTable[[#This Row],[SP Potential Spend]]), "")</f>
        <v>0</v>
      </c>
      <c r="CL299" s="164">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8"/>
      <c r="CO299" s="369"/>
      <c r="CP299" s="4" t="str">
        <f>IF(SnapshotTable[[#This Row],[SP Is Filled]], btc_max_buyback_amount(SnapshotTable[[#This Row],[SP Fill Date]],SnapshotTable[[#This Row],[SP Exp Date]], SnapshotTable[[#This Row],[SP Book Price]]),"")</f>
        <v/>
      </c>
      <c r="CQ299" s="78"/>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5" t="str">
        <f>IF(SnapshotTable[[#This Row],[SP Is Filled]], btc_next_cutoff_date(SnapshotTable[[#This Row],[SP Fill Date]],SnapshotTable[[#This Row],[SP Exp Date]]),"")</f>
        <v/>
      </c>
      <c r="CT299" s="23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3"/>
      <c r="CV299" s="235"/>
      <c r="CW299" s="378"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294" t="str">
        <f>IF(ISNUMBER((SnapshotTable[[#This Row],[SP Total Value]])), SnapshotTable[[#This Row],[SP Gain Loss]] / SnapshotTable[[#This Row],[SP Premium]], "")</f>
        <v/>
      </c>
      <c r="DI299" s="406"/>
      <c r="DJ299" s="138"/>
      <c r="DK299" s="148"/>
      <c r="DL299" s="13"/>
      <c r="DM299" s="13"/>
      <c r="DO299" s="31">
        <f>IF(SnapshotTable[[#This Row],[LC Symbol Count]]=1, SnapshotTable[[#This Row],[LC Qty]] * SnapshotTable[[#This Row],[LC Book Price]] * 100, 0)</f>
        <v>0</v>
      </c>
      <c r="DP299" s="163" t="str">
        <f>IF(AND(SnapshotTable[[#This Row],[LC Exp Date]]&gt;0, SnapshotTable[[#This Row],[LC Strike Price]]&gt;0,SnapshotTable[[#This Row],[LC Qty]]&gt;0,SnapshotTable[[#This Row],[LC Book Date]]&gt;0,SnapshotTable[[#This Row],[LC Book Price]]&gt;0,SnapshotTable[[#This Row],[LC Fill Date]]=0),"Y","")</f>
        <v/>
      </c>
      <c r="DQ299" s="386" t="str">
        <f>IF(SnapshotTable[[#This Row],[LC Premium]] &gt; 0,SnapshotTable[[#This Row],[LC Exp Date]]-MAX(SnapshotTable[[#This Row],[LC Book Date]], SnapshotTable[[#This Row],[LC Fill Date]]),"")</f>
        <v/>
      </c>
      <c r="DR299" s="386" t="str">
        <f>IF(ISNUMBER(SnapshotTable[[#This Row],[LC Term]]), SnapshotTable[[#This Row],[LC Exp Date]] - MockToday, "")</f>
        <v/>
      </c>
      <c r="DS299" s="23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40" t="str">
        <f>IF(ISNUMBER(SnapshotTable[[#This Row],[LC Actual Gain Loss]]), SnapshotTable[[#This Row],[LC Actual Gain Loss]] / SnapshotTable[[#This Row],[LC Premium]],"")</f>
        <v/>
      </c>
      <c r="DX299" s="284" t="str">
        <f>IF(ISNUMBER(SnapshotTable[[#This Row],[LC Book Price]]),SnapshotTable[[#This Row],[LC Book Price]] * 1.5,"")</f>
        <v/>
      </c>
      <c r="DY299" s="265" t="str">
        <f>IF(SnapshotTable[[#This Row],[LC Premium]]&gt;0, SnapshotTable[[#This Row],[LC Next Target]] * SnapshotTable[[#This Row],[LC Qty]] * 100,"")</f>
        <v/>
      </c>
      <c r="DZ299" s="265" t="str">
        <f>IF(ISNUMBER(SnapshotTable[[#This Row],[LC Target Gross]]), SnapshotTable[[#This Row],[LC Target Gross]] - SnapshotTable[[#This Row],[LC Premium]], "")</f>
        <v/>
      </c>
      <c r="EA299" s="305" t="str">
        <f>IF(ISNUMBER(SnapshotTable[[#This Row],[LC Target Gain Loss]]), SnapshotTable[[#This Row],[LC Target Gain Loss]]/SnapshotTable[[#This Row],[LC Premium]], "")</f>
        <v/>
      </c>
      <c r="EB299" s="262"/>
      <c r="EC299" s="283" t="str">
        <f>IF(SnapshotTable[[#This Row],[LC Premium]]&gt;0, SnapshotTable[[#This Row],[LC Book Price]] * (1 - LC_StopLoss_Pct),"")</f>
        <v/>
      </c>
      <c r="ED299" s="284"/>
      <c r="EE299" s="28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4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7"/>
      <c r="EL299" s="138"/>
      <c r="EM299" s="148"/>
      <c r="EN299" s="147"/>
      <c r="EO299" s="147"/>
      <c r="EP299" s="138"/>
      <c r="EQ299" s="419" t="b">
        <f>AND(ISNUMBER(SnapshotTable[[#This Row],[SC Exp Date]]), ISNUMBER(SnapshotTable[[#This Row],[SC Strike Price]]), ISNUMBER(SnapshotTable[[#This Row],[SC Qty]]), ISNUMBER(SnapshotTable[[#This Row],[SC Book Date]]), ISNUMBER(SnapshotTable[[#This Row],[SC Book Price]]))</f>
        <v>0</v>
      </c>
      <c r="ER299" s="419" t="b">
        <f>AND(SnapshotTable[[#This Row],[SC Is Booked]], NOT(ISBLANK(SnapshotTable[[#This Row],[SC Fill Date]])))</f>
        <v>0</v>
      </c>
      <c r="ES299" s="370"/>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3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283"/>
      <c r="FA299" s="218"/>
      <c r="FB299" s="370"/>
      <c r="FC299" s="4">
        <f>IF(SnapshotTable[[#This Row],[SC Is Filled]], btc_max_buyback_amount(SnapshotTable[[#This Row],[SC Fill Date]],SnapshotTable[[#This Row],[SC Exp Date]], SnapshotTable[[#This Row],[SC Book Price]]),0)</f>
        <v>0</v>
      </c>
      <c r="FD299" s="5"/>
      <c r="FE299" s="144"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382">
        <f>IF(SnapshotTable[[#This Row],[SC Is Filled]], IF(ISNUMBER(SnapshotTable[[#This Row],[SC Current Ask]]), SnapshotTable[[#This Row],[SC Current Ask]], SnapshotTable[[#This Row],[SC Book Price]]) - SnapshotTable[[#This Row],[SC Intrinsic Value]], 0)</f>
        <v>0</v>
      </c>
      <c r="FI299" s="143"/>
      <c r="FJ299" s="32" t="str">
        <f>IF(SnapshotTable[[#This Row],[SC Is Filled]],100 * SnapshotTable[[#This Row],[SC Qty]] * IF(ISNUMBER(SnapshotTable[[#This Row],[SC Buyback Override]]), SnapshotTable[[#This Row],[SC Buyback Override]], SnapshotTable[[#This Row],[SC Current Ask]]), "")</f>
        <v/>
      </c>
      <c r="FK299" s="250" t="str">
        <f>IF(SnapshotTable[[#This Row],[SC Time Val]]&gt;0, SnapshotTable[[#This Row],[SC Time Val]] / SnapshotTable[[#This Row],[Last Price]],"")</f>
        <v/>
      </c>
      <c r="FL299" s="302" t="str">
        <f>IF(SnapshotTable[[#This Row],[SC Is Booked]], ((SnapshotTable[[#This Row],[Last Price]] -SnapshotTable[[#This Row],[SC Strike Price]]) / SnapshotTable[[#This Row],[Last Price]]) * -1, "")</f>
        <v/>
      </c>
      <c r="FM299" s="157"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33"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36" t="str">
        <f>IF(AND(ISNUMBER(SnapshotTable[[#This Row],[SC Simple ROO]]),SnapshotTable[[#This Row],[SC Simple ROO]] &gt; 0), SnapshotTable[[#This Row],[SC Premium]] + (SnapshotTable[[#This Row],[SC Qty]] * SnapshotTable[[#This Row],[SC Upside Potential]]), "")</f>
        <v/>
      </c>
      <c r="FX299" s="302" t="str" cm="1">
        <f t="array" ref="FX299">IF(ISNUMBER(SnapshotTable[[#This Row],[SC Max Dollars]]), annualize(SnapshotTable[[#This Row],[SC Term]],(SnapshotTable[[#This Row],[SC Max Dollars]]/SnapshotTable[[#This Row],[SC Basis]])),"")</f>
        <v/>
      </c>
      <c r="FY299" s="23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294" t="str">
        <f>IFERROR( IF(ISNUMBER((SnapshotTable[[#This Row],[SC Current Value]])), SnapshotTable[[#This Row],[SC Gain Loss]] / SnapshotTable[[#This Row],[SC Premium]], ""), "")</f>
        <v/>
      </c>
      <c r="GB299" s="42">
        <f>SnapshotTable[[#This Row],[Equity Shares]] * SaleSharesToConsiderPercentage</f>
        <v>0</v>
      </c>
      <c r="GC299" s="40">
        <f>SnapshotTable[[#This Row],[Long Term Target]] * SellingPriceToConsiderBasedOnTargetPercentage</f>
        <v>94.8005</v>
      </c>
      <c r="GD299" s="40">
        <f>SnapshotTable[[#This Row],[Last Price]] * (1+ SellingPriceToConsiderBasedOnTargetPercentage)</f>
        <v>17.120999999999999</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764</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31">
        <f>MAX(SnapshotTable[[#This Row],[Equity Basis Total]],SnapshotTable[[#This Row],[Equity Value]]) + (SnapshotTable[[#This Row],[SP Potential Spend]]- SnapshotTable[[#This Row],[SP Premium]] + SnapshotTable[[#This Row],[LP Premium]])+ (SnapshotTable[[#This Row],[LC Premium]] - SnapshotTable[[#This Row],[SC Premium]])</f>
        <v>0</v>
      </c>
      <c r="GW299" s="139" t="str">
        <f>IF(AND(SnapshotTable[[#This Row],[Exposure]] &lt;&gt; 0),SnapshotTable[[#This Row],[Exposure]] / SnapshotTable[[#Totals],[Exposure]], "")</f>
        <v/>
      </c>
      <c r="HK299" s="1"/>
      <c r="HL299" s="1"/>
      <c r="HM299" s="1"/>
      <c r="HN299" s="1"/>
      <c r="HO299" s="1"/>
      <c r="HP299" s="1"/>
    </row>
    <row r="300" spans="2:224" ht="12.75" hidden="1" customHeight="1" x14ac:dyDescent="0.25">
      <c r="B300" s="12" t="s">
        <v>108</v>
      </c>
      <c r="C300" s="422">
        <v>526.46</v>
      </c>
      <c r="D300" s="208"/>
      <c r="E300" s="39">
        <f>SnapshotTable[[#This Row],[Last Price]]*(1 -CrashDiscount)</f>
        <v>447.49100000000004</v>
      </c>
      <c r="F300" s="26" t="s">
        <v>107</v>
      </c>
      <c r="G300" s="26" t="s">
        <v>49</v>
      </c>
      <c r="H300" s="149"/>
      <c r="I300" s="194">
        <v>44770.25</v>
      </c>
      <c r="J300" s="195">
        <v>44770.25</v>
      </c>
      <c r="K300" s="196"/>
      <c r="L300" s="326"/>
      <c r="M300" s="140"/>
      <c r="N300" s="140"/>
      <c r="O300" s="140"/>
      <c r="P300" s="22"/>
      <c r="Q300" s="25"/>
      <c r="R300" s="4" t="str">
        <f>IF(SnapshotTable[[#This Row],[Equity Basis Total]] &gt; 0, SnapshotTable[[#This Row],[Equity Basis Total]] / SnapshotTable[[#This Row],[Equity Shares]], "")</f>
        <v/>
      </c>
      <c r="S300" s="269">
        <f>SnapshotTable[[#This Row],[Last Price]] * SnapshotTable[[#This Row],[Equity Shares]]</f>
        <v>0</v>
      </c>
      <c r="T300" s="269">
        <f>SnapshotTable[[#This Row],[Equity Value]] - SnapshotTable[[#This Row],[Equity Basis Total]]</f>
        <v>0</v>
      </c>
      <c r="U300" s="270" t="str">
        <f>IF(SnapshotTable[[#This Row],[Equity Basis Total]] &gt; 0, SnapshotTable[[#This Row],[Equity G/L]] / SnapshotTable[[#This Row],[Equity Basis Total]], "")</f>
        <v/>
      </c>
      <c r="V300" s="268"/>
      <c r="W300" s="26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7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0">
        <v>0.3</v>
      </c>
      <c r="AD300" s="151">
        <v>42727</v>
      </c>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5.6984386278159779E-4</v>
      </c>
      <c r="AH300" s="151">
        <v>42703</v>
      </c>
      <c r="AI300" s="5"/>
      <c r="AJ300" s="138">
        <v>334.19</v>
      </c>
      <c r="AK300" s="152" t="str">
        <f>IF(ISNUMBER( SnapshotTable[[#This Row],[EBF Target]]),(SnapshotTable[[#This Row],[EBF Target]] - SnapshotTable[[#This Row],[Last Price]]) / SnapshotTable[[#This Row],[Last Price]], "")</f>
        <v/>
      </c>
      <c r="AL300" s="152"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2">
        <f>IF(AND(ISNUMBER( SnapshotTable[[#This Row],[Long Term Target]]), ISNUMBER(SnapshotTable[[#This Row],[Last Price]])),(SnapshotTable[[#This Row],[Long Term Target]] - SnapshotTable[[#This Row],[Last Price]]) / SnapshotTable[[#This Row],[Last Price]], "")</f>
        <v>-0.36521293165672608</v>
      </c>
      <c r="AP300" s="5"/>
      <c r="AQ300" s="38"/>
      <c r="AR300" s="5"/>
      <c r="AS300" s="38"/>
      <c r="AT300" s="146"/>
      <c r="AU300" s="187" t="str">
        <f>IF(OR(SnapshotTable[[#This Row],[LP No Fill]]="Y",SnapshotTable[[#This Row],[SP Is Filled]],SnapshotTable[[#This Row],[LC Not Filled]]="Y",SnapshotTable[[#This Row],[SC Is Filled]]),"Y","")</f>
        <v/>
      </c>
      <c r="AV300" s="219"/>
      <c r="AW300" s="225"/>
      <c r="AX300" s="220"/>
      <c r="AY300" s="219" t="str">
        <f>IF(SnapshotTable[[#This Row],[Implied Move]]&gt;0, SnapshotTable[[#This Row],[Last Price]]-SnapshotTable[[#This Row],[Implied Move]],"")</f>
        <v/>
      </c>
      <c r="AZ300" s="219" t="str">
        <f>IF(SnapshotTable[[#This Row],[Implied Move]]&gt;0, SnapshotTable[[#This Row],[Last Price]] + SnapshotTable[[#This Row],[Implied Move]],"")</f>
        <v/>
      </c>
      <c r="BA300" s="331"/>
      <c r="BB300" s="347"/>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51"/>
      <c r="BE300" s="5"/>
      <c r="BF300" s="14"/>
      <c r="BG300" s="13"/>
      <c r="BH300" s="13"/>
      <c r="BI300" s="5"/>
      <c r="BJ300" s="136">
        <f>IF(SnapshotTable[[#This Row],[LP Qty]] &gt; 0, SnapshotTable[[#This Row],[LP Qty]] * SnapshotTable[[#This Row],[LP Book Price]] * 100,0)</f>
        <v>0</v>
      </c>
      <c r="BK300" s="136">
        <f>IF(SnapshotTable[[#This Row],[LP Premium]] &gt; 0, SnapshotTable[[#This Row],[LP Qty]] * SnapshotTable[[#This Row],[LP Strike Price]] * 100,0)</f>
        <v>0</v>
      </c>
      <c r="BL300" s="154"/>
      <c r="BM300" s="385" t="str">
        <f>IF(SnapshotTable[[#This Row],[LP Premium]] &gt; 0,SnapshotTable[[#This Row],[LP Exp Date]]-MAX(SnapshotTable[[#This Row],[LP Book Date]], SnapshotTable[[#This Row],[LP Fill Date]]),"")</f>
        <v/>
      </c>
      <c r="BN300" s="385" t="str">
        <f>IF(ISNUMBER( SnapshotTable[[#This Row],[LP Term]]), SnapshotTable[[#This Row],[LP Exp Date]] - MockToday,"")</f>
        <v/>
      </c>
      <c r="BO300" s="163"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7"/>
      <c r="BU300" s="13"/>
      <c r="BV300" s="5"/>
      <c r="BW300" s="419" t="b">
        <f>AND(ISNUMBER(SnapshotTable[[#This Row],[SP Exp Date]]), ISNUMBER(SnapshotTable[[#This Row],[SP Strike Price]]), ISNUMBER(SnapshotTable[[#This Row],[SP Qty]]), ISNUMBER(SnapshotTable[[#This Row],[SP Book Date]]), ISNUMBER(SnapshotTable[[#This Row],[SP Book Price]]))</f>
        <v>0</v>
      </c>
      <c r="BX300" s="419" t="b">
        <f>AND(SnapshotTable[[#This Row],[SP Is Booked]], NOT(ISBLANK(SnapshotTable[[#This Row],[SP Fill Date]])))</f>
        <v>0</v>
      </c>
      <c r="BY300" s="33">
        <f>IF(SnapshotTable[[#This Row],[SP Is Booked]], SnapshotTable[[#This Row],[SP Qty]] * SnapshotTable[[#This Row],[SP Book Price]] * 100, 0)</f>
        <v>0</v>
      </c>
      <c r="BZ300" s="369"/>
      <c r="CA300" s="368">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3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44"/>
      <c r="CK300" s="31">
        <f>IF(ISNUMBER(SnapshotTable[[#This Row],[SP Potential Spend]]),IF(ISNUMBER(SnapshotTable[[#This Row],[SP POW]]), SnapshotTable[[#This Row],[SP POW]] * SnapshotTable[[#This Row],[SP Potential Spend]], SnapshotTable[[#This Row],[SP Potential Spend]]), "")</f>
        <v>0</v>
      </c>
      <c r="CL300" s="164">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78"/>
      <c r="CO300" s="369"/>
      <c r="CP300" s="4" t="str">
        <f>IF(SnapshotTable[[#This Row],[SP Is Filled]], btc_max_buyback_amount(SnapshotTable[[#This Row],[SP Fill Date]],SnapshotTable[[#This Row],[SP Exp Date]], SnapshotTable[[#This Row],[SP Book Price]]),"")</f>
        <v/>
      </c>
      <c r="CQ300" s="78"/>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5" t="str">
        <f>IF(SnapshotTable[[#This Row],[SP Is Filled]], btc_next_cutoff_date(SnapshotTable[[#This Row],[SP Fill Date]],SnapshotTable[[#This Row],[SP Exp Date]]),"")</f>
        <v/>
      </c>
      <c r="CT300" s="23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3"/>
      <c r="CV300" s="235"/>
      <c r="CW300" s="378"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294" t="str">
        <f>IF(ISNUMBER((SnapshotTable[[#This Row],[SP Total Value]])), SnapshotTable[[#This Row],[SP Gain Loss]] / SnapshotTable[[#This Row],[SP Premium]], "")</f>
        <v/>
      </c>
      <c r="DI300" s="406"/>
      <c r="DJ300" s="138"/>
      <c r="DK300" s="148"/>
      <c r="DL300" s="13"/>
      <c r="DM300" s="13"/>
      <c r="DO300" s="31">
        <f>IF(SnapshotTable[[#This Row],[LC Symbol Count]]=1, SnapshotTable[[#This Row],[LC Qty]] * SnapshotTable[[#This Row],[LC Book Price]] * 100, 0)</f>
        <v>0</v>
      </c>
      <c r="DP300" s="163" t="str">
        <f>IF(AND(SnapshotTable[[#This Row],[LC Exp Date]]&gt;0, SnapshotTable[[#This Row],[LC Strike Price]]&gt;0,SnapshotTable[[#This Row],[LC Qty]]&gt;0,SnapshotTable[[#This Row],[LC Book Date]]&gt;0,SnapshotTable[[#This Row],[LC Book Price]]&gt;0,SnapshotTable[[#This Row],[LC Fill Date]]=0),"Y","")</f>
        <v/>
      </c>
      <c r="DQ300" s="386" t="str">
        <f>IF(SnapshotTable[[#This Row],[LC Premium]] &gt; 0,SnapshotTable[[#This Row],[LC Exp Date]]-MAX(SnapshotTable[[#This Row],[LC Book Date]], SnapshotTable[[#This Row],[LC Fill Date]]),"")</f>
        <v/>
      </c>
      <c r="DR300" s="386" t="str">
        <f>IF(ISNUMBER(SnapshotTable[[#This Row],[LC Term]]), SnapshotTable[[#This Row],[LC Exp Date]] - MockToday, "")</f>
        <v/>
      </c>
      <c r="DS300" s="23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40" t="str">
        <f>IF(ISNUMBER(SnapshotTable[[#This Row],[LC Actual Gain Loss]]), SnapshotTable[[#This Row],[LC Actual Gain Loss]] / SnapshotTable[[#This Row],[LC Premium]],"")</f>
        <v/>
      </c>
      <c r="DX300" s="284" t="str">
        <f>IF(ISNUMBER(SnapshotTable[[#This Row],[LC Book Price]]),SnapshotTable[[#This Row],[LC Book Price]] * 1.5,"")</f>
        <v/>
      </c>
      <c r="DY300" s="265" t="str">
        <f>IF(SnapshotTable[[#This Row],[LC Premium]]&gt;0, SnapshotTable[[#This Row],[LC Next Target]] * SnapshotTable[[#This Row],[LC Qty]] * 100,"")</f>
        <v/>
      </c>
      <c r="DZ300" s="265" t="str">
        <f>IF(ISNUMBER(SnapshotTable[[#This Row],[LC Target Gross]]), SnapshotTable[[#This Row],[LC Target Gross]] - SnapshotTable[[#This Row],[LC Premium]], "")</f>
        <v/>
      </c>
      <c r="EA300" s="305" t="str">
        <f>IF(ISNUMBER(SnapshotTable[[#This Row],[LC Target Gain Loss]]), SnapshotTable[[#This Row],[LC Target Gain Loss]]/SnapshotTable[[#This Row],[LC Premium]], "")</f>
        <v/>
      </c>
      <c r="EB300" s="262"/>
      <c r="EC300" s="283" t="str">
        <f>IF(SnapshotTable[[#This Row],[LC Premium]]&gt;0, SnapshotTable[[#This Row],[LC Book Price]] * (1 - LC_StopLoss_Pct),"")</f>
        <v/>
      </c>
      <c r="ED300" s="284"/>
      <c r="EE300" s="28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4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7"/>
      <c r="EL300" s="138"/>
      <c r="EM300" s="148"/>
      <c r="EN300" s="147"/>
      <c r="EO300" s="147"/>
      <c r="EP300" s="138"/>
      <c r="EQ300" s="419" t="b">
        <f>AND(ISNUMBER(SnapshotTable[[#This Row],[SC Exp Date]]), ISNUMBER(SnapshotTable[[#This Row],[SC Strike Price]]), ISNUMBER(SnapshotTable[[#This Row],[SC Qty]]), ISNUMBER(SnapshotTable[[#This Row],[SC Book Date]]), ISNUMBER(SnapshotTable[[#This Row],[SC Book Price]]))</f>
        <v>0</v>
      </c>
      <c r="ER300" s="419" t="b">
        <f>AND(SnapshotTable[[#This Row],[SC Is Booked]], NOT(ISBLANK(SnapshotTable[[#This Row],[SC Fill Date]])))</f>
        <v>0</v>
      </c>
      <c r="ES300" s="370"/>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3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283"/>
      <c r="FA300" s="218"/>
      <c r="FB300" s="370"/>
      <c r="FC300" s="4">
        <f>IF(SnapshotTable[[#This Row],[SC Is Filled]], btc_max_buyback_amount(SnapshotTable[[#This Row],[SC Fill Date]],SnapshotTable[[#This Row],[SC Exp Date]], SnapshotTable[[#This Row],[SC Book Price]]),0)</f>
        <v>0</v>
      </c>
      <c r="FD300" s="5"/>
      <c r="FE300" s="144"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382">
        <f>IF(SnapshotTable[[#This Row],[SC Is Filled]], IF(ISNUMBER(SnapshotTable[[#This Row],[SC Current Ask]]), SnapshotTable[[#This Row],[SC Current Ask]], SnapshotTable[[#This Row],[SC Book Price]]) - SnapshotTable[[#This Row],[SC Intrinsic Value]], 0)</f>
        <v>0</v>
      </c>
      <c r="FI300" s="143"/>
      <c r="FJ300" s="32" t="str">
        <f>IF(SnapshotTable[[#This Row],[SC Is Filled]],100 * SnapshotTable[[#This Row],[SC Qty]] * IF(ISNUMBER(SnapshotTable[[#This Row],[SC Buyback Override]]), SnapshotTable[[#This Row],[SC Buyback Override]], SnapshotTable[[#This Row],[SC Current Ask]]), "")</f>
        <v/>
      </c>
      <c r="FK300" s="250" t="str">
        <f>IF(SnapshotTable[[#This Row],[SC Time Val]]&gt;0, SnapshotTable[[#This Row],[SC Time Val]] / SnapshotTable[[#This Row],[Last Price]],"")</f>
        <v/>
      </c>
      <c r="FL300" s="302" t="str">
        <f>IF(SnapshotTable[[#This Row],[SC Is Booked]], ((SnapshotTable[[#This Row],[Last Price]] -SnapshotTable[[#This Row],[SC Strike Price]]) / SnapshotTable[[#This Row],[Last Price]]) * -1, "")</f>
        <v/>
      </c>
      <c r="FM300" s="157"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33"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36" t="str">
        <f>IF(AND(ISNUMBER(SnapshotTable[[#This Row],[SC Simple ROO]]),SnapshotTable[[#This Row],[SC Simple ROO]] &gt; 0), SnapshotTable[[#This Row],[SC Premium]] + (SnapshotTable[[#This Row],[SC Qty]] * SnapshotTable[[#This Row],[SC Upside Potential]]), "")</f>
        <v/>
      </c>
      <c r="FX300" s="302" t="str" cm="1">
        <f t="array" ref="FX300">IF(ISNUMBER(SnapshotTable[[#This Row],[SC Max Dollars]]), annualize(SnapshotTable[[#This Row],[SC Term]],(SnapshotTable[[#This Row],[SC Max Dollars]]/SnapshotTable[[#This Row],[SC Basis]])),"")</f>
        <v/>
      </c>
      <c r="FY300" s="23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29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317.48050000000001</v>
      </c>
      <c r="GD300" s="40">
        <f>SnapshotTable[[#This Row],[Last Price]] * (1+ SellingPriceToConsiderBasedOnTargetPercentage)</f>
        <v>1026.597</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t="s">
        <v>765</v>
      </c>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31">
        <f>MAX(SnapshotTable[[#This Row],[Equity Basis Total]],SnapshotTable[[#This Row],[Equity Value]]) + (SnapshotTable[[#This Row],[SP Potential Spend]]- SnapshotTable[[#This Row],[SP Premium]] + SnapshotTable[[#This Row],[LP Premium]])+ (SnapshotTable[[#This Row],[LC Premium]] - SnapshotTable[[#This Row],[SC Premium]])</f>
        <v>0</v>
      </c>
      <c r="GW300" s="139" t="str">
        <f>IF(AND(SnapshotTable[[#This Row],[Exposure]] &lt;&gt; 0),SnapshotTable[[#This Row],[Exposure]] / SnapshotTable[[#Totals],[Exposure]], "")</f>
        <v/>
      </c>
      <c r="HK300" s="1"/>
      <c r="HL300" s="1"/>
      <c r="HM300" s="1"/>
      <c r="HN300" s="1"/>
      <c r="HO300" s="1"/>
      <c r="HP300" s="1"/>
    </row>
    <row r="301" spans="2:224" ht="12.75" hidden="1" customHeight="1" x14ac:dyDescent="0.25">
      <c r="B301" s="12" t="s">
        <v>521</v>
      </c>
      <c r="C301" s="422">
        <v>190.94</v>
      </c>
      <c r="D301" s="208"/>
      <c r="E301" s="39">
        <f>SnapshotTable[[#This Row],[Last Price]]*(1 -CrashDiscount)</f>
        <v>162.29900000000001</v>
      </c>
      <c r="F301" s="26" t="s">
        <v>522</v>
      </c>
      <c r="G301" s="26" t="s">
        <v>9</v>
      </c>
      <c r="H301" s="149"/>
      <c r="I301" s="194">
        <v>45041.288194444445</v>
      </c>
      <c r="J301" s="195">
        <v>45041.288194444445</v>
      </c>
      <c r="K301" s="196" t="s">
        <v>3</v>
      </c>
      <c r="L301" s="326" t="s">
        <v>523</v>
      </c>
      <c r="M301" s="140"/>
      <c r="N301" s="140"/>
      <c r="O301" s="140"/>
      <c r="P301" s="22"/>
      <c r="Q301" s="25"/>
      <c r="R301" s="4" t="str">
        <f>IF(SnapshotTable[[#This Row],[Equity Basis Total]] &gt; 0, SnapshotTable[[#This Row],[Equity Basis Total]] / SnapshotTable[[#This Row],[Equity Shares]], "")</f>
        <v/>
      </c>
      <c r="S301" s="269">
        <f>SnapshotTable[[#This Row],[Last Price]] * SnapshotTable[[#This Row],[Equity Shares]]</f>
        <v>0</v>
      </c>
      <c r="T301" s="269">
        <f>SnapshotTable[[#This Row],[Equity Value]] - SnapshotTable[[#This Row],[Equity Basis Total]]</f>
        <v>0</v>
      </c>
      <c r="U301" s="270" t="str">
        <f>IF(SnapshotTable[[#This Row],[Equity Basis Total]] &gt; 0, SnapshotTable[[#This Row],[Equity G/L]] / SnapshotTable[[#This Row],[Equity Basis Total]], "")</f>
        <v/>
      </c>
      <c r="V301" s="268"/>
      <c r="W301" s="26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7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0"/>
      <c r="AD301" s="151"/>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1"/>
      <c r="AI301" s="5"/>
      <c r="AJ301" s="138">
        <v>177.95</v>
      </c>
      <c r="AK301" s="152" t="str">
        <f>IF(ISNUMBER( SnapshotTable[[#This Row],[EBF Target]]),(SnapshotTable[[#This Row],[EBF Target]] - SnapshotTable[[#This Row],[Last Price]]) / SnapshotTable[[#This Row],[Last Price]], "")</f>
        <v/>
      </c>
      <c r="AL301" s="152"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2">
        <f>IF(AND(ISNUMBER( SnapshotTable[[#This Row],[Long Term Target]]), ISNUMBER(SnapshotTable[[#This Row],[Last Price]])),(SnapshotTable[[#This Row],[Long Term Target]] - SnapshotTable[[#This Row],[Last Price]]) / SnapshotTable[[#This Row],[Last Price]], "")</f>
        <v>-6.803184246360118E-2</v>
      </c>
      <c r="AP301" s="5">
        <v>145</v>
      </c>
      <c r="AQ301" s="38" t="s">
        <v>38</v>
      </c>
      <c r="AR301" s="5">
        <v>145</v>
      </c>
      <c r="AS301" s="38" t="s">
        <v>45</v>
      </c>
      <c r="AT301" s="146" t="s">
        <v>532</v>
      </c>
      <c r="AU301" s="187" t="str">
        <f>IF(OR(SnapshotTable[[#This Row],[LP No Fill]]="Y",SnapshotTable[[#This Row],[SP Is Filled]],SnapshotTable[[#This Row],[LC Not Filled]]="Y",SnapshotTable[[#This Row],[SC Is Filled]]),"Y","")</f>
        <v/>
      </c>
      <c r="AV301" s="219"/>
      <c r="AW301" s="225"/>
      <c r="AX301" s="220"/>
      <c r="AY301" s="219" t="str">
        <f>IF(SnapshotTable[[#This Row],[Implied Move]]&gt;0, SnapshotTable[[#This Row],[Last Price]]-SnapshotTable[[#This Row],[Implied Move]],"")</f>
        <v/>
      </c>
      <c r="AZ301" s="219" t="str">
        <f>IF(SnapshotTable[[#This Row],[Implied Move]]&gt;0, SnapshotTable[[#This Row],[Last Price]] + SnapshotTable[[#This Row],[Implied Move]],"")</f>
        <v/>
      </c>
      <c r="BA301" s="331">
        <v>-1.19</v>
      </c>
      <c r="BB301" s="347" t="s">
        <v>1079</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51"/>
      <c r="BE301" s="5"/>
      <c r="BF301" s="14"/>
      <c r="BG301" s="13"/>
      <c r="BH301" s="13"/>
      <c r="BI301" s="5"/>
      <c r="BJ301" s="136">
        <f>IF(SnapshotTable[[#This Row],[LP Qty]] &gt; 0, SnapshotTable[[#This Row],[LP Qty]] * SnapshotTable[[#This Row],[LP Book Price]] * 100,0)</f>
        <v>0</v>
      </c>
      <c r="BK301" s="136">
        <f>IF(SnapshotTable[[#This Row],[LP Premium]] &gt; 0, SnapshotTable[[#This Row],[LP Qty]] * SnapshotTable[[#This Row],[LP Strike Price]] * 100,0)</f>
        <v>0</v>
      </c>
      <c r="BL301" s="154"/>
      <c r="BM301" s="385" t="str">
        <f>IF(SnapshotTable[[#This Row],[LP Premium]] &gt; 0,SnapshotTable[[#This Row],[LP Exp Date]]-MAX(SnapshotTable[[#This Row],[LP Book Date]], SnapshotTable[[#This Row],[LP Fill Date]]),"")</f>
        <v/>
      </c>
      <c r="BN301" s="385" t="str">
        <f>IF(ISNUMBER( SnapshotTable[[#This Row],[LP Term]]), SnapshotTable[[#This Row],[LP Exp Date]] - MockToday,"")</f>
        <v/>
      </c>
      <c r="BO301" s="163"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7"/>
      <c r="BU301" s="13"/>
      <c r="BV301" s="5"/>
      <c r="BW301" s="419" t="b">
        <f>AND(ISNUMBER(SnapshotTable[[#This Row],[SP Exp Date]]), ISNUMBER(SnapshotTable[[#This Row],[SP Strike Price]]), ISNUMBER(SnapshotTable[[#This Row],[SP Qty]]), ISNUMBER(SnapshotTable[[#This Row],[SP Book Date]]), ISNUMBER(SnapshotTable[[#This Row],[SP Book Price]]))</f>
        <v>0</v>
      </c>
      <c r="BX301" s="419" t="b">
        <f>AND(SnapshotTable[[#This Row],[SP Is Booked]], NOT(ISBLANK(SnapshotTable[[#This Row],[SP Fill Date]])))</f>
        <v>0</v>
      </c>
      <c r="BY301" s="33">
        <f>IF(SnapshotTable[[#This Row],[SP Is Booked]], SnapshotTable[[#This Row],[SP Qty]] * SnapshotTable[[#This Row],[SP Book Price]] * 100, 0)</f>
        <v>0</v>
      </c>
      <c r="BZ301" s="369"/>
      <c r="CA301" s="368">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3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44"/>
      <c r="CK301" s="31">
        <f>IF(ISNUMBER(SnapshotTable[[#This Row],[SP Potential Spend]]),IF(ISNUMBER(SnapshotTable[[#This Row],[SP POW]]), SnapshotTable[[#This Row],[SP POW]] * SnapshotTable[[#This Row],[SP Potential Spend]], SnapshotTable[[#This Row],[SP Potential Spend]]), "")</f>
        <v>0</v>
      </c>
      <c r="CL301" s="164">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78"/>
      <c r="CO301" s="369"/>
      <c r="CP301" s="4" t="str">
        <f>IF(SnapshotTable[[#This Row],[SP Is Filled]], btc_max_buyback_amount(SnapshotTable[[#This Row],[SP Fill Date]],SnapshotTable[[#This Row],[SP Exp Date]], SnapshotTable[[#This Row],[SP Book Price]]),"")</f>
        <v/>
      </c>
      <c r="CQ301" s="78"/>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5" t="str">
        <f>IF(SnapshotTable[[#This Row],[SP Is Filled]], btc_next_cutoff_date(SnapshotTable[[#This Row],[SP Fill Date]],SnapshotTable[[#This Row],[SP Exp Date]]),"")</f>
        <v/>
      </c>
      <c r="CT301" s="23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43"/>
      <c r="CV301" s="235"/>
      <c r="CW301" s="378"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294" t="str">
        <f>IF(ISNUMBER((SnapshotTable[[#This Row],[SP Total Value]])), SnapshotTable[[#This Row],[SP Gain Loss]] / SnapshotTable[[#This Row],[SP Premium]], "")</f>
        <v/>
      </c>
      <c r="DI301" s="406"/>
      <c r="DJ301" s="138"/>
      <c r="DK301" s="148"/>
      <c r="DL301" s="13"/>
      <c r="DM301" s="13"/>
      <c r="DO301" s="31">
        <f>IF(SnapshotTable[[#This Row],[LC Symbol Count]]=1, SnapshotTable[[#This Row],[LC Qty]] * SnapshotTable[[#This Row],[LC Book Price]] * 100, 0)</f>
        <v>0</v>
      </c>
      <c r="DP301" s="163" t="str">
        <f>IF(AND(SnapshotTable[[#This Row],[LC Exp Date]]&gt;0, SnapshotTable[[#This Row],[LC Strike Price]]&gt;0,SnapshotTable[[#This Row],[LC Qty]]&gt;0,SnapshotTable[[#This Row],[LC Book Date]]&gt;0,SnapshotTable[[#This Row],[LC Book Price]]&gt;0,SnapshotTable[[#This Row],[LC Fill Date]]=0),"Y","")</f>
        <v/>
      </c>
      <c r="DQ301" s="386" t="str">
        <f>IF(SnapshotTable[[#This Row],[LC Premium]] &gt; 0,SnapshotTable[[#This Row],[LC Exp Date]]-MAX(SnapshotTable[[#This Row],[LC Book Date]], SnapshotTable[[#This Row],[LC Fill Date]]),"")</f>
        <v/>
      </c>
      <c r="DR301" s="386" t="str">
        <f>IF(ISNUMBER(SnapshotTable[[#This Row],[LC Term]]), SnapshotTable[[#This Row],[LC Exp Date]] - MockToday, "")</f>
        <v/>
      </c>
      <c r="DS301" s="23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40" t="str">
        <f>IF(ISNUMBER(SnapshotTable[[#This Row],[LC Actual Gain Loss]]), SnapshotTable[[#This Row],[LC Actual Gain Loss]] / SnapshotTable[[#This Row],[LC Premium]],"")</f>
        <v/>
      </c>
      <c r="DX301" s="284" t="str">
        <f>IF(ISNUMBER(SnapshotTable[[#This Row],[LC Book Price]]),SnapshotTable[[#This Row],[LC Book Price]] * 1.5,"")</f>
        <v/>
      </c>
      <c r="DY301" s="265" t="str">
        <f>IF(SnapshotTable[[#This Row],[LC Premium]]&gt;0, SnapshotTable[[#This Row],[LC Next Target]] * SnapshotTable[[#This Row],[LC Qty]] * 100,"")</f>
        <v/>
      </c>
      <c r="DZ301" s="265" t="str">
        <f>IF(ISNUMBER(SnapshotTable[[#This Row],[LC Target Gross]]), SnapshotTable[[#This Row],[LC Target Gross]] - SnapshotTable[[#This Row],[LC Premium]], "")</f>
        <v/>
      </c>
      <c r="EA301" s="305" t="str">
        <f>IF(ISNUMBER(SnapshotTable[[#This Row],[LC Target Gain Loss]]), SnapshotTable[[#This Row],[LC Target Gain Loss]]/SnapshotTable[[#This Row],[LC Premium]], "")</f>
        <v/>
      </c>
      <c r="EB301" s="262"/>
      <c r="EC301" s="283" t="str">
        <f>IF(SnapshotTable[[#This Row],[LC Premium]]&gt;0, SnapshotTable[[#This Row],[LC Book Price]] * (1 - LC_StopLoss_Pct),"")</f>
        <v/>
      </c>
      <c r="ED301" s="284"/>
      <c r="EE301" s="28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4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0</v>
      </c>
      <c r="EK301" s="147"/>
      <c r="EL301" s="138"/>
      <c r="EM301" s="148"/>
      <c r="EN301" s="147"/>
      <c r="EO301" s="147"/>
      <c r="EP301" s="138"/>
      <c r="EQ301" s="419" t="b">
        <f>AND(ISNUMBER(SnapshotTable[[#This Row],[SC Exp Date]]), ISNUMBER(SnapshotTable[[#This Row],[SC Strike Price]]), ISNUMBER(SnapshotTable[[#This Row],[SC Qty]]), ISNUMBER(SnapshotTable[[#This Row],[SC Book Date]]), ISNUMBER(SnapshotTable[[#This Row],[SC Book Price]]))</f>
        <v>0</v>
      </c>
      <c r="ER301" s="419" t="b">
        <f>AND(SnapshotTable[[#This Row],[SC Is Booked]], NOT(ISBLANK(SnapshotTable[[#This Row],[SC Fill Date]])))</f>
        <v>0</v>
      </c>
      <c r="ES301" s="370"/>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3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283"/>
      <c r="FA301" s="218"/>
      <c r="FB301" s="370"/>
      <c r="FC301" s="4">
        <f>IF(SnapshotTable[[#This Row],[SC Is Filled]], btc_max_buyback_amount(SnapshotTable[[#This Row],[SC Fill Date]],SnapshotTable[[#This Row],[SC Exp Date]], SnapshotTable[[#This Row],[SC Book Price]]),0)</f>
        <v>0</v>
      </c>
      <c r="FD301" s="5"/>
      <c r="FE301" s="144"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382">
        <f>IF(SnapshotTable[[#This Row],[SC Is Filled]], IF(ISNUMBER(SnapshotTable[[#This Row],[SC Current Ask]]), SnapshotTable[[#This Row],[SC Current Ask]], SnapshotTable[[#This Row],[SC Book Price]]) - SnapshotTable[[#This Row],[SC Intrinsic Value]], 0)</f>
        <v>0</v>
      </c>
      <c r="FI301" s="143"/>
      <c r="FJ301" s="32" t="str">
        <f>IF(SnapshotTable[[#This Row],[SC Is Filled]],100 * SnapshotTable[[#This Row],[SC Qty]] * IF(ISNUMBER(SnapshotTable[[#This Row],[SC Buyback Override]]), SnapshotTable[[#This Row],[SC Buyback Override]], SnapshotTable[[#This Row],[SC Current Ask]]), "")</f>
        <v/>
      </c>
      <c r="FK301" s="250" t="str">
        <f>IF(SnapshotTable[[#This Row],[SC Time Val]]&gt;0, SnapshotTable[[#This Row],[SC Time Val]] / SnapshotTable[[#This Row],[Last Price]],"")</f>
        <v/>
      </c>
      <c r="FL301" s="302" t="str">
        <f>IF(SnapshotTable[[#This Row],[SC Is Booked]], ((SnapshotTable[[#This Row],[Last Price]] -SnapshotTable[[#This Row],[SC Strike Price]]) / SnapshotTable[[#This Row],[Last Price]]) * -1, "")</f>
        <v/>
      </c>
      <c r="FM301" s="157"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33"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36" t="str">
        <f>IF(AND(ISNUMBER(SnapshotTable[[#This Row],[SC Simple ROO]]),SnapshotTable[[#This Row],[SC Simple ROO]] &gt; 0), SnapshotTable[[#This Row],[SC Premium]] + (SnapshotTable[[#This Row],[SC Qty]] * SnapshotTable[[#This Row],[SC Upside Potential]]), "")</f>
        <v/>
      </c>
      <c r="FX301" s="302" t="str" cm="1">
        <f t="array" ref="FX301">IF(ISNUMBER(SnapshotTable[[#This Row],[SC Max Dollars]]), annualize(SnapshotTable[[#This Row],[SC Term]],(SnapshotTable[[#This Row],[SC Max Dollars]]/SnapshotTable[[#This Row],[SC Basis]])),"")</f>
        <v/>
      </c>
      <c r="FY301" s="23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294" t="str">
        <f>IFERROR( IF(ISNUMBER((SnapshotTable[[#This Row],[SC Current Value]])), SnapshotTable[[#This Row],[SC Gain Loss]] / SnapshotTable[[#This Row],[SC Premium]], ""), "")</f>
        <v/>
      </c>
      <c r="GB301" s="42">
        <f>SnapshotTable[[#This Row],[Equity Shares]] * SaleSharesToConsiderPercentage</f>
        <v>0</v>
      </c>
      <c r="GC301" s="40">
        <f>SnapshotTable[[#This Row],[Long Term Target]] * SellingPriceToConsiderBasedOnTargetPercentage</f>
        <v>169.05249999999998</v>
      </c>
      <c r="GD301" s="40">
        <f>SnapshotTable[[#This Row],[Last Price]] * (1+ SellingPriceToConsiderBasedOnTargetPercentage)</f>
        <v>372.33299999999997</v>
      </c>
      <c r="GE301" s="41"/>
      <c r="GF301" s="40"/>
      <c r="GG301" s="31">
        <f>SnapshotTable[[#This Row],[Booked Sale Shares]] * SnapshotTable[[#This Row],[Booked Sale Price]]</f>
        <v>0</v>
      </c>
      <c r="GH301" s="31" t="str">
        <f>IF(SnapshotTable[[#This Row],[Equity Basis Total]] &gt; 0, SnapshotTable[[#This Row],[Equity Basis Per Share]] * SnapshotTable[[#This Row],[Booked Sale Shares]], "")</f>
        <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766</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1" s="231">
        <f>MAX(SnapshotTable[[#This Row],[Equity Basis Total]],SnapshotTable[[#This Row],[Equity Value]]) + (SnapshotTable[[#This Row],[SP Potential Spend]]- SnapshotTable[[#This Row],[SP Premium]] + SnapshotTable[[#This Row],[LP Premium]])+ (SnapshotTable[[#This Row],[LC Premium]] - SnapshotTable[[#This Row],[SC Premium]])</f>
        <v>0</v>
      </c>
      <c r="GW301" s="139" t="str">
        <f>IF(AND(SnapshotTable[[#This Row],[Exposure]] &lt;&gt; 0),SnapshotTable[[#This Row],[Exposure]] / SnapshotTable[[#Totals],[Exposure]], "")</f>
        <v/>
      </c>
      <c r="HK301" s="1"/>
      <c r="HL301" s="1"/>
      <c r="HM301" s="1"/>
      <c r="HN301" s="1"/>
      <c r="HO301" s="1"/>
      <c r="HP301" s="1"/>
    </row>
    <row r="302" spans="2:224" ht="12.75" hidden="1" customHeight="1" x14ac:dyDescent="0.25">
      <c r="B302" s="12" t="s">
        <v>466</v>
      </c>
      <c r="C302" s="422">
        <v>69.69</v>
      </c>
      <c r="D302" s="208"/>
      <c r="E302" s="39">
        <f>SnapshotTable[[#This Row],[Last Price]]*(1 -CrashDiscount)</f>
        <v>59.236499999999999</v>
      </c>
      <c r="F302" s="26" t="s">
        <v>5</v>
      </c>
      <c r="G302" s="26" t="s">
        <v>4</v>
      </c>
      <c r="H302" s="149"/>
      <c r="I302" s="194">
        <v>44769.288194444445</v>
      </c>
      <c r="J302" s="195">
        <v>44769.288194444445</v>
      </c>
      <c r="K302" s="196"/>
      <c r="L302" s="326"/>
      <c r="M302" s="140"/>
      <c r="N302" s="140"/>
      <c r="O302" s="140">
        <v>1</v>
      </c>
      <c r="P302" s="22"/>
      <c r="Q302" s="25"/>
      <c r="R302" s="4" t="str">
        <f>IF(SnapshotTable[[#This Row],[Equity Basis Total]] &gt; 0, SnapshotTable[[#This Row],[Equity Basis Total]] / SnapshotTable[[#This Row],[Equity Shares]], "")</f>
        <v/>
      </c>
      <c r="S302" s="269">
        <f>SnapshotTable[[#This Row],[Last Price]] * SnapshotTable[[#This Row],[Equity Shares]]</f>
        <v>0</v>
      </c>
      <c r="T302" s="269">
        <f>SnapshotTable[[#This Row],[Equity Value]] - SnapshotTable[[#This Row],[Equity Basis Total]]</f>
        <v>0</v>
      </c>
      <c r="U302" s="270" t="str">
        <f>IF(SnapshotTable[[#This Row],[Equity Basis Total]] &gt; 0, SnapshotTable[[#This Row],[Equity G/L]] / SnapshotTable[[#This Row],[Equity Basis Total]], "")</f>
        <v/>
      </c>
      <c r="V302" s="268"/>
      <c r="W302" s="26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7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0"/>
      <c r="AD302" s="151"/>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1"/>
      <c r="AI302" s="5"/>
      <c r="AJ302" s="138" t="s">
        <v>164</v>
      </c>
      <c r="AK302" s="152" t="str">
        <f>IF(ISNUMBER( SnapshotTable[[#This Row],[EBF Target]]),(SnapshotTable[[#This Row],[EBF Target]] - SnapshotTable[[#This Row],[Last Price]]) / SnapshotTable[[#This Row],[Last Price]], "")</f>
        <v/>
      </c>
      <c r="AL302" s="152"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2" t="str">
        <f>IF(AND(ISNUMBER( SnapshotTable[[#This Row],[Long Term Target]]), ISNUMBER(SnapshotTable[[#This Row],[Last Price]])),(SnapshotTable[[#This Row],[Long Term Target]] - SnapshotTable[[#This Row],[Last Price]]) / SnapshotTable[[#This Row],[Last Price]], "")</f>
        <v/>
      </c>
      <c r="AP302" s="5"/>
      <c r="AQ302" s="38"/>
      <c r="AR302" s="5"/>
      <c r="AS302" s="38"/>
      <c r="AT302" s="146"/>
      <c r="AU302" s="187" t="str">
        <f>IF(OR(SnapshotTable[[#This Row],[LP No Fill]]="Y",SnapshotTable[[#This Row],[SP Is Filled]],SnapshotTable[[#This Row],[LC Not Filled]]="Y",SnapshotTable[[#This Row],[SC Is Filled]]),"Y","")</f>
        <v/>
      </c>
      <c r="AV302" s="219"/>
      <c r="AW302" s="225"/>
      <c r="AX302" s="220"/>
      <c r="AY302" s="219" t="str">
        <f>IF(SnapshotTable[[#This Row],[Implied Move]]&gt;0, SnapshotTable[[#This Row],[Last Price]]-SnapshotTable[[#This Row],[Implied Move]],"")</f>
        <v/>
      </c>
      <c r="AZ302" s="219" t="str">
        <f>IF(SnapshotTable[[#This Row],[Implied Move]]&gt;0, SnapshotTable[[#This Row],[Last Price]] + SnapshotTable[[#This Row],[Implied Move]],"")</f>
        <v/>
      </c>
      <c r="BA302" s="331"/>
      <c r="BB302" s="347"/>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51"/>
      <c r="BE302" s="5"/>
      <c r="BF302" s="14"/>
      <c r="BG302" s="13"/>
      <c r="BH302" s="13"/>
      <c r="BI302" s="5"/>
      <c r="BJ302" s="136">
        <f>IF(SnapshotTable[[#This Row],[LP Qty]] &gt; 0, SnapshotTable[[#This Row],[LP Qty]] * SnapshotTable[[#This Row],[LP Book Price]] * 100,0)</f>
        <v>0</v>
      </c>
      <c r="BK302" s="136">
        <f>IF(SnapshotTable[[#This Row],[LP Premium]] &gt; 0, SnapshotTable[[#This Row],[LP Qty]] * SnapshotTable[[#This Row],[LP Strike Price]] * 100,0)</f>
        <v>0</v>
      </c>
      <c r="BL302" s="154"/>
      <c r="BM302" s="385" t="str">
        <f>IF(SnapshotTable[[#This Row],[LP Premium]] &gt; 0,SnapshotTable[[#This Row],[LP Exp Date]]-MAX(SnapshotTable[[#This Row],[LP Book Date]], SnapshotTable[[#This Row],[LP Fill Date]]),"")</f>
        <v/>
      </c>
      <c r="BN302" s="385" t="str">
        <f>IF(ISNUMBER( SnapshotTable[[#This Row],[LP Term]]), SnapshotTable[[#This Row],[LP Exp Date]] - MockToday,"")</f>
        <v/>
      </c>
      <c r="BO302" s="163"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7"/>
      <c r="BU302" s="13"/>
      <c r="BV302" s="5"/>
      <c r="BW302" s="419" t="b">
        <f>AND(ISNUMBER(SnapshotTable[[#This Row],[SP Exp Date]]), ISNUMBER(SnapshotTable[[#This Row],[SP Strike Price]]), ISNUMBER(SnapshotTable[[#This Row],[SP Qty]]), ISNUMBER(SnapshotTable[[#This Row],[SP Book Date]]), ISNUMBER(SnapshotTable[[#This Row],[SP Book Price]]))</f>
        <v>0</v>
      </c>
      <c r="BX302" s="419" t="b">
        <f>AND(SnapshotTable[[#This Row],[SP Is Booked]], NOT(ISBLANK(SnapshotTable[[#This Row],[SP Fill Date]])))</f>
        <v>0</v>
      </c>
      <c r="BY302" s="33">
        <f>IF(SnapshotTable[[#This Row],[SP Is Booked]], SnapshotTable[[#This Row],[SP Qty]] * SnapshotTable[[#This Row],[SP Book Price]] * 100, 0)</f>
        <v>0</v>
      </c>
      <c r="BZ302" s="369"/>
      <c r="CA302" s="368">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3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44"/>
      <c r="CK302" s="31">
        <f>IF(ISNUMBER(SnapshotTable[[#This Row],[SP Potential Spend]]),IF(ISNUMBER(SnapshotTable[[#This Row],[SP POW]]), SnapshotTable[[#This Row],[SP POW]] * SnapshotTable[[#This Row],[SP Potential Spend]], SnapshotTable[[#This Row],[SP Potential Spend]]), "")</f>
        <v>0</v>
      </c>
      <c r="CL302" s="164">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78"/>
      <c r="CO302" s="369"/>
      <c r="CP302" s="4" t="str">
        <f>IF(SnapshotTable[[#This Row],[SP Is Filled]], btc_max_buyback_amount(SnapshotTable[[#This Row],[SP Fill Date]],SnapshotTable[[#This Row],[SP Exp Date]], SnapshotTable[[#This Row],[SP Book Price]]),"")</f>
        <v/>
      </c>
      <c r="CQ302" s="78"/>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5" t="str">
        <f>IF(SnapshotTable[[#This Row],[SP Is Filled]], btc_next_cutoff_date(SnapshotTable[[#This Row],[SP Fill Date]],SnapshotTable[[#This Row],[SP Exp Date]]),"")</f>
        <v/>
      </c>
      <c r="CT302" s="23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43"/>
      <c r="CV302" s="235"/>
      <c r="CW302" s="378"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294" t="str">
        <f>IF(ISNUMBER((SnapshotTable[[#This Row],[SP Total Value]])), SnapshotTable[[#This Row],[SP Gain Loss]] / SnapshotTable[[#This Row],[SP Premium]], "")</f>
        <v/>
      </c>
      <c r="DI302" s="406"/>
      <c r="DJ302" s="138"/>
      <c r="DK302" s="148"/>
      <c r="DL302" s="13"/>
      <c r="DM302" s="13"/>
      <c r="DO302" s="31">
        <f>IF(SnapshotTable[[#This Row],[LC Symbol Count]]=1, SnapshotTable[[#This Row],[LC Qty]] * SnapshotTable[[#This Row],[LC Book Price]] * 100, 0)</f>
        <v>0</v>
      </c>
      <c r="DP302" s="163" t="str">
        <f>IF(AND(SnapshotTable[[#This Row],[LC Exp Date]]&gt;0, SnapshotTable[[#This Row],[LC Strike Price]]&gt;0,SnapshotTable[[#This Row],[LC Qty]]&gt;0,SnapshotTable[[#This Row],[LC Book Date]]&gt;0,SnapshotTable[[#This Row],[LC Book Price]]&gt;0,SnapshotTable[[#This Row],[LC Fill Date]]=0),"Y","")</f>
        <v/>
      </c>
      <c r="DQ302" s="386" t="str">
        <f>IF(SnapshotTable[[#This Row],[LC Premium]] &gt; 0,SnapshotTable[[#This Row],[LC Exp Date]]-MAX(SnapshotTable[[#This Row],[LC Book Date]], SnapshotTable[[#This Row],[LC Fill Date]]),"")</f>
        <v/>
      </c>
      <c r="DR302" s="386" t="str">
        <f>IF(ISNUMBER(SnapshotTable[[#This Row],[LC Term]]), SnapshotTable[[#This Row],[LC Exp Date]] - MockToday, "")</f>
        <v/>
      </c>
      <c r="DS302" s="23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40" t="str">
        <f>IF(ISNUMBER(SnapshotTable[[#This Row],[LC Actual Gain Loss]]), SnapshotTable[[#This Row],[LC Actual Gain Loss]] / SnapshotTable[[#This Row],[LC Premium]],"")</f>
        <v/>
      </c>
      <c r="DX302" s="284" t="str">
        <f>IF(ISNUMBER(SnapshotTable[[#This Row],[LC Book Price]]),SnapshotTable[[#This Row],[LC Book Price]] * 1.5,"")</f>
        <v/>
      </c>
      <c r="DY302" s="265" t="str">
        <f>IF(SnapshotTable[[#This Row],[LC Premium]]&gt;0, SnapshotTable[[#This Row],[LC Next Target]] * SnapshotTable[[#This Row],[LC Qty]] * 100,"")</f>
        <v/>
      </c>
      <c r="DZ302" s="265" t="str">
        <f>IF(ISNUMBER(SnapshotTable[[#This Row],[LC Target Gross]]), SnapshotTable[[#This Row],[LC Target Gross]] - SnapshotTable[[#This Row],[LC Premium]], "")</f>
        <v/>
      </c>
      <c r="EA302" s="305" t="str">
        <f>IF(ISNUMBER(SnapshotTable[[#This Row],[LC Target Gain Loss]]), SnapshotTable[[#This Row],[LC Target Gain Loss]]/SnapshotTable[[#This Row],[LC Premium]], "")</f>
        <v/>
      </c>
      <c r="EB302" s="262"/>
      <c r="EC302" s="283" t="str">
        <f>IF(SnapshotTable[[#This Row],[LC Premium]]&gt;0, SnapshotTable[[#This Row],[LC Book Price]] * (1 - LC_StopLoss_Pct),"")</f>
        <v/>
      </c>
      <c r="ED302" s="284"/>
      <c r="EE302" s="28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4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7"/>
      <c r="EL302" s="138"/>
      <c r="EM302" s="148"/>
      <c r="EN302" s="147"/>
      <c r="EO302" s="147"/>
      <c r="EP302" s="138"/>
      <c r="EQ302" s="419" t="b">
        <f>AND(ISNUMBER(SnapshotTable[[#This Row],[SC Exp Date]]), ISNUMBER(SnapshotTable[[#This Row],[SC Strike Price]]), ISNUMBER(SnapshotTable[[#This Row],[SC Qty]]), ISNUMBER(SnapshotTable[[#This Row],[SC Book Date]]), ISNUMBER(SnapshotTable[[#This Row],[SC Book Price]]))</f>
        <v>0</v>
      </c>
      <c r="ER302" s="419" t="b">
        <f>AND(SnapshotTable[[#This Row],[SC Is Booked]], NOT(ISBLANK(SnapshotTable[[#This Row],[SC Fill Date]])))</f>
        <v>0</v>
      </c>
      <c r="ES302" s="370"/>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3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283"/>
      <c r="FA302" s="218"/>
      <c r="FB302" s="370"/>
      <c r="FC302" s="4">
        <f>IF(SnapshotTable[[#This Row],[SC Is Filled]], btc_max_buyback_amount(SnapshotTable[[#This Row],[SC Fill Date]],SnapshotTable[[#This Row],[SC Exp Date]], SnapshotTable[[#This Row],[SC Book Price]]),0)</f>
        <v>0</v>
      </c>
      <c r="FD302" s="5"/>
      <c r="FE302" s="144"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382">
        <f>IF(SnapshotTable[[#This Row],[SC Is Filled]], IF(ISNUMBER(SnapshotTable[[#This Row],[SC Current Ask]]), SnapshotTable[[#This Row],[SC Current Ask]], SnapshotTable[[#This Row],[SC Book Price]]) - SnapshotTable[[#This Row],[SC Intrinsic Value]], 0)</f>
        <v>0</v>
      </c>
      <c r="FI302" s="143"/>
      <c r="FJ302" s="32" t="str">
        <f>IF(SnapshotTable[[#This Row],[SC Is Filled]],100 * SnapshotTable[[#This Row],[SC Qty]] * IF(ISNUMBER(SnapshotTable[[#This Row],[SC Buyback Override]]), SnapshotTable[[#This Row],[SC Buyback Override]], SnapshotTable[[#This Row],[SC Current Ask]]), "")</f>
        <v/>
      </c>
      <c r="FK302" s="250" t="str">
        <f>IF(SnapshotTable[[#This Row],[SC Time Val]]&gt;0, SnapshotTable[[#This Row],[SC Time Val]] / SnapshotTable[[#This Row],[Last Price]],"")</f>
        <v/>
      </c>
      <c r="FL302" s="302" t="str">
        <f>IF(SnapshotTable[[#This Row],[SC Is Booked]], ((SnapshotTable[[#This Row],[Last Price]] -SnapshotTable[[#This Row],[SC Strike Price]]) / SnapshotTable[[#This Row],[Last Price]]) * -1, "")</f>
        <v/>
      </c>
      <c r="FM302" s="157" t="str">
        <f>IF(SnapshotTable[[#This Row],[SC Is Booked]],  (SnapshotTable[[#This Row],[SC Qty]] * 100 * SnapshotTable[[#This Row],[SC Strike Price]]) - SnapshotTable[[#This Row],[SC Current Ask]], "")</f>
        <v/>
      </c>
      <c r="FN3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31"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33"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36" t="str">
        <f>IF(AND(ISNUMBER(SnapshotTable[[#This Row],[SC Simple ROO]]),SnapshotTable[[#This Row],[SC Simple ROO]] &gt; 0), SnapshotTable[[#This Row],[SC Premium]] + (SnapshotTable[[#This Row],[SC Qty]] * SnapshotTable[[#This Row],[SC Upside Potential]]), "")</f>
        <v/>
      </c>
      <c r="FX302" s="302" t="str" cm="1">
        <f t="array" ref="FX302">IF(ISNUMBER(SnapshotTable[[#This Row],[SC Max Dollars]]), annualize(SnapshotTable[[#This Row],[SC Term]],(SnapshotTable[[#This Row],[SC Max Dollars]]/SnapshotTable[[#This Row],[SC Basis]])),"")</f>
        <v/>
      </c>
      <c r="FY302" s="236" t="str">
        <f>IF(AND(SnapshotTable[[#This Row],[SC Qty]]&gt;0,SnapshotTable[[#This Row],[SC Current Ask]]&gt;0), SnapshotTable[[#This Row],[SC Qty]] * SnapshotTable[[#This Row],[SC Current Ask]] * -100, "")</f>
        <v/>
      </c>
      <c r="FZ302" s="31" t="str">
        <f>IF(ISNUMBER((SnapshotTable[[#This Row],[SC Current Value]])), SnapshotTable[[#This Row],[SC Premium]] + SnapshotTable[[#This Row],[SC Current Value]], "")</f>
        <v/>
      </c>
      <c r="GA302" s="294" t="str">
        <f>IFERROR( IF(ISNUMBER((SnapshotTable[[#This Row],[SC Current Value]])), SnapshotTable[[#This Row],[SC Gain Loss]] / SnapshotTable[[#This Row],[SC Premium]], ""), "")</f>
        <v/>
      </c>
      <c r="GB302" s="42">
        <f>SnapshotTable[[#This Row],[Equity Shares]] * SaleSharesToConsiderPercentage</f>
        <v>0</v>
      </c>
      <c r="GC302" s="40" t="e">
        <f>SnapshotTable[[#This Row],[Long Term Target]] * SellingPriceToConsiderBasedOnTargetPercentage</f>
        <v>#VALUE!</v>
      </c>
      <c r="GD302" s="40">
        <f>SnapshotTable[[#This Row],[Last Price]] * (1+ SellingPriceToConsiderBasedOnTargetPercentage)</f>
        <v>135.8955</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27" t="str">
        <f>IF(SnapshotTable[[#This Row],[Sale G/L]]&gt;0, SnapshotTable[[#This Row],[Sale G/L]] / SnapshotTable[[#This Row],[Sale Basis]], IF(ISNUMBER(SnapshotTable[[#This Row],[SC Exercise P&amp;L (TAX)]]), SnapshotTable[[#This Row],[SC Exercise P&amp;L (TAX)]] / SnapshotTable[[#This Row],[SC Basis]], ""))</f>
        <v/>
      </c>
      <c r="GK302" s="27" t="s">
        <v>767</v>
      </c>
      <c r="GL302" s="43"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43" t="str">
        <f>IF(AND(SnapshotTable[[#This Row],[LC Exp Date]]&gt;0,SnapshotTable[[#This Row],[LC Strike Price]]&gt;0), [1]!ToOptionSymbol(SnapshotTable[[#This Row],[Symbol]], SnapshotTable[[#This Row],[LC Strike Price]],SnapshotTable[[#This Row],[LC Exp Date]],0), "")</f>
        <v/>
      </c>
      <c r="GQ302" s="30" t="str">
        <f>IF(LEN(SnapshotTable[[#This Row],[LC Symbol]])&gt;0, 1, "")</f>
        <v/>
      </c>
      <c r="GR302" s="43" t="str">
        <f>IF(AND(SnapshotTable[[#This Row],[SC Exp Date]]&gt;0,SnapshotTable[[#This Row],[SC Strike Price]]&gt;0), [1]!ToOptionSymbol(SnapshotTable[[#This Row],[Symbol]], SnapshotTable[[#This Row],[SC Strike Price]],SnapshotTable[[#This Row],[SC Exp Date]],0), "")</f>
        <v/>
      </c>
      <c r="GS302" s="30" t="str">
        <f>IF(LEN(SnapshotTable[[#This Row],[SC Symbol]])&gt;0, 1, "")</f>
        <v/>
      </c>
      <c r="GT302" s="29"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31">
        <f>MAX(SnapshotTable[[#This Row],[Equity Basis Total]],SnapshotTable[[#This Row],[Equity Value]]) + (SnapshotTable[[#This Row],[SP Potential Spend]]- SnapshotTable[[#This Row],[SP Premium]] + SnapshotTable[[#This Row],[LP Premium]])+ (SnapshotTable[[#This Row],[LC Premium]] - SnapshotTable[[#This Row],[SC Premium]])</f>
        <v>0</v>
      </c>
      <c r="GW302" s="139" t="str">
        <f>IF(AND(SnapshotTable[[#This Row],[Exposure]] &lt;&gt; 0),SnapshotTable[[#This Row],[Exposure]] / SnapshotTable[[#Totals],[Exposure]], "")</f>
        <v/>
      </c>
      <c r="HK302" s="1"/>
      <c r="HL302" s="1"/>
      <c r="HM302" s="1"/>
      <c r="HN302" s="1"/>
      <c r="HO302" s="1"/>
      <c r="HP302" s="1"/>
    </row>
    <row r="303" spans="2:224" ht="12.75" hidden="1" customHeight="1" x14ac:dyDescent="0.25">
      <c r="B303" s="12" t="s">
        <v>547</v>
      </c>
      <c r="C303" s="422">
        <v>16.91</v>
      </c>
      <c r="D303" s="208"/>
      <c r="E303" s="39">
        <f>SnapshotTable[[#This Row],[Last Price]]*(1 -CrashDiscount)</f>
        <v>14.3735</v>
      </c>
      <c r="F303" s="26" t="s">
        <v>111</v>
      </c>
      <c r="G303" s="26" t="s">
        <v>49</v>
      </c>
      <c r="H303" s="149"/>
      <c r="I303" s="194">
        <v>44776.666666666664</v>
      </c>
      <c r="J303" s="195">
        <v>44776.666666666664</v>
      </c>
      <c r="K303" s="196"/>
      <c r="L303" s="326"/>
      <c r="M303" s="140"/>
      <c r="N303" s="140"/>
      <c r="O303" s="140"/>
      <c r="P303" s="22"/>
      <c r="Q303" s="25"/>
      <c r="R303" s="4" t="str">
        <f>IF(SnapshotTable[[#This Row],[Equity Basis Total]] &gt; 0, SnapshotTable[[#This Row],[Equity Basis Total]] / SnapshotTable[[#This Row],[Equity Shares]], "")</f>
        <v/>
      </c>
      <c r="S303" s="269">
        <f>SnapshotTable[[#This Row],[Last Price]] * SnapshotTable[[#This Row],[Equity Shares]]</f>
        <v>0</v>
      </c>
      <c r="T303" s="269">
        <f>SnapshotTable[[#This Row],[Equity Value]] - SnapshotTable[[#This Row],[Equity Basis Total]]</f>
        <v>0</v>
      </c>
      <c r="U303" s="270" t="str">
        <f>IF(SnapshotTable[[#This Row],[Equity Basis Total]] &gt; 0, SnapshotTable[[#This Row],[Equity G/L]] / SnapshotTable[[#This Row],[Equity Basis Total]], "")</f>
        <v/>
      </c>
      <c r="V303" s="268"/>
      <c r="W303" s="26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7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0"/>
      <c r="AD303" s="151"/>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1"/>
      <c r="AI303" s="5"/>
      <c r="AJ303" s="138">
        <v>88.07</v>
      </c>
      <c r="AK303" s="152" t="str">
        <f>IF(ISNUMBER( SnapshotTable[[#This Row],[EBF Target]]),(SnapshotTable[[#This Row],[EBF Target]] - SnapshotTable[[#This Row],[Last Price]]) / SnapshotTable[[#This Row],[Last Price]], "")</f>
        <v/>
      </c>
      <c r="AL303" s="152"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2">
        <f>IF(AND(ISNUMBER( SnapshotTable[[#This Row],[Long Term Target]]), ISNUMBER(SnapshotTable[[#This Row],[Last Price]])),(SnapshotTable[[#This Row],[Long Term Target]] - SnapshotTable[[#This Row],[Last Price]]) / SnapshotTable[[#This Row],[Last Price]], "")</f>
        <v>4.2081608515671194</v>
      </c>
      <c r="AP303" s="5">
        <v>70</v>
      </c>
      <c r="AQ303" s="38" t="s">
        <v>38</v>
      </c>
      <c r="AR303" s="5">
        <v>70</v>
      </c>
      <c r="AS303" s="38" t="s">
        <v>26</v>
      </c>
      <c r="AT303" s="146" t="s">
        <v>538</v>
      </c>
      <c r="AU303" s="187" t="str">
        <f>IF(OR(SnapshotTable[[#This Row],[LP No Fill]]="Y",SnapshotTable[[#This Row],[SP Is Filled]],SnapshotTable[[#This Row],[LC Not Filled]]="Y",SnapshotTable[[#This Row],[SC Is Filled]]),"Y","")</f>
        <v/>
      </c>
      <c r="AV303" s="219"/>
      <c r="AW303" s="225"/>
      <c r="AX303" s="220"/>
      <c r="AY303" s="219" t="str">
        <f>IF(SnapshotTable[[#This Row],[Implied Move]]&gt;0, SnapshotTable[[#This Row],[Last Price]]-SnapshotTable[[#This Row],[Implied Move]],"")</f>
        <v/>
      </c>
      <c r="AZ303" s="219" t="str">
        <f>IF(SnapshotTable[[#This Row],[Implied Move]]&gt;0, SnapshotTable[[#This Row],[Last Price]] + SnapshotTable[[#This Row],[Implied Move]],"")</f>
        <v/>
      </c>
      <c r="BA303" s="331"/>
      <c r="BB303" s="347"/>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51"/>
      <c r="BE303" s="5"/>
      <c r="BF303" s="14"/>
      <c r="BG303" s="13"/>
      <c r="BH303" s="13"/>
      <c r="BI303" s="5"/>
      <c r="BJ303" s="136">
        <f>IF(SnapshotTable[[#This Row],[LP Qty]] &gt; 0, SnapshotTable[[#This Row],[LP Qty]] * SnapshotTable[[#This Row],[LP Book Price]] * 100,0)</f>
        <v>0</v>
      </c>
      <c r="BK303" s="136">
        <f>IF(SnapshotTable[[#This Row],[LP Premium]] &gt; 0, SnapshotTable[[#This Row],[LP Qty]] * SnapshotTable[[#This Row],[LP Strike Price]] * 100,0)</f>
        <v>0</v>
      </c>
      <c r="BL303" s="154"/>
      <c r="BM303" s="385" t="str">
        <f>IF(SnapshotTable[[#This Row],[LP Premium]] &gt; 0,SnapshotTable[[#This Row],[LP Exp Date]]-MAX(SnapshotTable[[#This Row],[LP Book Date]], SnapshotTable[[#This Row],[LP Fill Date]]),"")</f>
        <v/>
      </c>
      <c r="BN303" s="385" t="str">
        <f>IF(ISNUMBER( SnapshotTable[[#This Row],[LP Term]]), SnapshotTable[[#This Row],[LP Exp Date]] - MockToday,"")</f>
        <v/>
      </c>
      <c r="BO303" s="163"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7"/>
      <c r="BU303" s="13"/>
      <c r="BV303" s="5"/>
      <c r="BW303" s="419" t="b">
        <f>AND(ISNUMBER(SnapshotTable[[#This Row],[SP Exp Date]]), ISNUMBER(SnapshotTable[[#This Row],[SP Strike Price]]), ISNUMBER(SnapshotTable[[#This Row],[SP Qty]]), ISNUMBER(SnapshotTable[[#This Row],[SP Book Date]]), ISNUMBER(SnapshotTable[[#This Row],[SP Book Price]]))</f>
        <v>0</v>
      </c>
      <c r="BX303" s="419" t="b">
        <f>AND(SnapshotTable[[#This Row],[SP Is Booked]], NOT(ISBLANK(SnapshotTable[[#This Row],[SP Fill Date]])))</f>
        <v>0</v>
      </c>
      <c r="BY303" s="33">
        <f>IF(SnapshotTable[[#This Row],[SP Is Booked]], SnapshotTable[[#This Row],[SP Qty]] * SnapshotTable[[#This Row],[SP Book Price]] * 100, 0)</f>
        <v>0</v>
      </c>
      <c r="BZ303" s="369"/>
      <c r="CA303" s="368">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3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44"/>
      <c r="CK303" s="31">
        <f>IF(ISNUMBER(SnapshotTable[[#This Row],[SP Potential Spend]]),IF(ISNUMBER(SnapshotTable[[#This Row],[SP POW]]), SnapshotTable[[#This Row],[SP POW]] * SnapshotTable[[#This Row],[SP Potential Spend]], SnapshotTable[[#This Row],[SP Potential Spend]]), "")</f>
        <v>0</v>
      </c>
      <c r="CL303" s="164">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8"/>
      <c r="CO303" s="369"/>
      <c r="CP303" s="4" t="str">
        <f>IF(SnapshotTable[[#This Row],[SP Is Filled]], btc_max_buyback_amount(SnapshotTable[[#This Row],[SP Fill Date]],SnapshotTable[[#This Row],[SP Exp Date]], SnapshotTable[[#This Row],[SP Book Price]]),"")</f>
        <v/>
      </c>
      <c r="CQ303" s="78"/>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5" t="str">
        <f>IF(SnapshotTable[[#This Row],[SP Is Filled]], btc_next_cutoff_date(SnapshotTable[[#This Row],[SP Fill Date]],SnapshotTable[[#This Row],[SP Exp Date]]),"")</f>
        <v/>
      </c>
      <c r="CT303" s="23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3"/>
      <c r="CV303" s="235"/>
      <c r="CW303" s="378"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294" t="str">
        <f>IF(ISNUMBER((SnapshotTable[[#This Row],[SP Total Value]])), SnapshotTable[[#This Row],[SP Gain Loss]] / SnapshotTable[[#This Row],[SP Premium]], "")</f>
        <v/>
      </c>
      <c r="DI303" s="406"/>
      <c r="DJ303" s="138"/>
      <c r="DK303" s="148"/>
      <c r="DL303" s="13"/>
      <c r="DM303" s="13"/>
      <c r="DO303" s="31">
        <f>IF(SnapshotTable[[#This Row],[LC Symbol Count]]=1, SnapshotTable[[#This Row],[LC Qty]] * SnapshotTable[[#This Row],[LC Book Price]] * 100, 0)</f>
        <v>0</v>
      </c>
      <c r="DP303" s="163" t="str">
        <f>IF(AND(SnapshotTable[[#This Row],[LC Exp Date]]&gt;0, SnapshotTable[[#This Row],[LC Strike Price]]&gt;0,SnapshotTable[[#This Row],[LC Qty]]&gt;0,SnapshotTable[[#This Row],[LC Book Date]]&gt;0,SnapshotTable[[#This Row],[LC Book Price]]&gt;0,SnapshotTable[[#This Row],[LC Fill Date]]=0),"Y","")</f>
        <v/>
      </c>
      <c r="DQ303" s="386" t="str">
        <f>IF(SnapshotTable[[#This Row],[LC Premium]] &gt; 0,SnapshotTable[[#This Row],[LC Exp Date]]-MAX(SnapshotTable[[#This Row],[LC Book Date]], SnapshotTable[[#This Row],[LC Fill Date]]),"")</f>
        <v/>
      </c>
      <c r="DR303" s="386" t="str">
        <f>IF(ISNUMBER(SnapshotTable[[#This Row],[LC Term]]), SnapshotTable[[#This Row],[LC Exp Date]] - MockToday, "")</f>
        <v/>
      </c>
      <c r="DS303" s="23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40" t="str">
        <f>IF(ISNUMBER(SnapshotTable[[#This Row],[LC Actual Gain Loss]]), SnapshotTable[[#This Row],[LC Actual Gain Loss]] / SnapshotTable[[#This Row],[LC Premium]],"")</f>
        <v/>
      </c>
      <c r="DX303" s="284" t="str">
        <f>IF(ISNUMBER(SnapshotTable[[#This Row],[LC Book Price]]),SnapshotTable[[#This Row],[LC Book Price]] * 1.5,"")</f>
        <v/>
      </c>
      <c r="DY303" s="265" t="str">
        <f>IF(SnapshotTable[[#This Row],[LC Premium]]&gt;0, SnapshotTable[[#This Row],[LC Next Target]] * SnapshotTable[[#This Row],[LC Qty]] * 100,"")</f>
        <v/>
      </c>
      <c r="DZ303" s="265" t="str">
        <f>IF(ISNUMBER(SnapshotTable[[#This Row],[LC Target Gross]]), SnapshotTable[[#This Row],[LC Target Gross]] - SnapshotTable[[#This Row],[LC Premium]], "")</f>
        <v/>
      </c>
      <c r="EA303" s="305" t="str">
        <f>IF(ISNUMBER(SnapshotTable[[#This Row],[LC Target Gain Loss]]), SnapshotTable[[#This Row],[LC Target Gain Loss]]/SnapshotTable[[#This Row],[LC Premium]], "")</f>
        <v/>
      </c>
      <c r="EB303" s="262"/>
      <c r="EC303" s="283" t="str">
        <f>IF(SnapshotTable[[#This Row],[LC Premium]]&gt;0, SnapshotTable[[#This Row],[LC Book Price]] * (1 - LC_StopLoss_Pct),"")</f>
        <v/>
      </c>
      <c r="ED303" s="284"/>
      <c r="EE303" s="28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4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7"/>
      <c r="EL303" s="138"/>
      <c r="EM303" s="148"/>
      <c r="EN303" s="147"/>
      <c r="EO303" s="147"/>
      <c r="EP303" s="138"/>
      <c r="EQ303" s="419" t="b">
        <f>AND(ISNUMBER(SnapshotTable[[#This Row],[SC Exp Date]]), ISNUMBER(SnapshotTable[[#This Row],[SC Strike Price]]), ISNUMBER(SnapshotTable[[#This Row],[SC Qty]]), ISNUMBER(SnapshotTable[[#This Row],[SC Book Date]]), ISNUMBER(SnapshotTable[[#This Row],[SC Book Price]]))</f>
        <v>0</v>
      </c>
      <c r="ER303" s="419" t="b">
        <f>AND(SnapshotTable[[#This Row],[SC Is Booked]], NOT(ISBLANK(SnapshotTable[[#This Row],[SC Fill Date]])))</f>
        <v>0</v>
      </c>
      <c r="ES303" s="370"/>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3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283"/>
      <c r="FA303" s="218"/>
      <c r="FB303" s="370"/>
      <c r="FC303" s="4">
        <f>IF(SnapshotTable[[#This Row],[SC Is Filled]], btc_max_buyback_amount(SnapshotTable[[#This Row],[SC Fill Date]],SnapshotTable[[#This Row],[SC Exp Date]], SnapshotTable[[#This Row],[SC Book Price]]),0)</f>
        <v>0</v>
      </c>
      <c r="FD303" s="5"/>
      <c r="FE303" s="144"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382">
        <f>IF(SnapshotTable[[#This Row],[SC Is Filled]], IF(ISNUMBER(SnapshotTable[[#This Row],[SC Current Ask]]), SnapshotTable[[#This Row],[SC Current Ask]], SnapshotTable[[#This Row],[SC Book Price]]) - SnapshotTable[[#This Row],[SC Intrinsic Value]], 0)</f>
        <v>0</v>
      </c>
      <c r="FI303" s="143"/>
      <c r="FJ303" s="32" t="str">
        <f>IF(SnapshotTable[[#This Row],[SC Is Filled]],100 * SnapshotTable[[#This Row],[SC Qty]] * IF(ISNUMBER(SnapshotTable[[#This Row],[SC Buyback Override]]), SnapshotTable[[#This Row],[SC Buyback Override]], SnapshotTable[[#This Row],[SC Current Ask]]), "")</f>
        <v/>
      </c>
      <c r="FK303" s="250" t="str">
        <f>IF(SnapshotTable[[#This Row],[SC Time Val]]&gt;0, SnapshotTable[[#This Row],[SC Time Val]] / SnapshotTable[[#This Row],[Last Price]],"")</f>
        <v/>
      </c>
      <c r="FL303" s="302" t="str">
        <f>IF(SnapshotTable[[#This Row],[SC Is Booked]], ((SnapshotTable[[#This Row],[Last Price]] -SnapshotTable[[#This Row],[SC Strike Price]]) / SnapshotTable[[#This Row],[Last Price]]) * -1, "")</f>
        <v/>
      </c>
      <c r="FM303" s="157"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33"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36" t="str">
        <f>IF(AND(ISNUMBER(SnapshotTable[[#This Row],[SC Simple ROO]]),SnapshotTable[[#This Row],[SC Simple ROO]] &gt; 0), SnapshotTable[[#This Row],[SC Premium]] + (SnapshotTable[[#This Row],[SC Qty]] * SnapshotTable[[#This Row],[SC Upside Potential]]), "")</f>
        <v/>
      </c>
      <c r="FX303" s="302" t="str" cm="1">
        <f t="array" ref="FX303">IF(ISNUMBER(SnapshotTable[[#This Row],[SC Max Dollars]]), annualize(SnapshotTable[[#This Row],[SC Term]],(SnapshotTable[[#This Row],[SC Max Dollars]]/SnapshotTable[[#This Row],[SC Basis]])),"")</f>
        <v/>
      </c>
      <c r="FY303" s="23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29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83.666499999999985</v>
      </c>
      <c r="GD303" s="40">
        <f>SnapshotTable[[#This Row],[Last Price]] * (1+ SellingPriceToConsiderBasedOnTargetPercentage)</f>
        <v>32.974499999999999</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t="s">
        <v>768</v>
      </c>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31">
        <f>MAX(SnapshotTable[[#This Row],[Equity Basis Total]],SnapshotTable[[#This Row],[Equity Value]]) + (SnapshotTable[[#This Row],[SP Potential Spend]]- SnapshotTable[[#This Row],[SP Premium]] + SnapshotTable[[#This Row],[LP Premium]])+ (SnapshotTable[[#This Row],[LC Premium]] - SnapshotTable[[#This Row],[SC Premium]])</f>
        <v>0</v>
      </c>
      <c r="GW303" s="139" t="str">
        <f>IF(AND(SnapshotTable[[#This Row],[Exposure]] &lt;&gt; 0),SnapshotTable[[#This Row],[Exposure]] / SnapshotTable[[#Totals],[Exposure]], "")</f>
        <v/>
      </c>
      <c r="HK303" s="1"/>
      <c r="HL303" s="1"/>
      <c r="HM303" s="1"/>
      <c r="HN303" s="1"/>
      <c r="HO303" s="1"/>
      <c r="HP303" s="1"/>
    </row>
    <row r="304" spans="2:224" ht="12.75" hidden="1" customHeight="1" x14ac:dyDescent="0.25">
      <c r="B304" s="12" t="s">
        <v>585</v>
      </c>
      <c r="C304" s="422">
        <v>70.28</v>
      </c>
      <c r="D304" s="208" t="s">
        <v>578</v>
      </c>
      <c r="E304" s="39">
        <f>SnapshotTable[[#This Row],[Last Price]]*(1 -CrashDiscount)</f>
        <v>59.738</v>
      </c>
      <c r="F304" s="26" t="s">
        <v>5</v>
      </c>
      <c r="G304" s="26" t="s">
        <v>4</v>
      </c>
      <c r="H304" s="149"/>
      <c r="I304" s="194">
        <v>44776.666666666664</v>
      </c>
      <c r="J304" s="195">
        <v>44776.666666666664</v>
      </c>
      <c r="K304" s="196"/>
      <c r="L304" s="326"/>
      <c r="M304" s="140"/>
      <c r="N304" s="140"/>
      <c r="O304" s="140"/>
      <c r="P304" s="22"/>
      <c r="Q304" s="25"/>
      <c r="R304" s="4" t="str">
        <f>IF(SnapshotTable[[#This Row],[Equity Basis Total]] &gt; 0, SnapshotTable[[#This Row],[Equity Basis Total]] / SnapshotTable[[#This Row],[Equity Shares]], "")</f>
        <v/>
      </c>
      <c r="S304" s="269">
        <f>SnapshotTable[[#This Row],[Last Price]] * SnapshotTable[[#This Row],[Equity Shares]]</f>
        <v>0</v>
      </c>
      <c r="T304" s="269">
        <f>SnapshotTable[[#This Row],[Equity Value]] - SnapshotTable[[#This Row],[Equity Basis Total]]</f>
        <v>0</v>
      </c>
      <c r="U304" s="270" t="str">
        <f>IF(SnapshotTable[[#This Row],[Equity Basis Total]] &gt; 0, SnapshotTable[[#This Row],[Equity G/L]] / SnapshotTable[[#This Row],[Equity Basis Total]], "")</f>
        <v/>
      </c>
      <c r="V304" s="268"/>
      <c r="W304" s="26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7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0"/>
      <c r="AD304" s="151"/>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0</v>
      </c>
      <c r="AH304" s="151"/>
      <c r="AI304" s="5"/>
      <c r="AJ304" s="138" t="s">
        <v>164</v>
      </c>
      <c r="AK304" s="152" t="str">
        <f>IF(ISNUMBER( SnapshotTable[[#This Row],[EBF Target]]),(SnapshotTable[[#This Row],[EBF Target]] - SnapshotTable[[#This Row],[Last Price]]) / SnapshotTable[[#This Row],[Last Price]], "")</f>
        <v/>
      </c>
      <c r="AL304" s="152"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2" t="str">
        <f>IF(AND(ISNUMBER( SnapshotTable[[#This Row],[Long Term Target]]), ISNUMBER(SnapshotTable[[#This Row],[Last Price]])),(SnapshotTable[[#This Row],[Long Term Target]] - SnapshotTable[[#This Row],[Last Price]]) / SnapshotTable[[#This Row],[Last Price]], "")</f>
        <v/>
      </c>
      <c r="AP304" s="5">
        <v>105</v>
      </c>
      <c r="AQ304" s="38" t="s">
        <v>45</v>
      </c>
      <c r="AR304" s="5">
        <v>80</v>
      </c>
      <c r="AS304" s="38" t="s">
        <v>45</v>
      </c>
      <c r="AT304" s="146" t="s">
        <v>584</v>
      </c>
      <c r="AU304" s="187" t="str">
        <f>IF(OR(SnapshotTable[[#This Row],[LP No Fill]]="Y",SnapshotTable[[#This Row],[SP Is Filled]],SnapshotTable[[#This Row],[LC Not Filled]]="Y",SnapshotTable[[#This Row],[SC Is Filled]]),"Y","")</f>
        <v/>
      </c>
      <c r="AV304" s="219"/>
      <c r="AW304" s="225"/>
      <c r="AX304" s="220"/>
      <c r="AY304" s="219" t="str">
        <f>IF(SnapshotTable[[#This Row],[Implied Move]]&gt;0, SnapshotTable[[#This Row],[Last Price]]-SnapshotTable[[#This Row],[Implied Move]],"")</f>
        <v/>
      </c>
      <c r="AZ304" s="219" t="str">
        <f>IF(SnapshotTable[[#This Row],[Implied Move]]&gt;0, SnapshotTable[[#This Row],[Last Price]] + SnapshotTable[[#This Row],[Implied Move]],"")</f>
        <v/>
      </c>
      <c r="BA304" s="331"/>
      <c r="BB304" s="347"/>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51"/>
      <c r="BE304" s="138"/>
      <c r="BF304" s="166"/>
      <c r="BG304" s="167"/>
      <c r="BH304" s="167"/>
      <c r="BI304" s="5"/>
      <c r="BJ304" s="153">
        <f>IF(SnapshotTable[[#This Row],[LP Qty]] &gt; 0, SnapshotTable[[#This Row],[LP Qty]] * SnapshotTable[[#This Row],[LP Book Price]] * 100,0)</f>
        <v>0</v>
      </c>
      <c r="BK304" s="136">
        <f>IF(SnapshotTable[[#This Row],[LP Premium]] &gt; 0, SnapshotTable[[#This Row],[LP Qty]] * SnapshotTable[[#This Row],[LP Strike Price]] * 100,0)</f>
        <v>0</v>
      </c>
      <c r="BL304" s="154"/>
      <c r="BM304" s="385" t="str">
        <f>IF(SnapshotTable[[#This Row],[LP Premium]] &gt; 0,SnapshotTable[[#This Row],[LP Exp Date]]-MAX(SnapshotTable[[#This Row],[LP Book Date]], SnapshotTable[[#This Row],[LP Fill Date]]),"")</f>
        <v/>
      </c>
      <c r="BN304" s="385" t="str">
        <f>IF(ISNUMBER( SnapshotTable[[#This Row],[LP Term]]), SnapshotTable[[#This Row],[LP Exp Date]] - MockToday,"")</f>
        <v/>
      </c>
      <c r="BO304" s="163"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7"/>
      <c r="BU304" s="13"/>
      <c r="BV304" s="5"/>
      <c r="BW304" s="419" t="b">
        <f>AND(ISNUMBER(SnapshotTable[[#This Row],[SP Exp Date]]), ISNUMBER(SnapshotTable[[#This Row],[SP Strike Price]]), ISNUMBER(SnapshotTable[[#This Row],[SP Qty]]), ISNUMBER(SnapshotTable[[#This Row],[SP Book Date]]), ISNUMBER(SnapshotTable[[#This Row],[SP Book Price]]))</f>
        <v>0</v>
      </c>
      <c r="BX304" s="419" t="b">
        <f>AND(SnapshotTable[[#This Row],[SP Is Booked]], NOT(ISBLANK(SnapshotTable[[#This Row],[SP Fill Date]])))</f>
        <v>0</v>
      </c>
      <c r="BY304" s="33">
        <f>IF(SnapshotTable[[#This Row],[SP Is Booked]], SnapshotTable[[#This Row],[SP Qty]] * SnapshotTable[[#This Row],[SP Book Price]] * 100, 0)</f>
        <v>0</v>
      </c>
      <c r="BZ304" s="369"/>
      <c r="CA304" s="368">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3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44"/>
      <c r="CK304" s="31">
        <f>IF(ISNUMBER(SnapshotTable[[#This Row],[SP Potential Spend]]),IF(ISNUMBER(SnapshotTable[[#This Row],[SP POW]]), SnapshotTable[[#This Row],[SP POW]] * SnapshotTable[[#This Row],[SP Potential Spend]], SnapshotTable[[#This Row],[SP Potential Spend]]), "")</f>
        <v>0</v>
      </c>
      <c r="CL304" s="164">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154"/>
      <c r="CO304" s="369"/>
      <c r="CP304" s="4" t="str">
        <f>IF(SnapshotTable[[#This Row],[SP Is Filled]], btc_max_buyback_amount(SnapshotTable[[#This Row],[SP Fill Date]],SnapshotTable[[#This Row],[SP Exp Date]], SnapshotTable[[#This Row],[SP Book Price]]),"")</f>
        <v/>
      </c>
      <c r="CQ304" s="78"/>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5" t="str">
        <f>IF(SnapshotTable[[#This Row],[SP Is Filled]], btc_next_cutoff_date(SnapshotTable[[#This Row],[SP Fill Date]],SnapshotTable[[#This Row],[SP Exp Date]]),"")</f>
        <v/>
      </c>
      <c r="CT304" s="23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56"/>
      <c r="CV304" s="235"/>
      <c r="CW304" s="378"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294" t="str">
        <f>IF(ISNUMBER((SnapshotTable[[#This Row],[SP Total Value]])), SnapshotTable[[#This Row],[SP Gain Loss]] / SnapshotTable[[#This Row],[SP Premium]], "")</f>
        <v/>
      </c>
      <c r="DI304" s="406"/>
      <c r="DJ304" s="138"/>
      <c r="DK304" s="148"/>
      <c r="DL304" s="147"/>
      <c r="DM304" s="147"/>
      <c r="DO304" s="31">
        <f>IF(SnapshotTable[[#This Row],[LC Symbol Count]]=1, SnapshotTable[[#This Row],[LC Qty]] * SnapshotTable[[#This Row],[LC Book Price]] * 100, 0)</f>
        <v>0</v>
      </c>
      <c r="DP304" s="163" t="str">
        <f>IF(AND(SnapshotTable[[#This Row],[LC Exp Date]]&gt;0, SnapshotTable[[#This Row],[LC Strike Price]]&gt;0,SnapshotTable[[#This Row],[LC Qty]]&gt;0,SnapshotTable[[#This Row],[LC Book Date]]&gt;0,SnapshotTable[[#This Row],[LC Book Price]]&gt;0,SnapshotTable[[#This Row],[LC Fill Date]]=0),"Y","")</f>
        <v/>
      </c>
      <c r="DQ304" s="386" t="str">
        <f>IF(SnapshotTable[[#This Row],[LC Premium]] &gt; 0,SnapshotTable[[#This Row],[LC Exp Date]]-MAX(SnapshotTable[[#This Row],[LC Book Date]], SnapshotTable[[#This Row],[LC Fill Date]]),"")</f>
        <v/>
      </c>
      <c r="DR304" s="386" t="str">
        <f>IF(ISNUMBER(SnapshotTable[[#This Row],[LC Term]]), SnapshotTable[[#This Row],[LC Exp Date]] - MockToday, "")</f>
        <v/>
      </c>
      <c r="DS304" s="23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40" t="str">
        <f>IF(ISNUMBER(SnapshotTable[[#This Row],[LC Actual Gain Loss]]), SnapshotTable[[#This Row],[LC Actual Gain Loss]] / SnapshotTable[[#This Row],[LC Premium]],"")</f>
        <v/>
      </c>
      <c r="DX304" s="284" t="str">
        <f>IF(ISNUMBER(SnapshotTable[[#This Row],[LC Book Price]]),SnapshotTable[[#This Row],[LC Book Price]] * 1.5,"")</f>
        <v/>
      </c>
      <c r="DY304" s="265" t="str">
        <f>IF(SnapshotTable[[#This Row],[LC Premium]]&gt;0, SnapshotTable[[#This Row],[LC Next Target]] * SnapshotTable[[#This Row],[LC Qty]] * 100,"")</f>
        <v/>
      </c>
      <c r="DZ304" s="265" t="str">
        <f>IF(ISNUMBER(SnapshotTable[[#This Row],[LC Target Gross]]), SnapshotTable[[#This Row],[LC Target Gross]] - SnapshotTable[[#This Row],[LC Premium]], "")</f>
        <v/>
      </c>
      <c r="EA304" s="305" t="str">
        <f>IF(ISNUMBER(SnapshotTable[[#This Row],[LC Target Gain Loss]]), SnapshotTable[[#This Row],[LC Target Gain Loss]]/SnapshotTable[[#This Row],[LC Premium]], "")</f>
        <v/>
      </c>
      <c r="EB304" s="262"/>
      <c r="EC304" s="283" t="str">
        <f>IF(SnapshotTable[[#This Row],[LC Premium]]&gt;0, SnapshotTable[[#This Row],[LC Book Price]] * (1 - LC_StopLoss_Pct),"")</f>
        <v/>
      </c>
      <c r="ED304" s="284"/>
      <c r="EE304" s="28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4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7"/>
      <c r="EL304" s="138"/>
      <c r="EM304" s="148"/>
      <c r="EN304" s="147"/>
      <c r="EO304" s="147"/>
      <c r="EP304" s="138"/>
      <c r="EQ304" s="419" t="b">
        <f>AND(ISNUMBER(SnapshotTable[[#This Row],[SC Exp Date]]), ISNUMBER(SnapshotTable[[#This Row],[SC Strike Price]]), ISNUMBER(SnapshotTable[[#This Row],[SC Qty]]), ISNUMBER(SnapshotTable[[#This Row],[SC Book Date]]), ISNUMBER(SnapshotTable[[#This Row],[SC Book Price]]))</f>
        <v>0</v>
      </c>
      <c r="ER304" s="419" t="b">
        <f>AND(SnapshotTable[[#This Row],[SC Is Booked]], NOT(ISBLANK(SnapshotTable[[#This Row],[SC Fill Date]])))</f>
        <v>0</v>
      </c>
      <c r="ES304" s="370"/>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3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283"/>
      <c r="FA304" s="218"/>
      <c r="FB304" s="370"/>
      <c r="FC304" s="4">
        <f>IF(SnapshotTable[[#This Row],[SC Is Filled]], btc_max_buyback_amount(SnapshotTable[[#This Row],[SC Fill Date]],SnapshotTable[[#This Row],[SC Exp Date]], SnapshotTable[[#This Row],[SC Book Price]]),0)</f>
        <v>0</v>
      </c>
      <c r="FD304" s="5"/>
      <c r="FE304" s="144"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382">
        <f>IF(SnapshotTable[[#This Row],[SC Is Filled]], IF(ISNUMBER(SnapshotTable[[#This Row],[SC Current Ask]]), SnapshotTable[[#This Row],[SC Current Ask]], SnapshotTable[[#This Row],[SC Book Price]]) - SnapshotTable[[#This Row],[SC Intrinsic Value]], 0)</f>
        <v>0</v>
      </c>
      <c r="FI304" s="143"/>
      <c r="FJ304" s="32" t="str">
        <f>IF(SnapshotTable[[#This Row],[SC Is Filled]],100 * SnapshotTable[[#This Row],[SC Qty]] * IF(ISNUMBER(SnapshotTable[[#This Row],[SC Buyback Override]]), SnapshotTable[[#This Row],[SC Buyback Override]], SnapshotTable[[#This Row],[SC Current Ask]]), "")</f>
        <v/>
      </c>
      <c r="FK304" s="250" t="str">
        <f>IF(SnapshotTable[[#This Row],[SC Time Val]]&gt;0, SnapshotTable[[#This Row],[SC Time Val]] / SnapshotTable[[#This Row],[Last Price]],"")</f>
        <v/>
      </c>
      <c r="FL304" s="302" t="str">
        <f>IF(SnapshotTable[[#This Row],[SC Is Booked]], ((SnapshotTable[[#This Row],[Last Price]] -SnapshotTable[[#This Row],[SC Strike Price]]) / SnapshotTable[[#This Row],[Last Price]]) * -1, "")</f>
        <v/>
      </c>
      <c r="FM304" s="157" t="str">
        <f>IF(SnapshotTable[[#This Row],[SC Is Booked]],  (SnapshotTable[[#This Row],[SC Qty]] * 100 * SnapshotTable[[#This Row],[SC Strike Price]]) - SnapshotTable[[#This Row],[SC Current Ask]], "")</f>
        <v/>
      </c>
      <c r="FN30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157"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33"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36" t="str">
        <f>IF(AND(ISNUMBER(SnapshotTable[[#This Row],[SC Simple ROO]]),SnapshotTable[[#This Row],[SC Simple ROO]] &gt; 0), SnapshotTable[[#This Row],[SC Premium]] + (SnapshotTable[[#This Row],[SC Qty]] * SnapshotTable[[#This Row],[SC Upside Potential]]), "")</f>
        <v/>
      </c>
      <c r="FX304" s="302" t="str" cm="1">
        <f t="array" ref="FX304">IF(ISNUMBER(SnapshotTable[[#This Row],[SC Max Dollars]]), annualize(SnapshotTable[[#This Row],[SC Term]],(SnapshotTable[[#This Row],[SC Max Dollars]]/SnapshotTable[[#This Row],[SC Basis]])),"")</f>
        <v/>
      </c>
      <c r="FY304" s="23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294" t="str">
        <f>IFERROR( IF(ISNUMBER((SnapshotTable[[#This Row],[SC Current Value]])), SnapshotTable[[#This Row],[SC Gain Loss]] / SnapshotTable[[#This Row],[SC Premium]], ""), "")</f>
        <v/>
      </c>
      <c r="GB304" s="42">
        <f>SnapshotTable[[#This Row],[Equity Shares]] * SaleSharesToConsiderPercentage</f>
        <v>0</v>
      </c>
      <c r="GC304" s="40" t="e">
        <f>SnapshotTable[[#This Row],[Long Term Target]] * SellingPriceToConsiderBasedOnTargetPercentage</f>
        <v>#VALUE!</v>
      </c>
      <c r="GD304" s="40">
        <f>SnapshotTable[[#This Row],[Last Price]] * (1+ SellingPriceToConsiderBasedOnTargetPercentage)</f>
        <v>137.04599999999999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158" t="str">
        <f>IF(SnapshotTable[[#This Row],[Sale G/L]]&gt;0, SnapshotTable[[#This Row],[Sale G/L]] / SnapshotTable[[#This Row],[Sale Basis]], IF(ISNUMBER(SnapshotTable[[#This Row],[SC Exercise P&amp;L (TAX)]]), SnapshotTable[[#This Row],[SC Exercise P&amp;L (TAX)]] / SnapshotTable[[#This Row],[SC Basis]], ""))</f>
        <v/>
      </c>
      <c r="GK304" s="158" t="s">
        <v>769</v>
      </c>
      <c r="GL304" s="159"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159" t="str">
        <f>IF(AND(SnapshotTable[[#This Row],[LC Exp Date]]&gt;0,SnapshotTable[[#This Row],[LC Strike Price]]&gt;0), [1]!ToOptionSymbol(SnapshotTable[[#This Row],[Symbol]], SnapshotTable[[#This Row],[LC Strike Price]],SnapshotTable[[#This Row],[LC Exp Date]],0), "")</f>
        <v/>
      </c>
      <c r="GQ304" s="160" t="str">
        <f>IF(LEN(SnapshotTable[[#This Row],[LC Symbol]])&gt;0, 1, "")</f>
        <v/>
      </c>
      <c r="GR304" s="159" t="str">
        <f>IF(AND(SnapshotTable[[#This Row],[SC Exp Date]]&gt;0,SnapshotTable[[#This Row],[SC Strike Price]]&gt;0), [1]!ToOptionSymbol(SnapshotTable[[#This Row],[Symbol]], SnapshotTable[[#This Row],[SC Strike Price]],SnapshotTable[[#This Row],[SC Exp Date]],0), "")</f>
        <v/>
      </c>
      <c r="GS304" s="160" t="str">
        <f>IF(LEN(SnapshotTable[[#This Row],[SC Symbol]])&gt;0, 1, "")</f>
        <v/>
      </c>
      <c r="GT304" s="161"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31">
        <f>MAX(SnapshotTable[[#This Row],[Equity Basis Total]],SnapshotTable[[#This Row],[Equity Value]]) + (SnapshotTable[[#This Row],[SP Potential Spend]]- SnapshotTable[[#This Row],[SP Premium]] + SnapshotTable[[#This Row],[LP Premium]])+ (SnapshotTable[[#This Row],[LC Premium]] - SnapshotTable[[#This Row],[SC Premium]])</f>
        <v>0</v>
      </c>
      <c r="GW304" s="139" t="str">
        <f>IF(AND(SnapshotTable[[#This Row],[Exposure]] &lt;&gt; 0),SnapshotTable[[#This Row],[Exposure]] / SnapshotTable[[#Totals],[Exposure]], "")</f>
        <v/>
      </c>
      <c r="HK304" s="1"/>
      <c r="HL304" s="1"/>
      <c r="HM304" s="1"/>
      <c r="HN304" s="1"/>
      <c r="HO304" s="1"/>
      <c r="HP304" s="1"/>
    </row>
    <row r="305" spans="2:224" ht="12.75" hidden="1" customHeight="1" x14ac:dyDescent="0.25">
      <c r="B305" s="12" t="s">
        <v>556</v>
      </c>
      <c r="C305" s="422">
        <v>42.79</v>
      </c>
      <c r="D305" s="208"/>
      <c r="E305" s="39">
        <f>SnapshotTable[[#This Row],[Last Price]]*(1 -CrashDiscount)</f>
        <v>36.371499999999997</v>
      </c>
      <c r="F305" s="26" t="s">
        <v>153</v>
      </c>
      <c r="G305" s="26" t="s">
        <v>20</v>
      </c>
      <c r="H305" s="149"/>
      <c r="I305" s="194">
        <v>44781.670138888891</v>
      </c>
      <c r="J305" s="195">
        <v>44781.670138888891</v>
      </c>
      <c r="K305" s="196"/>
      <c r="L305" s="326"/>
      <c r="M305" s="140"/>
      <c r="N305" s="140"/>
      <c r="O305" s="140"/>
      <c r="P305" s="22"/>
      <c r="Q305" s="25"/>
      <c r="R305" s="4" t="str">
        <f>IF(SnapshotTable[[#This Row],[Equity Basis Total]] &gt; 0, SnapshotTable[[#This Row],[Equity Basis Total]] / SnapshotTable[[#This Row],[Equity Shares]], "")</f>
        <v/>
      </c>
      <c r="S305" s="269">
        <f>SnapshotTable[[#This Row],[Last Price]] * SnapshotTable[[#This Row],[Equity Shares]]</f>
        <v>0</v>
      </c>
      <c r="T305" s="269">
        <f>SnapshotTable[[#This Row],[Equity Value]] - SnapshotTable[[#This Row],[Equity Basis Total]]</f>
        <v>0</v>
      </c>
      <c r="U305" s="270" t="str">
        <f>IF(SnapshotTable[[#This Row],[Equity Basis Total]] &gt; 0, SnapshotTable[[#This Row],[Equity G/L]] / SnapshotTable[[#This Row],[Equity Basis Total]], "")</f>
        <v/>
      </c>
      <c r="V305" s="268"/>
      <c r="W305" s="26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7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0"/>
      <c r="AD305" s="151"/>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1"/>
      <c r="AI305" s="5"/>
      <c r="AJ305" s="138">
        <v>88.5</v>
      </c>
      <c r="AK305" s="152" t="str">
        <f>IF(ISNUMBER( SnapshotTable[[#This Row],[EBF Target]]),(SnapshotTable[[#This Row],[EBF Target]] - SnapshotTable[[#This Row],[Last Price]]) / SnapshotTable[[#This Row],[Last Price]], "")</f>
        <v/>
      </c>
      <c r="AL305" s="152"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2">
        <f>IF(AND(ISNUMBER( SnapshotTable[[#This Row],[Long Term Target]]), ISNUMBER(SnapshotTable[[#This Row],[Last Price]])),(SnapshotTable[[#This Row],[Long Term Target]] - SnapshotTable[[#This Row],[Last Price]]) / SnapshotTable[[#This Row],[Last Price]], "")</f>
        <v>1.0682402430474411</v>
      </c>
      <c r="AP305" s="5">
        <v>90</v>
      </c>
      <c r="AQ305" s="38" t="s">
        <v>27</v>
      </c>
      <c r="AR305" s="5">
        <v>82</v>
      </c>
      <c r="AS305" s="38" t="s">
        <v>200</v>
      </c>
      <c r="AT305" s="146" t="s">
        <v>535</v>
      </c>
      <c r="AU305" s="187" t="str">
        <f>IF(OR(SnapshotTable[[#This Row],[LP No Fill]]="Y",SnapshotTable[[#This Row],[SP Is Filled]],SnapshotTable[[#This Row],[LC Not Filled]]="Y",SnapshotTable[[#This Row],[SC Is Filled]]),"Y","")</f>
        <v/>
      </c>
      <c r="AV305" s="219"/>
      <c r="AW305" s="225"/>
      <c r="AX305" s="220"/>
      <c r="AY305" s="219" t="str">
        <f>IF(SnapshotTable[[#This Row],[Implied Move]]&gt;0, SnapshotTable[[#This Row],[Last Price]]-SnapshotTable[[#This Row],[Implied Move]],"")</f>
        <v/>
      </c>
      <c r="AZ305" s="219" t="str">
        <f>IF(SnapshotTable[[#This Row],[Implied Move]]&gt;0, SnapshotTable[[#This Row],[Last Price]] + SnapshotTable[[#This Row],[Implied Move]],"")</f>
        <v/>
      </c>
      <c r="BA305" s="331"/>
      <c r="BB305" s="347"/>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51"/>
      <c r="BE305" s="5"/>
      <c r="BF305" s="14"/>
      <c r="BG305" s="13"/>
      <c r="BH305" s="13"/>
      <c r="BI305" s="5"/>
      <c r="BJ305" s="136">
        <f>IF(SnapshotTable[[#This Row],[LP Qty]] &gt; 0, SnapshotTable[[#This Row],[LP Qty]] * SnapshotTable[[#This Row],[LP Book Price]] * 100,0)</f>
        <v>0</v>
      </c>
      <c r="BK305" s="136">
        <f>IF(SnapshotTable[[#This Row],[LP Premium]] &gt; 0, SnapshotTable[[#This Row],[LP Qty]] * SnapshotTable[[#This Row],[LP Strike Price]] * 100,0)</f>
        <v>0</v>
      </c>
      <c r="BL305" s="154"/>
      <c r="BM305" s="385" t="str">
        <f>IF(SnapshotTable[[#This Row],[LP Premium]] &gt; 0,SnapshotTable[[#This Row],[LP Exp Date]]-MAX(SnapshotTable[[#This Row],[LP Book Date]], SnapshotTable[[#This Row],[LP Fill Date]]),"")</f>
        <v/>
      </c>
      <c r="BN305" s="385" t="str">
        <f>IF(ISNUMBER( SnapshotTable[[#This Row],[LP Term]]), SnapshotTable[[#This Row],[LP Exp Date]] - MockToday,"")</f>
        <v/>
      </c>
      <c r="BO305" s="163"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7"/>
      <c r="BU305" s="13"/>
      <c r="BV305" s="5"/>
      <c r="BW305" s="419" t="b">
        <f>AND(ISNUMBER(SnapshotTable[[#This Row],[SP Exp Date]]), ISNUMBER(SnapshotTable[[#This Row],[SP Strike Price]]), ISNUMBER(SnapshotTable[[#This Row],[SP Qty]]), ISNUMBER(SnapshotTable[[#This Row],[SP Book Date]]), ISNUMBER(SnapshotTable[[#This Row],[SP Book Price]]))</f>
        <v>0</v>
      </c>
      <c r="BX305" s="419" t="b">
        <f>AND(SnapshotTable[[#This Row],[SP Is Booked]], NOT(ISBLANK(SnapshotTable[[#This Row],[SP Fill Date]])))</f>
        <v>0</v>
      </c>
      <c r="BY305" s="33">
        <f>IF(SnapshotTable[[#This Row],[SP Is Booked]], SnapshotTable[[#This Row],[SP Qty]] * SnapshotTable[[#This Row],[SP Book Price]] * 100, 0)</f>
        <v>0</v>
      </c>
      <c r="BZ305" s="369"/>
      <c r="CA305" s="368">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3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44"/>
      <c r="CK305" s="31">
        <f>IF(ISNUMBER(SnapshotTable[[#This Row],[SP Potential Spend]]),IF(ISNUMBER(SnapshotTable[[#This Row],[SP POW]]), SnapshotTable[[#This Row],[SP POW]] * SnapshotTable[[#This Row],[SP Potential Spend]], SnapshotTable[[#This Row],[SP Potential Spend]]), "")</f>
        <v>0</v>
      </c>
      <c r="CL305" s="164">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8"/>
      <c r="CO305" s="369"/>
      <c r="CP305" s="4" t="str">
        <f>IF(SnapshotTable[[#This Row],[SP Is Filled]], btc_max_buyback_amount(SnapshotTable[[#This Row],[SP Fill Date]],SnapshotTable[[#This Row],[SP Exp Date]], SnapshotTable[[#This Row],[SP Book Price]]),"")</f>
        <v/>
      </c>
      <c r="CQ305" s="78"/>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5" t="str">
        <f>IF(SnapshotTable[[#This Row],[SP Is Filled]], btc_next_cutoff_date(SnapshotTable[[#This Row],[SP Fill Date]],SnapshotTable[[#This Row],[SP Exp Date]]),"")</f>
        <v/>
      </c>
      <c r="CT305" s="23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3"/>
      <c r="CV305" s="235"/>
      <c r="CW305" s="378"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294" t="str">
        <f>IF(ISNUMBER((SnapshotTable[[#This Row],[SP Total Value]])), SnapshotTable[[#This Row],[SP Gain Loss]] / SnapshotTable[[#This Row],[SP Premium]], "")</f>
        <v/>
      </c>
      <c r="DI305" s="406"/>
      <c r="DJ305" s="138"/>
      <c r="DK305" s="148"/>
      <c r="DL305" s="13"/>
      <c r="DM305" s="13"/>
      <c r="DO305" s="31">
        <f>IF(SnapshotTable[[#This Row],[LC Symbol Count]]=1, SnapshotTable[[#This Row],[LC Qty]] * SnapshotTable[[#This Row],[LC Book Price]] * 100, 0)</f>
        <v>0</v>
      </c>
      <c r="DP305" s="163" t="str">
        <f>IF(AND(SnapshotTable[[#This Row],[LC Exp Date]]&gt;0, SnapshotTable[[#This Row],[LC Strike Price]]&gt;0,SnapshotTable[[#This Row],[LC Qty]]&gt;0,SnapshotTable[[#This Row],[LC Book Date]]&gt;0,SnapshotTable[[#This Row],[LC Book Price]]&gt;0,SnapshotTable[[#This Row],[LC Fill Date]]=0),"Y","")</f>
        <v/>
      </c>
      <c r="DQ305" s="386" t="str">
        <f>IF(SnapshotTable[[#This Row],[LC Premium]] &gt; 0,SnapshotTable[[#This Row],[LC Exp Date]]-MAX(SnapshotTable[[#This Row],[LC Book Date]], SnapshotTable[[#This Row],[LC Fill Date]]),"")</f>
        <v/>
      </c>
      <c r="DR305" s="386" t="str">
        <f>IF(ISNUMBER(SnapshotTable[[#This Row],[LC Term]]), SnapshotTable[[#This Row],[LC Exp Date]] - MockToday, "")</f>
        <v/>
      </c>
      <c r="DS305" s="23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40" t="str">
        <f>IF(ISNUMBER(SnapshotTable[[#This Row],[LC Actual Gain Loss]]), SnapshotTable[[#This Row],[LC Actual Gain Loss]] / SnapshotTable[[#This Row],[LC Premium]],"")</f>
        <v/>
      </c>
      <c r="DX305" s="284" t="str">
        <f>IF(ISNUMBER(SnapshotTable[[#This Row],[LC Book Price]]),SnapshotTable[[#This Row],[LC Book Price]] * 1.5,"")</f>
        <v/>
      </c>
      <c r="DY305" s="265" t="str">
        <f>IF(SnapshotTable[[#This Row],[LC Premium]]&gt;0, SnapshotTable[[#This Row],[LC Next Target]] * SnapshotTable[[#This Row],[LC Qty]] * 100,"")</f>
        <v/>
      </c>
      <c r="DZ305" s="265" t="str">
        <f>IF(ISNUMBER(SnapshotTable[[#This Row],[LC Target Gross]]), SnapshotTable[[#This Row],[LC Target Gross]] - SnapshotTable[[#This Row],[LC Premium]], "")</f>
        <v/>
      </c>
      <c r="EA305" s="305" t="str">
        <f>IF(ISNUMBER(SnapshotTable[[#This Row],[LC Target Gain Loss]]), SnapshotTable[[#This Row],[LC Target Gain Loss]]/SnapshotTable[[#This Row],[LC Premium]], "")</f>
        <v/>
      </c>
      <c r="EB305" s="262"/>
      <c r="EC305" s="283" t="str">
        <f>IF(SnapshotTable[[#This Row],[LC Premium]]&gt;0, SnapshotTable[[#This Row],[LC Book Price]] * (1 - LC_StopLoss_Pct),"")</f>
        <v/>
      </c>
      <c r="ED305" s="284"/>
      <c r="EE305" s="28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4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7"/>
      <c r="EL305" s="138"/>
      <c r="EM305" s="148"/>
      <c r="EN305" s="147"/>
      <c r="EO305" s="147"/>
      <c r="EP305" s="138"/>
      <c r="EQ305" s="419" t="b">
        <f>AND(ISNUMBER(SnapshotTable[[#This Row],[SC Exp Date]]), ISNUMBER(SnapshotTable[[#This Row],[SC Strike Price]]), ISNUMBER(SnapshotTable[[#This Row],[SC Qty]]), ISNUMBER(SnapshotTable[[#This Row],[SC Book Date]]), ISNUMBER(SnapshotTable[[#This Row],[SC Book Price]]))</f>
        <v>0</v>
      </c>
      <c r="ER305" s="419" t="b">
        <f>AND(SnapshotTable[[#This Row],[SC Is Booked]], NOT(ISBLANK(SnapshotTable[[#This Row],[SC Fill Date]])))</f>
        <v>0</v>
      </c>
      <c r="ES305" s="370"/>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3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283"/>
      <c r="FA305" s="218"/>
      <c r="FB305" s="370"/>
      <c r="FC305" s="4">
        <f>IF(SnapshotTable[[#This Row],[SC Is Filled]], btc_max_buyback_amount(SnapshotTable[[#This Row],[SC Fill Date]],SnapshotTable[[#This Row],[SC Exp Date]], SnapshotTable[[#This Row],[SC Book Price]]),0)</f>
        <v>0</v>
      </c>
      <c r="FD305" s="5"/>
      <c r="FE305" s="144"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382">
        <f>IF(SnapshotTable[[#This Row],[SC Is Filled]], IF(ISNUMBER(SnapshotTable[[#This Row],[SC Current Ask]]), SnapshotTable[[#This Row],[SC Current Ask]], SnapshotTable[[#This Row],[SC Book Price]]) - SnapshotTable[[#This Row],[SC Intrinsic Value]], 0)</f>
        <v>0</v>
      </c>
      <c r="FI305" s="143"/>
      <c r="FJ305" s="32" t="str">
        <f>IF(SnapshotTable[[#This Row],[SC Is Filled]],100 * SnapshotTable[[#This Row],[SC Qty]] * IF(ISNUMBER(SnapshotTable[[#This Row],[SC Buyback Override]]), SnapshotTable[[#This Row],[SC Buyback Override]], SnapshotTable[[#This Row],[SC Current Ask]]), "")</f>
        <v/>
      </c>
      <c r="FK305" s="250" t="str">
        <f>IF(SnapshotTable[[#This Row],[SC Time Val]]&gt;0, SnapshotTable[[#This Row],[SC Time Val]] / SnapshotTable[[#This Row],[Last Price]],"")</f>
        <v/>
      </c>
      <c r="FL305" s="302" t="str">
        <f>IF(SnapshotTable[[#This Row],[SC Is Booked]], ((SnapshotTable[[#This Row],[Last Price]] -SnapshotTable[[#This Row],[SC Strike Price]]) / SnapshotTable[[#This Row],[Last Price]]) * -1, "")</f>
        <v/>
      </c>
      <c r="FM305" s="157"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33"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36" t="str">
        <f>IF(AND(ISNUMBER(SnapshotTable[[#This Row],[SC Simple ROO]]),SnapshotTable[[#This Row],[SC Simple ROO]] &gt; 0), SnapshotTable[[#This Row],[SC Premium]] + (SnapshotTable[[#This Row],[SC Qty]] * SnapshotTable[[#This Row],[SC Upside Potential]]), "")</f>
        <v/>
      </c>
      <c r="FX305" s="302" t="str" cm="1">
        <f t="array" ref="FX305">IF(ISNUMBER(SnapshotTable[[#This Row],[SC Max Dollars]]), annualize(SnapshotTable[[#This Row],[SC Term]],(SnapshotTable[[#This Row],[SC Max Dollars]]/SnapshotTable[[#This Row],[SC Basis]])),"")</f>
        <v/>
      </c>
      <c r="FY305" s="23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29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84.075000000000003</v>
      </c>
      <c r="GD305" s="40">
        <f>SnapshotTable[[#This Row],[Last Price]] * (1+ SellingPriceToConsiderBasedOnTargetPercentage)</f>
        <v>83.4405</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t="s">
        <v>770</v>
      </c>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31">
        <f>MAX(SnapshotTable[[#This Row],[Equity Basis Total]],SnapshotTable[[#This Row],[Equity Value]]) + (SnapshotTable[[#This Row],[SP Potential Spend]]- SnapshotTable[[#This Row],[SP Premium]] + SnapshotTable[[#This Row],[LP Premium]])+ (SnapshotTable[[#This Row],[LC Premium]] - SnapshotTable[[#This Row],[SC Premium]])</f>
        <v>0</v>
      </c>
      <c r="GW305" s="139" t="str">
        <f>IF(AND(SnapshotTable[[#This Row],[Exposure]] &lt;&gt; 0),SnapshotTable[[#This Row],[Exposure]] / SnapshotTable[[#Totals],[Exposure]], "")</f>
        <v/>
      </c>
      <c r="HK305" s="1"/>
      <c r="HL305" s="1"/>
      <c r="HM305" s="1"/>
      <c r="HN305" s="1"/>
      <c r="HO305" s="1"/>
      <c r="HP305" s="1"/>
    </row>
    <row r="306" spans="2:224" ht="12.75" hidden="1" customHeight="1" x14ac:dyDescent="0.25">
      <c r="B306" s="12" t="s">
        <v>1066</v>
      </c>
      <c r="C306" s="422">
        <v>29.36</v>
      </c>
      <c r="D306" s="208" t="s">
        <v>578</v>
      </c>
      <c r="E306" s="39">
        <f>SnapshotTable[[#This Row],[Last Price]]*(1 -CrashDiscount)</f>
        <v>24.956</v>
      </c>
      <c r="F306" s="26" t="s">
        <v>907</v>
      </c>
      <c r="G306" s="26" t="s">
        <v>610</v>
      </c>
      <c r="H306" s="149"/>
      <c r="I306" s="194">
        <v>45315</v>
      </c>
      <c r="J306" s="195">
        <v>45134.253472222219</v>
      </c>
      <c r="K306" s="196"/>
      <c r="L306" s="326"/>
      <c r="M306" s="140"/>
      <c r="N306" s="140"/>
      <c r="O306" s="140"/>
      <c r="P306" s="22"/>
      <c r="Q306" s="25"/>
      <c r="R306" s="4" t="str">
        <f>IF(SnapshotTable[[#This Row],[Equity Basis Total]] &gt; 0, SnapshotTable[[#This Row],[Equity Basis Total]] / SnapshotTable[[#This Row],[Equity Shares]], "")</f>
        <v/>
      </c>
      <c r="S306" s="269">
        <f>SnapshotTable[[#This Row],[Last Price]] * SnapshotTable[[#This Row],[Equity Shares]]</f>
        <v>0</v>
      </c>
      <c r="T306" s="269">
        <f>SnapshotTable[[#This Row],[Equity Value]] - SnapshotTable[[#This Row],[Equity Basis Total]]</f>
        <v>0</v>
      </c>
      <c r="U306" s="270" t="str">
        <f>IF(SnapshotTable[[#This Row],[Equity Basis Total]] &gt; 0, SnapshotTable[[#This Row],[Equity G/L]] / SnapshotTable[[#This Row],[Equity Basis Total]], "")</f>
        <v/>
      </c>
      <c r="V306" s="268"/>
      <c r="W306" s="26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7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0"/>
      <c r="AD306" s="151"/>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1"/>
      <c r="AI306" s="5"/>
      <c r="AJ306" s="138">
        <v>230.11</v>
      </c>
      <c r="AK306" s="152" t="str">
        <f>IF(ISNUMBER( SnapshotTable[[#This Row],[EBF Target]]),(SnapshotTable[[#This Row],[EBF Target]] - SnapshotTable[[#This Row],[Last Price]]) / SnapshotTable[[#This Row],[Last Price]], "")</f>
        <v/>
      </c>
      <c r="AL306" s="152"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2">
        <f>IF(AND(ISNUMBER( SnapshotTable[[#This Row],[Long Term Target]]), ISNUMBER(SnapshotTable[[#This Row],[Last Price]])),(SnapshotTable[[#This Row],[Long Term Target]] - SnapshotTable[[#This Row],[Last Price]]) / SnapshotTable[[#This Row],[Last Price]], "")</f>
        <v>6.8375340599455043</v>
      </c>
      <c r="AP306" s="5">
        <v>220</v>
      </c>
      <c r="AQ306" s="38" t="s">
        <v>1082</v>
      </c>
      <c r="AR306" s="5">
        <v>210</v>
      </c>
      <c r="AS306" s="38" t="s">
        <v>1083</v>
      </c>
      <c r="AT306" s="146" t="s">
        <v>826</v>
      </c>
      <c r="AU306" s="187" t="str">
        <f>IF(OR(SnapshotTable[[#This Row],[LP No Fill]]="Y",SnapshotTable[[#This Row],[SP Is Filled]],SnapshotTable[[#This Row],[LC Not Filled]]="Y",SnapshotTable[[#This Row],[SC Is Filled]]),"Y","")</f>
        <v/>
      </c>
      <c r="AV306" s="219"/>
      <c r="AW306" s="225"/>
      <c r="AX306" s="220"/>
      <c r="AY306" s="219" t="str">
        <f>IF(SnapshotTable[[#This Row],[Implied Move]]&gt;0, SnapshotTable[[#This Row],[Last Price]]-SnapshotTable[[#This Row],[Implied Move]],"")</f>
        <v/>
      </c>
      <c r="AZ306" s="219" t="str">
        <f>IF(SnapshotTable[[#This Row],[Implied Move]]&gt;0, SnapshotTable[[#This Row],[Last Price]] + SnapshotTable[[#This Row],[Implied Move]],"")</f>
        <v/>
      </c>
      <c r="BA306" s="331">
        <v>17.45</v>
      </c>
      <c r="BB306" s="347"/>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51"/>
      <c r="BE306" s="5"/>
      <c r="BF306" s="14"/>
      <c r="BG306" s="13"/>
      <c r="BH306" s="13"/>
      <c r="BI306" s="5"/>
      <c r="BJ306" s="136">
        <f>IF(SnapshotTable[[#This Row],[LP Qty]] &gt; 0, SnapshotTable[[#This Row],[LP Qty]] * SnapshotTable[[#This Row],[LP Book Price]] * 100,0)</f>
        <v>0</v>
      </c>
      <c r="BK306" s="136">
        <f>IF(SnapshotTable[[#This Row],[LP Premium]] &gt; 0, SnapshotTable[[#This Row],[LP Qty]] * SnapshotTable[[#This Row],[LP Strike Price]] * 100,0)</f>
        <v>0</v>
      </c>
      <c r="BL306" s="154"/>
      <c r="BM306" s="385" t="str">
        <f>IF(SnapshotTable[[#This Row],[LP Premium]] &gt; 0,SnapshotTable[[#This Row],[LP Exp Date]]-MAX(SnapshotTable[[#This Row],[LP Book Date]], SnapshotTable[[#This Row],[LP Fill Date]]),"")</f>
        <v/>
      </c>
      <c r="BN306" s="385" t="str">
        <f>IF(ISNUMBER( SnapshotTable[[#This Row],[LP Term]]), SnapshotTable[[#This Row],[LP Exp Date]] - MockToday,"")</f>
        <v/>
      </c>
      <c r="BO306" s="163"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7"/>
      <c r="BU306" s="13"/>
      <c r="BV306" s="5"/>
      <c r="BW306" s="419" t="b">
        <f>AND(ISNUMBER(SnapshotTable[[#This Row],[SP Exp Date]]), ISNUMBER(SnapshotTable[[#This Row],[SP Strike Price]]), ISNUMBER(SnapshotTable[[#This Row],[SP Qty]]), ISNUMBER(SnapshotTable[[#This Row],[SP Book Date]]), ISNUMBER(SnapshotTable[[#This Row],[SP Book Price]]))</f>
        <v>0</v>
      </c>
      <c r="BX306" s="419" t="b">
        <f>AND(SnapshotTable[[#This Row],[SP Is Booked]], NOT(ISBLANK(SnapshotTable[[#This Row],[SP Fill Date]])))</f>
        <v>0</v>
      </c>
      <c r="BY306" s="33">
        <f>IF(SnapshotTable[[#This Row],[SP Is Booked]], SnapshotTable[[#This Row],[SP Qty]] * SnapshotTable[[#This Row],[SP Book Price]] * 100, 0)</f>
        <v>0</v>
      </c>
      <c r="BZ306" s="369"/>
      <c r="CA306" s="368">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3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44"/>
      <c r="CK306" s="31">
        <f>IF(ISNUMBER(SnapshotTable[[#This Row],[SP Potential Spend]]),IF(ISNUMBER(SnapshotTable[[#This Row],[SP POW]]), SnapshotTable[[#This Row],[SP POW]] * SnapshotTable[[#This Row],[SP Potential Spend]], SnapshotTable[[#This Row],[SP Potential Spend]]), "")</f>
        <v>0</v>
      </c>
      <c r="CL306" s="164">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78"/>
      <c r="CO306" s="369"/>
      <c r="CP306" s="4" t="str">
        <f>IF(SnapshotTable[[#This Row],[SP Is Filled]], btc_max_buyback_amount(SnapshotTable[[#This Row],[SP Fill Date]],SnapshotTable[[#This Row],[SP Exp Date]], SnapshotTable[[#This Row],[SP Book Price]]),"")</f>
        <v/>
      </c>
      <c r="CQ306" s="78"/>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5" t="str">
        <f>IF(SnapshotTable[[#This Row],[SP Is Filled]], btc_next_cutoff_date(SnapshotTable[[#This Row],[SP Fill Date]],SnapshotTable[[#This Row],[SP Exp Date]]),"")</f>
        <v/>
      </c>
      <c r="CT306" s="23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43">
        <v>45247</v>
      </c>
      <c r="CV306" s="235"/>
      <c r="CW306" s="378"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294" t="str">
        <f>IF(ISNUMBER((SnapshotTable[[#This Row],[SP Total Value]])), SnapshotTable[[#This Row],[SP Gain Loss]] / SnapshotTable[[#This Row],[SP Premium]], "")</f>
        <v/>
      </c>
      <c r="DI306" s="406"/>
      <c r="DJ306" s="138"/>
      <c r="DK306" s="148"/>
      <c r="DL306" s="147"/>
      <c r="DM306" s="147"/>
      <c r="DO306" s="31">
        <f>IF(SnapshotTable[[#This Row],[LC Symbol Count]]=1, SnapshotTable[[#This Row],[LC Qty]] * SnapshotTable[[#This Row],[LC Book Price]] * 100, 0)</f>
        <v>0</v>
      </c>
      <c r="DP306" s="163" t="str">
        <f>IF(AND(SnapshotTable[[#This Row],[LC Exp Date]]&gt;0, SnapshotTable[[#This Row],[LC Strike Price]]&gt;0,SnapshotTable[[#This Row],[LC Qty]]&gt;0,SnapshotTable[[#This Row],[LC Book Date]]&gt;0,SnapshotTable[[#This Row],[LC Book Price]]&gt;0,SnapshotTable[[#This Row],[LC Fill Date]]=0),"Y","")</f>
        <v/>
      </c>
      <c r="DQ306" s="386" t="str">
        <f>IF(SnapshotTable[[#This Row],[LC Premium]] &gt; 0,SnapshotTable[[#This Row],[LC Exp Date]]-MAX(SnapshotTable[[#This Row],[LC Book Date]], SnapshotTable[[#This Row],[LC Fill Date]]),"")</f>
        <v/>
      </c>
      <c r="DR306" s="386" t="str">
        <f>IF(ISNUMBER(SnapshotTable[[#This Row],[LC Term]]), SnapshotTable[[#This Row],[LC Exp Date]] - MockToday, "")</f>
        <v/>
      </c>
      <c r="DS306" s="23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40" t="str">
        <f>IF(ISNUMBER(SnapshotTable[[#This Row],[LC Actual Gain Loss]]), SnapshotTable[[#This Row],[LC Actual Gain Loss]] / SnapshotTable[[#This Row],[LC Premium]],"")</f>
        <v/>
      </c>
      <c r="DX306" s="284" t="str">
        <f>IF(ISNUMBER(SnapshotTable[[#This Row],[LC Book Price]]),SnapshotTable[[#This Row],[LC Book Price]] * 1.5,"")</f>
        <v/>
      </c>
      <c r="DY306" s="265" t="str">
        <f>IF(SnapshotTable[[#This Row],[LC Premium]]&gt;0, SnapshotTable[[#This Row],[LC Next Target]] * SnapshotTable[[#This Row],[LC Qty]] * 100,"")</f>
        <v/>
      </c>
      <c r="DZ306" s="265" t="str">
        <f>IF(ISNUMBER(SnapshotTable[[#This Row],[LC Target Gross]]), SnapshotTable[[#This Row],[LC Target Gross]] - SnapshotTable[[#This Row],[LC Premium]], "")</f>
        <v/>
      </c>
      <c r="EA306" s="305" t="str">
        <f>IF(ISNUMBER(SnapshotTable[[#This Row],[LC Target Gain Loss]]), SnapshotTable[[#This Row],[LC Target Gain Loss]]/SnapshotTable[[#This Row],[LC Premium]], "")</f>
        <v/>
      </c>
      <c r="EB306" s="262"/>
      <c r="EC306" s="283" t="str">
        <f>IF(SnapshotTable[[#This Row],[LC Premium]]&gt;0, SnapshotTable[[#This Row],[LC Book Price]] * (1 - LC_StopLoss_Pct),"")</f>
        <v/>
      </c>
      <c r="ED306" s="284"/>
      <c r="EE306" s="28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4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7"/>
      <c r="EL306" s="138"/>
      <c r="EM306" s="148"/>
      <c r="EN306" s="147"/>
      <c r="EO306" s="147"/>
      <c r="EP306" s="138"/>
      <c r="EQ306" s="419" t="b">
        <f>AND(ISNUMBER(SnapshotTable[[#This Row],[SC Exp Date]]), ISNUMBER(SnapshotTable[[#This Row],[SC Strike Price]]), ISNUMBER(SnapshotTable[[#This Row],[SC Qty]]), ISNUMBER(SnapshotTable[[#This Row],[SC Book Date]]), ISNUMBER(SnapshotTable[[#This Row],[SC Book Price]]))</f>
        <v>0</v>
      </c>
      <c r="ER306" s="419" t="b">
        <f>AND(SnapshotTable[[#This Row],[SC Is Booked]], NOT(ISBLANK(SnapshotTable[[#This Row],[SC Fill Date]])))</f>
        <v>0</v>
      </c>
      <c r="ES306" s="370"/>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3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283"/>
      <c r="FA306" s="218"/>
      <c r="FB306" s="370"/>
      <c r="FC306" s="4">
        <f>IF(SnapshotTable[[#This Row],[SC Is Filled]], btc_max_buyback_amount(SnapshotTable[[#This Row],[SC Fill Date]],SnapshotTable[[#This Row],[SC Exp Date]], SnapshotTable[[#This Row],[SC Book Price]]),0)</f>
        <v>0</v>
      </c>
      <c r="FD306" s="5"/>
      <c r="FE306" s="144"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382">
        <f>IF(SnapshotTable[[#This Row],[SC Is Filled]], IF(ISNUMBER(SnapshotTable[[#This Row],[SC Current Ask]]), SnapshotTable[[#This Row],[SC Current Ask]], SnapshotTable[[#This Row],[SC Book Price]]) - SnapshotTable[[#This Row],[SC Intrinsic Value]], 0)</f>
        <v>0</v>
      </c>
      <c r="FI306" s="143"/>
      <c r="FJ306" s="32" t="str">
        <f>IF(SnapshotTable[[#This Row],[SC Is Filled]],100 * SnapshotTable[[#This Row],[SC Qty]] * IF(ISNUMBER(SnapshotTable[[#This Row],[SC Buyback Override]]), SnapshotTable[[#This Row],[SC Buyback Override]], SnapshotTable[[#This Row],[SC Current Ask]]), "")</f>
        <v/>
      </c>
      <c r="FK306" s="250" t="str">
        <f>IF(SnapshotTable[[#This Row],[SC Time Val]]&gt;0, SnapshotTable[[#This Row],[SC Time Val]] / SnapshotTable[[#This Row],[Last Price]],"")</f>
        <v/>
      </c>
      <c r="FL306" s="302" t="str">
        <f>IF(SnapshotTable[[#This Row],[SC Is Booked]], ((SnapshotTable[[#This Row],[Last Price]] -SnapshotTable[[#This Row],[SC Strike Price]]) / SnapshotTable[[#This Row],[Last Price]]) * -1, "")</f>
        <v/>
      </c>
      <c r="FM306" s="157" t="str">
        <f>IF(SnapshotTable[[#This Row],[SC Is Booked]],  (SnapshotTable[[#This Row],[SC Qty]] * 100 * SnapshotTable[[#This Row],[SC Strike Price]]) - SnapshotTable[[#This Row],[SC Current Ask]], "")</f>
        <v/>
      </c>
      <c r="FN3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31"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33"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36" t="str">
        <f>IF(AND(ISNUMBER(SnapshotTable[[#This Row],[SC Simple ROO]]),SnapshotTable[[#This Row],[SC Simple ROO]] &gt; 0), SnapshotTable[[#This Row],[SC Premium]] + (SnapshotTable[[#This Row],[SC Qty]] * SnapshotTable[[#This Row],[SC Upside Potential]]), "")</f>
        <v/>
      </c>
      <c r="FX306" s="302" t="str" cm="1">
        <f t="array" ref="FX306">IF(ISNUMBER(SnapshotTable[[#This Row],[SC Max Dollars]]), annualize(SnapshotTable[[#This Row],[SC Term]],(SnapshotTable[[#This Row],[SC Max Dollars]]/SnapshotTable[[#This Row],[SC Basis]])),"")</f>
        <v/>
      </c>
      <c r="FY306" s="236" t="str">
        <f>IF(AND(SnapshotTable[[#This Row],[SC Qty]]&gt;0,SnapshotTable[[#This Row],[SC Current Ask]]&gt;0), SnapshotTable[[#This Row],[SC Qty]] * SnapshotTable[[#This Row],[SC Current Ask]] * -100, "")</f>
        <v/>
      </c>
      <c r="FZ306" s="31" t="str">
        <f>IF(ISNUMBER((SnapshotTable[[#This Row],[SC Current Value]])), SnapshotTable[[#This Row],[SC Premium]] + SnapshotTable[[#This Row],[SC Current Value]], "")</f>
        <v/>
      </c>
      <c r="GA306" s="29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218.6045</v>
      </c>
      <c r="GD306" s="40">
        <f>SnapshotTable[[#This Row],[Last Price]] * (1+ SellingPriceToConsiderBasedOnTargetPercentage)</f>
        <v>57.251999999999995</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27" t="str">
        <f>IF(SnapshotTable[[#This Row],[Sale G/L]]&gt;0, SnapshotTable[[#This Row],[Sale G/L]] / SnapshotTable[[#This Row],[Sale Basis]], IF(ISNUMBER(SnapshotTable[[#This Row],[SC Exercise P&amp;L (TAX)]]), SnapshotTable[[#This Row],[SC Exercise P&amp;L (TAX)]] / SnapshotTable[[#This Row],[SC Basis]], ""))</f>
        <v/>
      </c>
      <c r="GK306" s="27" t="s">
        <v>1121</v>
      </c>
      <c r="GL306" s="43"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43" t="str">
        <f>IF(AND(SnapshotTable[[#This Row],[LC Exp Date]]&gt;0,SnapshotTable[[#This Row],[LC Strike Price]]&gt;0), [1]!ToOptionSymbol(SnapshotTable[[#This Row],[Symbol]], SnapshotTable[[#This Row],[LC Strike Price]],SnapshotTable[[#This Row],[LC Exp Date]],0), "")</f>
        <v/>
      </c>
      <c r="GQ306" s="30" t="str">
        <f>IF(LEN(SnapshotTable[[#This Row],[LC Symbol]])&gt;0, 1, "")</f>
        <v/>
      </c>
      <c r="GR306" s="43" t="str">
        <f>IF(AND(SnapshotTable[[#This Row],[SC Exp Date]]&gt;0,SnapshotTable[[#This Row],[SC Strike Price]]&gt;0), [1]!ToOptionSymbol(SnapshotTable[[#This Row],[Symbol]], SnapshotTable[[#This Row],[SC Strike Price]],SnapshotTable[[#This Row],[SC Exp Date]],0), "")</f>
        <v/>
      </c>
      <c r="GS306" s="30" t="str">
        <f>IF(LEN(SnapshotTable[[#This Row],[SC Symbol]])&gt;0, 1, "")</f>
        <v/>
      </c>
      <c r="GT306" s="29"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31">
        <f>MAX(SnapshotTable[[#This Row],[Equity Basis Total]],SnapshotTable[[#This Row],[Equity Value]]) + (SnapshotTable[[#This Row],[SP Potential Spend]]- SnapshotTable[[#This Row],[SP Premium]] + SnapshotTable[[#This Row],[LP Premium]])+ (SnapshotTable[[#This Row],[LC Premium]] - SnapshotTable[[#This Row],[SC Premium]])</f>
        <v>0</v>
      </c>
      <c r="GW306" s="139" t="str">
        <f>IF(AND(SnapshotTable[[#This Row],[Exposure]] &lt;&gt; 0),SnapshotTable[[#This Row],[Exposure]] / SnapshotTable[[#Totals],[Exposure]], "")</f>
        <v/>
      </c>
      <c r="HK306" s="1"/>
      <c r="HL306" s="1"/>
      <c r="HM306" s="1"/>
      <c r="HN306" s="1"/>
      <c r="HO306" s="1"/>
      <c r="HP306" s="1"/>
    </row>
    <row r="307" spans="2:224" ht="12.75" hidden="1" customHeight="1" x14ac:dyDescent="0.25">
      <c r="B307" s="12" t="s">
        <v>192</v>
      </c>
      <c r="C307" s="422">
        <v>15.98</v>
      </c>
      <c r="D307" s="208"/>
      <c r="E307" s="39">
        <f>SnapshotTable[[#This Row],[Last Price]]*(1 -CrashDiscount)</f>
        <v>13.583</v>
      </c>
      <c r="F307" s="26" t="s">
        <v>191</v>
      </c>
      <c r="G307" s="26" t="s">
        <v>14</v>
      </c>
      <c r="H307" s="149"/>
      <c r="I307" s="194">
        <v>44781.670138888891</v>
      </c>
      <c r="J307" s="195">
        <v>44781.670138888891</v>
      </c>
      <c r="K307" s="196"/>
      <c r="L307" s="326"/>
      <c r="M307" s="140"/>
      <c r="N307" s="140"/>
      <c r="O307" s="140">
        <v>4</v>
      </c>
      <c r="P307" s="22"/>
      <c r="Q307" s="25"/>
      <c r="R307" s="4" t="str">
        <f>IF(SnapshotTable[[#This Row],[Equity Basis Total]] &gt; 0, SnapshotTable[[#This Row],[Equity Basis Total]] / SnapshotTable[[#This Row],[Equity Shares]], "")</f>
        <v/>
      </c>
      <c r="S307" s="269">
        <f>SnapshotTable[[#This Row],[Last Price]] * SnapshotTable[[#This Row],[Equity Shares]]</f>
        <v>0</v>
      </c>
      <c r="T307" s="269">
        <f>SnapshotTable[[#This Row],[Equity Value]] - SnapshotTable[[#This Row],[Equity Basis Total]]</f>
        <v>0</v>
      </c>
      <c r="U307" s="270" t="str">
        <f>IF(SnapshotTable[[#This Row],[Equity Basis Total]] &gt; 0, SnapshotTable[[#This Row],[Equity G/L]] / SnapshotTable[[#This Row],[Equity Basis Total]], "")</f>
        <v/>
      </c>
      <c r="V307" s="268"/>
      <c r="W307" s="26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7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0"/>
      <c r="AD307" s="151"/>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1"/>
      <c r="AI307" s="5"/>
      <c r="AJ307" s="138">
        <v>27.78</v>
      </c>
      <c r="AK307" s="152" t="str">
        <f>IF(ISNUMBER( SnapshotTable[[#This Row],[EBF Target]]),(SnapshotTable[[#This Row],[EBF Target]] - SnapshotTable[[#This Row],[Last Price]]) / SnapshotTable[[#This Row],[Last Price]], "")</f>
        <v/>
      </c>
      <c r="AL307" s="152"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2">
        <f>IF(AND(ISNUMBER( SnapshotTable[[#This Row],[Long Term Target]]), ISNUMBER(SnapshotTable[[#This Row],[Last Price]])),(SnapshotTable[[#This Row],[Long Term Target]] - SnapshotTable[[#This Row],[Last Price]]) / SnapshotTable[[#This Row],[Last Price]], "")</f>
        <v>0.73842302878598254</v>
      </c>
      <c r="AP307" s="5"/>
      <c r="AQ307" s="38"/>
      <c r="AR307" s="5"/>
      <c r="AS307" s="38"/>
      <c r="AT307" s="146"/>
      <c r="AU307" s="187" t="str">
        <f>IF(OR(SnapshotTable[[#This Row],[LP No Fill]]="Y",SnapshotTable[[#This Row],[SP Is Filled]],SnapshotTable[[#This Row],[LC Not Filled]]="Y",SnapshotTable[[#This Row],[SC Is Filled]]),"Y","")</f>
        <v/>
      </c>
      <c r="AV307" s="219"/>
      <c r="AW307" s="225"/>
      <c r="AX307" s="220"/>
      <c r="AY307" s="219" t="str">
        <f>IF(SnapshotTable[[#This Row],[Implied Move]]&gt;0, SnapshotTable[[#This Row],[Last Price]]-SnapshotTable[[#This Row],[Implied Move]],"")</f>
        <v/>
      </c>
      <c r="AZ307" s="219" t="str">
        <f>IF(SnapshotTable[[#This Row],[Implied Move]]&gt;0, SnapshotTable[[#This Row],[Last Price]] + SnapshotTable[[#This Row],[Implied Move]],"")</f>
        <v/>
      </c>
      <c r="BA307" s="331"/>
      <c r="BB307" s="347"/>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51"/>
      <c r="BE307" s="5"/>
      <c r="BF307" s="14"/>
      <c r="BG307" s="13"/>
      <c r="BH307" s="13"/>
      <c r="BI307" s="5"/>
      <c r="BJ307" s="136">
        <f>IF(SnapshotTable[[#This Row],[LP Qty]] &gt; 0, SnapshotTable[[#This Row],[LP Qty]] * SnapshotTable[[#This Row],[LP Book Price]] * 100,0)</f>
        <v>0</v>
      </c>
      <c r="BK307" s="136">
        <f>IF(SnapshotTable[[#This Row],[LP Premium]] &gt; 0, SnapshotTable[[#This Row],[LP Qty]] * SnapshotTable[[#This Row],[LP Strike Price]] * 100,0)</f>
        <v>0</v>
      </c>
      <c r="BL307" s="154"/>
      <c r="BM307" s="385" t="str">
        <f>IF(SnapshotTable[[#This Row],[LP Premium]] &gt; 0,SnapshotTable[[#This Row],[LP Exp Date]]-MAX(SnapshotTable[[#This Row],[LP Book Date]], SnapshotTable[[#This Row],[LP Fill Date]]),"")</f>
        <v/>
      </c>
      <c r="BN307" s="385" t="str">
        <f>IF(ISNUMBER( SnapshotTable[[#This Row],[LP Term]]), SnapshotTable[[#This Row],[LP Exp Date]] - MockToday,"")</f>
        <v/>
      </c>
      <c r="BO307" s="163"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7"/>
      <c r="BU307" s="13"/>
      <c r="BV307" s="5"/>
      <c r="BW307" s="419" t="b">
        <f>AND(ISNUMBER(SnapshotTable[[#This Row],[SP Exp Date]]), ISNUMBER(SnapshotTable[[#This Row],[SP Strike Price]]), ISNUMBER(SnapshotTable[[#This Row],[SP Qty]]), ISNUMBER(SnapshotTable[[#This Row],[SP Book Date]]), ISNUMBER(SnapshotTable[[#This Row],[SP Book Price]]))</f>
        <v>0</v>
      </c>
      <c r="BX307" s="419" t="b">
        <f>AND(SnapshotTable[[#This Row],[SP Is Booked]], NOT(ISBLANK(SnapshotTable[[#This Row],[SP Fill Date]])))</f>
        <v>0</v>
      </c>
      <c r="BY307" s="33">
        <f>IF(SnapshotTable[[#This Row],[SP Is Booked]], SnapshotTable[[#This Row],[SP Qty]] * SnapshotTable[[#This Row],[SP Book Price]] * 100, 0)</f>
        <v>0</v>
      </c>
      <c r="BZ307" s="369"/>
      <c r="CA307" s="368">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3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44"/>
      <c r="CK307" s="31">
        <f>IF(ISNUMBER(SnapshotTable[[#This Row],[SP Potential Spend]]),IF(ISNUMBER(SnapshotTable[[#This Row],[SP POW]]), SnapshotTable[[#This Row],[SP POW]] * SnapshotTable[[#This Row],[SP Potential Spend]], SnapshotTable[[#This Row],[SP Potential Spend]]), "")</f>
        <v>0</v>
      </c>
      <c r="CL307" s="164">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8"/>
      <c r="CO307" s="369"/>
      <c r="CP307" s="4" t="str">
        <f>IF(SnapshotTable[[#This Row],[SP Is Filled]], btc_max_buyback_amount(SnapshotTable[[#This Row],[SP Fill Date]],SnapshotTable[[#This Row],[SP Exp Date]], SnapshotTable[[#This Row],[SP Book Price]]),"")</f>
        <v/>
      </c>
      <c r="CQ307" s="78"/>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5" t="str">
        <f>IF(SnapshotTable[[#This Row],[SP Is Filled]], btc_next_cutoff_date(SnapshotTable[[#This Row],[SP Fill Date]],SnapshotTable[[#This Row],[SP Exp Date]]),"")</f>
        <v/>
      </c>
      <c r="CT307" s="23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3"/>
      <c r="CV307" s="235"/>
      <c r="CW307" s="378"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294" t="str">
        <f>IF(ISNUMBER((SnapshotTable[[#This Row],[SP Total Value]])), SnapshotTable[[#This Row],[SP Gain Loss]] / SnapshotTable[[#This Row],[SP Premium]], "")</f>
        <v/>
      </c>
      <c r="DI307" s="406"/>
      <c r="DJ307" s="138"/>
      <c r="DK307" s="148"/>
      <c r="DL307" s="13"/>
      <c r="DM307" s="13"/>
      <c r="DO307" s="31">
        <f>IF(SnapshotTable[[#This Row],[LC Symbol Count]]=1, SnapshotTable[[#This Row],[LC Qty]] * SnapshotTable[[#This Row],[LC Book Price]] * 100, 0)</f>
        <v>0</v>
      </c>
      <c r="DP307" s="163" t="str">
        <f>IF(AND(SnapshotTable[[#This Row],[LC Exp Date]]&gt;0, SnapshotTable[[#This Row],[LC Strike Price]]&gt;0,SnapshotTable[[#This Row],[LC Qty]]&gt;0,SnapshotTable[[#This Row],[LC Book Date]]&gt;0,SnapshotTable[[#This Row],[LC Book Price]]&gt;0,SnapshotTable[[#This Row],[LC Fill Date]]=0),"Y","")</f>
        <v/>
      </c>
      <c r="DQ307" s="386" t="str">
        <f>IF(SnapshotTable[[#This Row],[LC Premium]] &gt; 0,SnapshotTable[[#This Row],[LC Exp Date]]-MAX(SnapshotTable[[#This Row],[LC Book Date]], SnapshotTable[[#This Row],[LC Fill Date]]),"")</f>
        <v/>
      </c>
      <c r="DR307" s="386" t="str">
        <f>IF(ISNUMBER(SnapshotTable[[#This Row],[LC Term]]), SnapshotTable[[#This Row],[LC Exp Date]] - MockToday, "")</f>
        <v/>
      </c>
      <c r="DS307" s="23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40" t="str">
        <f>IF(ISNUMBER(SnapshotTable[[#This Row],[LC Actual Gain Loss]]), SnapshotTable[[#This Row],[LC Actual Gain Loss]] / SnapshotTable[[#This Row],[LC Premium]],"")</f>
        <v/>
      </c>
      <c r="DX307" s="284" t="str">
        <f>IF(ISNUMBER(SnapshotTable[[#This Row],[LC Book Price]]),SnapshotTable[[#This Row],[LC Book Price]] * 1.5,"")</f>
        <v/>
      </c>
      <c r="DY307" s="265" t="str">
        <f>IF(SnapshotTable[[#This Row],[LC Premium]]&gt;0, SnapshotTable[[#This Row],[LC Next Target]] * SnapshotTable[[#This Row],[LC Qty]] * 100,"")</f>
        <v/>
      </c>
      <c r="DZ307" s="265" t="str">
        <f>IF(ISNUMBER(SnapshotTable[[#This Row],[LC Target Gross]]), SnapshotTable[[#This Row],[LC Target Gross]] - SnapshotTable[[#This Row],[LC Premium]], "")</f>
        <v/>
      </c>
      <c r="EA307" s="305" t="str">
        <f>IF(ISNUMBER(SnapshotTable[[#This Row],[LC Target Gain Loss]]), SnapshotTable[[#This Row],[LC Target Gain Loss]]/SnapshotTable[[#This Row],[LC Premium]], "")</f>
        <v/>
      </c>
      <c r="EB307" s="262"/>
      <c r="EC307" s="283" t="str">
        <f>IF(SnapshotTable[[#This Row],[LC Premium]]&gt;0, SnapshotTable[[#This Row],[LC Book Price]] * (1 - LC_StopLoss_Pct),"")</f>
        <v/>
      </c>
      <c r="ED307" s="284"/>
      <c r="EE307" s="28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4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7"/>
      <c r="EL307" s="138"/>
      <c r="EM307" s="148"/>
      <c r="EN307" s="147"/>
      <c r="EO307" s="147"/>
      <c r="EP307" s="138"/>
      <c r="EQ307" s="419" t="b">
        <f>AND(ISNUMBER(SnapshotTable[[#This Row],[SC Exp Date]]), ISNUMBER(SnapshotTable[[#This Row],[SC Strike Price]]), ISNUMBER(SnapshotTable[[#This Row],[SC Qty]]), ISNUMBER(SnapshotTable[[#This Row],[SC Book Date]]), ISNUMBER(SnapshotTable[[#This Row],[SC Book Price]]))</f>
        <v>0</v>
      </c>
      <c r="ER307" s="419" t="b">
        <f>AND(SnapshotTable[[#This Row],[SC Is Booked]], NOT(ISBLANK(SnapshotTable[[#This Row],[SC Fill Date]])))</f>
        <v>0</v>
      </c>
      <c r="ES307" s="370"/>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3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283"/>
      <c r="FA307" s="218"/>
      <c r="FB307" s="370"/>
      <c r="FC307" s="4">
        <f>IF(SnapshotTable[[#This Row],[SC Is Filled]], btc_max_buyback_amount(SnapshotTable[[#This Row],[SC Fill Date]],SnapshotTable[[#This Row],[SC Exp Date]], SnapshotTable[[#This Row],[SC Book Price]]),0)</f>
        <v>0</v>
      </c>
      <c r="FD307" s="5"/>
      <c r="FE307" s="144"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382">
        <f>IF(SnapshotTable[[#This Row],[SC Is Filled]], IF(ISNUMBER(SnapshotTable[[#This Row],[SC Current Ask]]), SnapshotTable[[#This Row],[SC Current Ask]], SnapshotTable[[#This Row],[SC Book Price]]) - SnapshotTable[[#This Row],[SC Intrinsic Value]], 0)</f>
        <v>0</v>
      </c>
      <c r="FI307" s="143"/>
      <c r="FJ307" s="32" t="str">
        <f>IF(SnapshotTable[[#This Row],[SC Is Filled]],100 * SnapshotTable[[#This Row],[SC Qty]] * IF(ISNUMBER(SnapshotTable[[#This Row],[SC Buyback Override]]), SnapshotTable[[#This Row],[SC Buyback Override]], SnapshotTable[[#This Row],[SC Current Ask]]), "")</f>
        <v/>
      </c>
      <c r="FK307" s="250" t="str">
        <f>IF(SnapshotTable[[#This Row],[SC Time Val]]&gt;0, SnapshotTable[[#This Row],[SC Time Val]] / SnapshotTable[[#This Row],[Last Price]],"")</f>
        <v/>
      </c>
      <c r="FL307" s="302" t="str">
        <f>IF(SnapshotTable[[#This Row],[SC Is Booked]], ((SnapshotTable[[#This Row],[Last Price]] -SnapshotTable[[#This Row],[SC Strike Price]]) / SnapshotTable[[#This Row],[Last Price]]) * -1, "")</f>
        <v/>
      </c>
      <c r="FM307" s="157"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33"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36" t="str">
        <f>IF(AND(ISNUMBER(SnapshotTable[[#This Row],[SC Simple ROO]]),SnapshotTable[[#This Row],[SC Simple ROO]] &gt; 0), SnapshotTable[[#This Row],[SC Premium]] + (SnapshotTable[[#This Row],[SC Qty]] * SnapshotTable[[#This Row],[SC Upside Potential]]), "")</f>
        <v/>
      </c>
      <c r="FX307" s="302" t="str" cm="1">
        <f t="array" ref="FX307">IF(ISNUMBER(SnapshotTable[[#This Row],[SC Max Dollars]]), annualize(SnapshotTable[[#This Row],[SC Term]],(SnapshotTable[[#This Row],[SC Max Dollars]]/SnapshotTable[[#This Row],[SC Basis]])),"")</f>
        <v/>
      </c>
      <c r="FY307" s="23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29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26.390999999999998</v>
      </c>
      <c r="GD307" s="40">
        <f>SnapshotTable[[#This Row],[Last Price]] * (1+ SellingPriceToConsiderBasedOnTargetPercentage)</f>
        <v>31.161000000000001</v>
      </c>
      <c r="GE307" s="41"/>
      <c r="GF307" s="40"/>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771</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31">
        <f>MAX(SnapshotTable[[#This Row],[Equity Basis Total]],SnapshotTable[[#This Row],[Equity Value]]) + (SnapshotTable[[#This Row],[SP Potential Spend]]- SnapshotTable[[#This Row],[SP Premium]] + SnapshotTable[[#This Row],[LP Premium]])+ (SnapshotTable[[#This Row],[LC Premium]] - SnapshotTable[[#This Row],[SC Premium]])</f>
        <v>0</v>
      </c>
      <c r="GW307" s="139" t="str">
        <f>IF(AND(SnapshotTable[[#This Row],[Exposure]] &lt;&gt; 0),SnapshotTable[[#This Row],[Exposure]] / SnapshotTable[[#Totals],[Exposure]], "")</f>
        <v/>
      </c>
      <c r="HK307" s="1"/>
      <c r="HL307" s="1"/>
      <c r="HM307" s="1"/>
      <c r="HN307" s="1"/>
      <c r="HO307" s="1"/>
      <c r="HP307" s="1"/>
    </row>
    <row r="308" spans="2:224" ht="12.75" hidden="1" customHeight="1" x14ac:dyDescent="0.25">
      <c r="B308" s="12" t="s">
        <v>1281</v>
      </c>
      <c r="C308" s="422">
        <v>16.46</v>
      </c>
      <c r="D308" s="208" t="s">
        <v>258</v>
      </c>
      <c r="E308" s="39">
        <f>SnapshotTable[[#This Row],[Last Price]]*(1 -CrashDiscount)</f>
        <v>13.991</v>
      </c>
      <c r="F308" s="26" t="s">
        <v>183</v>
      </c>
      <c r="G308" s="26" t="s">
        <v>4</v>
      </c>
      <c r="H308" s="149"/>
      <c r="I308" s="194">
        <v>45684</v>
      </c>
      <c r="J308" s="195">
        <v>44851.260416666664</v>
      </c>
      <c r="K308" s="196"/>
      <c r="L308" s="326"/>
      <c r="M308" s="140"/>
      <c r="N308" s="140"/>
      <c r="O308" s="140"/>
      <c r="P308" s="22">
        <v>200</v>
      </c>
      <c r="Q308" s="22">
        <v>446</v>
      </c>
      <c r="R308" s="4">
        <f>IF(SnapshotTable[[#This Row],[Equity Basis Total]] &gt; 0, SnapshotTable[[#This Row],[Equity Basis Total]] / SnapshotTable[[#This Row],[Equity Shares]], "")</f>
        <v>2.23</v>
      </c>
      <c r="S308" s="269">
        <f>SnapshotTable[[#This Row],[Last Price]] * SnapshotTable[[#This Row],[Equity Shares]]</f>
        <v>3292</v>
      </c>
      <c r="T308" s="269">
        <f>SnapshotTable[[#This Row],[Equity Value]] - SnapshotTable[[#This Row],[Equity Basis Total]]</f>
        <v>2846</v>
      </c>
      <c r="U308" s="270">
        <f>IF(SnapshotTable[[#This Row],[Equity Basis Total]] &gt; 0, SnapshotTable[[#This Row],[Equity G/L]] / SnapshotTable[[#This Row],[Equity Basis Total]], "")</f>
        <v>6.3811659192825116</v>
      </c>
      <c r="V308" s="268">
        <v>30</v>
      </c>
      <c r="W308" s="334">
        <v>16.399999999999999</v>
      </c>
      <c r="X308" s="4">
        <f>IF(AND(ISNUMBER(SnapshotTable[[#This Row],[Equity Basis Per Share]]),ISNUMBER(SnapshotTable[[#This Row],[Equity Target]])),SnapshotTable[[#This Row],[Equity Target]]-SnapshotTable[[#This Row],[Equity Basis Per Share]],"")</f>
        <v>27.77</v>
      </c>
      <c r="Y308" s="4">
        <f>IF(AND(ISNUMBER(SnapshotTable[[#This Row],[Equity Basis Per Share]]),ISNUMBER(SnapshotTable[[#This Row],[Equity Stop Loss]])),SnapshotTable[[#This Row],[Equity Stop Loss]]-SnapshotTable[[#This Row],[Equity Basis Per Share]],"")</f>
        <v>14.169999999999998</v>
      </c>
      <c r="Z308" s="275" t="str">
        <f>IFERROR( TEXT(SnapshotTable[[#This Row],[Equity Max Gain Per Share]] /ABS( SnapshotTable[[#This Row],[Equity Max Loss Per Share]]),"0.0 " ) &amp; " : 1", "")</f>
        <v>2.0  : 1</v>
      </c>
      <c r="AA308" s="31">
        <f>IF(ISNUMBER(SnapshotTable[[#This Row],[Equity Max Gain Per Share]]),SnapshotTable[[#This Row],[Equity Max Gain Per Share]] * SnapshotTable[[#This Row],[Equity Shares]],"")</f>
        <v>5554</v>
      </c>
      <c r="AB308" s="31">
        <f>IF(ISNUMBER(SnapshotTable[[#This Row],[Equity Max Loss Per Share]]),SnapshotTable[[#This Row],[Equity Max Loss Per Share]] * SnapshotTable[[#This Row],[Equity Shares]],"")</f>
        <v>2833.9999999999995</v>
      </c>
      <c r="AC308" s="150"/>
      <c r="AD308" s="151"/>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1"/>
      <c r="AI308" s="5"/>
      <c r="AJ308" s="138">
        <v>40</v>
      </c>
      <c r="AK308" s="152" t="str">
        <f>IF(ISNUMBER( SnapshotTable[[#This Row],[EBF Target]]),(SnapshotTable[[#This Row],[EBF Target]] - SnapshotTable[[#This Row],[Last Price]]) / SnapshotTable[[#This Row],[Last Price]], "")</f>
        <v/>
      </c>
      <c r="AL308" s="152">
        <f>IF(AND(SnapshotTable[[#This Row],[Equity Basis Total]] &gt; 0,ISNUMBER( SnapshotTable[[#This Row],[Long Term Target]])), SnapshotTable[[#This Row],[From Basis $]] / SnapshotTable[[#This Row],[Equity Basis Total]], "")</f>
        <v>16.937219730941703</v>
      </c>
      <c r="AM308" s="9">
        <f>IF( AND(SnapshotTable[[#This Row],[Equity Shares]] &gt;0,ISNUMBER( SnapshotTable[[#This Row],[Long Term Target]])),(SnapshotTable[[#This Row],[Equity Shares]] * SnapshotTable[[#This Row],[Long Term Target]]) - SnapshotTable[[#This Row],[Equity Basis Total]],0)</f>
        <v>7554</v>
      </c>
      <c r="AN308" s="9">
        <f>IF( AND(SnapshotTable[[#This Row],[Equity Shares]] &gt;0,ISNUMBER( SnapshotTable[[#This Row],[Long Term Target]])),(SnapshotTable[[#This Row],[Equity Shares]]*SnapshotTable[[#This Row],[Long Term Target]]) - SnapshotTable[[#This Row],[Equity Value]],0)</f>
        <v>4708</v>
      </c>
      <c r="AO308" s="152">
        <f>IF(AND(ISNUMBER( SnapshotTable[[#This Row],[Long Term Target]]), ISNUMBER(SnapshotTable[[#This Row],[Last Price]])),(SnapshotTable[[#This Row],[Long Term Target]] - SnapshotTable[[#This Row],[Last Price]]) / SnapshotTable[[#This Row],[Last Price]], "")</f>
        <v>1.4301336573511543</v>
      </c>
      <c r="AP308" s="5">
        <v>20</v>
      </c>
      <c r="AQ308" s="38" t="s">
        <v>89</v>
      </c>
      <c r="AR308" s="5">
        <v>6.5</v>
      </c>
      <c r="AS308" s="38" t="s">
        <v>32</v>
      </c>
      <c r="AT308" s="146" t="s">
        <v>1132</v>
      </c>
      <c r="AU308" s="187" t="str">
        <f>IF(OR(SnapshotTable[[#This Row],[LP No Fill]]="Y",SnapshotTable[[#This Row],[SP Is Filled]],SnapshotTable[[#This Row],[LC Not Filled]]="Y",SnapshotTable[[#This Row],[SC Is Filled]]),"Y","")</f>
        <v/>
      </c>
      <c r="AV308" s="219" t="s">
        <v>1138</v>
      </c>
      <c r="AW308" s="225"/>
      <c r="AX308" s="220"/>
      <c r="AY308" s="219" t="str">
        <f>IF(SnapshotTable[[#This Row],[Implied Move]]&gt;0, SnapshotTable[[#This Row],[Last Price]]-SnapshotTable[[#This Row],[Implied Move]],"")</f>
        <v/>
      </c>
      <c r="AZ308" s="219" t="str">
        <f>IF(SnapshotTable[[#This Row],[Implied Move]]&gt;0, SnapshotTable[[#This Row],[Last Price]] + SnapshotTable[[#This Row],[Implied Move]],"")</f>
        <v/>
      </c>
      <c r="BA308" s="331">
        <v>7.09</v>
      </c>
      <c r="BB308" s="347"/>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51"/>
      <c r="BE308" s="138"/>
      <c r="BF308" s="166"/>
      <c r="BG308" s="167"/>
      <c r="BH308" s="167"/>
      <c r="BI308" s="221"/>
      <c r="BJ308" s="153">
        <f>IF(SnapshotTable[[#This Row],[LP Qty]] &gt; 0, SnapshotTable[[#This Row],[LP Qty]] * SnapshotTable[[#This Row],[LP Book Price]] * 100,0)</f>
        <v>0</v>
      </c>
      <c r="BK308" s="136">
        <f>IF(SnapshotTable[[#This Row],[LP Premium]] &gt; 0, SnapshotTable[[#This Row],[LP Qty]] * SnapshotTable[[#This Row],[LP Strike Price]] * 100,0)</f>
        <v>0</v>
      </c>
      <c r="BL308" s="154"/>
      <c r="BM308" s="385" t="str">
        <f>IF(SnapshotTable[[#This Row],[LP Premium]] &gt; 0,SnapshotTable[[#This Row],[LP Exp Date]]-MAX(SnapshotTable[[#This Row],[LP Book Date]], SnapshotTable[[#This Row],[LP Fill Date]]),"")</f>
        <v/>
      </c>
      <c r="BN308" s="385" t="str">
        <f>IF(ISNUMBER( SnapshotTable[[#This Row],[LP Term]]), SnapshotTable[[#This Row],[LP Exp Date]] - MockToday,"")</f>
        <v/>
      </c>
      <c r="BO308" s="163"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7"/>
      <c r="BU308" s="13"/>
      <c r="BV308" s="5"/>
      <c r="BW308" s="419" t="b">
        <f>AND(ISNUMBER(SnapshotTable[[#This Row],[SP Exp Date]]), ISNUMBER(SnapshotTable[[#This Row],[SP Strike Price]]), ISNUMBER(SnapshotTable[[#This Row],[SP Qty]]), ISNUMBER(SnapshotTable[[#This Row],[SP Book Date]]), ISNUMBER(SnapshotTable[[#This Row],[SP Book Price]]))</f>
        <v>0</v>
      </c>
      <c r="BX308" s="419" t="b">
        <f>AND(SnapshotTable[[#This Row],[SP Is Booked]], NOT(ISBLANK(SnapshotTable[[#This Row],[SP Fill Date]])))</f>
        <v>0</v>
      </c>
      <c r="BY308" s="33">
        <f>IF(SnapshotTable[[#This Row],[SP Is Booked]], SnapshotTable[[#This Row],[SP Qty]] * SnapshotTable[[#This Row],[SP Book Price]] * 100, 0)</f>
        <v>0</v>
      </c>
      <c r="BZ308" s="369"/>
      <c r="CA308" s="368">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3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44"/>
      <c r="CK308" s="31">
        <f>IF(ISNUMBER(SnapshotTable[[#This Row],[SP Potential Spend]]),IF(ISNUMBER(SnapshotTable[[#This Row],[SP POW]]), SnapshotTable[[#This Row],[SP POW]] * SnapshotTable[[#This Row],[SP Potential Spend]], SnapshotTable[[#This Row],[SP Potential Spend]]), "")</f>
        <v>0</v>
      </c>
      <c r="CL308" s="164">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4"/>
      <c r="CO308" s="369"/>
      <c r="CP308" s="4" t="str">
        <f>IF(SnapshotTable[[#This Row],[SP Is Filled]], btc_max_buyback_amount(SnapshotTable[[#This Row],[SP Fill Date]],SnapshotTable[[#This Row],[SP Exp Date]], SnapshotTable[[#This Row],[SP Book Price]]),"")</f>
        <v/>
      </c>
      <c r="CQ308" s="78"/>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5" t="str">
        <f>IF(SnapshotTable[[#This Row],[SP Is Filled]], btc_next_cutoff_date(SnapshotTable[[#This Row],[SP Fill Date]],SnapshotTable[[#This Row],[SP Exp Date]]),"")</f>
        <v/>
      </c>
      <c r="CT308" s="23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43"/>
      <c r="CV308" s="235"/>
      <c r="CW308" s="378"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294" t="str">
        <f>IF(ISNUMBER((SnapshotTable[[#This Row],[SP Total Value]])), SnapshotTable[[#This Row],[SP Gain Loss]] / SnapshotTable[[#This Row],[SP Premium]], "")</f>
        <v/>
      </c>
      <c r="DI308" s="406"/>
      <c r="DJ308" s="138"/>
      <c r="DK308" s="148"/>
      <c r="DL308" s="147"/>
      <c r="DM308" s="147"/>
      <c r="DO308" s="31">
        <f>IF(SnapshotTable[[#This Row],[LC Symbol Count]]=1, SnapshotTable[[#This Row],[LC Qty]] * SnapshotTable[[#This Row],[LC Book Price]] * 100, 0)</f>
        <v>0</v>
      </c>
      <c r="DP308" s="163" t="str">
        <f>IF(AND(SnapshotTable[[#This Row],[LC Exp Date]]&gt;0, SnapshotTable[[#This Row],[LC Strike Price]]&gt;0,SnapshotTable[[#This Row],[LC Qty]]&gt;0,SnapshotTable[[#This Row],[LC Book Date]]&gt;0,SnapshotTable[[#This Row],[LC Book Price]]&gt;0,SnapshotTable[[#This Row],[LC Fill Date]]=0),"Y","")</f>
        <v/>
      </c>
      <c r="DQ308" s="386" t="str">
        <f>IF(SnapshotTable[[#This Row],[LC Premium]] &gt; 0,SnapshotTable[[#This Row],[LC Exp Date]]-MAX(SnapshotTable[[#This Row],[LC Book Date]], SnapshotTable[[#This Row],[LC Fill Date]]),"")</f>
        <v/>
      </c>
      <c r="DR308" s="386" t="str">
        <f>IF(ISNUMBER(SnapshotTable[[#This Row],[LC Term]]), SnapshotTable[[#This Row],[LC Exp Date]] - MockToday, "")</f>
        <v/>
      </c>
      <c r="DS308" s="23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40" t="str">
        <f>IF(ISNUMBER(SnapshotTable[[#This Row],[LC Actual Gain Loss]]), SnapshotTable[[#This Row],[LC Actual Gain Loss]] / SnapshotTable[[#This Row],[LC Premium]],"")</f>
        <v/>
      </c>
      <c r="DX308" s="284" t="str">
        <f>IF(ISNUMBER(SnapshotTable[[#This Row],[LC Book Price]]),SnapshotTable[[#This Row],[LC Book Price]] * 1.5,"")</f>
        <v/>
      </c>
      <c r="DY308" s="265" t="str">
        <f>IF(SnapshotTable[[#This Row],[LC Premium]]&gt;0, SnapshotTable[[#This Row],[LC Next Target]] * SnapshotTable[[#This Row],[LC Qty]] * 100,"")</f>
        <v/>
      </c>
      <c r="DZ308" s="265" t="str">
        <f>IF(ISNUMBER(SnapshotTable[[#This Row],[LC Target Gross]]), SnapshotTable[[#This Row],[LC Target Gross]] - SnapshotTable[[#This Row],[LC Premium]], "")</f>
        <v/>
      </c>
      <c r="EA308" s="305" t="str">
        <f>IF(ISNUMBER(SnapshotTable[[#This Row],[LC Target Gain Loss]]), SnapshotTable[[#This Row],[LC Target Gain Loss]]/SnapshotTable[[#This Row],[LC Premium]], "")</f>
        <v/>
      </c>
      <c r="EB308" s="262"/>
      <c r="EC308" s="283" t="str">
        <f>IF(SnapshotTable[[#This Row],[LC Premium]]&gt;0, SnapshotTable[[#This Row],[LC Book Price]] * (1 - LC_StopLoss_Pct),"")</f>
        <v/>
      </c>
      <c r="ED308" s="284"/>
      <c r="EE308" s="28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4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2</v>
      </c>
      <c r="EK308" s="147"/>
      <c r="EL308" s="138"/>
      <c r="EM308" s="148"/>
      <c r="EN308" s="147"/>
      <c r="EO308" s="147"/>
      <c r="EP308" s="138"/>
      <c r="EQ308" s="419" t="b">
        <f>AND(ISNUMBER(SnapshotTable[[#This Row],[SC Exp Date]]), ISNUMBER(SnapshotTable[[#This Row],[SC Strike Price]]), ISNUMBER(SnapshotTable[[#This Row],[SC Qty]]), ISNUMBER(SnapshotTable[[#This Row],[SC Book Date]]), ISNUMBER(SnapshotTable[[#This Row],[SC Book Price]]))</f>
        <v>0</v>
      </c>
      <c r="ER308" s="419" t="b">
        <f>AND(SnapshotTable[[#This Row],[SC Is Booked]], NOT(ISBLANK(SnapshotTable[[#This Row],[SC Fill Date]])))</f>
        <v>0</v>
      </c>
      <c r="ES308" s="370"/>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3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283"/>
      <c r="FA308" s="218"/>
      <c r="FB308" s="370"/>
      <c r="FC308" s="4">
        <f>IF(SnapshotTable[[#This Row],[SC Is Filled]], btc_max_buyback_amount(SnapshotTable[[#This Row],[SC Fill Date]],SnapshotTable[[#This Row],[SC Exp Date]], SnapshotTable[[#This Row],[SC Book Price]]),0)</f>
        <v>0</v>
      </c>
      <c r="FD308" s="5"/>
      <c r="FE308" s="144"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382">
        <f>IF(SnapshotTable[[#This Row],[SC Is Filled]], IF(ISNUMBER(SnapshotTable[[#This Row],[SC Current Ask]]), SnapshotTable[[#This Row],[SC Current Ask]], SnapshotTable[[#This Row],[SC Book Price]]) - SnapshotTable[[#This Row],[SC Intrinsic Value]], 0)</f>
        <v>0</v>
      </c>
      <c r="FI308" s="143"/>
      <c r="FJ308" s="32" t="str">
        <f>IF(SnapshotTable[[#This Row],[SC Is Filled]],100 * SnapshotTable[[#This Row],[SC Qty]] * IF(ISNUMBER(SnapshotTable[[#This Row],[SC Buyback Override]]), SnapshotTable[[#This Row],[SC Buyback Override]], SnapshotTable[[#This Row],[SC Current Ask]]), "")</f>
        <v/>
      </c>
      <c r="FK308" s="250" t="str">
        <f>IF(SnapshotTable[[#This Row],[SC Time Val]]&gt;0, SnapshotTable[[#This Row],[SC Time Val]] / SnapshotTable[[#This Row],[Last Price]],"")</f>
        <v/>
      </c>
      <c r="FL308" s="302" t="str">
        <f>IF(SnapshotTable[[#This Row],[SC Is Booked]], ((SnapshotTable[[#This Row],[Last Price]] -SnapshotTable[[#This Row],[SC Strike Price]]) / SnapshotTable[[#This Row],[Last Price]]) * -1, "")</f>
        <v/>
      </c>
      <c r="FM308" s="157" t="str">
        <f>IF(SnapshotTable[[#This Row],[SC Is Booked]],  (SnapshotTable[[#This Row],[SC Qty]] * 100 * SnapshotTable[[#This Row],[SC Strike Price]]) - SnapshotTable[[#This Row],[SC Current Ask]], "")</f>
        <v/>
      </c>
      <c r="FN308"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7"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33"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36" t="str">
        <f>IF(AND(ISNUMBER(SnapshotTable[[#This Row],[SC Simple ROO]]),SnapshotTable[[#This Row],[SC Simple ROO]] &gt; 0), SnapshotTable[[#This Row],[SC Premium]] + (SnapshotTable[[#This Row],[SC Qty]] * SnapshotTable[[#This Row],[SC Upside Potential]]), "")</f>
        <v/>
      </c>
      <c r="FX308" s="302" t="str" cm="1">
        <f t="array" ref="FX308">IF(ISNUMBER(SnapshotTable[[#This Row],[SC Max Dollars]]), annualize(SnapshotTable[[#This Row],[SC Term]],(SnapshotTable[[#This Row],[SC Max Dollars]]/SnapshotTable[[#This Row],[SC Basis]])),"")</f>
        <v/>
      </c>
      <c r="FY308" s="236" t="str">
        <f>IF(AND(SnapshotTable[[#This Row],[SC Qty]]&gt;0,SnapshotTable[[#This Row],[SC Current Ask]]&gt;0), SnapshotTable[[#This Row],[SC Qty]] * SnapshotTable[[#This Row],[SC Current Ask]] * -100, "")</f>
        <v/>
      </c>
      <c r="FZ308" s="235" t="str">
        <f>IF(ISNUMBER((SnapshotTable[[#This Row],[SC Current Value]])), SnapshotTable[[#This Row],[SC Premium]] + SnapshotTable[[#This Row],[SC Current Value]], "")</f>
        <v/>
      </c>
      <c r="GA308" s="294" t="str">
        <f>IFERROR( IF(ISNUMBER((SnapshotTable[[#This Row],[SC Current Value]])), SnapshotTable[[#This Row],[SC Gain Loss]] / SnapshotTable[[#This Row],[SC Premium]], ""), "")</f>
        <v/>
      </c>
      <c r="GB308" s="42">
        <f>SnapshotTable[[#This Row],[Equity Shares]] * SaleSharesToConsiderPercentage</f>
        <v>40</v>
      </c>
      <c r="GC308" s="40">
        <f>SnapshotTable[[#This Row],[Long Term Target]] * SellingPriceToConsiderBasedOnTargetPercentage</f>
        <v>38</v>
      </c>
      <c r="GD308" s="40">
        <f>SnapshotTable[[#This Row],[Last Price]] * (1+ SellingPriceToConsiderBasedOnTargetPercentage)</f>
        <v>32.097000000000001</v>
      </c>
      <c r="GE308" s="41"/>
      <c r="GF308" s="40"/>
      <c r="GG308" s="31">
        <f>SnapshotTable[[#This Row],[Booked Sale Shares]] * SnapshotTable[[#This Row],[Booked Sale Price]]</f>
        <v>0</v>
      </c>
      <c r="GH308" s="31">
        <f>IF(SnapshotTable[[#This Row],[Equity Basis Total]] &gt; 0, SnapshotTable[[#This Row],[Equity Basis Per Share]] * SnapshotTable[[#This Row],[Booked Sale Shares]], "")</f>
        <v>0</v>
      </c>
      <c r="GI308" s="31">
        <f>IF(SnapshotTable[[#This Row],[Sale Proceeds]]&gt;0, SnapshotTable[[#This Row],[Sale Proceeds]] - SnapshotTable[[#This Row],[Sale Basis]], 0)</f>
        <v>0</v>
      </c>
      <c r="GJ308" s="158" t="str">
        <f>IF(SnapshotTable[[#This Row],[Sale G/L]]&gt;0, SnapshotTable[[#This Row],[Sale G/L]] / SnapshotTable[[#This Row],[Sale Basis]], IF(ISNUMBER(SnapshotTable[[#This Row],[SC Exercise P&amp;L (TAX)]]), SnapshotTable[[#This Row],[SC Exercise P&amp;L (TAX)]] / SnapshotTable[[#This Row],[SC Basis]], ""))</f>
        <v/>
      </c>
      <c r="GK308" s="27" t="s">
        <v>1020</v>
      </c>
      <c r="GL308" s="159"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59" t="str">
        <f>IF(AND(SnapshotTable[[#This Row],[LC Exp Date]]&gt;0,SnapshotTable[[#This Row],[LC Strike Price]]&gt;0), [1]!ToOptionSymbol(SnapshotTable[[#This Row],[Symbol]], SnapshotTable[[#This Row],[LC Strike Price]],SnapshotTable[[#This Row],[LC Exp Date]],0), "")</f>
        <v/>
      </c>
      <c r="GQ308" s="160" t="str">
        <f>IF(LEN(SnapshotTable[[#This Row],[LC Symbol]])&gt;0, 1, "")</f>
        <v/>
      </c>
      <c r="GR308" s="159" t="str">
        <f>IF(AND(SnapshotTable[[#This Row],[SC Exp Date]]&gt;0,SnapshotTable[[#This Row],[SC Strike Price]]&gt;0), [1]!ToOptionSymbol(SnapshotTable[[#This Row],[Symbol]], SnapshotTable[[#This Row],[SC Strike Price]],SnapshotTable[[#This Row],[SC Exp Date]],0), "")</f>
        <v/>
      </c>
      <c r="GS308" s="160" t="str">
        <f>IF(LEN(SnapshotTable[[#This Row],[SC Symbol]])&gt;0, 1, "")</f>
        <v/>
      </c>
      <c r="GT308" s="161"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8" s="231">
        <f>MAX(SnapshotTable[[#This Row],[Equity Basis Total]],SnapshotTable[[#This Row],[Equity Value]]) + (SnapshotTable[[#This Row],[SP Potential Spend]]- SnapshotTable[[#This Row],[SP Premium]] + SnapshotTable[[#This Row],[LP Premium]])+ (SnapshotTable[[#This Row],[LC Premium]] - SnapshotTable[[#This Row],[SC Premium]])</f>
        <v>3292</v>
      </c>
      <c r="GW308" s="139">
        <f ca="1">IF(AND(SnapshotTable[[#This Row],[Exposure]] &lt;&gt; 0),SnapshotTable[[#This Row],[Exposure]] / SnapshotTable[[#Totals],[Exposure]], "")</f>
        <v>1.5495603240256787E-2</v>
      </c>
      <c r="GX308" s="13"/>
      <c r="HK308" s="1"/>
      <c r="HL308" s="1"/>
      <c r="HM308" s="1"/>
      <c r="HN308" s="1"/>
      <c r="HO308" s="1"/>
      <c r="HP308" s="1"/>
    </row>
    <row r="309" spans="2:224" ht="12.75" hidden="1" customHeight="1" x14ac:dyDescent="0.25">
      <c r="B309" s="12" t="s">
        <v>1257</v>
      </c>
      <c r="C309" s="422">
        <v>7.91</v>
      </c>
      <c r="D309" s="208"/>
      <c r="E309" s="39">
        <f>SnapshotTable[[#This Row],[Last Price]]*(1 -CrashDiscount)</f>
        <v>6.7234999999999996</v>
      </c>
      <c r="F309" s="325" t="s">
        <v>958</v>
      </c>
      <c r="G309" s="325" t="s">
        <v>9</v>
      </c>
      <c r="H309" s="149"/>
      <c r="I309" s="194"/>
      <c r="J309" s="195"/>
      <c r="K309" s="196"/>
      <c r="L309" s="326"/>
      <c r="M309" s="140"/>
      <c r="N309" s="140"/>
      <c r="O309" s="140"/>
      <c r="P309" s="22"/>
      <c r="Q309" s="25"/>
      <c r="R309" s="4" t="str">
        <f>IF(SnapshotTable[[#This Row],[Equity Basis Total]] &gt; 0, SnapshotTable[[#This Row],[Equity Basis Total]] / SnapshotTable[[#This Row],[Equity Shares]], "")</f>
        <v/>
      </c>
      <c r="S309" s="269">
        <f>SnapshotTable[[#This Row],[Last Price]] * SnapshotTable[[#This Row],[Equity Shares]]</f>
        <v>0</v>
      </c>
      <c r="T309" s="269">
        <f>SnapshotTable[[#This Row],[Equity Value]] - SnapshotTable[[#This Row],[Equity Basis Total]]</f>
        <v>0</v>
      </c>
      <c r="U309" s="270" t="str">
        <f>IF(SnapshotTable[[#This Row],[Equity Basis Total]] &gt; 0, SnapshotTable[[#This Row],[Equity G/L]] / SnapshotTable[[#This Row],[Equity Basis Total]], "")</f>
        <v/>
      </c>
      <c r="V309" s="268"/>
      <c r="W309" s="26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7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0"/>
      <c r="AD309" s="151"/>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1"/>
      <c r="AI309" s="5"/>
      <c r="AJ309" s="138"/>
      <c r="AK309" s="152" t="str">
        <f>IF(ISNUMBER( SnapshotTable[[#This Row],[EBF Target]]),(SnapshotTable[[#This Row],[EBF Target]] - SnapshotTable[[#This Row],[Last Price]]) / SnapshotTable[[#This Row],[Last Price]], "")</f>
        <v/>
      </c>
      <c r="AL309" s="152"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2" t="str">
        <f>IF(AND(ISNUMBER( SnapshotTable[[#This Row],[Long Term Target]]), ISNUMBER(SnapshotTable[[#This Row],[Last Price]])),(SnapshotTable[[#This Row],[Long Term Target]] - SnapshotTable[[#This Row],[Last Price]]) / SnapshotTable[[#This Row],[Last Price]], "")</f>
        <v/>
      </c>
      <c r="AP309" s="5"/>
      <c r="AQ309" s="38"/>
      <c r="AR309" s="5"/>
      <c r="AS309" s="38"/>
      <c r="AT309" s="146"/>
      <c r="AU309" s="187" t="str">
        <f>IF(OR(SnapshotTable[[#This Row],[LP No Fill]]="Y",SnapshotTable[[#This Row],[SP Is Filled]],SnapshotTable[[#This Row],[LC Not Filled]]="Y",SnapshotTable[[#This Row],[SC Is Filled]]),"Y","")</f>
        <v/>
      </c>
      <c r="AV309" s="219"/>
      <c r="AW309" s="225"/>
      <c r="AX309" s="220"/>
      <c r="AY309" s="219" t="str">
        <f>IF(SnapshotTable[[#This Row],[Implied Move]]&gt;0, SnapshotTable[[#This Row],[Last Price]]-SnapshotTable[[#This Row],[Implied Move]],"")</f>
        <v/>
      </c>
      <c r="AZ309" s="219" t="str">
        <f>IF(SnapshotTable[[#This Row],[Implied Move]]&gt;0, SnapshotTable[[#This Row],[Last Price]] + SnapshotTable[[#This Row],[Implied Move]],"")</f>
        <v/>
      </c>
      <c r="BA309" s="331">
        <v>13.15</v>
      </c>
      <c r="BB309" s="347"/>
      <c r="BC3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9" s="351"/>
      <c r="BE309" s="5"/>
      <c r="BF309" s="14"/>
      <c r="BG309" s="13"/>
      <c r="BH309" s="13"/>
      <c r="BI309" s="5"/>
      <c r="BJ309" s="136">
        <f>IF(SnapshotTable[[#This Row],[LP Qty]] &gt; 0, SnapshotTable[[#This Row],[LP Qty]] * SnapshotTable[[#This Row],[LP Book Price]] * 100,0)</f>
        <v>0</v>
      </c>
      <c r="BK309" s="136">
        <f>IF(SnapshotTable[[#This Row],[LP Premium]] &gt; 0, SnapshotTable[[#This Row],[LP Qty]] * SnapshotTable[[#This Row],[LP Strike Price]] * 100,0)</f>
        <v>0</v>
      </c>
      <c r="BL309" s="154"/>
      <c r="BM309" s="385" t="str">
        <f>IF(SnapshotTable[[#This Row],[LP Premium]] &gt; 0,SnapshotTable[[#This Row],[LP Exp Date]]-MAX(SnapshotTable[[#This Row],[LP Book Date]], SnapshotTable[[#This Row],[LP Fill Date]]),"")</f>
        <v/>
      </c>
      <c r="BN309" s="385" t="str">
        <f>IF(ISNUMBER( SnapshotTable[[#This Row],[LP Term]]), SnapshotTable[[#This Row],[LP Exp Date]] - MockToday,"")</f>
        <v/>
      </c>
      <c r="BO309" s="163"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7"/>
      <c r="BU309" s="13"/>
      <c r="BV309" s="5"/>
      <c r="BW309" s="419" t="b">
        <f>AND(ISNUMBER(SnapshotTable[[#This Row],[SP Exp Date]]), ISNUMBER(SnapshotTable[[#This Row],[SP Strike Price]]), ISNUMBER(SnapshotTable[[#This Row],[SP Qty]]), ISNUMBER(SnapshotTable[[#This Row],[SP Book Date]]), ISNUMBER(SnapshotTable[[#This Row],[SP Book Price]]))</f>
        <v>0</v>
      </c>
      <c r="BX309" s="419" t="b">
        <f>AND(SnapshotTable[[#This Row],[SP Is Booked]], NOT(ISBLANK(SnapshotTable[[#This Row],[SP Fill Date]])))</f>
        <v>0</v>
      </c>
      <c r="BY309" s="33">
        <f>IF(SnapshotTable[[#This Row],[SP Is Booked]], SnapshotTable[[#This Row],[SP Qty]] * SnapshotTable[[#This Row],[SP Book Price]] * 100, 0)</f>
        <v>0</v>
      </c>
      <c r="BZ309" s="369"/>
      <c r="CA309" s="368">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3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44"/>
      <c r="CK309" s="31">
        <f>IF(ISNUMBER(SnapshotTable[[#This Row],[SP Potential Spend]]),IF(ISNUMBER(SnapshotTable[[#This Row],[SP POW]]), SnapshotTable[[#This Row],[SP POW]] * SnapshotTable[[#This Row],[SP Potential Spend]], SnapshotTable[[#This Row],[SP Potential Spend]]), "")</f>
        <v>0</v>
      </c>
      <c r="CL309" s="164">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78"/>
      <c r="CO309" s="369"/>
      <c r="CP309" s="4" t="str">
        <f>IF(SnapshotTable[[#This Row],[SP Is Filled]], btc_max_buyback_amount(SnapshotTable[[#This Row],[SP Fill Date]],SnapshotTable[[#This Row],[SP Exp Date]], SnapshotTable[[#This Row],[SP Book Price]]),"")</f>
        <v/>
      </c>
      <c r="CQ309" s="78"/>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5" t="str">
        <f>IF(SnapshotTable[[#This Row],[SP Is Filled]], btc_next_cutoff_date(SnapshotTable[[#This Row],[SP Fill Date]],SnapshotTable[[#This Row],[SP Exp Date]]),"")</f>
        <v/>
      </c>
      <c r="CT309" s="23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43"/>
      <c r="CV309" s="235"/>
      <c r="CW309" s="378"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294" t="str">
        <f>IF(ISNUMBER((SnapshotTable[[#This Row],[SP Total Value]])), SnapshotTable[[#This Row],[SP Gain Loss]] / SnapshotTable[[#This Row],[SP Premium]], "")</f>
        <v/>
      </c>
      <c r="DI309" s="406"/>
      <c r="DJ309" s="138"/>
      <c r="DK309" s="148"/>
      <c r="DL309" s="13"/>
      <c r="DM309" s="13"/>
      <c r="DO309" s="31">
        <f>IF(SnapshotTable[[#This Row],[LC Symbol Count]]=1, SnapshotTable[[#This Row],[LC Qty]] * SnapshotTable[[#This Row],[LC Book Price]] * 100, 0)</f>
        <v>0</v>
      </c>
      <c r="DP309" s="163" t="str">
        <f>IF(AND(SnapshotTable[[#This Row],[LC Exp Date]]&gt;0, SnapshotTable[[#This Row],[LC Strike Price]]&gt;0,SnapshotTable[[#This Row],[LC Qty]]&gt;0,SnapshotTable[[#This Row],[LC Book Date]]&gt;0,SnapshotTable[[#This Row],[LC Book Price]]&gt;0,SnapshotTable[[#This Row],[LC Fill Date]]=0),"Y","")</f>
        <v/>
      </c>
      <c r="DQ309" s="386" t="str">
        <f>IF(SnapshotTable[[#This Row],[LC Premium]] &gt; 0,SnapshotTable[[#This Row],[LC Exp Date]]-MAX(SnapshotTable[[#This Row],[LC Book Date]], SnapshotTable[[#This Row],[LC Fill Date]]),"")</f>
        <v/>
      </c>
      <c r="DR309" s="386" t="str">
        <f>IF(ISNUMBER(SnapshotTable[[#This Row],[LC Term]]), SnapshotTable[[#This Row],[LC Exp Date]] - MockToday, "")</f>
        <v/>
      </c>
      <c r="DS309" s="234" t="str">
        <f>IF(SnapshotTable[[#This Row],[LC Premium]]&gt;0,SnapshotTable[[#This Row],[LC Strike Price]] + SnapshotTable[[#This Row],[LC Book Price]],"")</f>
        <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40" t="str">
        <f>IF(ISNUMBER(SnapshotTable[[#This Row],[LC Actual Gain Loss]]), SnapshotTable[[#This Row],[LC Actual Gain Loss]] / SnapshotTable[[#This Row],[LC Premium]],"")</f>
        <v/>
      </c>
      <c r="DX309" s="284" t="str">
        <f>IF(ISNUMBER(SnapshotTable[[#This Row],[LC Book Price]]),SnapshotTable[[#This Row],[LC Book Price]] * 1.5,"")</f>
        <v/>
      </c>
      <c r="DY309" s="265" t="str">
        <f>IF(SnapshotTable[[#This Row],[LC Premium]]&gt;0, SnapshotTable[[#This Row],[LC Next Target]] * SnapshotTable[[#This Row],[LC Qty]] * 100,"")</f>
        <v/>
      </c>
      <c r="DZ309" s="265" t="str">
        <f>IF(ISNUMBER(SnapshotTable[[#This Row],[LC Target Gross]]), SnapshotTable[[#This Row],[LC Target Gross]] - SnapshotTable[[#This Row],[LC Premium]], "")</f>
        <v/>
      </c>
      <c r="EA309" s="305" t="str">
        <f>IF(ISNUMBER(SnapshotTable[[#This Row],[LC Target Gain Loss]]), SnapshotTable[[#This Row],[LC Target Gain Loss]]/SnapshotTable[[#This Row],[LC Premium]], "")</f>
        <v/>
      </c>
      <c r="EB309" s="262"/>
      <c r="EC309" s="283" t="str">
        <f>IF(SnapshotTable[[#This Row],[LC Premium]]&gt;0, SnapshotTable[[#This Row],[LC Book Price]] * (1 - LC_StopLoss_Pct),"")</f>
        <v/>
      </c>
      <c r="ED309" s="284"/>
      <c r="EE309" s="28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0</v>
      </c>
      <c r="EI309" s="24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0</v>
      </c>
      <c r="EK309" s="147"/>
      <c r="EL309" s="138"/>
      <c r="EM309" s="148"/>
      <c r="EN309" s="147"/>
      <c r="EO309" s="147"/>
      <c r="EP309" s="138"/>
      <c r="EQ309" s="419" t="b">
        <f>AND(ISNUMBER(SnapshotTable[[#This Row],[SC Exp Date]]), ISNUMBER(SnapshotTable[[#This Row],[SC Strike Price]]), ISNUMBER(SnapshotTable[[#This Row],[SC Qty]]), ISNUMBER(SnapshotTable[[#This Row],[SC Book Date]]), ISNUMBER(SnapshotTable[[#This Row],[SC Book Price]]))</f>
        <v>0</v>
      </c>
      <c r="ER309" s="419" t="b">
        <f>AND(SnapshotTable[[#This Row],[SC Is Booked]], NOT(ISBLANK(SnapshotTable[[#This Row],[SC Fill Date]])))</f>
        <v>0</v>
      </c>
      <c r="ES309" s="370"/>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3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283"/>
      <c r="FA309" s="218"/>
      <c r="FB309" s="370"/>
      <c r="FC309" s="4">
        <f>IF(SnapshotTable[[#This Row],[SC Is Filled]], btc_max_buyback_amount(SnapshotTable[[#This Row],[SC Fill Date]],SnapshotTable[[#This Row],[SC Exp Date]], SnapshotTable[[#This Row],[SC Book Price]]),0)</f>
        <v>0</v>
      </c>
      <c r="FD309" s="5"/>
      <c r="FE309" s="144"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382">
        <f>IF(SnapshotTable[[#This Row],[SC Is Filled]], IF(ISNUMBER(SnapshotTable[[#This Row],[SC Current Ask]]), SnapshotTable[[#This Row],[SC Current Ask]], SnapshotTable[[#This Row],[SC Book Price]]) - SnapshotTable[[#This Row],[SC Intrinsic Value]], 0)</f>
        <v>0</v>
      </c>
      <c r="FI309" s="143"/>
      <c r="FJ309" s="32" t="str">
        <f>IF(SnapshotTable[[#This Row],[SC Is Filled]],100 * SnapshotTable[[#This Row],[SC Qty]] * IF(ISNUMBER(SnapshotTable[[#This Row],[SC Buyback Override]]), SnapshotTable[[#This Row],[SC Buyback Override]], SnapshotTable[[#This Row],[SC Current Ask]]), "")</f>
        <v/>
      </c>
      <c r="FK309" s="250" t="str">
        <f>IF(SnapshotTable[[#This Row],[SC Time Val]]&gt;0, SnapshotTable[[#This Row],[SC Time Val]] / SnapshotTable[[#This Row],[Last Price]],"")</f>
        <v/>
      </c>
      <c r="FL309" s="302" t="str">
        <f>IF(SnapshotTable[[#This Row],[SC Is Booked]], ((SnapshotTable[[#This Row],[Last Price]] -SnapshotTable[[#This Row],[SC Strike Price]]) / SnapshotTable[[#This Row],[Last Price]]) * -1, "")</f>
        <v/>
      </c>
      <c r="FM309" s="157"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33"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36" t="str">
        <f>IF(AND(ISNUMBER(SnapshotTable[[#This Row],[SC Simple ROO]]),SnapshotTable[[#This Row],[SC Simple ROO]] &gt; 0), SnapshotTable[[#This Row],[SC Premium]] + (SnapshotTable[[#This Row],[SC Qty]] * SnapshotTable[[#This Row],[SC Upside Potential]]), "")</f>
        <v/>
      </c>
      <c r="FX309" s="302" t="str" cm="1">
        <f t="array" ref="FX309">IF(ISNUMBER(SnapshotTable[[#This Row],[SC Max Dollars]]), annualize(SnapshotTable[[#This Row],[SC Term]],(SnapshotTable[[#This Row],[SC Max Dollars]]/SnapshotTable[[#This Row],[SC Basis]])),"")</f>
        <v/>
      </c>
      <c r="FY309" s="23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29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15.4245</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
      </c>
      <c r="GQ309" s="30" t="str">
        <f>IF(LEN(SnapshotTable[[#This Row],[LC Symbol]])&gt;0, 1, "")</f>
        <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9" s="231">
        <f>MAX(SnapshotTable[[#This Row],[Equity Basis Total]],SnapshotTable[[#This Row],[Equity Value]]) + (SnapshotTable[[#This Row],[SP Potential Spend]]- SnapshotTable[[#This Row],[SP Premium]] + SnapshotTable[[#This Row],[LP Premium]])+ (SnapshotTable[[#This Row],[LC Premium]] - SnapshotTable[[#This Row],[SC Premium]])</f>
        <v>0</v>
      </c>
      <c r="GW309" s="139" t="str">
        <f>IF(AND(SnapshotTable[[#This Row],[Exposure]] &lt;&gt; 0),SnapshotTable[[#This Row],[Exposure]] / SnapshotTable[[#Totals],[Exposure]], "")</f>
        <v/>
      </c>
      <c r="GX309" s="13"/>
      <c r="HK309" s="1"/>
      <c r="HL309" s="1"/>
      <c r="HM309" s="1"/>
      <c r="HN309" s="1"/>
      <c r="HO309" s="1"/>
      <c r="HP309" s="1"/>
    </row>
    <row r="310" spans="2:224" ht="12.75" hidden="1" customHeight="1" x14ac:dyDescent="0.25">
      <c r="B310" s="12" t="s">
        <v>1272</v>
      </c>
      <c r="C310" s="422">
        <v>24.17</v>
      </c>
      <c r="D310" s="208"/>
      <c r="E310" s="39">
        <f>SnapshotTable[[#This Row],[Last Price]]*(1 -CrashDiscount)</f>
        <v>20.544499999999999</v>
      </c>
      <c r="F310" s="325" t="s">
        <v>5</v>
      </c>
      <c r="G310" s="325" t="s">
        <v>4</v>
      </c>
      <c r="H310" s="149"/>
      <c r="I310" s="194"/>
      <c r="J310" s="195"/>
      <c r="K310" s="196"/>
      <c r="L310" s="326"/>
      <c r="M310" s="140"/>
      <c r="N310" s="140"/>
      <c r="O310" s="140"/>
      <c r="P310" s="22"/>
      <c r="Q310" s="25"/>
      <c r="R310" s="4" t="str">
        <f>IF(SnapshotTable[[#This Row],[Equity Basis Total]] &gt; 0, SnapshotTable[[#This Row],[Equity Basis Total]] / SnapshotTable[[#This Row],[Equity Shares]], "")</f>
        <v/>
      </c>
      <c r="S310" s="269">
        <f>SnapshotTable[[#This Row],[Last Price]] * SnapshotTable[[#This Row],[Equity Shares]]</f>
        <v>0</v>
      </c>
      <c r="T310" s="269">
        <f>SnapshotTable[[#This Row],[Equity Value]] - SnapshotTable[[#This Row],[Equity Basis Total]]</f>
        <v>0</v>
      </c>
      <c r="U310" s="270" t="str">
        <f>IF(SnapshotTable[[#This Row],[Equity Basis Total]] &gt; 0, SnapshotTable[[#This Row],[Equity G/L]] / SnapshotTable[[#This Row],[Equity Basis Total]], "")</f>
        <v/>
      </c>
      <c r="V310" s="268"/>
      <c r="W310" s="26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7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0"/>
      <c r="AD310" s="151"/>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1"/>
      <c r="AI310" s="5"/>
      <c r="AJ310" s="138"/>
      <c r="AK310" s="152" t="str">
        <f>IF(ISNUMBER( SnapshotTable[[#This Row],[EBF Target]]),(SnapshotTable[[#This Row],[EBF Target]] - SnapshotTable[[#This Row],[Last Price]]) / SnapshotTable[[#This Row],[Last Price]], "")</f>
        <v/>
      </c>
      <c r="AL310" s="152"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2" t="str">
        <f>IF(AND(ISNUMBER( SnapshotTable[[#This Row],[Long Term Target]]), ISNUMBER(SnapshotTable[[#This Row],[Last Price]])),(SnapshotTable[[#This Row],[Long Term Target]] - SnapshotTable[[#This Row],[Last Price]]) / SnapshotTable[[#This Row],[Last Price]], "")</f>
        <v/>
      </c>
      <c r="AP310" s="5"/>
      <c r="AQ310" s="38"/>
      <c r="AR310" s="5"/>
      <c r="AS310" s="38"/>
      <c r="AT310" s="146"/>
      <c r="AU310" s="187" t="str">
        <f>IF(OR(SnapshotTable[[#This Row],[LP No Fill]]="Y",SnapshotTable[[#This Row],[SP Is Filled]],SnapshotTable[[#This Row],[LC Not Filled]]="Y",SnapshotTable[[#This Row],[SC Is Filled]]),"Y","")</f>
        <v/>
      </c>
      <c r="AV310" s="219"/>
      <c r="AW310" s="225"/>
      <c r="AX310" s="220"/>
      <c r="AY310" s="219" t="str">
        <f>IF(SnapshotTable[[#This Row],[Implied Move]]&gt;0, SnapshotTable[[#This Row],[Last Price]]-SnapshotTable[[#This Row],[Implied Move]],"")</f>
        <v/>
      </c>
      <c r="AZ310" s="219" t="str">
        <f>IF(SnapshotTable[[#This Row],[Implied Move]]&gt;0, SnapshotTable[[#This Row],[Last Price]] + SnapshotTable[[#This Row],[Implied Move]],"")</f>
        <v/>
      </c>
      <c r="BA310" s="331"/>
      <c r="BB310" s="347"/>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51"/>
      <c r="BE310" s="5"/>
      <c r="BF310" s="14"/>
      <c r="BG310" s="13"/>
      <c r="BH310" s="13"/>
      <c r="BI310" s="5"/>
      <c r="BJ310" s="136">
        <f>IF(SnapshotTable[[#This Row],[LP Qty]] &gt; 0, SnapshotTable[[#This Row],[LP Qty]] * SnapshotTable[[#This Row],[LP Book Price]] * 100,0)</f>
        <v>0</v>
      </c>
      <c r="BK310" s="136">
        <f>IF(SnapshotTable[[#This Row],[LP Premium]] &gt; 0, SnapshotTable[[#This Row],[LP Qty]] * SnapshotTable[[#This Row],[LP Strike Price]] * 100,0)</f>
        <v>0</v>
      </c>
      <c r="BL310" s="154"/>
      <c r="BM310" s="385" t="str">
        <f>IF(SnapshotTable[[#This Row],[LP Premium]] &gt; 0,SnapshotTable[[#This Row],[LP Exp Date]]-MAX(SnapshotTable[[#This Row],[LP Book Date]], SnapshotTable[[#This Row],[LP Fill Date]]),"")</f>
        <v/>
      </c>
      <c r="BN310" s="385" t="str">
        <f>IF(ISNUMBER( SnapshotTable[[#This Row],[LP Term]]), SnapshotTable[[#This Row],[LP Exp Date]] - MockToday,"")</f>
        <v/>
      </c>
      <c r="BO310" s="163"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7"/>
      <c r="BU310" s="13"/>
      <c r="BV310" s="5"/>
      <c r="BW310" s="419" t="b">
        <f>AND(ISNUMBER(SnapshotTable[[#This Row],[SP Exp Date]]), ISNUMBER(SnapshotTable[[#This Row],[SP Strike Price]]), ISNUMBER(SnapshotTable[[#This Row],[SP Qty]]), ISNUMBER(SnapshotTable[[#This Row],[SP Book Date]]), ISNUMBER(SnapshotTable[[#This Row],[SP Book Price]]))</f>
        <v>0</v>
      </c>
      <c r="BX310" s="419" t="b">
        <f>AND(SnapshotTable[[#This Row],[SP Is Booked]], NOT(ISBLANK(SnapshotTable[[#This Row],[SP Fill Date]])))</f>
        <v>0</v>
      </c>
      <c r="BY310" s="33">
        <f>IF(SnapshotTable[[#This Row],[SP Is Booked]], SnapshotTable[[#This Row],[SP Qty]] * SnapshotTable[[#This Row],[SP Book Price]] * 100, 0)</f>
        <v>0</v>
      </c>
      <c r="BZ310" s="369"/>
      <c r="CA310" s="368">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3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44"/>
      <c r="CK310" s="31">
        <f>IF(ISNUMBER(SnapshotTable[[#This Row],[SP Potential Spend]]),IF(ISNUMBER(SnapshotTable[[#This Row],[SP POW]]), SnapshotTable[[#This Row],[SP POW]] * SnapshotTable[[#This Row],[SP Potential Spend]], SnapshotTable[[#This Row],[SP Potential Spend]]), "")</f>
        <v>0</v>
      </c>
      <c r="CL310" s="164">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8"/>
      <c r="CO310" s="369"/>
      <c r="CP310" s="4" t="str">
        <f>IF(SnapshotTable[[#This Row],[SP Is Filled]], btc_max_buyback_amount(SnapshotTable[[#This Row],[SP Fill Date]],SnapshotTable[[#This Row],[SP Exp Date]], SnapshotTable[[#This Row],[SP Book Price]]),"")</f>
        <v/>
      </c>
      <c r="CQ310" s="78"/>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5" t="str">
        <f>IF(SnapshotTable[[#This Row],[SP Is Filled]], btc_next_cutoff_date(SnapshotTable[[#This Row],[SP Fill Date]],SnapshotTable[[#This Row],[SP Exp Date]]),"")</f>
        <v/>
      </c>
      <c r="CT310" s="23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3"/>
      <c r="CV310" s="235"/>
      <c r="CW310" s="378"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294" t="str">
        <f>IF(ISNUMBER((SnapshotTable[[#This Row],[SP Total Value]])), SnapshotTable[[#This Row],[SP Gain Loss]] / SnapshotTable[[#This Row],[SP Premium]], "")</f>
        <v/>
      </c>
      <c r="DI310" s="406"/>
      <c r="DJ310" s="138"/>
      <c r="DK310" s="148"/>
      <c r="DL310" s="13"/>
      <c r="DM310" s="13"/>
      <c r="DO310" s="31">
        <f>IF(SnapshotTable[[#This Row],[LC Symbol Count]]=1, SnapshotTable[[#This Row],[LC Qty]] * SnapshotTable[[#This Row],[LC Book Price]] * 100, 0)</f>
        <v>0</v>
      </c>
      <c r="DP310" s="163" t="str">
        <f>IF(AND(SnapshotTable[[#This Row],[LC Exp Date]]&gt;0, SnapshotTable[[#This Row],[LC Strike Price]]&gt;0,SnapshotTable[[#This Row],[LC Qty]]&gt;0,SnapshotTable[[#This Row],[LC Book Date]]&gt;0,SnapshotTable[[#This Row],[LC Book Price]]&gt;0,SnapshotTable[[#This Row],[LC Fill Date]]=0),"Y","")</f>
        <v/>
      </c>
      <c r="DQ310" s="386" t="str">
        <f>IF(SnapshotTable[[#This Row],[LC Premium]] &gt; 0,SnapshotTable[[#This Row],[LC Exp Date]]-MAX(SnapshotTable[[#This Row],[LC Book Date]], SnapshotTable[[#This Row],[LC Fill Date]]),"")</f>
        <v/>
      </c>
      <c r="DR310" s="386" t="str">
        <f>IF(ISNUMBER(SnapshotTable[[#This Row],[LC Term]]), SnapshotTable[[#This Row],[LC Exp Date]] - MockToday, "")</f>
        <v/>
      </c>
      <c r="DS310" s="23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40" t="str">
        <f>IF(ISNUMBER(SnapshotTable[[#This Row],[LC Actual Gain Loss]]), SnapshotTable[[#This Row],[LC Actual Gain Loss]] / SnapshotTable[[#This Row],[LC Premium]],"")</f>
        <v/>
      </c>
      <c r="DX310" s="284" t="str">
        <f>IF(ISNUMBER(SnapshotTable[[#This Row],[LC Book Price]]),SnapshotTable[[#This Row],[LC Book Price]] * 1.5,"")</f>
        <v/>
      </c>
      <c r="DY310" s="265" t="str">
        <f>IF(SnapshotTable[[#This Row],[LC Premium]]&gt;0, SnapshotTable[[#This Row],[LC Next Target]] * SnapshotTable[[#This Row],[LC Qty]] * 100,"")</f>
        <v/>
      </c>
      <c r="DZ310" s="265" t="str">
        <f>IF(ISNUMBER(SnapshotTable[[#This Row],[LC Target Gross]]), SnapshotTable[[#This Row],[LC Target Gross]] - SnapshotTable[[#This Row],[LC Premium]], "")</f>
        <v/>
      </c>
      <c r="EA310" s="305" t="str">
        <f>IF(ISNUMBER(SnapshotTable[[#This Row],[LC Target Gain Loss]]), SnapshotTable[[#This Row],[LC Target Gain Loss]]/SnapshotTable[[#This Row],[LC Premium]], "")</f>
        <v/>
      </c>
      <c r="EB310" s="262"/>
      <c r="EC310" s="283" t="str">
        <f>IF(SnapshotTable[[#This Row],[LC Premium]]&gt;0, SnapshotTable[[#This Row],[LC Book Price]] * (1 - LC_StopLoss_Pct),"")</f>
        <v/>
      </c>
      <c r="ED310" s="284"/>
      <c r="EE310" s="28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4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0</v>
      </c>
      <c r="EK310" s="147"/>
      <c r="EL310" s="138"/>
      <c r="EM310" s="148"/>
      <c r="EN310" s="147"/>
      <c r="EO310" s="147"/>
      <c r="EP310" s="138"/>
      <c r="EQ310" s="419" t="b">
        <f>AND(ISNUMBER(SnapshotTable[[#This Row],[SC Exp Date]]), ISNUMBER(SnapshotTable[[#This Row],[SC Strike Price]]), ISNUMBER(SnapshotTable[[#This Row],[SC Qty]]), ISNUMBER(SnapshotTable[[#This Row],[SC Book Date]]), ISNUMBER(SnapshotTable[[#This Row],[SC Book Price]]))</f>
        <v>0</v>
      </c>
      <c r="ER310" s="419" t="b">
        <f>AND(SnapshotTable[[#This Row],[SC Is Booked]], NOT(ISBLANK(SnapshotTable[[#This Row],[SC Fill Date]])))</f>
        <v>0</v>
      </c>
      <c r="ES310" s="370"/>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3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283"/>
      <c r="FA310" s="218"/>
      <c r="FB310" s="370"/>
      <c r="FC310" s="4">
        <f>IF(SnapshotTable[[#This Row],[SC Is Filled]], btc_max_buyback_amount(SnapshotTable[[#This Row],[SC Fill Date]],SnapshotTable[[#This Row],[SC Exp Date]], SnapshotTable[[#This Row],[SC Book Price]]),0)</f>
        <v>0</v>
      </c>
      <c r="FD310" s="5"/>
      <c r="FE310" s="144"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382">
        <f>IF(SnapshotTable[[#This Row],[SC Is Filled]], IF(ISNUMBER(SnapshotTable[[#This Row],[SC Current Ask]]), SnapshotTable[[#This Row],[SC Current Ask]], SnapshotTable[[#This Row],[SC Book Price]]) - SnapshotTable[[#This Row],[SC Intrinsic Value]], 0)</f>
        <v>0</v>
      </c>
      <c r="FI310" s="143"/>
      <c r="FJ310" s="32" t="str">
        <f>IF(SnapshotTable[[#This Row],[SC Is Filled]],100 * SnapshotTable[[#This Row],[SC Qty]] * IF(ISNUMBER(SnapshotTable[[#This Row],[SC Buyback Override]]), SnapshotTable[[#This Row],[SC Buyback Override]], SnapshotTable[[#This Row],[SC Current Ask]]), "")</f>
        <v/>
      </c>
      <c r="FK310" s="250" t="str">
        <f>IF(SnapshotTable[[#This Row],[SC Time Val]]&gt;0, SnapshotTable[[#This Row],[SC Time Val]] / SnapshotTable[[#This Row],[Last Price]],"")</f>
        <v/>
      </c>
      <c r="FL310" s="302" t="str">
        <f>IF(SnapshotTable[[#This Row],[SC Is Booked]], ((SnapshotTable[[#This Row],[Last Price]] -SnapshotTable[[#This Row],[SC Strike Price]]) / SnapshotTable[[#This Row],[Last Price]]) * -1, "")</f>
        <v/>
      </c>
      <c r="FM310" s="157"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33"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36" t="str">
        <f>IF(AND(ISNUMBER(SnapshotTable[[#This Row],[SC Simple ROO]]),SnapshotTable[[#This Row],[SC Simple ROO]] &gt; 0), SnapshotTable[[#This Row],[SC Premium]] + (SnapshotTable[[#This Row],[SC Qty]] * SnapshotTable[[#This Row],[SC Upside Potential]]), "")</f>
        <v/>
      </c>
      <c r="FX310" s="302" t="str" cm="1">
        <f t="array" ref="FX310">IF(ISNUMBER(SnapshotTable[[#This Row],[SC Max Dollars]]), annualize(SnapshotTable[[#This Row],[SC Term]],(SnapshotTable[[#This Row],[SC Max Dollars]]/SnapshotTable[[#This Row],[SC Basis]])),"")</f>
        <v/>
      </c>
      <c r="FY310" s="23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294" t="str">
        <f>IFERROR( IF(ISNUMBER((SnapshotTable[[#This Row],[SC Current Value]])), SnapshotTable[[#This Row],[SC Gain Loss]] / SnapshotTable[[#This Row],[SC Premium]], ""), "")</f>
        <v/>
      </c>
      <c r="GB310" s="42">
        <f>SnapshotTable[[#This Row],[Equity Shares]] * SaleSharesToConsiderPercentage</f>
        <v>0</v>
      </c>
      <c r="GC310" s="40">
        <f>SnapshotTable[[#This Row],[Long Term Target]] * SellingPriceToConsiderBasedOnTargetPercentage</f>
        <v>0</v>
      </c>
      <c r="GD310" s="40">
        <f>SnapshotTable[[#This Row],[Last Price]] * (1+ SellingPriceToConsiderBasedOnTargetPercentage)</f>
        <v>47.131500000000003</v>
      </c>
      <c r="GE310" s="41"/>
      <c r="GF310" s="40"/>
      <c r="GG310" s="31">
        <f>SnapshotTable[[#This Row],[Booked Sale Shares]] * SnapshotTable[[#This Row],[Booked Sale Price]]</f>
        <v>0</v>
      </c>
      <c r="GH310" s="31" t="str">
        <f>IF(SnapshotTable[[#This Row],[Equity Basis Total]] &gt; 0, SnapshotTable[[#This Row],[Equity Basis Per Share]] * SnapshotTable[[#This Row],[Booked Sale Shares]], "")</f>
        <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0" s="231">
        <f>MAX(SnapshotTable[[#This Row],[Equity Basis Total]],SnapshotTable[[#This Row],[Equity Value]]) + (SnapshotTable[[#This Row],[SP Potential Spend]]- SnapshotTable[[#This Row],[SP Premium]] + SnapshotTable[[#This Row],[LP Premium]])+ (SnapshotTable[[#This Row],[LC Premium]] - SnapshotTable[[#This Row],[SC Premium]])</f>
        <v>0</v>
      </c>
      <c r="GW310" s="139" t="str">
        <f>IF(AND(SnapshotTable[[#This Row],[Exposure]] &lt;&gt; 0),SnapshotTable[[#This Row],[Exposure]] / SnapshotTable[[#Totals],[Exposure]], "")</f>
        <v/>
      </c>
      <c r="HK310" s="1"/>
      <c r="HL310" s="1"/>
      <c r="HM310" s="1"/>
      <c r="HN310" s="1"/>
      <c r="HO310" s="1"/>
      <c r="HP310" s="1"/>
    </row>
    <row r="311" spans="2:224" ht="12.75" customHeight="1" x14ac:dyDescent="0.25">
      <c r="B311" s="12" t="s">
        <v>1232</v>
      </c>
      <c r="C311" s="387">
        <v>37.299999999999997</v>
      </c>
      <c r="D311" s="208"/>
      <c r="E311" s="39">
        <f>SnapshotTable[[#This Row],[Last Price]]*(1 -CrashDiscount)</f>
        <v>31.704999999999998</v>
      </c>
      <c r="F311" s="26" t="s">
        <v>550</v>
      </c>
      <c r="G311" s="26" t="s">
        <v>41</v>
      </c>
      <c r="H311" s="149"/>
      <c r="I311" s="194"/>
      <c r="J311" s="195"/>
      <c r="K311" s="196"/>
      <c r="L311" s="327"/>
      <c r="M311" s="140"/>
      <c r="N311" s="140"/>
      <c r="O311" s="140"/>
      <c r="P311" s="22">
        <v>600</v>
      </c>
      <c r="Q311" s="25">
        <v>25516</v>
      </c>
      <c r="R311" s="4">
        <f>IF(SnapshotTable[[#This Row],[Equity Basis Total]] &gt; 0, SnapshotTable[[#This Row],[Equity Basis Total]] / SnapshotTable[[#This Row],[Equity Shares]], "")</f>
        <v>42.526666666666664</v>
      </c>
      <c r="S311" s="329">
        <f>SnapshotTable[[#This Row],[Last Price]] * SnapshotTable[[#This Row],[Equity Shares]]</f>
        <v>22380</v>
      </c>
      <c r="T311" s="269">
        <f>SnapshotTable[[#This Row],[Equity Value]] - SnapshotTable[[#This Row],[Equity Basis Total]]</f>
        <v>-3136</v>
      </c>
      <c r="U311" s="270">
        <f>IF(SnapshotTable[[#This Row],[Equity Basis Total]] &gt; 0, SnapshotTable[[#This Row],[Equity G/L]] / SnapshotTable[[#This Row],[Equity Basis Total]], "")</f>
        <v>-0.12290327637560747</v>
      </c>
      <c r="V311" s="268"/>
      <c r="W311" s="268"/>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7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0"/>
      <c r="AD311" s="151"/>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1"/>
      <c r="AI311" s="330"/>
      <c r="AJ311" s="138"/>
      <c r="AK311" s="152" t="str">
        <f>IF(ISNUMBER( SnapshotTable[[#This Row],[EBF Target]]),(SnapshotTable[[#This Row],[EBF Target]] - SnapshotTable[[#This Row],[Last Price]]) / SnapshotTable[[#This Row],[Last Price]], "")</f>
        <v/>
      </c>
      <c r="AL311" s="152"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2" t="str">
        <f>IF(AND(ISNUMBER( SnapshotTable[[#This Row],[Long Term Target]]), ISNUMBER(SnapshotTable[[#This Row],[Last Price]])),(SnapshotTable[[#This Row],[Long Term Target]] - SnapshotTable[[#This Row],[Last Price]]) / SnapshotTable[[#This Row],[Last Price]], "")</f>
        <v/>
      </c>
      <c r="AP311" s="5">
        <v>35</v>
      </c>
      <c r="AQ311" s="38" t="s">
        <v>27</v>
      </c>
      <c r="AR311" s="5">
        <v>35</v>
      </c>
      <c r="AS311" s="38" t="s">
        <v>38</v>
      </c>
      <c r="AT311" s="146"/>
      <c r="AU311" s="187" t="str">
        <f ca="1">IF(OR(SnapshotTable[[#This Row],[LP No Fill]]="Y",SnapshotTable[[#This Row],[SP Is Filled]],SnapshotTable[[#This Row],[LC Not Filled]]="Y",SnapshotTable[[#This Row],[SC Is Filled]]),"Y","")</f>
        <v>Y</v>
      </c>
      <c r="AV311" s="338"/>
      <c r="AW311" s="339"/>
      <c r="AX311" s="220"/>
      <c r="AY311" s="219" t="str">
        <f>IF(SnapshotTable[[#This Row],[Implied Move]]&gt;0, SnapshotTable[[#This Row],[Last Price]]-SnapshotTable[[#This Row],[Implied Move]],"")</f>
        <v/>
      </c>
      <c r="AZ311" s="219" t="str">
        <f>IF(SnapshotTable[[#This Row],[Implied Move]]&gt;0, SnapshotTable[[#This Row],[Last Price]] + SnapshotTable[[#This Row],[Implied Move]],"")</f>
        <v/>
      </c>
      <c r="BA311" s="331">
        <v>33.18</v>
      </c>
      <c r="BB311" s="347"/>
      <c r="BC311"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11" s="351"/>
      <c r="BE311" s="138"/>
      <c r="BF311" s="166"/>
      <c r="BG311" s="167"/>
      <c r="BH311" s="167"/>
      <c r="BI311" s="221"/>
      <c r="BJ311" s="153">
        <f>IF(SnapshotTable[[#This Row],[LP Qty]] &gt; 0, SnapshotTable[[#This Row],[LP Qty]] * SnapshotTable[[#This Row],[LP Book Price]] * 100,0)</f>
        <v>0</v>
      </c>
      <c r="BK311" s="136">
        <f>IF(SnapshotTable[[#This Row],[LP Premium]] &gt; 0, SnapshotTable[[#This Row],[LP Qty]] * SnapshotTable[[#This Row],[LP Strike Price]] * 100,0)</f>
        <v>0</v>
      </c>
      <c r="BL311" s="154"/>
      <c r="BM311" s="385" t="str">
        <f>IF(SnapshotTable[[#This Row],[LP Premium]] &gt; 0,SnapshotTable[[#This Row],[LP Exp Date]]-MAX(SnapshotTable[[#This Row],[LP Book Date]], SnapshotTable[[#This Row],[LP Fill Date]]),"")</f>
        <v/>
      </c>
      <c r="BN311" s="385" t="str">
        <f>IF(ISNUMBER( SnapshotTable[[#This Row],[LP Term]]), SnapshotTable[[#This Row],[LP Exp Date]] - MockToday,"")</f>
        <v/>
      </c>
      <c r="BO311" s="163"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7"/>
      <c r="BU311" s="13"/>
      <c r="BV311" s="5"/>
      <c r="BW311" s="419" t="b">
        <f>AND(ISNUMBER(SnapshotTable[[#This Row],[SP Exp Date]]), ISNUMBER(SnapshotTable[[#This Row],[SP Strike Price]]), ISNUMBER(SnapshotTable[[#This Row],[SP Qty]]), ISNUMBER(SnapshotTable[[#This Row],[SP Book Date]]), ISNUMBER(SnapshotTable[[#This Row],[SP Book Price]]))</f>
        <v>0</v>
      </c>
      <c r="BX311" s="419" t="b">
        <f>AND(SnapshotTable[[#This Row],[SP Is Booked]], NOT(ISBLANK(SnapshotTable[[#This Row],[SP Fill Date]])))</f>
        <v>0</v>
      </c>
      <c r="BY311" s="33">
        <f>IF(SnapshotTable[[#This Row],[SP Is Booked]], SnapshotTable[[#This Row],[SP Qty]] * SnapshotTable[[#This Row],[SP Book Price]] * 100, 0)</f>
        <v>0</v>
      </c>
      <c r="BZ311" s="369">
        <v>0.48</v>
      </c>
      <c r="CA311" s="368">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3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44"/>
      <c r="CK311" s="31">
        <f>IF(ISNUMBER(SnapshotTable[[#This Row],[SP Potential Spend]]),IF(ISNUMBER(SnapshotTable[[#This Row],[SP POW]]), SnapshotTable[[#This Row],[SP POW]] * SnapshotTable[[#This Row],[SP Potential Spend]], SnapshotTable[[#This Row],[SP Potential Spend]]), "")</f>
        <v>0</v>
      </c>
      <c r="CL311" s="164">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4"/>
      <c r="CO311" s="369"/>
      <c r="CP311" s="320" t="str">
        <f>IF(SnapshotTable[[#This Row],[SP Is Filled]], btc_max_buyback_amount(SnapshotTable[[#This Row],[SP Fill Date]],SnapshotTable[[#This Row],[SP Exp Date]], SnapshotTable[[#This Row],[SP Book Price]]),"")</f>
        <v/>
      </c>
      <c r="CQ311" s="78"/>
      <c r="CR311"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5" t="str">
        <f>IF(SnapshotTable[[#This Row],[SP Is Filled]], btc_next_cutoff_date(SnapshotTable[[#This Row],[SP Fill Date]],SnapshotTable[[#This Row],[SP Exp Date]]),"")</f>
        <v/>
      </c>
      <c r="CT311" s="23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43"/>
      <c r="CV311" s="235"/>
      <c r="CW311" s="378"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294" t="str">
        <f>IF(ISNUMBER((SnapshotTable[[#This Row],[SP Total Value]])), SnapshotTable[[#This Row],[SP Gain Loss]] / SnapshotTable[[#This Row],[SP Premium]], "")</f>
        <v/>
      </c>
      <c r="DI311" s="406"/>
      <c r="DJ311" s="138"/>
      <c r="DK311" s="166"/>
      <c r="DL311" s="167"/>
      <c r="DM311" s="167"/>
      <c r="DO311" s="31">
        <f>IF(SnapshotTable[[#This Row],[LC Symbol Count]]=1, SnapshotTable[[#This Row],[LC Qty]] * SnapshotTable[[#This Row],[LC Book Price]] * 100, 0)</f>
        <v>0</v>
      </c>
      <c r="DP311" s="289" t="str">
        <f>IF(AND(SnapshotTable[[#This Row],[LC Exp Date]]&gt;0, SnapshotTable[[#This Row],[LC Strike Price]]&gt;0,SnapshotTable[[#This Row],[LC Qty]]&gt;0,SnapshotTable[[#This Row],[LC Book Date]]&gt;0,SnapshotTable[[#This Row],[LC Book Price]]&gt;0,SnapshotTable[[#This Row],[LC Fill Date]]=0),"Y","")</f>
        <v/>
      </c>
      <c r="DQ311" s="386" t="str">
        <f>IF(SnapshotTable[[#This Row],[LC Premium]] &gt; 0,SnapshotTable[[#This Row],[LC Exp Date]]-MAX(SnapshotTable[[#This Row],[LC Book Date]], SnapshotTable[[#This Row],[LC Fill Date]]),"")</f>
        <v/>
      </c>
      <c r="DR311" s="386" t="str">
        <f>IF(ISNUMBER(SnapshotTable[[#This Row],[LC Term]]), SnapshotTable[[#This Row],[LC Exp Date]] - MockToday, "")</f>
        <v/>
      </c>
      <c r="DS311" s="23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40" t="str">
        <f>IF(ISNUMBER(SnapshotTable[[#This Row],[LC Actual Gain Loss]]), SnapshotTable[[#This Row],[LC Actual Gain Loss]] / SnapshotTable[[#This Row],[LC Premium]],"")</f>
        <v/>
      </c>
      <c r="DX311" s="284" t="str">
        <f>IF(ISNUMBER(SnapshotTable[[#This Row],[LC Book Price]]),SnapshotTable[[#This Row],[LC Book Price]] * 1.5,"")</f>
        <v/>
      </c>
      <c r="DY311" s="265" t="str">
        <f>IF(SnapshotTable[[#This Row],[LC Premium]]&gt;0, SnapshotTable[[#This Row],[LC Next Target]] * SnapshotTable[[#This Row],[LC Qty]] * 100,"")</f>
        <v/>
      </c>
      <c r="DZ311" s="265" t="str">
        <f>IF(ISNUMBER(SnapshotTable[[#This Row],[LC Target Gross]]), SnapshotTable[[#This Row],[LC Target Gross]] - SnapshotTable[[#This Row],[LC Premium]], "")</f>
        <v/>
      </c>
      <c r="EA311" s="305" t="str">
        <f>IF(ISNUMBER(SnapshotTable[[#This Row],[LC Target Gain Loss]]), SnapshotTable[[#This Row],[LC Target Gain Loss]]/SnapshotTable[[#This Row],[LC Premium]], "")</f>
        <v/>
      </c>
      <c r="EB311" s="262"/>
      <c r="EC311" s="290" t="str">
        <f>IF(SnapshotTable[[#This Row],[LC Premium]]&gt;0, SnapshotTable[[#This Row],[LC Book Price]] * (1 - LC_StopLoss_Pct),"")</f>
        <v/>
      </c>
      <c r="ED311" s="284"/>
      <c r="EE311" s="290" t="str">
        <f>IF(ISNUMBER(SnapshotTable[[#This Row],[LC Contract Value]]),IF(ISNUMBER(SnapshotTable[[#This Row],[LC Stop Loss Override]]), SnapshotTable[[#This Row],[LC Stop Loss Override]],SnapshotTable[[#This Row],[LC Stop Loss Calc Target]]),"")</f>
        <v/>
      </c>
      <c r="EF311" s="32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4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6</v>
      </c>
      <c r="EK311" s="147">
        <f ca="1">NextMonthlyOpex</f>
        <v>46255</v>
      </c>
      <c r="EL311" s="138">
        <v>38</v>
      </c>
      <c r="EM311" s="148">
        <v>6</v>
      </c>
      <c r="EN311" s="147">
        <f ca="1">WORKDAY(MockToday, 0)</f>
        <v>46233</v>
      </c>
      <c r="EO311" s="147">
        <f ca="1">SnapshotTable[[#This Row],[SC Book Date]]</f>
        <v>46233</v>
      </c>
      <c r="EP311" s="138">
        <v>6.9</v>
      </c>
      <c r="EQ311" s="419" t="b">
        <f ca="1">AND(ISNUMBER(SnapshotTable[[#This Row],[SC Exp Date]]), ISNUMBER(SnapshotTable[[#This Row],[SC Strike Price]]), ISNUMBER(SnapshotTable[[#This Row],[SC Qty]]), ISNUMBER(SnapshotTable[[#This Row],[SC Book Date]]), ISNUMBER(SnapshotTable[[#This Row],[SC Book Price]]))</f>
        <v>1</v>
      </c>
      <c r="ER311" s="419" t="b">
        <f ca="1">AND(SnapshotTable[[#This Row],[SC Is Booked]], NOT(ISBLANK(SnapshotTable[[#This Row],[SC Fill Date]])))</f>
        <v>1</v>
      </c>
      <c r="ES311" s="370">
        <v>0.7</v>
      </c>
      <c r="ET311" s="34">
        <f ca="1">IF(AND(ISNUMBER(SnapshotTable[[#This Row],[SC Exp Date]]), ISNUMBER(SnapshotTable[[#This Row],[SC Book Date]])), SnapshotTable[[#This Row],[SC Exp Date]] - MAX(SnapshotTable[[#This Row],[SC Book Date]], SnapshotTable[[#This Row],[SC Fill Date]]) + 1, "")</f>
        <v>23</v>
      </c>
      <c r="EU311" s="34">
        <f ca="1">IF(ISNUMBER(SnapshotTable[[#This Row],[SC Term]]), SnapshotTable[[#This Row],[SC Exp Date]]- MockToday, "")</f>
        <v>22</v>
      </c>
      <c r="EV311" s="31">
        <f ca="1">IF(SnapshotTable[[#This Row],[SC Is Booked]], SnapshotTable[[#This Row],[SC Qty]] * SnapshotTable[[#This Row],[SC Book Price]] * 100, 0)</f>
        <v>4140.0000000000009</v>
      </c>
      <c r="EW311" s="4">
        <f>IF(AND(ISNUMBER(SnapshotTable[[#This Row],[Last Price]]), ISNUMBER( SnapshotTable[[#This Row],[SC Book Price]])), SnapshotTable[[#This Row],[Last Price]] - SnapshotTable[[#This Row],[SC Book Price]],"")</f>
        <v>30.4</v>
      </c>
      <c r="EX311" s="234">
        <f ca="1">IF(SnapshotTable[[#This Row],[SC Is Booked]],IF(SnapshotTable[[#This Row],[SC Intrinsic Value]] &gt; 0, SnapshotTable[[#This Row],[SC Strike Price]], SnapshotTable[[#This Row],[Last Price]]), "")</f>
        <v>37.299999999999997</v>
      </c>
      <c r="EY311" s="4">
        <f ca="1">IF(SnapshotTable[[#This Row],[SC Is Booked]], (MinimumPremiumRequired * SnapshotTable[[#This Row],[SC Basis]] * SnapshotTable[[#This Row],[SC Term]]), 0)</f>
        <v>0.8579</v>
      </c>
      <c r="EZ311" s="283"/>
      <c r="FA311" s="218">
        <v>1.57</v>
      </c>
      <c r="FB311" s="370">
        <v>0.39</v>
      </c>
      <c r="FC311" s="4" t="e">
        <f ca="1">IF(SnapshotTable[[#This Row],[SC Is Filled]], btc_max_buyback_amount(SnapshotTable[[#This Row],[SC Fill Date]],SnapshotTable[[#This Row],[SC Exp Date]], SnapshotTable[[#This Row],[SC Book Price]]),0)</f>
        <v>#NAME?</v>
      </c>
      <c r="FD311" s="5"/>
      <c r="FE311" s="144" t="e">
        <f ca="1">IF(SnapshotTable[[#This Row],[SC Is Filled]], btc_next_cutoff_date(SnapshotTable[[#This Row],[SC Fill Date]],SnapshotTable[[#This Row],[SC Exp Date]]),"")</f>
        <v>#NAME?</v>
      </c>
      <c r="FF311" s="4" t="e" cm="1">
        <f t="array" aca="1" ref="FF311" ca="1">IF(SnapshotTable[[#This Row],[SC Is Filled]], btc_should_buy_back(SnapshotTable[[#This Row],[SC Fill Date]], SnapshotTable[[#This Row],[SC Exp Date]], SnapshotTable[[#This Row],[SC Book Price]], SnapshotTable[[#This Row],[SC Current Ask]], MockToday, SnapshotTable[[#This Row],[SC Buyback Override]]),"")</f>
        <v>#NAME?</v>
      </c>
      <c r="FG311" s="4">
        <f ca="1">IF(SnapshotTable[[#This Row],[SC Is Filled]], MAX(0,SnapshotTable[[#This Row],[Last Price]]  - SnapshotTable[[#This Row],[SC Strike Price]]), 0)</f>
        <v>0</v>
      </c>
      <c r="FH311" s="382">
        <f ca="1">IF(SnapshotTable[[#This Row],[SC Is Filled]], IF(ISNUMBER(SnapshotTable[[#This Row],[SC Current Ask]]), SnapshotTable[[#This Row],[SC Current Ask]], SnapshotTable[[#This Row],[SC Book Price]]) - SnapshotTable[[#This Row],[SC Intrinsic Value]], 0)</f>
        <v>1.57</v>
      </c>
      <c r="FI311" s="143">
        <v>46224</v>
      </c>
      <c r="FJ311" s="32">
        <f ca="1">IF(SnapshotTable[[#This Row],[SC Is Filled]],100 * SnapshotTable[[#This Row],[SC Qty]] * IF(ISNUMBER(SnapshotTable[[#This Row],[SC Buyback Override]]), SnapshotTable[[#This Row],[SC Buyback Override]], SnapshotTable[[#This Row],[SC Current Ask]]), "")</f>
        <v>942</v>
      </c>
      <c r="FK311" s="250">
        <f ca="1">IF(SnapshotTable[[#This Row],[SC Time Val]]&gt;0, SnapshotTable[[#This Row],[SC Time Val]] / SnapshotTable[[#This Row],[Last Price]],"")</f>
        <v>4.2091152815013411E-2</v>
      </c>
      <c r="FL311" s="302">
        <f ca="1">IF(SnapshotTable[[#This Row],[SC Is Booked]], ((SnapshotTable[[#This Row],[Last Price]] -SnapshotTable[[#This Row],[SC Strike Price]]) / SnapshotTable[[#This Row],[Last Price]]) * -1, "")</f>
        <v>1.876675603217166E-2</v>
      </c>
      <c r="FM311" s="157">
        <f ca="1">IF(SnapshotTable[[#This Row],[SC Is Booked]],  (SnapshotTable[[#This Row],[SC Qty]] * 100 * SnapshotTable[[#This Row],[SC Strike Price]]) - SnapshotTable[[#This Row],[SC Current Ask]], "")</f>
        <v>22798.43</v>
      </c>
      <c r="FN311" s="157"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7">
        <f ca="1">IF(AND(ISNUMBER(SnapshotTable[[#This Row],[SC Exercise Gross]]), ISNUMBER(SnapshotTable[[#This Row],[Equity Basis Per Share]] )), SnapshotTable[[#This Row],[SC Exercise Gross]] - SnapshotTable[[#This Row],[Equity Basis Total]] +  SnapshotTable[[#This Row],[SC Premium]], "")</f>
        <v>1422.4300000000012</v>
      </c>
      <c r="FP311" s="5">
        <f ca="1">IF(ISNUMBER(SnapshotTable[[#This Row],[SC Exercise Gross]]), (SnapshotTable[[#This Row],[SC Exercise Gross]]) / (SnapshotTable[[#This Row],[SC Qty]] * 100), "")</f>
        <v>37.997383333333332</v>
      </c>
      <c r="FQ311" s="27">
        <f ca="1">IF(SnapshotTable[[#This Row],[SC Is Booked]],SnapshotTable[[#This Row],[SC Time Val]] /SnapshotTable[[#This Row],[SC Basis]], "")</f>
        <v>4.2091152815013411E-2</v>
      </c>
      <c r="FR311" s="27" t="e" cm="1">
        <f t="array" aca="1" ref="FR311" ca="1">IF(AND(ISNUMBER(SnapshotTable[[#This Row],[SC Term]]),ISNUMBER(SnapshotTable[[#This Row],[SC Simple ROO]])), EllmanAnnualize(SnapshotTable[[#This Row],[SC DTE]], SnapshotTable[[#This Row],[SC Simple ROO]] ),"")</f>
        <v>#NAME?</v>
      </c>
      <c r="FS311" s="4">
        <f>IF(SnapshotTable[[#This Row],[SC Strike Price]] &gt; SnapshotTable[[#This Row],[Last Price]], SnapshotTable[[#This Row],[SC Strike Price]] - SnapshotTable[[#This Row],[Last Price]],0)</f>
        <v>0.70000000000000284</v>
      </c>
      <c r="FT311" s="27">
        <f>IF(AND(ISNUMBER(SnapshotTable[[#This Row],[SC Upside Potential]]), SnapshotTable[[#This Row],[SC Upside Potential]] &gt; 0),(SnapshotTable[[#This Row],[SC Upside Potential]]/ SnapshotTable[[#This Row],[ACB]]),"")</f>
        <v>2.1097046413502196E-2</v>
      </c>
      <c r="FU311" s="333" t="str">
        <f ca="1">IF(SnapshotTable[[#This Row],[SC Intrinsic Value]] &gt; 0,SnapshotTable[[#This Row],[SC Intrinsic Value]],"")</f>
        <v/>
      </c>
      <c r="FV311" s="27" t="str">
        <f ca="1">IF(AND( ISNUMBER( SnapshotTable[[#This Row],[ACB]]),ISNUMBER(SnapshotTable[[#This Row],[SC Downside Protect]])),SnapshotTable[[#This Row],[SC Downside Protect]] / SnapshotTable[[#This Row],[ACB]],"")</f>
        <v/>
      </c>
      <c r="FW311" s="236">
        <f ca="1">IF(AND(ISNUMBER(SnapshotTable[[#This Row],[SC Simple ROO]]),SnapshotTable[[#This Row],[SC Simple ROO]] &gt; 0), SnapshotTable[[#This Row],[SC Premium]] + (SnapshotTable[[#This Row],[SC Qty]] * SnapshotTable[[#This Row],[SC Upside Potential]]), "")</f>
        <v>4144.2000000000007</v>
      </c>
      <c r="FX311" s="302" t="e" cm="1">
        <f t="array" aca="1" ref="FX311" ca="1">IF(ISNUMBER(SnapshotTable[[#This Row],[SC Max Dollars]]), annualize(SnapshotTable[[#This Row],[SC Term]],(SnapshotTable[[#This Row],[SC Max Dollars]]/SnapshotTable[[#This Row],[SC Basis]])),"")</f>
        <v>#NAME?</v>
      </c>
      <c r="FY311" s="236">
        <f>IF(AND(SnapshotTable[[#This Row],[SC Qty]]&gt;0,SnapshotTable[[#This Row],[SC Current Ask]]&gt;0), SnapshotTable[[#This Row],[SC Qty]] * SnapshotTable[[#This Row],[SC Current Ask]] * -100, "")</f>
        <v>-942</v>
      </c>
      <c r="FZ311" s="235">
        <f ca="1">IF(ISNUMBER((SnapshotTable[[#This Row],[SC Current Value]])), SnapshotTable[[#This Row],[SC Premium]] + SnapshotTable[[#This Row],[SC Current Value]], "")</f>
        <v>3198.0000000000009</v>
      </c>
      <c r="GA311" s="294">
        <f ca="1">IFERROR( IF(ISNUMBER((SnapshotTable[[#This Row],[SC Current Value]])), SnapshotTable[[#This Row],[SC Gain Loss]] / SnapshotTable[[#This Row],[SC Premium]], ""), "")</f>
        <v>0.77246376811594208</v>
      </c>
      <c r="GB311" s="42">
        <f>SnapshotTable[[#This Row],[Equity Shares]] * SaleSharesToConsiderPercentage</f>
        <v>120</v>
      </c>
      <c r="GC311" s="40">
        <f>SnapshotTable[[#This Row],[Long Term Target]] * SellingPriceToConsiderBasedOnTargetPercentage</f>
        <v>0</v>
      </c>
      <c r="GD311" s="40">
        <f>SnapshotTable[[#This Row],[Last Price]] * (1+ SellingPriceToConsiderBasedOnTargetPercentage)</f>
        <v>72.734999999999999</v>
      </c>
      <c r="GE311" s="41"/>
      <c r="GF311" s="40"/>
      <c r="GG311" s="31">
        <f>SnapshotTable[[#This Row],[Booked Sale Shares]] * SnapshotTable[[#This Row],[Booked Sale Price]]</f>
        <v>0</v>
      </c>
      <c r="GH311" s="31">
        <f>IF(SnapshotTable[[#This Row],[Equity Basis Total]] &gt; 0, SnapshotTable[[#This Row],[Equity Basis Per Share]] * SnapshotTable[[#This Row],[Booked Sale Shares]], "")</f>
        <v>0</v>
      </c>
      <c r="GI311" s="31">
        <f>IF(SnapshotTable[[#This Row],[Sale Proceeds]]&gt;0, SnapshotTable[[#This Row],[Sale Proceeds]] - SnapshotTable[[#This Row],[Sale Basis]], 0)</f>
        <v>0</v>
      </c>
      <c r="GJ311" s="158">
        <f ca="1">IF(SnapshotTable[[#This Row],[Sale G/L]]&gt;0, SnapshotTable[[#This Row],[Sale G/L]] / SnapshotTable[[#This Row],[Sale Basis]], IF(ISNUMBER(SnapshotTable[[#This Row],[SC Exercise P&amp;L (TAX)]]), SnapshotTable[[#This Row],[SC Exercise P&amp;L (TAX)]] / SnapshotTable[[#This Row],[SC Basis]], ""))</f>
        <v>38.134852546916925</v>
      </c>
      <c r="GK311" s="27"/>
      <c r="GL311" s="159"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59" t="str">
        <f>IF(AND(SnapshotTable[[#This Row],[LC Exp Date]]&gt;0,SnapshotTable[[#This Row],[LC Strike Price]]&gt;0), [1]!ToOptionSymbol(SnapshotTable[[#This Row],[Symbol]], SnapshotTable[[#This Row],[LC Strike Price]],SnapshotTable[[#This Row],[LC Exp Date]],0), "")</f>
        <v/>
      </c>
      <c r="GQ311" s="160" t="str">
        <f>IF(LEN(SnapshotTable[[#This Row],[LC Symbol]])&gt;0, 1, "")</f>
        <v/>
      </c>
      <c r="GR311" s="159" t="str">
        <f ca="1">IF(AND(SnapshotTable[[#This Row],[SC Exp Date]]&gt;0,SnapshotTable[[#This Row],[SC Strike Price]]&gt;0), [1]!ToOptionSymbol(SnapshotTable[[#This Row],[Symbol]], SnapshotTable[[#This Row],[SC Strike Price]],SnapshotTable[[#This Row],[SC Exp Date]],0), "")</f>
        <v>B260821C00038000</v>
      </c>
      <c r="GS311" s="160">
        <f ca="1">IF(LEN(SnapshotTable[[#This Row],[SC Symbol]])&gt;0, 1, "")</f>
        <v>1</v>
      </c>
      <c r="GT311" s="161" t="str">
        <f ca="1">IF(COUNT(SnapshotTable[[#This Row],[LP Symbol Count]],SnapshotTable[[#This Row],[SP Symbol Count]],SnapshotTable[[#This Row],[LC Symbol Count]],SnapshotTable[[#This Row],[SC Symbol Count]])&gt;0, "Y", "")</f>
        <v>Y</v>
      </c>
      <c r="GU311"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11" s="231">
        <f ca="1">MAX(SnapshotTable[[#This Row],[Equity Basis Total]],SnapshotTable[[#This Row],[Equity Value]]) + (SnapshotTable[[#This Row],[SP Potential Spend]]- SnapshotTable[[#This Row],[SP Premium]] + SnapshotTable[[#This Row],[LP Premium]])+ (SnapshotTable[[#This Row],[LC Premium]] - SnapshotTable[[#This Row],[SC Premium]])</f>
        <v>21376</v>
      </c>
      <c r="GW311" s="139">
        <f ca="1">IF(AND(SnapshotTable[[#This Row],[Exposure]] &lt;&gt; 0),SnapshotTable[[#This Row],[Exposure]] / SnapshotTable[[#Totals],[Exposure]], "")</f>
        <v>0.10061786599748757</v>
      </c>
      <c r="HK311" s="1"/>
      <c r="HL311" s="1"/>
      <c r="HM311" s="1"/>
      <c r="HN311" s="1"/>
      <c r="HO311" s="1"/>
      <c r="HP311" s="1"/>
    </row>
    <row r="312" spans="2:224" ht="12.75" hidden="1" customHeight="1" x14ac:dyDescent="0.25">
      <c r="B312" s="12" t="s">
        <v>576</v>
      </c>
      <c r="C312" s="422">
        <v>57.06</v>
      </c>
      <c r="D312" s="208" t="s">
        <v>587</v>
      </c>
      <c r="E312" s="39">
        <f>SnapshotTable[[#This Row],[Last Price]]*(1 -CrashDiscount)</f>
        <v>48.500999999999998</v>
      </c>
      <c r="F312" s="26" t="s">
        <v>577</v>
      </c>
      <c r="G312" s="26" t="s">
        <v>17</v>
      </c>
      <c r="H312" s="149"/>
      <c r="I312" s="194">
        <v>44781.3125</v>
      </c>
      <c r="J312" s="195">
        <v>44781.3125</v>
      </c>
      <c r="K312" s="196"/>
      <c r="L312" s="326"/>
      <c r="M312" s="140"/>
      <c r="N312" s="140"/>
      <c r="O312" s="140">
        <v>1</v>
      </c>
      <c r="P312" s="22"/>
      <c r="Q312" s="25"/>
      <c r="R312" s="4" t="str">
        <f>IF(SnapshotTable[[#This Row],[Equity Basis Total]] &gt; 0, SnapshotTable[[#This Row],[Equity Basis Total]] / SnapshotTable[[#This Row],[Equity Shares]], "")</f>
        <v/>
      </c>
      <c r="S312" s="269">
        <f>SnapshotTable[[#This Row],[Last Price]] * SnapshotTable[[#This Row],[Equity Shares]]</f>
        <v>0</v>
      </c>
      <c r="T312" s="269">
        <f>SnapshotTable[[#This Row],[Equity Value]] - SnapshotTable[[#This Row],[Equity Basis Total]]</f>
        <v>0</v>
      </c>
      <c r="U312" s="270" t="str">
        <f>IF(SnapshotTable[[#This Row],[Equity Basis Total]] &gt; 0, SnapshotTable[[#This Row],[Equity G/L]] / SnapshotTable[[#This Row],[Equity Basis Total]], "")</f>
        <v/>
      </c>
      <c r="V312" s="268"/>
      <c r="W312" s="26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7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0"/>
      <c r="AD312" s="151"/>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1">
        <v>43888</v>
      </c>
      <c r="AI312" s="5">
        <v>105</v>
      </c>
      <c r="AJ312" s="138">
        <v>79.09</v>
      </c>
      <c r="AK312" s="152">
        <f>IF(ISNUMBER( SnapshotTable[[#This Row],[EBF Target]]),(SnapshotTable[[#This Row],[EBF Target]] - SnapshotTable[[#This Row],[Last Price]]) / SnapshotTable[[#This Row],[Last Price]], "")</f>
        <v>0.8401682439537328</v>
      </c>
      <c r="AL312" s="152"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2">
        <f>IF(AND(ISNUMBER( SnapshotTable[[#This Row],[Long Term Target]]), ISNUMBER(SnapshotTable[[#This Row],[Last Price]])),(SnapshotTable[[#This Row],[Long Term Target]] - SnapshotTable[[#This Row],[Last Price]]) / SnapshotTable[[#This Row],[Last Price]], "")</f>
        <v>0.38608482299334035</v>
      </c>
      <c r="AP312" s="5"/>
      <c r="AQ312" s="38"/>
      <c r="AR312" s="5"/>
      <c r="AS312" s="38"/>
      <c r="AT312" s="146"/>
      <c r="AU312" s="187" t="str">
        <f>IF(OR(SnapshotTable[[#This Row],[LP No Fill]]="Y",SnapshotTable[[#This Row],[SP Is Filled]],SnapshotTable[[#This Row],[LC Not Filled]]="Y",SnapshotTable[[#This Row],[SC Is Filled]]),"Y","")</f>
        <v/>
      </c>
      <c r="AV312" s="219"/>
      <c r="AW312" s="225"/>
      <c r="AX312" s="220"/>
      <c r="AY312" s="219"/>
      <c r="AZ312" s="219"/>
      <c r="BA312" s="331"/>
      <c r="BB312" s="347"/>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51"/>
      <c r="BE312" s="138"/>
      <c r="BF312" s="166"/>
      <c r="BG312" s="167"/>
      <c r="BH312" s="167"/>
      <c r="BI312" s="5"/>
      <c r="BJ312" s="153">
        <f>IF(SnapshotTable[[#This Row],[LP Qty]] &gt; 0, SnapshotTable[[#This Row],[LP Qty]] * SnapshotTable[[#This Row],[LP Book Price]] * 100,0)</f>
        <v>0</v>
      </c>
      <c r="BK312" s="136">
        <f>IF(SnapshotTable[[#This Row],[LP Premium]] &gt; 0, SnapshotTable[[#This Row],[LP Qty]] * SnapshotTable[[#This Row],[LP Strike Price]] * 100,0)</f>
        <v>0</v>
      </c>
      <c r="BL312" s="154"/>
      <c r="BM312" s="385" t="str">
        <f>IF(SnapshotTable[[#This Row],[LP Premium]] &gt; 0,SnapshotTable[[#This Row],[LP Exp Date]]-MAX(SnapshotTable[[#This Row],[LP Book Date]], SnapshotTable[[#This Row],[LP Fill Date]]),"")</f>
        <v/>
      </c>
      <c r="BN312" s="385" t="str">
        <f>IF(ISNUMBER( SnapshotTable[[#This Row],[LP Term]]), SnapshotTable[[#This Row],[LP Exp Date]] - MockToday,"")</f>
        <v/>
      </c>
      <c r="BO312" s="163"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7"/>
      <c r="BU312" s="13"/>
      <c r="BV312" s="5"/>
      <c r="BW312" s="419" t="b">
        <f>AND(ISNUMBER(SnapshotTable[[#This Row],[SP Exp Date]]), ISNUMBER(SnapshotTable[[#This Row],[SP Strike Price]]), ISNUMBER(SnapshotTable[[#This Row],[SP Qty]]), ISNUMBER(SnapshotTable[[#This Row],[SP Book Date]]), ISNUMBER(SnapshotTable[[#This Row],[SP Book Price]]))</f>
        <v>0</v>
      </c>
      <c r="BX312" s="419" t="b">
        <f>AND(SnapshotTable[[#This Row],[SP Is Booked]], NOT(ISBLANK(SnapshotTable[[#This Row],[SP Fill Date]])))</f>
        <v>0</v>
      </c>
      <c r="BY312" s="33">
        <f>IF(SnapshotTable[[#This Row],[SP Is Booked]], SnapshotTable[[#This Row],[SP Qty]] * SnapshotTable[[#This Row],[SP Book Price]] * 100, 0)</f>
        <v>0</v>
      </c>
      <c r="BZ312" s="369"/>
      <c r="CA312" s="368">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3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44"/>
      <c r="CK312" s="31">
        <f>IF(ISNUMBER(SnapshotTable[[#This Row],[SP Potential Spend]]),IF(ISNUMBER(SnapshotTable[[#This Row],[SP POW]]), SnapshotTable[[#This Row],[SP POW]] * SnapshotTable[[#This Row],[SP Potential Spend]], SnapshotTable[[#This Row],[SP Potential Spend]]), "")</f>
        <v>0</v>
      </c>
      <c r="CL312" s="164">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4"/>
      <c r="CO312" s="369"/>
      <c r="CP312" s="4" t="str">
        <f>IF(SnapshotTable[[#This Row],[SP Is Filled]], btc_max_buyback_amount(SnapshotTable[[#This Row],[SP Fill Date]],SnapshotTable[[#This Row],[SP Exp Date]], SnapshotTable[[#This Row],[SP Book Price]]),"")</f>
        <v/>
      </c>
      <c r="CQ312" s="78"/>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5" t="str">
        <f>IF(SnapshotTable[[#This Row],[SP Is Filled]], btc_next_cutoff_date(SnapshotTable[[#This Row],[SP Fill Date]],SnapshotTable[[#This Row],[SP Exp Date]]),"")</f>
        <v/>
      </c>
      <c r="CT312" s="23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6"/>
      <c r="CV312" s="235"/>
      <c r="CW312" s="378"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294" t="str">
        <f>IF(ISNUMBER((SnapshotTable[[#This Row],[SP Total Value]])), SnapshotTable[[#This Row],[SP Gain Loss]] / SnapshotTable[[#This Row],[SP Premium]], "")</f>
        <v/>
      </c>
      <c r="DI312" s="406"/>
      <c r="DJ312" s="138"/>
      <c r="DK312" s="148"/>
      <c r="DL312" s="13"/>
      <c r="DM312" s="13"/>
      <c r="DO312" s="31">
        <f>IF(SnapshotTable[[#This Row],[LC Symbol Count]]=1, SnapshotTable[[#This Row],[LC Qty]] * SnapshotTable[[#This Row],[LC Book Price]] * 100, 0)</f>
        <v>0</v>
      </c>
      <c r="DP312" s="163" t="str">
        <f>IF(AND(SnapshotTable[[#This Row],[LC Exp Date]]&gt;0, SnapshotTable[[#This Row],[LC Strike Price]]&gt;0,SnapshotTable[[#This Row],[LC Qty]]&gt;0,SnapshotTable[[#This Row],[LC Book Date]]&gt;0,SnapshotTable[[#This Row],[LC Book Price]]&gt;0,SnapshotTable[[#This Row],[LC Fill Date]]=0),"Y","")</f>
        <v/>
      </c>
      <c r="DQ312" s="386" t="str">
        <f>IF(SnapshotTable[[#This Row],[LC Premium]] &gt; 0,SnapshotTable[[#This Row],[LC Exp Date]]-MAX(SnapshotTable[[#This Row],[LC Book Date]], SnapshotTable[[#This Row],[LC Fill Date]]),"")</f>
        <v/>
      </c>
      <c r="DR312" s="386" t="str">
        <f>IF(ISNUMBER(SnapshotTable[[#This Row],[LC Term]]), SnapshotTable[[#This Row],[LC Exp Date]] - MockToday, "")</f>
        <v/>
      </c>
      <c r="DS312" s="23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40" t="str">
        <f>IF(ISNUMBER(SnapshotTable[[#This Row],[LC Actual Gain Loss]]), SnapshotTable[[#This Row],[LC Actual Gain Loss]] / SnapshotTable[[#This Row],[LC Premium]],"")</f>
        <v/>
      </c>
      <c r="DX312" s="284" t="str">
        <f>IF(ISNUMBER(SnapshotTable[[#This Row],[LC Book Price]]),SnapshotTable[[#This Row],[LC Book Price]] * 1.5,"")</f>
        <v/>
      </c>
      <c r="DY312" s="265" t="str">
        <f>IF(SnapshotTable[[#This Row],[LC Premium]]&gt;0, SnapshotTable[[#This Row],[LC Next Target]] * SnapshotTable[[#This Row],[LC Qty]] * 100,"")</f>
        <v/>
      </c>
      <c r="DZ312" s="265" t="str">
        <f>IF(ISNUMBER(SnapshotTable[[#This Row],[LC Target Gross]]), SnapshotTable[[#This Row],[LC Target Gross]] - SnapshotTable[[#This Row],[LC Premium]], "")</f>
        <v/>
      </c>
      <c r="EA312" s="305" t="str">
        <f>IF(ISNUMBER(SnapshotTable[[#This Row],[LC Target Gain Loss]]), SnapshotTable[[#This Row],[LC Target Gain Loss]]/SnapshotTable[[#This Row],[LC Premium]], "")</f>
        <v/>
      </c>
      <c r="EB312" s="262"/>
      <c r="EC312" s="283" t="str">
        <f>IF(SnapshotTable[[#This Row],[LC Premium]]&gt;0, SnapshotTable[[#This Row],[LC Book Price]] * (1 - LC_StopLoss_Pct),"")</f>
        <v/>
      </c>
      <c r="ED312" s="284"/>
      <c r="EE312" s="28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4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7"/>
      <c r="EL312" s="138"/>
      <c r="EM312" s="148"/>
      <c r="EN312" s="147"/>
      <c r="EO312" s="147"/>
      <c r="EP312" s="138"/>
      <c r="EQ312" s="419" t="b">
        <f>AND(ISNUMBER(SnapshotTable[[#This Row],[SC Exp Date]]), ISNUMBER(SnapshotTable[[#This Row],[SC Strike Price]]), ISNUMBER(SnapshotTable[[#This Row],[SC Qty]]), ISNUMBER(SnapshotTable[[#This Row],[SC Book Date]]), ISNUMBER(SnapshotTable[[#This Row],[SC Book Price]]))</f>
        <v>0</v>
      </c>
      <c r="ER312" s="419" t="b">
        <f>AND(SnapshotTable[[#This Row],[SC Is Booked]], NOT(ISBLANK(SnapshotTable[[#This Row],[SC Fill Date]])))</f>
        <v>0</v>
      </c>
      <c r="ES312" s="370"/>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3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283"/>
      <c r="FA312" s="218"/>
      <c r="FB312" s="370"/>
      <c r="FC312" s="4">
        <f>IF(SnapshotTable[[#This Row],[SC Is Filled]], btc_max_buyback_amount(SnapshotTable[[#This Row],[SC Fill Date]],SnapshotTable[[#This Row],[SC Exp Date]], SnapshotTable[[#This Row],[SC Book Price]]),0)</f>
        <v>0</v>
      </c>
      <c r="FD312" s="5"/>
      <c r="FE312" s="144"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382">
        <f>IF(SnapshotTable[[#This Row],[SC Is Filled]], IF(ISNUMBER(SnapshotTable[[#This Row],[SC Current Ask]]), SnapshotTable[[#This Row],[SC Current Ask]], SnapshotTable[[#This Row],[SC Book Price]]) - SnapshotTable[[#This Row],[SC Intrinsic Value]], 0)</f>
        <v>0</v>
      </c>
      <c r="FI312" s="143"/>
      <c r="FJ312" s="32" t="str">
        <f>IF(SnapshotTable[[#This Row],[SC Is Filled]],100 * SnapshotTable[[#This Row],[SC Qty]] * IF(ISNUMBER(SnapshotTable[[#This Row],[SC Buyback Override]]), SnapshotTable[[#This Row],[SC Buyback Override]], SnapshotTable[[#This Row],[SC Current Ask]]), "")</f>
        <v/>
      </c>
      <c r="FK312" s="250" t="str">
        <f>IF(SnapshotTable[[#This Row],[SC Time Val]]&gt;0, SnapshotTable[[#This Row],[SC Time Val]] / SnapshotTable[[#This Row],[Last Price]],"")</f>
        <v/>
      </c>
      <c r="FL312" s="302" t="str">
        <f>IF(SnapshotTable[[#This Row],[SC Is Booked]], ((SnapshotTable[[#This Row],[Last Price]] -SnapshotTable[[#This Row],[SC Strike Price]]) / SnapshotTable[[#This Row],[Last Price]]) * -1, "")</f>
        <v/>
      </c>
      <c r="FM312" s="157" t="str">
        <f>IF(SnapshotTable[[#This Row],[SC Is Booked]],  (SnapshotTable[[#This Row],[SC Qty]] * 100 * SnapshotTable[[#This Row],[SC Strike Price]]) - SnapshotTable[[#This Row],[SC Current Ask]], "")</f>
        <v/>
      </c>
      <c r="FN31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7"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33"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36" t="str">
        <f>IF(AND(ISNUMBER(SnapshotTable[[#This Row],[SC Simple ROO]]),SnapshotTable[[#This Row],[SC Simple ROO]] &gt; 0), SnapshotTable[[#This Row],[SC Premium]] + (SnapshotTable[[#This Row],[SC Qty]] * SnapshotTable[[#This Row],[SC Upside Potential]]), "")</f>
        <v/>
      </c>
      <c r="FX312" s="302" t="str" cm="1">
        <f t="array" ref="FX312">IF(ISNUMBER(SnapshotTable[[#This Row],[SC Max Dollars]]), annualize(SnapshotTable[[#This Row],[SC Term]],(SnapshotTable[[#This Row],[SC Max Dollars]]/SnapshotTable[[#This Row],[SC Basis]])),"")</f>
        <v/>
      </c>
      <c r="FY312" s="23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29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75.135499999999993</v>
      </c>
      <c r="GD312" s="40">
        <f>SnapshotTable[[#This Row],[Last Price]] * (1+ SellingPriceToConsiderBasedOnTargetPercentage)</f>
        <v>111.267</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8" t="str">
        <f>IF(SnapshotTable[[#This Row],[Sale G/L]]&gt;0, SnapshotTable[[#This Row],[Sale G/L]] / SnapshotTable[[#This Row],[Sale Basis]], IF(ISNUMBER(SnapshotTable[[#This Row],[SC Exercise P&amp;L (TAX)]]), SnapshotTable[[#This Row],[SC Exercise P&amp;L (TAX)]] / SnapshotTable[[#This Row],[SC Basis]], ""))</f>
        <v/>
      </c>
      <c r="GK312" s="158" t="s">
        <v>773</v>
      </c>
      <c r="GL312" s="159"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59" t="str">
        <f>IF(AND(SnapshotTable[[#This Row],[LC Exp Date]]&gt;0,SnapshotTable[[#This Row],[LC Strike Price]]&gt;0), [1]!ToOptionSymbol(SnapshotTable[[#This Row],[Symbol]], SnapshotTable[[#This Row],[LC Strike Price]],SnapshotTable[[#This Row],[LC Exp Date]],0), "")</f>
        <v/>
      </c>
      <c r="GQ312" s="160" t="str">
        <f>IF(LEN(SnapshotTable[[#This Row],[LC Symbol]])&gt;0, 1, "")</f>
        <v/>
      </c>
      <c r="GR312" s="159" t="str">
        <f>IF(AND(SnapshotTable[[#This Row],[SC Exp Date]]&gt;0,SnapshotTable[[#This Row],[SC Strike Price]]&gt;0), [1]!ToOptionSymbol(SnapshotTable[[#This Row],[Symbol]], SnapshotTable[[#This Row],[SC Strike Price]],SnapshotTable[[#This Row],[SC Exp Date]],0), "")</f>
        <v/>
      </c>
      <c r="GS312" s="160" t="str">
        <f>IF(LEN(SnapshotTable[[#This Row],[SC Symbol]])&gt;0, 1, "")</f>
        <v/>
      </c>
      <c r="GT312" s="161"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31">
        <f>MAX(SnapshotTable[[#This Row],[Equity Basis Total]],SnapshotTable[[#This Row],[Equity Value]]) + (SnapshotTable[[#This Row],[SP Potential Spend]]- SnapshotTable[[#This Row],[SP Premium]] + SnapshotTable[[#This Row],[LP Premium]])+ (SnapshotTable[[#This Row],[LC Premium]] - SnapshotTable[[#This Row],[SC Premium]])</f>
        <v>0</v>
      </c>
      <c r="GW312" s="139" t="str">
        <f>IF(AND(SnapshotTable[[#This Row],[Exposure]] &lt;&gt; 0),SnapshotTable[[#This Row],[Exposure]] / SnapshotTable[[#Totals],[Exposure]], "")</f>
        <v/>
      </c>
      <c r="HK312" s="1"/>
      <c r="HL312" s="1"/>
      <c r="HM312" s="1"/>
      <c r="HN312" s="1"/>
      <c r="HO312" s="1"/>
      <c r="HP312" s="1"/>
    </row>
    <row r="313" spans="2:224" ht="12.75" hidden="1" customHeight="1" x14ac:dyDescent="0.25">
      <c r="B313" s="12" t="s">
        <v>202</v>
      </c>
      <c r="C313" s="422">
        <v>927.31</v>
      </c>
      <c r="D313" s="208" t="s">
        <v>586</v>
      </c>
      <c r="E313" s="39">
        <f>SnapshotTable[[#This Row],[Last Price]]*(1 -CrashDiscount)</f>
        <v>788.21349999999995</v>
      </c>
      <c r="F313" s="26" t="s">
        <v>124</v>
      </c>
      <c r="G313" s="26" t="s">
        <v>14</v>
      </c>
      <c r="H313" s="149"/>
      <c r="I313" s="194">
        <v>44798.677083333336</v>
      </c>
      <c r="J313" s="195">
        <v>44798.677083333336</v>
      </c>
      <c r="K313" s="196"/>
      <c r="L313" s="326" t="s">
        <v>201</v>
      </c>
      <c r="M313" s="140">
        <v>1</v>
      </c>
      <c r="N313" s="140"/>
      <c r="O313" s="140"/>
      <c r="P313" s="22"/>
      <c r="Q313" s="25"/>
      <c r="R313" s="4" t="str">
        <f>IF(SnapshotTable[[#This Row],[Equity Basis Total]] &gt; 0, SnapshotTable[[#This Row],[Equity Basis Total]] / SnapshotTable[[#This Row],[Equity Shares]], "")</f>
        <v/>
      </c>
      <c r="S313" s="269">
        <f>SnapshotTable[[#This Row],[Last Price]] * SnapshotTable[[#This Row],[Equity Shares]]</f>
        <v>0</v>
      </c>
      <c r="T313" s="269">
        <f>SnapshotTable[[#This Row],[Equity Value]] - SnapshotTable[[#This Row],[Equity Basis Total]]</f>
        <v>0</v>
      </c>
      <c r="U313" s="270" t="str">
        <f>IF(SnapshotTable[[#This Row],[Equity Basis Total]] &gt; 0, SnapshotTable[[#This Row],[Equity G/L]] / SnapshotTable[[#This Row],[Equity Basis Total]], "")</f>
        <v/>
      </c>
      <c r="V313" s="268"/>
      <c r="W313" s="268"/>
      <c r="X313" s="4"/>
      <c r="Y313" s="4"/>
      <c r="Z313" s="275"/>
      <c r="AA313" s="31"/>
      <c r="AB313" s="31"/>
      <c r="AC313" s="150">
        <v>2.6</v>
      </c>
      <c r="AD313" s="151">
        <v>43972</v>
      </c>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2.8038088665063464E-3</v>
      </c>
      <c r="AH313" s="151"/>
      <c r="AI313" s="5">
        <v>350</v>
      </c>
      <c r="AJ313" s="138">
        <v>400.37</v>
      </c>
      <c r="AK313" s="152">
        <f>IF(ISNUMBER( SnapshotTable[[#This Row],[EBF Target]]),(SnapshotTable[[#This Row],[EBF Target]] - SnapshotTable[[#This Row],[Last Price]]) / SnapshotTable[[#This Row],[Last Price]], "")</f>
        <v>-0.6225641910472226</v>
      </c>
      <c r="AL313" s="152"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2">
        <f>IF(AND(ISNUMBER( SnapshotTable[[#This Row],[Long Term Target]]), ISNUMBER(SnapshotTable[[#This Row],[Last Price]])),(SnapshotTable[[#This Row],[Long Term Target]] - SnapshotTable[[#This Row],[Last Price]]) / SnapshotTable[[#This Row],[Last Price]], "")</f>
        <v>-0.56824578619879007</v>
      </c>
      <c r="AP313" s="5">
        <v>350</v>
      </c>
      <c r="AQ313" s="38" t="s">
        <v>27</v>
      </c>
      <c r="AR313" s="5">
        <v>350</v>
      </c>
      <c r="AS313" s="38" t="s">
        <v>38</v>
      </c>
      <c r="AT313" s="146" t="s">
        <v>542</v>
      </c>
      <c r="AU313" s="187" t="str">
        <f>IF(OR(SnapshotTable[[#This Row],[LP No Fill]]="Y",SnapshotTable[[#This Row],[SP Is Filled]],SnapshotTable[[#This Row],[LC Not Filled]]="Y",SnapshotTable[[#This Row],[SC Is Filled]]),"Y","")</f>
        <v/>
      </c>
      <c r="AV313" s="219"/>
      <c r="AW313" s="225"/>
      <c r="AX313" s="220"/>
      <c r="AY313" s="219" t="str">
        <f>IF(SnapshotTable[[#This Row],[Implied Move]]&gt;0, SnapshotTable[[#This Row],[Last Price]]-SnapshotTable[[#This Row],[Implied Move]],"")</f>
        <v/>
      </c>
      <c r="AZ313" s="219" t="str">
        <f>IF(SnapshotTable[[#This Row],[Implied Move]]&gt;0, SnapshotTable[[#This Row],[Last Price]] + SnapshotTable[[#This Row],[Implied Move]],"")</f>
        <v/>
      </c>
      <c r="BA313" s="331">
        <v>304.72000000000003</v>
      </c>
      <c r="BB313" s="347"/>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51"/>
      <c r="BE313" s="5"/>
      <c r="BF313" s="14"/>
      <c r="BG313" s="13"/>
      <c r="BH313" s="13"/>
      <c r="BI313" s="5"/>
      <c r="BJ313" s="136">
        <f>IF(SnapshotTable[[#This Row],[LP Qty]] &gt; 0, SnapshotTable[[#This Row],[LP Qty]] * SnapshotTable[[#This Row],[LP Book Price]] * 100,0)</f>
        <v>0</v>
      </c>
      <c r="BK313" s="136">
        <f>IF(SnapshotTable[[#This Row],[LP Premium]] &gt; 0, SnapshotTable[[#This Row],[LP Qty]] * SnapshotTable[[#This Row],[LP Strike Price]] * 100,0)</f>
        <v>0</v>
      </c>
      <c r="BL313" s="154"/>
      <c r="BM313" s="385" t="str">
        <f>IF(SnapshotTable[[#This Row],[LP Premium]] &gt; 0,SnapshotTable[[#This Row],[LP Exp Date]]-MAX(SnapshotTable[[#This Row],[LP Book Date]], SnapshotTable[[#This Row],[LP Fill Date]]),"")</f>
        <v/>
      </c>
      <c r="BN313" s="385" t="str">
        <f>IF(ISNUMBER( SnapshotTable[[#This Row],[LP Term]]), SnapshotTable[[#This Row],[LP Exp Date]] - MockToday,"")</f>
        <v/>
      </c>
      <c r="BO313" s="163"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7"/>
      <c r="BU313" s="13"/>
      <c r="BV313" s="5"/>
      <c r="BW313" s="419" t="b">
        <f>AND(ISNUMBER(SnapshotTable[[#This Row],[SP Exp Date]]), ISNUMBER(SnapshotTable[[#This Row],[SP Strike Price]]), ISNUMBER(SnapshotTable[[#This Row],[SP Qty]]), ISNUMBER(SnapshotTable[[#This Row],[SP Book Date]]), ISNUMBER(SnapshotTable[[#This Row],[SP Book Price]]))</f>
        <v>0</v>
      </c>
      <c r="BX313" s="419" t="b">
        <f>AND(SnapshotTable[[#This Row],[SP Is Booked]], NOT(ISBLANK(SnapshotTable[[#This Row],[SP Fill Date]])))</f>
        <v>0</v>
      </c>
      <c r="BY313" s="33">
        <f>IF(SnapshotTable[[#This Row],[SP Is Booked]], SnapshotTable[[#This Row],[SP Qty]] * SnapshotTable[[#This Row],[SP Book Price]] * 100, 0)</f>
        <v>0</v>
      </c>
      <c r="BZ313" s="369"/>
      <c r="CA313" s="368">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3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44"/>
      <c r="CK313" s="31">
        <f>IF(ISNUMBER(SnapshotTable[[#This Row],[SP Potential Spend]]),IF(ISNUMBER(SnapshotTable[[#This Row],[SP POW]]), SnapshotTable[[#This Row],[SP POW]] * SnapshotTable[[#This Row],[SP Potential Spend]], SnapshotTable[[#This Row],[SP Potential Spend]]), "")</f>
        <v>0</v>
      </c>
      <c r="CL313" s="164">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218"/>
      <c r="CO313" s="369"/>
      <c r="CP313" s="4" t="str">
        <f>IF(SnapshotTable[[#This Row],[SP Is Filled]], btc_max_buyback_amount(SnapshotTable[[#This Row],[SP Fill Date]],SnapshotTable[[#This Row],[SP Exp Date]], SnapshotTable[[#This Row],[SP Book Price]]),"")</f>
        <v/>
      </c>
      <c r="CQ313" s="78"/>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5" t="str">
        <f>IF(SnapshotTable[[#This Row],[SP Is Filled]], btc_next_cutoff_date(SnapshotTable[[#This Row],[SP Fill Date]],SnapshotTable[[#This Row],[SP Exp Date]]),"")</f>
        <v/>
      </c>
      <c r="CT313" s="23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3"/>
      <c r="CV313" s="235"/>
      <c r="CW313" s="378"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294" t="str">
        <f>IF(ISNUMBER((SnapshotTable[[#This Row],[SP Total Value]])), SnapshotTable[[#This Row],[SP Gain Loss]] / SnapshotTable[[#This Row],[SP Premium]], "")</f>
        <v/>
      </c>
      <c r="DI313" s="406"/>
      <c r="DJ313" s="138"/>
      <c r="DK313" s="148"/>
      <c r="DL313" s="13"/>
      <c r="DM313" s="13"/>
      <c r="DO313" s="31">
        <f>IF(SnapshotTable[[#This Row],[LC Symbol Count]]=1, SnapshotTable[[#This Row],[LC Qty]] * SnapshotTable[[#This Row],[LC Book Price]] * 100, 0)</f>
        <v>0</v>
      </c>
      <c r="DP313" s="163" t="str">
        <f>IF(AND(SnapshotTable[[#This Row],[LC Exp Date]]&gt;0, SnapshotTable[[#This Row],[LC Strike Price]]&gt;0,SnapshotTable[[#This Row],[LC Qty]]&gt;0,SnapshotTable[[#This Row],[LC Book Date]]&gt;0,SnapshotTable[[#This Row],[LC Book Price]]&gt;0,SnapshotTable[[#This Row],[LC Fill Date]]=0),"Y","")</f>
        <v/>
      </c>
      <c r="DQ313" s="386" t="str">
        <f>IF(SnapshotTable[[#This Row],[LC Premium]] &gt; 0,SnapshotTable[[#This Row],[LC Exp Date]]-MAX(SnapshotTable[[#This Row],[LC Book Date]], SnapshotTable[[#This Row],[LC Fill Date]]),"")</f>
        <v/>
      </c>
      <c r="DR313" s="386" t="str">
        <f>IF(ISNUMBER(SnapshotTable[[#This Row],[LC Term]]), SnapshotTable[[#This Row],[LC Exp Date]] - MockToday, "")</f>
        <v/>
      </c>
      <c r="DS313" s="23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40" t="str">
        <f>IF(ISNUMBER(SnapshotTable[[#This Row],[LC Actual Gain Loss]]), SnapshotTable[[#This Row],[LC Actual Gain Loss]] / SnapshotTable[[#This Row],[LC Premium]],"")</f>
        <v/>
      </c>
      <c r="DX313" s="284" t="str">
        <f>IF(ISNUMBER(SnapshotTable[[#This Row],[LC Book Price]]),SnapshotTable[[#This Row],[LC Book Price]] * 1.5,"")</f>
        <v/>
      </c>
      <c r="DY313" s="265" t="str">
        <f>IF(SnapshotTable[[#This Row],[LC Premium]]&gt;0, SnapshotTable[[#This Row],[LC Next Target]] * SnapshotTable[[#This Row],[LC Qty]] * 100,"")</f>
        <v/>
      </c>
      <c r="DZ313" s="265" t="str">
        <f>IF(ISNUMBER(SnapshotTable[[#This Row],[LC Target Gross]]), SnapshotTable[[#This Row],[LC Target Gross]] - SnapshotTable[[#This Row],[LC Premium]], "")</f>
        <v/>
      </c>
      <c r="EA313" s="305" t="str">
        <f>IF(ISNUMBER(SnapshotTable[[#This Row],[LC Target Gain Loss]]), SnapshotTable[[#This Row],[LC Target Gain Loss]]/SnapshotTable[[#This Row],[LC Premium]], "")</f>
        <v/>
      </c>
      <c r="EB313" s="262"/>
      <c r="EC313" s="283" t="str">
        <f>IF(SnapshotTable[[#This Row],[LC Premium]]&gt;0, SnapshotTable[[#This Row],[LC Book Price]] * (1 - LC_StopLoss_Pct),"")</f>
        <v/>
      </c>
      <c r="ED313" s="284"/>
      <c r="EE313" s="28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4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7"/>
      <c r="EL313" s="138"/>
      <c r="EM313" s="148"/>
      <c r="EN313" s="147"/>
      <c r="EO313" s="147"/>
      <c r="EP313" s="138"/>
      <c r="EQ313" s="419" t="b">
        <f>AND(ISNUMBER(SnapshotTable[[#This Row],[SC Exp Date]]), ISNUMBER(SnapshotTable[[#This Row],[SC Strike Price]]), ISNUMBER(SnapshotTable[[#This Row],[SC Qty]]), ISNUMBER(SnapshotTable[[#This Row],[SC Book Date]]), ISNUMBER(SnapshotTable[[#This Row],[SC Book Price]]))</f>
        <v>0</v>
      </c>
      <c r="ER313" s="419" t="b">
        <f>AND(SnapshotTable[[#This Row],[SC Is Booked]], NOT(ISBLANK(SnapshotTable[[#This Row],[SC Fill Date]])))</f>
        <v>0</v>
      </c>
      <c r="ES313" s="370"/>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3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283"/>
      <c r="FA313" s="218"/>
      <c r="FB313" s="370"/>
      <c r="FC313" s="4">
        <f>IF(SnapshotTable[[#This Row],[SC Is Filled]], btc_max_buyback_amount(SnapshotTable[[#This Row],[SC Fill Date]],SnapshotTable[[#This Row],[SC Exp Date]], SnapshotTable[[#This Row],[SC Book Price]]),0)</f>
        <v>0</v>
      </c>
      <c r="FD313" s="5"/>
      <c r="FE313" s="144"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382">
        <f>IF(SnapshotTable[[#This Row],[SC Is Filled]], IF(ISNUMBER(SnapshotTable[[#This Row],[SC Current Ask]]), SnapshotTable[[#This Row],[SC Current Ask]], SnapshotTable[[#This Row],[SC Book Price]]) - SnapshotTable[[#This Row],[SC Intrinsic Value]], 0)</f>
        <v>0</v>
      </c>
      <c r="FI313" s="143"/>
      <c r="FJ313" s="32" t="str">
        <f>IF(SnapshotTable[[#This Row],[SC Is Filled]],100 * SnapshotTable[[#This Row],[SC Qty]] * IF(ISNUMBER(SnapshotTable[[#This Row],[SC Buyback Override]]), SnapshotTable[[#This Row],[SC Buyback Override]], SnapshotTable[[#This Row],[SC Current Ask]]), "")</f>
        <v/>
      </c>
      <c r="FK313" s="250" t="str">
        <f>IF(SnapshotTable[[#This Row],[SC Time Val]]&gt;0, SnapshotTable[[#This Row],[SC Time Val]] / SnapshotTable[[#This Row],[Last Price]],"")</f>
        <v/>
      </c>
      <c r="FL313" s="302" t="str">
        <f>IF(SnapshotTable[[#This Row],[SC Is Booked]], ((SnapshotTable[[#This Row],[Last Price]] -SnapshotTable[[#This Row],[SC Strike Price]]) / SnapshotTable[[#This Row],[Last Price]]) * -1, "")</f>
        <v/>
      </c>
      <c r="FM313" s="157"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33"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36" t="str">
        <f>IF(AND(ISNUMBER(SnapshotTable[[#This Row],[SC Simple ROO]]),SnapshotTable[[#This Row],[SC Simple ROO]] &gt; 0), SnapshotTable[[#This Row],[SC Premium]] + (SnapshotTable[[#This Row],[SC Qty]] * SnapshotTable[[#This Row],[SC Upside Potential]]), "")</f>
        <v/>
      </c>
      <c r="FX313" s="302" t="str" cm="1">
        <f t="array" ref="FX313">IF(ISNUMBER(SnapshotTable[[#This Row],[SC Max Dollars]]), annualize(SnapshotTable[[#This Row],[SC Term]],(SnapshotTable[[#This Row],[SC Max Dollars]]/SnapshotTable[[#This Row],[SC Basis]])),"")</f>
        <v/>
      </c>
      <c r="FY313" s="23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29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380.35149999999999</v>
      </c>
      <c r="GD313" s="40">
        <f>SnapshotTable[[#This Row],[Last Price]] * (1+ SellingPriceToConsiderBasedOnTargetPercentage)</f>
        <v>1808.2544999999998</v>
      </c>
      <c r="GE313" s="41"/>
      <c r="GF313" s="40">
        <v>123.88</v>
      </c>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670</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31">
        <f>MAX(SnapshotTable[[#This Row],[Equity Basis Total]],SnapshotTable[[#This Row],[Equity Value]]) + (SnapshotTable[[#This Row],[SP Potential Spend]]- SnapshotTable[[#This Row],[SP Premium]] + SnapshotTable[[#This Row],[LP Premium]])+ (SnapshotTable[[#This Row],[LC Premium]] - SnapshotTable[[#This Row],[SC Premium]])</f>
        <v>0</v>
      </c>
      <c r="GW313" s="139" t="str">
        <f>IF(AND(SnapshotTable[[#This Row],[Exposure]] &lt;&gt; 0),SnapshotTable[[#This Row],[Exposure]] / SnapshotTable[[#Totals],[Exposure]], "")</f>
        <v/>
      </c>
      <c r="HK313" s="1"/>
      <c r="HL313" s="1"/>
      <c r="HM313" s="1"/>
      <c r="HN313" s="1"/>
      <c r="HO313" s="1"/>
      <c r="HP313" s="1"/>
    </row>
    <row r="314" spans="2:224" ht="12.75" hidden="1" customHeight="1" x14ac:dyDescent="0.25">
      <c r="B314" s="12" t="s">
        <v>493</v>
      </c>
      <c r="C314" s="422">
        <v>183.38</v>
      </c>
      <c r="D314" s="208"/>
      <c r="E314" s="39">
        <f>SnapshotTable[[#This Row],[Last Price]]*(1 -CrashDiscount)</f>
        <v>155.87299999999999</v>
      </c>
      <c r="F314" s="26" t="s">
        <v>230</v>
      </c>
      <c r="G314" s="26" t="s">
        <v>9</v>
      </c>
      <c r="H314" s="149"/>
      <c r="I314" s="194">
        <v>44776.670138888891</v>
      </c>
      <c r="J314" s="195">
        <v>44776.670138888891</v>
      </c>
      <c r="K314" s="196"/>
      <c r="L314" s="326"/>
      <c r="M314" s="140"/>
      <c r="N314" s="140"/>
      <c r="O314" s="140"/>
      <c r="P314" s="22"/>
      <c r="Q314" s="25"/>
      <c r="R314" s="4" t="str">
        <f>IF(SnapshotTable[[#This Row],[Equity Basis Total]] &gt; 0, SnapshotTable[[#This Row],[Equity Basis Total]] / SnapshotTable[[#This Row],[Equity Shares]], "")</f>
        <v/>
      </c>
      <c r="S314" s="269">
        <f>SnapshotTable[[#This Row],[Last Price]] * SnapshotTable[[#This Row],[Equity Shares]]</f>
        <v>0</v>
      </c>
      <c r="T314" s="269">
        <f>SnapshotTable[[#This Row],[Equity Value]] - SnapshotTable[[#This Row],[Equity Basis Total]]</f>
        <v>0</v>
      </c>
      <c r="U314" s="270" t="str">
        <f>IF(SnapshotTable[[#This Row],[Equity Basis Total]] &gt; 0, SnapshotTable[[#This Row],[Equity G/L]] / SnapshotTable[[#This Row],[Equity Basis Total]], "")</f>
        <v/>
      </c>
      <c r="V314" s="268"/>
      <c r="W314" s="26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7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0"/>
      <c r="AD314" s="151"/>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1"/>
      <c r="AI314" s="5">
        <v>150</v>
      </c>
      <c r="AJ314" s="138">
        <v>224.95</v>
      </c>
      <c r="AK314" s="152">
        <f>IF(ISNUMBER( SnapshotTable[[#This Row],[EBF Target]]),(SnapshotTable[[#This Row],[EBF Target]] - SnapshotTable[[#This Row],[Last Price]]) / SnapshotTable[[#This Row],[Last Price]], "")</f>
        <v>-0.18202639328171008</v>
      </c>
      <c r="AL314" s="152"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2">
        <f>IF(AND(ISNUMBER( SnapshotTable[[#This Row],[Long Term Target]]), ISNUMBER(SnapshotTable[[#This Row],[Last Price]])),(SnapshotTable[[#This Row],[Long Term Target]] - SnapshotTable[[#This Row],[Last Price]]) / SnapshotTable[[#This Row],[Last Price]], "")</f>
        <v>0.22668775220852871</v>
      </c>
      <c r="AP314" s="5">
        <v>110</v>
      </c>
      <c r="AQ314" s="38" t="s">
        <v>38</v>
      </c>
      <c r="AR314" s="5">
        <v>110</v>
      </c>
      <c r="AS314" s="38" t="s">
        <v>26</v>
      </c>
      <c r="AT314" s="146" t="s">
        <v>538</v>
      </c>
      <c r="AU314" s="187" t="str">
        <f>IF(OR(SnapshotTable[[#This Row],[LP No Fill]]="Y",SnapshotTable[[#This Row],[SP Is Filled]],SnapshotTable[[#This Row],[LC Not Filled]]="Y",SnapshotTable[[#This Row],[SC Is Filled]]),"Y","")</f>
        <v/>
      </c>
      <c r="AV314" s="219"/>
      <c r="AW314" s="225"/>
      <c r="AX314" s="220"/>
      <c r="AY314" s="219" t="str">
        <f>IF(SnapshotTable[[#This Row],[Implied Move]]&gt;0, SnapshotTable[[#This Row],[Last Price]]-SnapshotTable[[#This Row],[Implied Move]],"")</f>
        <v/>
      </c>
      <c r="AZ314" s="219" t="str">
        <f>IF(SnapshotTable[[#This Row],[Implied Move]]&gt;0, SnapshotTable[[#This Row],[Last Price]] + SnapshotTable[[#This Row],[Implied Move]],"")</f>
        <v/>
      </c>
      <c r="BA314" s="331"/>
      <c r="BB314" s="347"/>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51"/>
      <c r="BE314" s="5"/>
      <c r="BF314" s="14"/>
      <c r="BG314" s="13"/>
      <c r="BH314" s="13"/>
      <c r="BI314" s="5"/>
      <c r="BJ314" s="136">
        <f>IF(SnapshotTable[[#This Row],[LP Qty]] &gt; 0, SnapshotTable[[#This Row],[LP Qty]] * SnapshotTable[[#This Row],[LP Book Price]] * 100,0)</f>
        <v>0</v>
      </c>
      <c r="BK314" s="136">
        <f>IF(SnapshotTable[[#This Row],[LP Premium]] &gt; 0, SnapshotTable[[#This Row],[LP Qty]] * SnapshotTable[[#This Row],[LP Strike Price]] * 100,0)</f>
        <v>0</v>
      </c>
      <c r="BL314" s="154"/>
      <c r="BM314" s="385" t="str">
        <f>IF(SnapshotTable[[#This Row],[LP Premium]] &gt; 0,SnapshotTable[[#This Row],[LP Exp Date]]-MAX(SnapshotTable[[#This Row],[LP Book Date]], SnapshotTable[[#This Row],[LP Fill Date]]),"")</f>
        <v/>
      </c>
      <c r="BN314" s="385" t="str">
        <f>IF(ISNUMBER( SnapshotTable[[#This Row],[LP Term]]), SnapshotTable[[#This Row],[LP Exp Date]] - MockToday,"")</f>
        <v/>
      </c>
      <c r="BO314" s="163"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7"/>
      <c r="BU314" s="13"/>
      <c r="BV314" s="5"/>
      <c r="BW314" s="419" t="b">
        <f>AND(ISNUMBER(SnapshotTable[[#This Row],[SP Exp Date]]), ISNUMBER(SnapshotTable[[#This Row],[SP Strike Price]]), ISNUMBER(SnapshotTable[[#This Row],[SP Qty]]), ISNUMBER(SnapshotTable[[#This Row],[SP Book Date]]), ISNUMBER(SnapshotTable[[#This Row],[SP Book Price]]))</f>
        <v>0</v>
      </c>
      <c r="BX314" s="419" t="b">
        <f>AND(SnapshotTable[[#This Row],[SP Is Booked]], NOT(ISBLANK(SnapshotTable[[#This Row],[SP Fill Date]])))</f>
        <v>0</v>
      </c>
      <c r="BY314" s="33">
        <f>IF(SnapshotTable[[#This Row],[SP Is Booked]], SnapshotTable[[#This Row],[SP Qty]] * SnapshotTable[[#This Row],[SP Book Price]] * 100, 0)</f>
        <v>0</v>
      </c>
      <c r="BZ314" s="369"/>
      <c r="CA314" s="368">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3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44"/>
      <c r="CK314" s="31">
        <f>IF(ISNUMBER(SnapshotTable[[#This Row],[SP Potential Spend]]),IF(ISNUMBER(SnapshotTable[[#This Row],[SP POW]]), SnapshotTable[[#This Row],[SP POW]] * SnapshotTable[[#This Row],[SP Potential Spend]], SnapshotTable[[#This Row],[SP Potential Spend]]), "")</f>
        <v>0</v>
      </c>
      <c r="CL314" s="164">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78"/>
      <c r="CO314" s="369"/>
      <c r="CP314" s="4" t="str">
        <f>IF(SnapshotTable[[#This Row],[SP Is Filled]], btc_max_buyback_amount(SnapshotTable[[#This Row],[SP Fill Date]],SnapshotTable[[#This Row],[SP Exp Date]], SnapshotTable[[#This Row],[SP Book Price]]),"")</f>
        <v/>
      </c>
      <c r="CQ314" s="78"/>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5" t="str">
        <f>IF(SnapshotTable[[#This Row],[SP Is Filled]], btc_next_cutoff_date(SnapshotTable[[#This Row],[SP Fill Date]],SnapshotTable[[#This Row],[SP Exp Date]]),"")</f>
        <v/>
      </c>
      <c r="CT314" s="23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43"/>
      <c r="CV314" s="235"/>
      <c r="CW314" s="378"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294" t="str">
        <f>IF(ISNUMBER((SnapshotTable[[#This Row],[SP Total Value]])), SnapshotTable[[#This Row],[SP Gain Loss]] / SnapshotTable[[#This Row],[SP Premium]], "")</f>
        <v/>
      </c>
      <c r="DI314" s="406"/>
      <c r="DJ314" s="138"/>
      <c r="DK314" s="148"/>
      <c r="DL314" s="13"/>
      <c r="DM314" s="13"/>
      <c r="DO314" s="31">
        <f>IF(SnapshotTable[[#This Row],[LC Symbol Count]]=1, SnapshotTable[[#This Row],[LC Qty]] * SnapshotTable[[#This Row],[LC Book Price]] * 100, 0)</f>
        <v>0</v>
      </c>
      <c r="DP314" s="163" t="str">
        <f>IF(AND(SnapshotTable[[#This Row],[LC Exp Date]]&gt;0, SnapshotTable[[#This Row],[LC Strike Price]]&gt;0,SnapshotTable[[#This Row],[LC Qty]]&gt;0,SnapshotTable[[#This Row],[LC Book Date]]&gt;0,SnapshotTable[[#This Row],[LC Book Price]]&gt;0,SnapshotTable[[#This Row],[LC Fill Date]]=0),"Y","")</f>
        <v/>
      </c>
      <c r="DQ314" s="386" t="str">
        <f>IF(SnapshotTable[[#This Row],[LC Premium]] &gt; 0,SnapshotTable[[#This Row],[LC Exp Date]]-MAX(SnapshotTable[[#This Row],[LC Book Date]], SnapshotTable[[#This Row],[LC Fill Date]]),"")</f>
        <v/>
      </c>
      <c r="DR314" s="386" t="str">
        <f>IF(ISNUMBER(SnapshotTable[[#This Row],[LC Term]]), SnapshotTable[[#This Row],[LC Exp Date]] - MockToday, "")</f>
        <v/>
      </c>
      <c r="DS314" s="23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40" t="str">
        <f>IF(ISNUMBER(SnapshotTable[[#This Row],[LC Actual Gain Loss]]), SnapshotTable[[#This Row],[LC Actual Gain Loss]] / SnapshotTable[[#This Row],[LC Premium]],"")</f>
        <v/>
      </c>
      <c r="DX314" s="284" t="str">
        <f>IF(ISNUMBER(SnapshotTable[[#This Row],[LC Book Price]]),SnapshotTable[[#This Row],[LC Book Price]] * 1.5,"")</f>
        <v/>
      </c>
      <c r="DY314" s="265" t="str">
        <f>IF(SnapshotTable[[#This Row],[LC Premium]]&gt;0, SnapshotTable[[#This Row],[LC Next Target]] * SnapshotTable[[#This Row],[LC Qty]] * 100,"")</f>
        <v/>
      </c>
      <c r="DZ314" s="265" t="str">
        <f>IF(ISNUMBER(SnapshotTable[[#This Row],[LC Target Gross]]), SnapshotTable[[#This Row],[LC Target Gross]] - SnapshotTable[[#This Row],[LC Premium]], "")</f>
        <v/>
      </c>
      <c r="EA314" s="305" t="str">
        <f>IF(ISNUMBER(SnapshotTable[[#This Row],[LC Target Gain Loss]]), SnapshotTable[[#This Row],[LC Target Gain Loss]]/SnapshotTable[[#This Row],[LC Premium]], "")</f>
        <v/>
      </c>
      <c r="EB314" s="262"/>
      <c r="EC314" s="283" t="str">
        <f>IF(SnapshotTable[[#This Row],[LC Premium]]&gt;0, SnapshotTable[[#This Row],[LC Book Price]] * (1 - LC_StopLoss_Pct),"")</f>
        <v/>
      </c>
      <c r="ED314" s="284"/>
      <c r="EE314" s="28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4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7"/>
      <c r="EL314" s="138"/>
      <c r="EM314" s="148"/>
      <c r="EN314" s="147"/>
      <c r="EO314" s="147"/>
      <c r="EP314" s="138"/>
      <c r="EQ314" s="419" t="b">
        <f>AND(ISNUMBER(SnapshotTable[[#This Row],[SC Exp Date]]), ISNUMBER(SnapshotTable[[#This Row],[SC Strike Price]]), ISNUMBER(SnapshotTable[[#This Row],[SC Qty]]), ISNUMBER(SnapshotTable[[#This Row],[SC Book Date]]), ISNUMBER(SnapshotTable[[#This Row],[SC Book Price]]))</f>
        <v>0</v>
      </c>
      <c r="ER314" s="419" t="b">
        <f>AND(SnapshotTable[[#This Row],[SC Is Booked]], NOT(ISBLANK(SnapshotTable[[#This Row],[SC Fill Date]])))</f>
        <v>0</v>
      </c>
      <c r="ES314" s="370"/>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3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283"/>
      <c r="FA314" s="218"/>
      <c r="FB314" s="370"/>
      <c r="FC314" s="4">
        <f>IF(SnapshotTable[[#This Row],[SC Is Filled]], btc_max_buyback_amount(SnapshotTable[[#This Row],[SC Fill Date]],SnapshotTable[[#This Row],[SC Exp Date]], SnapshotTable[[#This Row],[SC Book Price]]),0)</f>
        <v>0</v>
      </c>
      <c r="FD314" s="5"/>
      <c r="FE314" s="144"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382">
        <f>IF(SnapshotTable[[#This Row],[SC Is Filled]], IF(ISNUMBER(SnapshotTable[[#This Row],[SC Current Ask]]), SnapshotTable[[#This Row],[SC Current Ask]], SnapshotTable[[#This Row],[SC Book Price]]) - SnapshotTable[[#This Row],[SC Intrinsic Value]], 0)</f>
        <v>0</v>
      </c>
      <c r="FI314" s="143"/>
      <c r="FJ314" s="32" t="str">
        <f>IF(SnapshotTable[[#This Row],[SC Is Filled]],100 * SnapshotTable[[#This Row],[SC Qty]] * IF(ISNUMBER(SnapshotTable[[#This Row],[SC Buyback Override]]), SnapshotTable[[#This Row],[SC Buyback Override]], SnapshotTable[[#This Row],[SC Current Ask]]), "")</f>
        <v/>
      </c>
      <c r="FK314" s="250" t="str">
        <f>IF(SnapshotTable[[#This Row],[SC Time Val]]&gt;0, SnapshotTable[[#This Row],[SC Time Val]] / SnapshotTable[[#This Row],[Last Price]],"")</f>
        <v/>
      </c>
      <c r="FL314" s="302" t="str">
        <f>IF(SnapshotTable[[#This Row],[SC Is Booked]], ((SnapshotTable[[#This Row],[Last Price]] -SnapshotTable[[#This Row],[SC Strike Price]]) / SnapshotTable[[#This Row],[Last Price]]) * -1, "")</f>
        <v/>
      </c>
      <c r="FM314" s="157" t="str">
        <f>IF(SnapshotTable[[#This Row],[SC Is Booked]],  (SnapshotTable[[#This Row],[SC Qty]] * 100 * SnapshotTable[[#This Row],[SC Strike Price]]) - SnapshotTable[[#This Row],[SC Current Ask]], "")</f>
        <v/>
      </c>
      <c r="FN3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31"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33"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36" t="str">
        <f>IF(AND(ISNUMBER(SnapshotTable[[#This Row],[SC Simple ROO]]),SnapshotTable[[#This Row],[SC Simple ROO]] &gt; 0), SnapshotTable[[#This Row],[SC Premium]] + (SnapshotTable[[#This Row],[SC Qty]] * SnapshotTable[[#This Row],[SC Upside Potential]]), "")</f>
        <v/>
      </c>
      <c r="FX314" s="302" t="str" cm="1">
        <f t="array" ref="FX314">IF(ISNUMBER(SnapshotTable[[#This Row],[SC Max Dollars]]), annualize(SnapshotTable[[#This Row],[SC Term]],(SnapshotTable[[#This Row],[SC Max Dollars]]/SnapshotTable[[#This Row],[SC Basis]])),"")</f>
        <v/>
      </c>
      <c r="FY314" s="23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29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213.70249999999999</v>
      </c>
      <c r="GD314" s="40">
        <f>SnapshotTable[[#This Row],[Last Price]] * (1+ SellingPriceToConsiderBasedOnTargetPercentage)</f>
        <v>357.59100000000001</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27" t="str">
        <f>IF(SnapshotTable[[#This Row],[Sale G/L]]&gt;0, SnapshotTable[[#This Row],[Sale G/L]] / SnapshotTable[[#This Row],[Sale Basis]], IF(ISNUMBER(SnapshotTable[[#This Row],[SC Exercise P&amp;L (TAX)]]), SnapshotTable[[#This Row],[SC Exercise P&amp;L (TAX)]] / SnapshotTable[[#This Row],[SC Basis]], ""))</f>
        <v/>
      </c>
      <c r="GK314" s="27" t="s">
        <v>774</v>
      </c>
      <c r="GL314" s="43"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43" t="str">
        <f>IF(AND(SnapshotTable[[#This Row],[LC Exp Date]]&gt;0,SnapshotTable[[#This Row],[LC Strike Price]]&gt;0), [1]!ToOptionSymbol(SnapshotTable[[#This Row],[Symbol]], SnapshotTable[[#This Row],[LC Strike Price]],SnapshotTable[[#This Row],[LC Exp Date]],0), "")</f>
        <v/>
      </c>
      <c r="GQ314" s="30" t="str">
        <f>IF(LEN(SnapshotTable[[#This Row],[LC Symbol]])&gt;0, 1, "")</f>
        <v/>
      </c>
      <c r="GR314" s="43" t="str">
        <f>IF(AND(SnapshotTable[[#This Row],[SC Exp Date]]&gt;0,SnapshotTable[[#This Row],[SC Strike Price]]&gt;0), [1]!ToOptionSymbol(SnapshotTable[[#This Row],[Symbol]], SnapshotTable[[#This Row],[SC Strike Price]],SnapshotTable[[#This Row],[SC Exp Date]],0), "")</f>
        <v/>
      </c>
      <c r="GS314" s="30" t="str">
        <f>IF(LEN(SnapshotTable[[#This Row],[SC Symbol]])&gt;0, 1, "")</f>
        <v/>
      </c>
      <c r="GT314" s="29"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31">
        <f>MAX(SnapshotTable[[#This Row],[Equity Basis Total]],SnapshotTable[[#This Row],[Equity Value]]) + (SnapshotTable[[#This Row],[SP Potential Spend]]- SnapshotTable[[#This Row],[SP Premium]] + SnapshotTable[[#This Row],[LP Premium]])+ (SnapshotTable[[#This Row],[LC Premium]] - SnapshotTable[[#This Row],[SC Premium]])</f>
        <v>0</v>
      </c>
      <c r="GW314" s="139" t="str">
        <f>IF(AND(SnapshotTable[[#This Row],[Exposure]] &lt;&gt; 0),SnapshotTable[[#This Row],[Exposure]] / SnapshotTable[[#Totals],[Exposure]], "")</f>
        <v/>
      </c>
      <c r="GX314" s="5"/>
      <c r="HK314" s="1"/>
      <c r="HL314" s="1"/>
      <c r="HM314" s="1"/>
      <c r="HN314" s="1"/>
      <c r="HO314" s="1"/>
      <c r="HP314" s="1"/>
    </row>
    <row r="315" spans="2:224" ht="12.75" hidden="1" customHeight="1" x14ac:dyDescent="0.25">
      <c r="B315" s="12" t="s">
        <v>1061</v>
      </c>
      <c r="C315" s="422">
        <v>23.31</v>
      </c>
      <c r="D315" s="208"/>
      <c r="E315" s="39">
        <f>SnapshotTable[[#This Row],[Last Price]]*(1 -CrashDiscount)</f>
        <v>19.813499999999998</v>
      </c>
      <c r="F315" s="26" t="s">
        <v>842</v>
      </c>
      <c r="G315" s="26" t="s">
        <v>821</v>
      </c>
      <c r="H315" s="149"/>
      <c r="I315" s="194">
        <v>44867.666666666664</v>
      </c>
      <c r="J315" s="195">
        <v>44867.666666666664</v>
      </c>
      <c r="K315" s="196"/>
      <c r="L315" s="326"/>
      <c r="M315" s="140"/>
      <c r="N315" s="140"/>
      <c r="O315" s="140"/>
      <c r="P315" s="22"/>
      <c r="Q315" s="25"/>
      <c r="R315" s="4" t="str">
        <f>IF(SnapshotTable[[#This Row],[Equity Basis Total]] &gt; 0, SnapshotTable[[#This Row],[Equity Basis Total]] / SnapshotTable[[#This Row],[Equity Shares]], "")</f>
        <v/>
      </c>
      <c r="S315" s="269">
        <f>SnapshotTable[[#This Row],[Last Price]] * SnapshotTable[[#This Row],[Equity Shares]]</f>
        <v>0</v>
      </c>
      <c r="T315" s="269">
        <f>SnapshotTable[[#This Row],[Equity Value]] - SnapshotTable[[#This Row],[Equity Basis Total]]</f>
        <v>0</v>
      </c>
      <c r="U315" s="270" t="str">
        <f>IF(SnapshotTable[[#This Row],[Equity Basis Total]] &gt; 0, SnapshotTable[[#This Row],[Equity G/L]] / SnapshotTable[[#This Row],[Equity Basis Total]], "")</f>
        <v/>
      </c>
      <c r="V315" s="268"/>
      <c r="W315" s="26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7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0"/>
      <c r="AD315" s="151"/>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1"/>
      <c r="AI315" s="5"/>
      <c r="AJ315" s="138">
        <v>26.89</v>
      </c>
      <c r="AK315" s="152" t="str">
        <f>IF(ISNUMBER( SnapshotTable[[#This Row],[EBF Target]]),(SnapshotTable[[#This Row],[EBF Target]] - SnapshotTable[[#This Row],[Last Price]]) / SnapshotTable[[#This Row],[Last Price]], "")</f>
        <v/>
      </c>
      <c r="AL315" s="152"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2">
        <f>IF(AND(ISNUMBER( SnapshotTable[[#This Row],[Long Term Target]]), ISNUMBER(SnapshotTable[[#This Row],[Last Price]])),(SnapshotTable[[#This Row],[Long Term Target]] - SnapshotTable[[#This Row],[Last Price]]) / SnapshotTable[[#This Row],[Last Price]], "")</f>
        <v>0.15358215358215366</v>
      </c>
      <c r="AP315" s="5">
        <v>26.58</v>
      </c>
      <c r="AQ315" s="38" t="s">
        <v>89</v>
      </c>
      <c r="AR315" s="5">
        <v>22.8</v>
      </c>
      <c r="AS315" s="38" t="s">
        <v>32</v>
      </c>
      <c r="AT315" s="146"/>
      <c r="AU315" s="187" t="str">
        <f>IF(OR(SnapshotTable[[#This Row],[LP No Fill]]="Y",SnapshotTable[[#This Row],[SP Is Filled]],SnapshotTable[[#This Row],[LC Not Filled]]="Y",SnapshotTable[[#This Row],[SC Is Filled]]),"Y","")</f>
        <v/>
      </c>
      <c r="AV315" s="219"/>
      <c r="AW315" s="225"/>
      <c r="AX315" s="220"/>
      <c r="AY315" s="219" t="str">
        <f>IF(SnapshotTable[[#This Row],[Implied Move]]&gt;0, SnapshotTable[[#This Row],[Last Price]]-SnapshotTable[[#This Row],[Implied Move]],"")</f>
        <v/>
      </c>
      <c r="AZ315" s="219" t="str">
        <f>IF(SnapshotTable[[#This Row],[Implied Move]]&gt;0, SnapshotTable[[#This Row],[Last Price]] + SnapshotTable[[#This Row],[Implied Move]],"")</f>
        <v/>
      </c>
      <c r="BA315" s="331">
        <v>24.06</v>
      </c>
      <c r="BB315" s="347"/>
      <c r="BC3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5" s="351"/>
      <c r="BE315" s="138"/>
      <c r="BF315" s="166"/>
      <c r="BG315" s="167"/>
      <c r="BH315" s="167"/>
      <c r="BI315" s="221"/>
      <c r="BJ315" s="153">
        <f>IF(SnapshotTable[[#This Row],[LP Qty]] &gt; 0, SnapshotTable[[#This Row],[LP Qty]] * SnapshotTable[[#This Row],[LP Book Price]] * 100,0)</f>
        <v>0</v>
      </c>
      <c r="BK315" s="136">
        <f>IF(SnapshotTable[[#This Row],[LP Premium]] &gt; 0, SnapshotTable[[#This Row],[LP Qty]] * SnapshotTable[[#This Row],[LP Strike Price]] * 100,0)</f>
        <v>0</v>
      </c>
      <c r="BL315" s="154"/>
      <c r="BM315" s="385" t="str">
        <f>IF(SnapshotTable[[#This Row],[LP Premium]] &gt; 0,SnapshotTable[[#This Row],[LP Exp Date]]-MAX(SnapshotTable[[#This Row],[LP Book Date]], SnapshotTable[[#This Row],[LP Fill Date]]),"")</f>
        <v/>
      </c>
      <c r="BN315" s="385" t="str">
        <f>IF(ISNUMBER( SnapshotTable[[#This Row],[LP Term]]), SnapshotTable[[#This Row],[LP Exp Date]] - MockToday,"")</f>
        <v/>
      </c>
      <c r="BO315" s="163"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c r="BR315" s="5"/>
      <c r="BS315" s="36"/>
      <c r="BT315" s="147"/>
      <c r="BU315" s="13"/>
      <c r="BV315" s="5"/>
      <c r="BW315" s="419" t="b">
        <f>AND(ISNUMBER(SnapshotTable[[#This Row],[SP Exp Date]]), ISNUMBER(SnapshotTable[[#This Row],[SP Strike Price]]), ISNUMBER(SnapshotTable[[#This Row],[SP Qty]]), ISNUMBER(SnapshotTable[[#This Row],[SP Book Date]]), ISNUMBER(SnapshotTable[[#This Row],[SP Book Price]]))</f>
        <v>0</v>
      </c>
      <c r="BX315" s="419" t="b">
        <f>AND(SnapshotTable[[#This Row],[SP Is Booked]], NOT(ISBLANK(SnapshotTable[[#This Row],[SP Fill Date]])))</f>
        <v>0</v>
      </c>
      <c r="BY315" s="33">
        <f>IF(SnapshotTable[[#This Row],[SP Is Booked]], SnapshotTable[[#This Row],[SP Qty]] * SnapshotTable[[#This Row],[SP Book Price]] * 100, 0)</f>
        <v>0</v>
      </c>
      <c r="BZ315" s="369"/>
      <c r="CA315" s="368">
        <f>SnapshotTable[[#This Row],[LP Qty]]</f>
        <v>0</v>
      </c>
      <c r="CB315" s="4" t="str">
        <f>IF(SnapshotTable[[#This Row],[SP Is Booked]], SnapshotTable[[#This Row],[SP Strike Price]] - SnapshotTable[[#This Row],[SP Book Price]], "")</f>
        <v/>
      </c>
      <c r="CC315" s="19" t="str">
        <f>IF(SnapshotTable[[#This Row],[SP Is Booked]],SnapshotTable[[#This Row],[SP Exp Date]]-MAX(SnapshotTable[[#This Row],[SP Book Date]], SnapshotTable[[#This Row],[SP Fill Date]]),"")</f>
        <v/>
      </c>
      <c r="CD315" s="7" t="str">
        <f>IF(SnapshotTable[[#This Row],[SP Is Booked]], SnapshotTable[[#This Row],[SP Book Price]]/SnapshotTable[[#This Row],[SP Strike Price]], "")</f>
        <v/>
      </c>
      <c r="CE315" s="7" t="str">
        <f>IF(ISNUMBER(SnapshotTable[[#This Row],[SP ROO Term]]),SnapshotTable[[#This Row],[SP ROO Term]]*(365/SnapshotTable[[#This Row],[SP Term]]),"")</f>
        <v/>
      </c>
      <c r="CF315" s="236">
        <f>SnapshotTable[[#This Row],[LP Strike Price]] * SnapshotTable[[#This Row],[LP Qty]] * 100</f>
        <v>0</v>
      </c>
      <c r="CG315" s="31">
        <f>IF(ISNUMBER(SnapshotTable[[#This Row],[SP Premium]]), (SnapshotTable[[#This Row],[SP Qty]] * SnapshotTable[[#This Row],[SP Strike Price]]* 100) - SnapshotTable[[#This Row],[LP Protection]], 0)</f>
        <v>0</v>
      </c>
      <c r="CH315" s="7" t="str">
        <f>IF(ISNUMBER(SnapshotTable[[#This Row],[SP Break Even]]),-1 * (SnapshotTable[[#This Row],[SP Break Even]] - SnapshotTable[[#This Row],[Last Price]]) / SnapshotTable[[#This Row],[Last Price]], "")</f>
        <v/>
      </c>
      <c r="CI315" s="31">
        <f>IF(AND(ISNUMBER((SnapshotTable[[#This Row],[SP Potential Spend]])), SnapshotTable[[#This Row],[SP Strike Price]] &gt; SnapshotTable[[#This Row],[Last Price]], SnapshotTable[[#This Row],[SP Is Filled]]), SnapshotTable[[#This Row],[SP Potential Spend]] -  SnapshotTable[[#This Row],[LP Max Value]], 0)</f>
        <v>0</v>
      </c>
      <c r="CJ315" s="244"/>
      <c r="CK315" s="31">
        <f>IF(ISNUMBER(SnapshotTable[[#This Row],[SP Potential Spend]]),IF(ISNUMBER(SnapshotTable[[#This Row],[SP POW]]), SnapshotTable[[#This Row],[SP POW]] * SnapshotTable[[#This Row],[SP Potential Spend]], SnapshotTable[[#This Row],[SP Potential Spend]]), "")</f>
        <v>0</v>
      </c>
      <c r="CL315" s="164">
        <f>IF(NOT(SnapshotTable[[#This Row],[SP Is Filled]]),(SnapshotTable[[#This Row],[SP Qty]] * SnapshotTable[[#This Row],[SP Strike Price]] * 100) - SnapshotTable[[#This Row],[LP Max Value]],"")</f>
        <v>0</v>
      </c>
      <c r="CM315" s="31" t="str">
        <f>IF(SnapshotTable[[#This Row],[SP Actual Spend]]&lt;&gt;0, ((SnapshotTable[[#This Row],[SP Strike Price]]-SnapshotTable[[#This Row],[Last Price]]) *(SnapshotTable[[#This Row],[SP Qty]]*100) - SnapshotTable[[#This Row],[SP Premium]]) * - 1, "")</f>
        <v/>
      </c>
      <c r="CN315" s="154"/>
      <c r="CO315" s="369"/>
      <c r="CP315" s="4" t="str">
        <f>IF(SnapshotTable[[#This Row],[SP Is Filled]], btc_max_buyback_amount(SnapshotTable[[#This Row],[SP Fill Date]],SnapshotTable[[#This Row],[SP Exp Date]], SnapshotTable[[#This Row],[SP Book Price]]),"")</f>
        <v/>
      </c>
      <c r="CQ315" s="78"/>
      <c r="CR3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5" s="155" t="str">
        <f>IF(SnapshotTable[[#This Row],[SP Is Filled]], btc_next_cutoff_date(SnapshotTable[[#This Row],[SP Fill Date]],SnapshotTable[[#This Row],[SP Exp Date]]),"")</f>
        <v/>
      </c>
      <c r="CT315" s="235" t="str" cm="1">
        <f t="array" ref="CT315">IF(SnapshotTable[[#This Row],[SP Is Filled]], btc_should_buy_back(SnapshotTable[[#This Row],[SP Fill Date]], SnapshotTable[[#This Row],[SP Exp Date]], SnapshotTable[[#This Row],[SP Book Price]], SnapshotTable[[#This Row],[SP Current Ask]], MockToday, SnapshotTable[[#This Row],[SP Buyback Override]]),"")</f>
        <v/>
      </c>
      <c r="CU315" s="143"/>
      <c r="CV315" s="235"/>
      <c r="CW315" s="378" t="str">
        <f>IF(ISNUMBER( SnapshotTable[[#This Row],[SP Term]]), SnapshotTable[[#This Row],[SP Exp Date]] - MockToday,"")</f>
        <v/>
      </c>
      <c r="CX315" s="31" t="str">
        <f>IF(SnapshotTable[[#This Row],[SP Is Filled]],SnapshotTable[[#This Row],[SP Buyback Price to Use]] * 100 * SnapshotTable[[#This Row],[SP Qty]], "")</f>
        <v/>
      </c>
      <c r="CY315" s="4" t="str">
        <f>IF(ISNUMBER(SnapshotTable[[#This Row],[SP Strike Price]]), SnapshotTable[[#This Row],[SP Strike Price]] * (1 - SP_MaxLoss_StrikePct), "")</f>
        <v/>
      </c>
      <c r="CZ315" s="31" t="str">
        <f>IF(ISNUMBER(SnapshotTable[[#This Row],[SP Strike  Stop Per Share]]),SnapshotTable[[#This Row],[SP Premium]] - ((SnapshotTable[[#This Row],[SP Strike Price]]-SnapshotTable[[#This Row],[SP Strike  Stop Per Share]]) *(SnapshotTable[[#This Row],[SP Qty]] * 100)),"")</f>
        <v/>
      </c>
      <c r="DA315" s="4" t="str">
        <f>IF(AND(ISNUMBER(SnapshotTable[[#This Row],[SP Premium]]),SnapshotTable[[#This Row],[SP Premium]]&gt;0), SnapshotTable[[#This Row],[SP Book Price]] * (1 + SP_MaxLoss_OptionPct), "")</f>
        <v/>
      </c>
      <c r="DB315" s="31" t="str">
        <f>IF(ISNUMBER(SnapshotTable[[#This Row],[SP Option  Stop Contract]]),(SnapshotTable[[#This Row],[SP Option  Stop Contract]] *(SnapshotTable[[#This Row],[SP Qty]] * 100) - SnapshotTable[[#This Row],[SP Premium]]),"")</f>
        <v/>
      </c>
      <c r="DC315" s="4"/>
      <c r="DD315" s="4"/>
      <c r="DE315" s="4" t="str">
        <f>IF(AND(SnapshotTable[[#This Row],[SP Qty]]&gt;0, SnapshotTable[[#This Row],[SP Stop To Use]]&gt;0),SnapshotTable[[#This Row],[SP Premium]] - ( SnapshotTable[[#This Row],[SP Qty]] * SnapshotTable[[#This Row],[SP Stop To Use]] * 100), "")</f>
        <v/>
      </c>
      <c r="DF315" s="31" t="str">
        <f>IF(AND(SnapshotTable[[#This Row],[SP Qty]]&gt;0,SnapshotTable[[#This Row],[SP Current Ask]]&gt;0), SnapshotTable[[#This Row],[SP Qty]] * SnapshotTable[[#This Row],[SP Current Ask]] * -100, "")</f>
        <v/>
      </c>
      <c r="DG315" s="31" t="str">
        <f>IF(ISNUMBER((SnapshotTable[[#This Row],[SP Total Value]])), SnapshotTable[[#This Row],[SP Premium]] + SnapshotTable[[#This Row],[SP Total Value]], "")</f>
        <v/>
      </c>
      <c r="DH315" s="294" t="str">
        <f>IF(ISNUMBER((SnapshotTable[[#This Row],[SP Total Value]])), SnapshotTable[[#This Row],[SP Gain Loss]] / SnapshotTable[[#This Row],[SP Premium]], "")</f>
        <v/>
      </c>
      <c r="DI315" s="406"/>
      <c r="DJ315" s="138"/>
      <c r="DK315" s="148"/>
      <c r="DL315" s="147"/>
      <c r="DM315" s="147"/>
      <c r="DO315" s="31">
        <f>IF(SnapshotTable[[#This Row],[LC Symbol Count]]=1, SnapshotTable[[#This Row],[LC Qty]] * SnapshotTable[[#This Row],[LC Book Price]] * 100, 0)</f>
        <v>0</v>
      </c>
      <c r="DP315" s="163" t="str">
        <f>IF(AND(SnapshotTable[[#This Row],[LC Exp Date]]&gt;0, SnapshotTable[[#This Row],[LC Strike Price]]&gt;0,SnapshotTable[[#This Row],[LC Qty]]&gt;0,SnapshotTable[[#This Row],[LC Book Date]]&gt;0,SnapshotTable[[#This Row],[LC Book Price]]&gt;0,SnapshotTable[[#This Row],[LC Fill Date]]=0),"Y","")</f>
        <v/>
      </c>
      <c r="DQ315" s="386" t="str">
        <f>IF(SnapshotTable[[#This Row],[LC Premium]] &gt; 0,SnapshotTable[[#This Row],[LC Exp Date]]-MAX(SnapshotTable[[#This Row],[LC Book Date]], SnapshotTable[[#This Row],[LC Fill Date]]),"")</f>
        <v/>
      </c>
      <c r="DR315" s="386" t="str">
        <f>IF(ISNUMBER(SnapshotTable[[#This Row],[LC Term]]), SnapshotTable[[#This Row],[LC Exp Date]] - MockToday, "")</f>
        <v/>
      </c>
      <c r="DS315" s="23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40" t="str">
        <f>IF(ISNUMBER(SnapshotTable[[#This Row],[LC Actual Gain Loss]]), SnapshotTable[[#This Row],[LC Actual Gain Loss]] / SnapshotTable[[#This Row],[LC Premium]],"")</f>
        <v/>
      </c>
      <c r="DX315" s="284" t="str">
        <f>IF(ISNUMBER(SnapshotTable[[#This Row],[LC Book Price]]),SnapshotTable[[#This Row],[LC Book Price]] * 1.5,"")</f>
        <v/>
      </c>
      <c r="DY315" s="265" t="str">
        <f>IF(SnapshotTable[[#This Row],[LC Premium]]&gt;0, SnapshotTable[[#This Row],[LC Next Target]] * SnapshotTable[[#This Row],[LC Qty]] * 100,"")</f>
        <v/>
      </c>
      <c r="DZ315" s="265" t="str">
        <f>IF(ISNUMBER(SnapshotTable[[#This Row],[LC Target Gross]]), SnapshotTable[[#This Row],[LC Target Gross]] - SnapshotTable[[#This Row],[LC Premium]], "")</f>
        <v/>
      </c>
      <c r="EA315" s="305" t="str">
        <f>IF(ISNUMBER(SnapshotTable[[#This Row],[LC Target Gain Loss]]), SnapshotTable[[#This Row],[LC Target Gain Loss]]/SnapshotTable[[#This Row],[LC Premium]], "")</f>
        <v/>
      </c>
      <c r="EB315" s="262"/>
      <c r="EC315" s="283" t="str">
        <f>IF(SnapshotTable[[#This Row],[LC Premium]]&gt;0, SnapshotTable[[#This Row],[LC Book Price]] * (1 - LC_StopLoss_Pct),"")</f>
        <v/>
      </c>
      <c r="ED315" s="284"/>
      <c r="EE315" s="28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4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0</v>
      </c>
      <c r="EK315" s="147"/>
      <c r="EL315" s="138"/>
      <c r="EM315" s="148"/>
      <c r="EN315" s="147"/>
      <c r="EO315" s="147"/>
      <c r="EP315" s="138"/>
      <c r="EQ315" s="419" t="b">
        <f>AND(ISNUMBER(SnapshotTable[[#This Row],[SC Exp Date]]), ISNUMBER(SnapshotTable[[#This Row],[SC Strike Price]]), ISNUMBER(SnapshotTable[[#This Row],[SC Qty]]), ISNUMBER(SnapshotTable[[#This Row],[SC Book Date]]), ISNUMBER(SnapshotTable[[#This Row],[SC Book Price]]))</f>
        <v>0</v>
      </c>
      <c r="ER315" s="419" t="b">
        <f>AND(SnapshotTable[[#This Row],[SC Is Booked]], NOT(ISBLANK(SnapshotTable[[#This Row],[SC Fill Date]])))</f>
        <v>0</v>
      </c>
      <c r="ES315" s="370"/>
      <c r="ET315" s="34" t="str">
        <f>IF(AND(ISNUMBER(SnapshotTable[[#This Row],[SC Exp Date]]), ISNUMBER(SnapshotTable[[#This Row],[SC Book Date]])), SnapshotTable[[#This Row],[SC Exp Date]] - MAX(SnapshotTable[[#This Row],[SC Book Date]], SnapshotTable[[#This Row],[SC Fill Date]]) + 1, "")</f>
        <v/>
      </c>
      <c r="EU315" s="34" t="str">
        <f>IF(ISNUMBER(SnapshotTable[[#This Row],[SC Term]]), SnapshotTable[[#This Row],[SC Exp Date]]- MockToday, "")</f>
        <v/>
      </c>
      <c r="EV315" s="31">
        <f>IF(SnapshotTable[[#This Row],[SC Is Booked]], SnapshotTable[[#This Row],[SC Qty]] * SnapshotTable[[#This Row],[SC Book Price]] * 100, 0)</f>
        <v>0</v>
      </c>
      <c r="EW315" s="4" t="str">
        <f>IF(AND(ISNUMBER(SnapshotTable[[#This Row],[Last Price]]), ISNUMBER( SnapshotTable[[#This Row],[SC Book Price]])), SnapshotTable[[#This Row],[Last Price]] - SnapshotTable[[#This Row],[SC Book Price]],"")</f>
        <v/>
      </c>
      <c r="EX315" s="234" t="str">
        <f>IF(SnapshotTable[[#This Row],[SC Is Booked]],IF(SnapshotTable[[#This Row],[SC Intrinsic Value]] &gt; 0, SnapshotTable[[#This Row],[SC Strike Price]], SnapshotTable[[#This Row],[Last Price]]), "")</f>
        <v/>
      </c>
      <c r="EY315" s="4">
        <f>IF(SnapshotTable[[#This Row],[SC Is Booked]], (MinimumPremiumRequired * SnapshotTable[[#This Row],[SC Basis]] * SnapshotTable[[#This Row],[SC Term]]), 0)</f>
        <v>0</v>
      </c>
      <c r="EZ315" s="283"/>
      <c r="FA315" s="218"/>
      <c r="FB315" s="370"/>
      <c r="FC315" s="4">
        <f>IF(SnapshotTable[[#This Row],[SC Is Filled]], btc_max_buyback_amount(SnapshotTable[[#This Row],[SC Fill Date]],SnapshotTable[[#This Row],[SC Exp Date]], SnapshotTable[[#This Row],[SC Book Price]]),0)</f>
        <v>0</v>
      </c>
      <c r="FD315" s="5"/>
      <c r="FE315" s="144"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382">
        <f>IF(SnapshotTable[[#This Row],[SC Is Filled]], IF(ISNUMBER(SnapshotTable[[#This Row],[SC Current Ask]]), SnapshotTable[[#This Row],[SC Current Ask]], SnapshotTable[[#This Row],[SC Book Price]]) - SnapshotTable[[#This Row],[SC Intrinsic Value]], 0)</f>
        <v>0</v>
      </c>
      <c r="FI315" s="143"/>
      <c r="FJ315" s="32" t="str">
        <f>IF(SnapshotTable[[#This Row],[SC Is Filled]],100 * SnapshotTable[[#This Row],[SC Qty]] * IF(ISNUMBER(SnapshotTable[[#This Row],[SC Buyback Override]]), SnapshotTable[[#This Row],[SC Buyback Override]], SnapshotTable[[#This Row],[SC Current Ask]]), "")</f>
        <v/>
      </c>
      <c r="FK315" s="250" t="str">
        <f>IF(SnapshotTable[[#This Row],[SC Time Val]]&gt;0, SnapshotTable[[#This Row],[SC Time Val]] / SnapshotTable[[#This Row],[Last Price]],"")</f>
        <v/>
      </c>
      <c r="FL315" s="302" t="str">
        <f>IF(SnapshotTable[[#This Row],[SC Is Booked]], ((SnapshotTable[[#This Row],[Last Price]] -SnapshotTable[[#This Row],[SC Strike Price]]) / SnapshotTable[[#This Row],[Last Price]]) * -1, "")</f>
        <v/>
      </c>
      <c r="FM315" s="157" t="str">
        <f>IF(SnapshotTable[[#This Row],[SC Is Booked]],  (SnapshotTable[[#This Row],[SC Qty]] * 100 * SnapshotTable[[#This Row],[SC Strike Price]]) - SnapshotTable[[#This Row],[SC Current Ask]], "")</f>
        <v/>
      </c>
      <c r="FN31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157" t="str">
        <f>IF(AND(ISNUMBER(SnapshotTable[[#This Row],[SC Exercise Gross]]), ISNUMBER(SnapshotTable[[#This Row],[Equity Basis Per Share]] )), SnapshotTable[[#This Row],[SC Exercise Gross]] - SnapshotTable[[#This Row],[Equity Basis Total]] +  SnapshotTable[[#This Row],[SC Premium]], "")</f>
        <v/>
      </c>
      <c r="FP315" s="5" t="str">
        <f>IF(ISNUMBER(SnapshotTable[[#This Row],[SC Exercise Gross]]), (SnapshotTable[[#This Row],[SC Exercise Gross]]) / (SnapshotTable[[#This Row],[SC Qty]] * 100), "")</f>
        <v/>
      </c>
      <c r="FQ315" s="27" t="str">
        <f>IF(SnapshotTable[[#This Row],[SC Is Booked]],SnapshotTable[[#This Row],[SC Time Val]] /SnapshotTable[[#This Row],[SC Basis]], "")</f>
        <v/>
      </c>
      <c r="FR315" s="27" t="str" cm="1">
        <f t="array" ref="FR315">IF(AND(ISNUMBER(SnapshotTable[[#This Row],[SC Term]]),ISNUMBER(SnapshotTable[[#This Row],[SC Simple ROO]])), EllmanAnnualize(SnapshotTable[[#This Row],[SC DTE]], SnapshotTable[[#This Row],[SC Simple ROO]] ),"")</f>
        <v/>
      </c>
      <c r="FS315" s="4">
        <f>IF(SnapshotTable[[#This Row],[SC Strike Price]] &gt; SnapshotTable[[#This Row],[Last Price]], SnapshotTable[[#This Row],[SC Strike Price]] - SnapshotTable[[#This Row],[Last Price]],0)</f>
        <v>0</v>
      </c>
      <c r="FT315" s="27" t="str">
        <f>IF(AND(ISNUMBER(SnapshotTable[[#This Row],[SC Upside Potential]]), SnapshotTable[[#This Row],[SC Upside Potential]] &gt; 0),(SnapshotTable[[#This Row],[SC Upside Potential]]/ SnapshotTable[[#This Row],[ACB]]),"")</f>
        <v/>
      </c>
      <c r="FU315" s="333"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36" t="str">
        <f>IF(AND(ISNUMBER(SnapshotTable[[#This Row],[SC Simple ROO]]),SnapshotTable[[#This Row],[SC Simple ROO]] &gt; 0), SnapshotTable[[#This Row],[SC Premium]] + (SnapshotTable[[#This Row],[SC Qty]] * SnapshotTable[[#This Row],[SC Upside Potential]]), "")</f>
        <v/>
      </c>
      <c r="FX315" s="302" t="str" cm="1">
        <f t="array" ref="FX315">IF(ISNUMBER(SnapshotTable[[#This Row],[SC Max Dollars]]), annualize(SnapshotTable[[#This Row],[SC Term]],(SnapshotTable[[#This Row],[SC Max Dollars]]/SnapshotTable[[#This Row],[SC Basis]])),"")</f>
        <v/>
      </c>
      <c r="FY315" s="236" t="str">
        <f>IF(AND(SnapshotTable[[#This Row],[SC Qty]]&gt;0,SnapshotTable[[#This Row],[SC Current Ask]]&gt;0), SnapshotTable[[#This Row],[SC Qty]] * SnapshotTable[[#This Row],[SC Current Ask]] * -100, "")</f>
        <v/>
      </c>
      <c r="FZ315" s="235" t="str">
        <f>IF(ISNUMBER((SnapshotTable[[#This Row],[SC Current Value]])), SnapshotTable[[#This Row],[SC Premium]] + SnapshotTable[[#This Row],[SC Current Value]], "")</f>
        <v/>
      </c>
      <c r="GA315" s="294" t="str">
        <f>IFERROR( IF(ISNUMBER((SnapshotTable[[#This Row],[SC Current Value]])), SnapshotTable[[#This Row],[SC Gain Loss]] / SnapshotTable[[#This Row],[SC Premium]], ""), "")</f>
        <v/>
      </c>
      <c r="GB315" s="42">
        <f>SnapshotTable[[#This Row],[Equity Shares]] * SaleSharesToConsiderPercentage</f>
        <v>0</v>
      </c>
      <c r="GC315" s="40">
        <f>SnapshotTable[[#This Row],[Long Term Target]] * SellingPriceToConsiderBasedOnTargetPercentage</f>
        <v>25.545500000000001</v>
      </c>
      <c r="GD315" s="40">
        <f>SnapshotTable[[#This Row],[Last Price]] * (1+ SellingPriceToConsiderBasedOnTargetPercentage)</f>
        <v>45.454499999999996</v>
      </c>
      <c r="GE315" s="41"/>
      <c r="GF315" s="40"/>
      <c r="GG315" s="31">
        <f>SnapshotTable[[#This Row],[Booked Sale Shares]] * SnapshotTable[[#This Row],[Booked Sale Price]]</f>
        <v>0</v>
      </c>
      <c r="GH315" s="31" t="str">
        <f>IF(SnapshotTable[[#This Row],[Equity Basis Total]] &gt; 0, SnapshotTable[[#This Row],[Equity Basis Per Share]] * SnapshotTable[[#This Row],[Booked Sale Shares]], "")</f>
        <v/>
      </c>
      <c r="GI315" s="31">
        <f>IF(SnapshotTable[[#This Row],[Sale Proceeds]]&gt;0, SnapshotTable[[#This Row],[Sale Proceeds]] - SnapshotTable[[#This Row],[Sale Basis]], 0)</f>
        <v>0</v>
      </c>
      <c r="GJ315" s="158" t="str">
        <f>IF(SnapshotTable[[#This Row],[Sale G/L]]&gt;0, SnapshotTable[[#This Row],[Sale G/L]] / SnapshotTable[[#This Row],[Sale Basis]], IF(ISNUMBER(SnapshotTable[[#This Row],[SC Exercise P&amp;L (TAX)]]), SnapshotTable[[#This Row],[SC Exercise P&amp;L (TAX)]] / SnapshotTable[[#This Row],[SC Basis]], ""))</f>
        <v/>
      </c>
      <c r="GK315" s="27"/>
      <c r="GL315" s="159"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
      </c>
      <c r="GO315" s="30" t="str">
        <f>IF(LEN(SnapshotTable[[#This Row],[SP Symbol]])&gt;0, 1, "")</f>
        <v/>
      </c>
      <c r="GP315" s="159" t="str">
        <f>IF(AND(SnapshotTable[[#This Row],[LC Exp Date]]&gt;0,SnapshotTable[[#This Row],[LC Strike Price]]&gt;0), [1]!ToOptionSymbol(SnapshotTable[[#This Row],[Symbol]], SnapshotTable[[#This Row],[LC Strike Price]],SnapshotTable[[#This Row],[LC Exp Date]],0), "")</f>
        <v/>
      </c>
      <c r="GQ315" s="160" t="str">
        <f>IF(LEN(SnapshotTable[[#This Row],[LC Symbol]])&gt;0, 1, "")</f>
        <v/>
      </c>
      <c r="GR315" s="159" t="str">
        <f>IF(AND(SnapshotTable[[#This Row],[SC Exp Date]]&gt;0,SnapshotTable[[#This Row],[SC Strike Price]]&gt;0), [1]!ToOptionSymbol(SnapshotTable[[#This Row],[Symbol]], SnapshotTable[[#This Row],[SC Strike Price]],SnapshotTable[[#This Row],[SC Exp Date]],0), "")</f>
        <v/>
      </c>
      <c r="GS315" s="160" t="str">
        <f>IF(LEN(SnapshotTable[[#This Row],[SC Symbol]])&gt;0, 1, "")</f>
        <v/>
      </c>
      <c r="GT315" s="161" t="str">
        <f>IF(COUNT(SnapshotTable[[#This Row],[LP Symbol Count]],SnapshotTable[[#This Row],[SP Symbol Count]],SnapshotTable[[#This Row],[LC Symbol Count]],SnapshotTable[[#This Row],[SC Symbol Count]])&gt;0, "Y", "")</f>
        <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5" s="231">
        <f>MAX(SnapshotTable[[#This Row],[Equity Basis Total]],SnapshotTable[[#This Row],[Equity Value]]) + (SnapshotTable[[#This Row],[SP Potential Spend]]- SnapshotTable[[#This Row],[SP Premium]] + SnapshotTable[[#This Row],[LP Premium]])+ (SnapshotTable[[#This Row],[LC Premium]] - SnapshotTable[[#This Row],[SC Premium]])</f>
        <v>0</v>
      </c>
      <c r="GW315" s="139" t="str">
        <f>IF(AND(SnapshotTable[[#This Row],[Exposure]] &lt;&gt; 0),SnapshotTable[[#This Row],[Exposure]] / SnapshotTable[[#Totals],[Exposure]], "")</f>
        <v/>
      </c>
      <c r="GX315" s="13"/>
      <c r="HK315" s="1"/>
      <c r="HL315" s="1"/>
      <c r="HM315" s="1"/>
      <c r="HN315" s="1"/>
      <c r="HO315" s="1"/>
      <c r="HP315" s="1"/>
    </row>
    <row r="316" spans="2:224" ht="12.75" hidden="1" customHeight="1" x14ac:dyDescent="0.25">
      <c r="B316" s="12" t="s">
        <v>121</v>
      </c>
      <c r="C316" s="422">
        <v>51.7</v>
      </c>
      <c r="D316" s="208" t="s">
        <v>578</v>
      </c>
      <c r="E316" s="39">
        <f>SnapshotTable[[#This Row],[Last Price]]*(1 -CrashDiscount)</f>
        <v>43.945</v>
      </c>
      <c r="F316" s="26" t="s">
        <v>94</v>
      </c>
      <c r="G316" s="26" t="s">
        <v>9</v>
      </c>
      <c r="H316" s="149"/>
      <c r="I316" s="194">
        <v>44770.333333333336</v>
      </c>
      <c r="J316" s="195">
        <v>44770.333333333336</v>
      </c>
      <c r="K316" s="196"/>
      <c r="L316" s="326"/>
      <c r="M316" s="140"/>
      <c r="N316" s="140"/>
      <c r="O316" s="140"/>
      <c r="P316" s="22"/>
      <c r="Q316" s="25"/>
      <c r="R316" s="4" t="str">
        <f>IF(SnapshotTable[[#This Row],[Equity Basis Total]] &gt; 0, SnapshotTable[[#This Row],[Equity Basis Total]] / SnapshotTable[[#This Row],[Equity Shares]], "")</f>
        <v/>
      </c>
      <c r="S316" s="269">
        <f>SnapshotTable[[#This Row],[Last Price]] * SnapshotTable[[#This Row],[Equity Shares]]</f>
        <v>0</v>
      </c>
      <c r="T316" s="269">
        <f>SnapshotTable[[#This Row],[Equity Value]] - SnapshotTable[[#This Row],[Equity Basis Total]]</f>
        <v>0</v>
      </c>
      <c r="U316" s="270" t="str">
        <f>IF(SnapshotTable[[#This Row],[Equity Basis Total]] &gt; 0, SnapshotTable[[#This Row],[Equity G/L]] / SnapshotTable[[#This Row],[Equity Basis Total]], "")</f>
        <v/>
      </c>
      <c r="V316" s="268">
        <v>55</v>
      </c>
      <c r="W316" s="268">
        <v>48.29</v>
      </c>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7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0"/>
      <c r="AD316" s="151" t="s">
        <v>2</v>
      </c>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1"/>
      <c r="AI316" s="5"/>
      <c r="AJ316" s="138">
        <v>43.82</v>
      </c>
      <c r="AK316" s="152" t="str">
        <f>IF(ISNUMBER( SnapshotTable[[#This Row],[EBF Target]]),(SnapshotTable[[#This Row],[EBF Target]] - SnapshotTable[[#This Row],[Last Price]]) / SnapshotTable[[#This Row],[Last Price]], "")</f>
        <v/>
      </c>
      <c r="AL316" s="152"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2">
        <f>IF(AND(ISNUMBER( SnapshotTable[[#This Row],[Long Term Target]]), ISNUMBER(SnapshotTable[[#This Row],[Last Price]])),(SnapshotTable[[#This Row],[Long Term Target]] - SnapshotTable[[#This Row],[Last Price]]) / SnapshotTable[[#This Row],[Last Price]], "")</f>
        <v>-0.15241779497098651</v>
      </c>
      <c r="AP316" s="5">
        <v>55</v>
      </c>
      <c r="AQ316" s="38" t="s">
        <v>27</v>
      </c>
      <c r="AR316" s="5">
        <v>50</v>
      </c>
      <c r="AS316" s="38" t="s">
        <v>26</v>
      </c>
      <c r="AT316" s="146" t="s">
        <v>553</v>
      </c>
      <c r="AU316" s="187" t="str">
        <f>IF(OR(SnapshotTable[[#This Row],[LP No Fill]]="Y",SnapshotTable[[#This Row],[SP Is Filled]],SnapshotTable[[#This Row],[LC Not Filled]]="Y",SnapshotTable[[#This Row],[SC Is Filled]]),"Y","")</f>
        <v/>
      </c>
      <c r="AV316" s="219"/>
      <c r="AW316" s="225"/>
      <c r="AX316" s="220"/>
      <c r="AY316" s="219" t="str">
        <f>IF(SnapshotTable[[#This Row],[Implied Move]]&gt;0, SnapshotTable[[#This Row],[Last Price]]-SnapshotTable[[#This Row],[Implied Move]],"")</f>
        <v/>
      </c>
      <c r="AZ316" s="219" t="str">
        <f>IF(SnapshotTable[[#This Row],[Implied Move]]&gt;0, SnapshotTable[[#This Row],[Last Price]] + SnapshotTable[[#This Row],[Implied Move]],"")</f>
        <v/>
      </c>
      <c r="BA316" s="331">
        <v>41.34</v>
      </c>
      <c r="BB316" s="347"/>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51"/>
      <c r="BE316" s="5"/>
      <c r="BF316" s="14"/>
      <c r="BG316" s="13"/>
      <c r="BH316" s="13"/>
      <c r="BI316" s="5"/>
      <c r="BJ316" s="136">
        <f>IF(SnapshotTable[[#This Row],[LP Qty]] &gt; 0, SnapshotTable[[#This Row],[LP Qty]] * SnapshotTable[[#This Row],[LP Book Price]] * 100,0)</f>
        <v>0</v>
      </c>
      <c r="BK316" s="136">
        <f>IF(SnapshotTable[[#This Row],[LP Premium]] &gt; 0, SnapshotTable[[#This Row],[LP Qty]] * SnapshotTable[[#This Row],[LP Strike Price]] * 100,0)</f>
        <v>0</v>
      </c>
      <c r="BL316" s="154"/>
      <c r="BM316" s="385" t="str">
        <f>IF(SnapshotTable[[#This Row],[LP Premium]] &gt; 0,SnapshotTable[[#This Row],[LP Exp Date]]-MAX(SnapshotTable[[#This Row],[LP Book Date]], SnapshotTable[[#This Row],[LP Fill Date]]),"")</f>
        <v/>
      </c>
      <c r="BN316" s="385" t="str">
        <f>IF(ISNUMBER( SnapshotTable[[#This Row],[LP Term]]), SnapshotTable[[#This Row],[LP Exp Date]] - MockToday,"")</f>
        <v/>
      </c>
      <c r="BO316" s="163"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7"/>
      <c r="BU316" s="13"/>
      <c r="BV316" s="5"/>
      <c r="BW316" s="419" t="b">
        <f>AND(ISNUMBER(SnapshotTable[[#This Row],[SP Exp Date]]), ISNUMBER(SnapshotTable[[#This Row],[SP Strike Price]]), ISNUMBER(SnapshotTable[[#This Row],[SP Qty]]), ISNUMBER(SnapshotTable[[#This Row],[SP Book Date]]), ISNUMBER(SnapshotTable[[#This Row],[SP Book Price]]))</f>
        <v>0</v>
      </c>
      <c r="BX316" s="419" t="b">
        <f>AND(SnapshotTable[[#This Row],[SP Is Booked]], NOT(ISBLANK(SnapshotTable[[#This Row],[SP Fill Date]])))</f>
        <v>0</v>
      </c>
      <c r="BY316" s="33">
        <f>IF(SnapshotTable[[#This Row],[SP Is Booked]], SnapshotTable[[#This Row],[SP Qty]] * SnapshotTable[[#This Row],[SP Book Price]] * 100, 0)</f>
        <v>0</v>
      </c>
      <c r="BZ316" s="369"/>
      <c r="CA316" s="368">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3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44"/>
      <c r="CK316" s="31">
        <f>IF(ISNUMBER(SnapshotTable[[#This Row],[SP Potential Spend]]),IF(ISNUMBER(SnapshotTable[[#This Row],[SP POW]]), SnapshotTable[[#This Row],[SP POW]] * SnapshotTable[[#This Row],[SP Potential Spend]], SnapshotTable[[#This Row],[SP Potential Spend]]), "")</f>
        <v>0</v>
      </c>
      <c r="CL316" s="164">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218"/>
      <c r="CO316" s="369"/>
      <c r="CP316" s="4" t="str">
        <f>IF(SnapshotTable[[#This Row],[SP Is Filled]], btc_max_buyback_amount(SnapshotTable[[#This Row],[SP Fill Date]],SnapshotTable[[#This Row],[SP Exp Date]], SnapshotTable[[#This Row],[SP Book Price]]),"")</f>
        <v/>
      </c>
      <c r="CQ316" s="78"/>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5" t="str">
        <f>IF(SnapshotTable[[#This Row],[SP Is Filled]], btc_next_cutoff_date(SnapshotTable[[#This Row],[SP Fill Date]],SnapshotTable[[#This Row],[SP Exp Date]]),"")</f>
        <v/>
      </c>
      <c r="CT316" s="23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3"/>
      <c r="CV316" s="235"/>
      <c r="CW316" s="378" t="str">
        <f>IF(ISNUMBER( SnapshotTable[[#This Row],[SP Term]]), SnapshotTable[[#This Row],[SP Exp Date]] - MockToday,"")</f>
        <v/>
      </c>
      <c r="CX316" s="31" t="str">
        <f>IF(SnapshotTable[[#This Row],[SP Is Filled]],SnapshotTable[[#This Row],[SP Buyback Price to Use]] * 100 * SnapshotTable[[#This Row],[SP Qty]], "")</f>
        <v/>
      </c>
      <c r="CY316" s="349"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294" t="str">
        <f>IF(ISNUMBER((SnapshotTable[[#This Row],[SP Total Value]])), SnapshotTable[[#This Row],[SP Gain Loss]] / SnapshotTable[[#This Row],[SP Premium]], "")</f>
        <v/>
      </c>
      <c r="DI316" s="406"/>
      <c r="DJ316" s="138"/>
      <c r="DK316" s="148"/>
      <c r="DL316" s="13"/>
      <c r="DM316" s="13"/>
      <c r="DO316" s="31">
        <f>IF(SnapshotTable[[#This Row],[LC Symbol Count]]=1, SnapshotTable[[#This Row],[LC Qty]] * SnapshotTable[[#This Row],[LC Book Price]] * 100, 0)</f>
        <v>0</v>
      </c>
      <c r="DP316" s="163" t="str">
        <f>IF(AND(SnapshotTable[[#This Row],[LC Exp Date]]&gt;0, SnapshotTable[[#This Row],[LC Strike Price]]&gt;0,SnapshotTable[[#This Row],[LC Qty]]&gt;0,SnapshotTable[[#This Row],[LC Book Date]]&gt;0,SnapshotTable[[#This Row],[LC Book Price]]&gt;0,SnapshotTable[[#This Row],[LC Fill Date]]=0),"Y","")</f>
        <v/>
      </c>
      <c r="DQ316" s="386" t="str">
        <f>IF(SnapshotTable[[#This Row],[LC Premium]] &gt; 0,SnapshotTable[[#This Row],[LC Exp Date]]-MAX(SnapshotTable[[#This Row],[LC Book Date]], SnapshotTable[[#This Row],[LC Fill Date]]),"")</f>
        <v/>
      </c>
      <c r="DR316" s="386" t="str">
        <f>IF(ISNUMBER(SnapshotTable[[#This Row],[LC Term]]), SnapshotTable[[#This Row],[LC Exp Date]] - MockToday, "")</f>
        <v/>
      </c>
      <c r="DS316" s="23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40" t="str">
        <f>IF(ISNUMBER(SnapshotTable[[#This Row],[LC Actual Gain Loss]]), SnapshotTable[[#This Row],[LC Actual Gain Loss]] / SnapshotTable[[#This Row],[LC Premium]],"")</f>
        <v/>
      </c>
      <c r="DX316" s="284" t="str">
        <f>IF(ISNUMBER(SnapshotTable[[#This Row],[LC Book Price]]),SnapshotTable[[#This Row],[LC Book Price]] * 1.5,"")</f>
        <v/>
      </c>
      <c r="DY316" s="265" t="str">
        <f>IF(SnapshotTable[[#This Row],[LC Premium]]&gt;0, SnapshotTable[[#This Row],[LC Next Target]] * SnapshotTable[[#This Row],[LC Qty]] * 100,"")</f>
        <v/>
      </c>
      <c r="DZ316" s="265" t="str">
        <f>IF(ISNUMBER(SnapshotTable[[#This Row],[LC Target Gross]]), SnapshotTable[[#This Row],[LC Target Gross]] - SnapshotTable[[#This Row],[LC Premium]], "")</f>
        <v/>
      </c>
      <c r="EA316" s="305" t="str">
        <f>IF(ISNUMBER(SnapshotTable[[#This Row],[LC Target Gain Loss]]), SnapshotTable[[#This Row],[LC Target Gain Loss]]/SnapshotTable[[#This Row],[LC Premium]], "")</f>
        <v/>
      </c>
      <c r="EB316" s="262"/>
      <c r="EC316" s="283" t="str">
        <f>IF(SnapshotTable[[#This Row],[LC Premium]]&gt;0, SnapshotTable[[#This Row],[LC Book Price]] * (1 - LC_StopLoss_Pct),"")</f>
        <v/>
      </c>
      <c r="ED316" s="284"/>
      <c r="EE316" s="28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4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7"/>
      <c r="EL316" s="138"/>
      <c r="EM316" s="148"/>
      <c r="EN316" s="147"/>
      <c r="EO316" s="147"/>
      <c r="EP316" s="138"/>
      <c r="EQ316" s="419" t="b">
        <f>AND(ISNUMBER(SnapshotTable[[#This Row],[SC Exp Date]]), ISNUMBER(SnapshotTable[[#This Row],[SC Strike Price]]), ISNUMBER(SnapshotTable[[#This Row],[SC Qty]]), ISNUMBER(SnapshotTable[[#This Row],[SC Book Date]]), ISNUMBER(SnapshotTable[[#This Row],[SC Book Price]]))</f>
        <v>0</v>
      </c>
      <c r="ER316" s="419" t="b">
        <f>AND(SnapshotTable[[#This Row],[SC Is Booked]], NOT(ISBLANK(SnapshotTable[[#This Row],[SC Fill Date]])))</f>
        <v>0</v>
      </c>
      <c r="ES316" s="370"/>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3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283"/>
      <c r="FA316" s="218"/>
      <c r="FB316" s="370"/>
      <c r="FC316" s="4">
        <f>IF(SnapshotTable[[#This Row],[SC Is Filled]], btc_max_buyback_amount(SnapshotTable[[#This Row],[SC Fill Date]],SnapshotTable[[#This Row],[SC Exp Date]], SnapshotTable[[#This Row],[SC Book Price]]),0)</f>
        <v>0</v>
      </c>
      <c r="FD316" s="5"/>
      <c r="FE316" s="144"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382">
        <f>IF(SnapshotTable[[#This Row],[SC Is Filled]], IF(ISNUMBER(SnapshotTable[[#This Row],[SC Current Ask]]), SnapshotTable[[#This Row],[SC Current Ask]], SnapshotTable[[#This Row],[SC Book Price]]) - SnapshotTable[[#This Row],[SC Intrinsic Value]], 0)</f>
        <v>0</v>
      </c>
      <c r="FI316" s="143"/>
      <c r="FJ316" s="32" t="str">
        <f>IF(SnapshotTable[[#This Row],[SC Is Filled]],100 * SnapshotTable[[#This Row],[SC Qty]] * IF(ISNUMBER(SnapshotTable[[#This Row],[SC Buyback Override]]), SnapshotTable[[#This Row],[SC Buyback Override]], SnapshotTable[[#This Row],[SC Current Ask]]), "")</f>
        <v/>
      </c>
      <c r="FK316" s="250" t="str">
        <f>IF(SnapshotTable[[#This Row],[SC Time Val]]&gt;0, SnapshotTable[[#This Row],[SC Time Val]] / SnapshotTable[[#This Row],[Last Price]],"")</f>
        <v/>
      </c>
      <c r="FL316" s="302" t="str">
        <f>IF(SnapshotTable[[#This Row],[SC Is Booked]], ((SnapshotTable[[#This Row],[Last Price]] -SnapshotTable[[#This Row],[SC Strike Price]]) / SnapshotTable[[#This Row],[Last Price]]) * -1, "")</f>
        <v/>
      </c>
      <c r="FM316" s="157"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33"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36" t="str">
        <f>IF(AND(ISNUMBER(SnapshotTable[[#This Row],[SC Simple ROO]]),SnapshotTable[[#This Row],[SC Simple ROO]] &gt; 0), SnapshotTable[[#This Row],[SC Premium]] + (SnapshotTable[[#This Row],[SC Qty]] * SnapshotTable[[#This Row],[SC Upside Potential]]), "")</f>
        <v/>
      </c>
      <c r="FX316" s="302" t="str" cm="1">
        <f t="array" ref="FX316">IF(ISNUMBER(SnapshotTable[[#This Row],[SC Max Dollars]]), annualize(SnapshotTable[[#This Row],[SC Term]],(SnapshotTable[[#This Row],[SC Max Dollars]]/SnapshotTable[[#This Row],[SC Basis]])),"")</f>
        <v/>
      </c>
      <c r="FY316" s="23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29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41.628999999999998</v>
      </c>
      <c r="GD316" s="40">
        <f>SnapshotTable[[#This Row],[Last Price]] * (1+ SellingPriceToConsiderBasedOnTargetPercentage)</f>
        <v>100.815</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627</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31">
        <f>MAX(SnapshotTable[[#This Row],[Equity Basis Total]],SnapshotTable[[#This Row],[Equity Value]]) + (SnapshotTable[[#This Row],[SP Potential Spend]]- SnapshotTable[[#This Row],[SP Premium]] + SnapshotTable[[#This Row],[LP Premium]])+ (SnapshotTable[[#This Row],[LC Premium]] - SnapshotTable[[#This Row],[SC Premium]])</f>
        <v>0</v>
      </c>
      <c r="GW316" s="139" t="str">
        <f>IF(AND(SnapshotTable[[#This Row],[Exposure]] &lt;&gt; 0),SnapshotTable[[#This Row],[Exposure]] / SnapshotTable[[#Totals],[Exposure]], "")</f>
        <v/>
      </c>
      <c r="HK316" s="1"/>
      <c r="HL316" s="1"/>
      <c r="HM316" s="1"/>
      <c r="HN316" s="1"/>
      <c r="HO316" s="1"/>
      <c r="HP316" s="1"/>
    </row>
    <row r="317" spans="2:224" ht="12.75" hidden="1" customHeight="1" x14ac:dyDescent="0.25">
      <c r="B317" s="12" t="s">
        <v>126</v>
      </c>
      <c r="C317" s="422">
        <v>91.71</v>
      </c>
      <c r="D317" s="208"/>
      <c r="E317" s="39">
        <f>SnapshotTable[[#This Row],[Last Price]]*(1 -CrashDiscount)</f>
        <v>77.953499999999991</v>
      </c>
      <c r="F317" s="26" t="s">
        <v>63</v>
      </c>
      <c r="G317" s="26" t="s">
        <v>20</v>
      </c>
      <c r="H317" s="149"/>
      <c r="I317" s="194">
        <v>44770.270833333336</v>
      </c>
      <c r="J317" s="195">
        <v>44770.270833333336</v>
      </c>
      <c r="K317" s="196"/>
      <c r="L317" s="326"/>
      <c r="M317" s="140"/>
      <c r="N317" s="140"/>
      <c r="O317" s="140"/>
      <c r="P317" s="22"/>
      <c r="Q317" s="25"/>
      <c r="R317" s="4" t="str">
        <f>IF(SnapshotTable[[#This Row],[Equity Basis Total]] &gt; 0, SnapshotTable[[#This Row],[Equity Basis Total]] / SnapshotTable[[#This Row],[Equity Shares]], "")</f>
        <v/>
      </c>
      <c r="S317" s="269">
        <f>SnapshotTable[[#This Row],[Last Price]] * SnapshotTable[[#This Row],[Equity Shares]]</f>
        <v>0</v>
      </c>
      <c r="T317" s="269">
        <f>SnapshotTable[[#This Row],[Equity Value]] - SnapshotTable[[#This Row],[Equity Basis Total]]</f>
        <v>0</v>
      </c>
      <c r="U317" s="270" t="str">
        <f>IF(SnapshotTable[[#This Row],[Equity Basis Total]] &gt; 0, SnapshotTable[[#This Row],[Equity G/L]] / SnapshotTable[[#This Row],[Equity Basis Total]], "")</f>
        <v/>
      </c>
      <c r="V317" s="268"/>
      <c r="W317" s="268"/>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7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0"/>
      <c r="AD317" s="151"/>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1"/>
      <c r="AI317" s="5"/>
      <c r="AJ317" s="138">
        <v>40.729999999999997</v>
      </c>
      <c r="AK317" s="152" t="str">
        <f>IF(ISNUMBER( SnapshotTable[[#This Row],[EBF Target]]),(SnapshotTable[[#This Row],[EBF Target]] - SnapshotTable[[#This Row],[Last Price]]) / SnapshotTable[[#This Row],[Last Price]], "")</f>
        <v/>
      </c>
      <c r="AL317" s="152"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2">
        <f>IF(AND(ISNUMBER( SnapshotTable[[#This Row],[Long Term Target]]), ISNUMBER(SnapshotTable[[#This Row],[Last Price]])),(SnapshotTable[[#This Row],[Long Term Target]] - SnapshotTable[[#This Row],[Last Price]]) / SnapshotTable[[#This Row],[Last Price]], "")</f>
        <v>-0.55588267364518595</v>
      </c>
      <c r="AP317" s="5"/>
      <c r="AQ317" s="38"/>
      <c r="AR317" s="5"/>
      <c r="AS317" s="38"/>
      <c r="AT317" s="146"/>
      <c r="AU317" s="187" t="str">
        <f>IF(OR(SnapshotTable[[#This Row],[LP No Fill]]="Y",SnapshotTable[[#This Row],[SP Is Filled]],SnapshotTable[[#This Row],[LC Not Filled]]="Y",SnapshotTable[[#This Row],[SC Is Filled]]),"Y","")</f>
        <v/>
      </c>
      <c r="AV317" s="219"/>
      <c r="AW317" s="225"/>
      <c r="AX317" s="220"/>
      <c r="AY317" s="219" t="str">
        <f>IF(SnapshotTable[[#This Row],[Implied Move]]&gt;0, SnapshotTable[[#This Row],[Last Price]]-SnapshotTable[[#This Row],[Implied Move]],"")</f>
        <v/>
      </c>
      <c r="AZ317" s="219" t="str">
        <f>IF(SnapshotTable[[#This Row],[Implied Move]]&gt;0, SnapshotTable[[#This Row],[Last Price]] + SnapshotTable[[#This Row],[Implied Move]],"")</f>
        <v/>
      </c>
      <c r="BA317" s="331"/>
      <c r="BB317" s="347"/>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51"/>
      <c r="BE317" s="5"/>
      <c r="BF317" s="14"/>
      <c r="BG317" s="13"/>
      <c r="BH317" s="13"/>
      <c r="BI317" s="5"/>
      <c r="BJ317" s="136">
        <f>IF(SnapshotTable[[#This Row],[LP Qty]] &gt; 0, SnapshotTable[[#This Row],[LP Qty]] * SnapshotTable[[#This Row],[LP Book Price]] * 100,0)</f>
        <v>0</v>
      </c>
      <c r="BK317" s="136">
        <f>IF(SnapshotTable[[#This Row],[LP Premium]] &gt; 0, SnapshotTable[[#This Row],[LP Qty]] * SnapshotTable[[#This Row],[LP Strike Price]] * 100,0)</f>
        <v>0</v>
      </c>
      <c r="BL317" s="154"/>
      <c r="BM317" s="385" t="str">
        <f>IF(SnapshotTable[[#This Row],[LP Premium]] &gt; 0,SnapshotTable[[#This Row],[LP Exp Date]]-MAX(SnapshotTable[[#This Row],[LP Book Date]], SnapshotTable[[#This Row],[LP Fill Date]]),"")</f>
        <v/>
      </c>
      <c r="BN317" s="385" t="str">
        <f>IF(ISNUMBER( SnapshotTable[[#This Row],[LP Term]]), SnapshotTable[[#This Row],[LP Exp Date]] - MockToday,"")</f>
        <v/>
      </c>
      <c r="BO317" s="163"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7"/>
      <c r="BU317" s="13"/>
      <c r="BV317" s="5"/>
      <c r="BW317" s="419" t="b">
        <f>AND(ISNUMBER(SnapshotTable[[#This Row],[SP Exp Date]]), ISNUMBER(SnapshotTable[[#This Row],[SP Strike Price]]), ISNUMBER(SnapshotTable[[#This Row],[SP Qty]]), ISNUMBER(SnapshotTable[[#This Row],[SP Book Date]]), ISNUMBER(SnapshotTable[[#This Row],[SP Book Price]]))</f>
        <v>0</v>
      </c>
      <c r="BX317" s="419" t="b">
        <f>AND(SnapshotTable[[#This Row],[SP Is Booked]], NOT(ISBLANK(SnapshotTable[[#This Row],[SP Fill Date]])))</f>
        <v>0</v>
      </c>
      <c r="BY317" s="33">
        <f>IF(SnapshotTable[[#This Row],[SP Is Booked]], SnapshotTable[[#This Row],[SP Qty]] * SnapshotTable[[#This Row],[SP Book Price]] * 100, 0)</f>
        <v>0</v>
      </c>
      <c r="BZ317" s="369"/>
      <c r="CA317" s="368">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3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44"/>
      <c r="CK317" s="31">
        <f>IF(ISNUMBER(SnapshotTable[[#This Row],[SP Potential Spend]]),IF(ISNUMBER(SnapshotTable[[#This Row],[SP POW]]), SnapshotTable[[#This Row],[SP POW]] * SnapshotTable[[#This Row],[SP Potential Spend]], SnapshotTable[[#This Row],[SP Potential Spend]]), "")</f>
        <v>0</v>
      </c>
      <c r="CL317" s="164">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78"/>
      <c r="CO317" s="369"/>
      <c r="CP317" s="4" t="str">
        <f>IF(SnapshotTable[[#This Row],[SP Is Filled]], btc_max_buyback_amount(SnapshotTable[[#This Row],[SP Fill Date]],SnapshotTable[[#This Row],[SP Exp Date]], SnapshotTable[[#This Row],[SP Book Price]]),"")</f>
        <v/>
      </c>
      <c r="CQ317" s="78"/>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5" t="str">
        <f>IF(SnapshotTable[[#This Row],[SP Is Filled]], btc_next_cutoff_date(SnapshotTable[[#This Row],[SP Fill Date]],SnapshotTable[[#This Row],[SP Exp Date]]),"")</f>
        <v/>
      </c>
      <c r="CT317" s="23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43"/>
      <c r="CV317" s="235"/>
      <c r="CW317" s="378"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294" t="str">
        <f>IF(ISNUMBER((SnapshotTable[[#This Row],[SP Total Value]])), SnapshotTable[[#This Row],[SP Gain Loss]] / SnapshotTable[[#This Row],[SP Premium]], "")</f>
        <v/>
      </c>
      <c r="DI317" s="406"/>
      <c r="DJ317" s="138"/>
      <c r="DK317" s="148"/>
      <c r="DL317" s="13"/>
      <c r="DM317" s="13"/>
      <c r="DO317" s="31">
        <f>IF(SnapshotTable[[#This Row],[LC Symbol Count]]=1, SnapshotTable[[#This Row],[LC Qty]] * SnapshotTable[[#This Row],[LC Book Price]] * 100, 0)</f>
        <v>0</v>
      </c>
      <c r="DP317" s="163" t="str">
        <f>IF(AND(SnapshotTable[[#This Row],[LC Exp Date]]&gt;0, SnapshotTable[[#This Row],[LC Strike Price]]&gt;0,SnapshotTable[[#This Row],[LC Qty]]&gt;0,SnapshotTable[[#This Row],[LC Book Date]]&gt;0,SnapshotTable[[#This Row],[LC Book Price]]&gt;0,SnapshotTable[[#This Row],[LC Fill Date]]=0),"Y","")</f>
        <v/>
      </c>
      <c r="DQ317" s="386" t="str">
        <f>IF(SnapshotTable[[#This Row],[LC Premium]] &gt; 0,SnapshotTable[[#This Row],[LC Exp Date]]-MAX(SnapshotTable[[#This Row],[LC Book Date]], SnapshotTable[[#This Row],[LC Fill Date]]),"")</f>
        <v/>
      </c>
      <c r="DR317" s="386" t="str">
        <f>IF(ISNUMBER(SnapshotTable[[#This Row],[LC Term]]), SnapshotTable[[#This Row],[LC Exp Date]] - MockToday, "")</f>
        <v/>
      </c>
      <c r="DS317" s="23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40" t="str">
        <f>IF(ISNUMBER(SnapshotTable[[#This Row],[LC Actual Gain Loss]]), SnapshotTable[[#This Row],[LC Actual Gain Loss]] / SnapshotTable[[#This Row],[LC Premium]],"")</f>
        <v/>
      </c>
      <c r="DX317" s="284" t="str">
        <f>IF(ISNUMBER(SnapshotTable[[#This Row],[LC Book Price]]),SnapshotTable[[#This Row],[LC Book Price]] * 1.5,"")</f>
        <v/>
      </c>
      <c r="DY317" s="265" t="str">
        <f>IF(SnapshotTable[[#This Row],[LC Premium]]&gt;0, SnapshotTable[[#This Row],[LC Next Target]] * SnapshotTable[[#This Row],[LC Qty]] * 100,"")</f>
        <v/>
      </c>
      <c r="DZ317" s="265" t="str">
        <f>IF(ISNUMBER(SnapshotTable[[#This Row],[LC Target Gross]]), SnapshotTable[[#This Row],[LC Target Gross]] - SnapshotTable[[#This Row],[LC Premium]], "")</f>
        <v/>
      </c>
      <c r="EA317" s="305" t="str">
        <f>IF(ISNUMBER(SnapshotTable[[#This Row],[LC Target Gain Loss]]), SnapshotTable[[#This Row],[LC Target Gain Loss]]/SnapshotTable[[#This Row],[LC Premium]], "")</f>
        <v/>
      </c>
      <c r="EB317" s="262"/>
      <c r="EC317" s="283" t="str">
        <f>IF(SnapshotTable[[#This Row],[LC Premium]]&gt;0, SnapshotTable[[#This Row],[LC Book Price]] * (1 - LC_StopLoss_Pct),"")</f>
        <v/>
      </c>
      <c r="ED317" s="284"/>
      <c r="EE317" s="28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4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7"/>
      <c r="EL317" s="138"/>
      <c r="EM317" s="148"/>
      <c r="EN317" s="147"/>
      <c r="EO317" s="147"/>
      <c r="EP317" s="138"/>
      <c r="EQ317" s="419" t="b">
        <f>AND(ISNUMBER(SnapshotTable[[#This Row],[SC Exp Date]]), ISNUMBER(SnapshotTable[[#This Row],[SC Strike Price]]), ISNUMBER(SnapshotTable[[#This Row],[SC Qty]]), ISNUMBER(SnapshotTable[[#This Row],[SC Book Date]]), ISNUMBER(SnapshotTable[[#This Row],[SC Book Price]]))</f>
        <v>0</v>
      </c>
      <c r="ER317" s="419" t="b">
        <f>AND(SnapshotTable[[#This Row],[SC Is Booked]], NOT(ISBLANK(SnapshotTable[[#This Row],[SC Fill Date]])))</f>
        <v>0</v>
      </c>
      <c r="ES317" s="370"/>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3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283"/>
      <c r="FA317" s="218"/>
      <c r="FB317" s="370"/>
      <c r="FC317" s="4">
        <f>IF(SnapshotTable[[#This Row],[SC Is Filled]], btc_max_buyback_amount(SnapshotTable[[#This Row],[SC Fill Date]],SnapshotTable[[#This Row],[SC Exp Date]], SnapshotTable[[#This Row],[SC Book Price]]),0)</f>
        <v>0</v>
      </c>
      <c r="FD317" s="5"/>
      <c r="FE317" s="144"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382">
        <f>IF(SnapshotTable[[#This Row],[SC Is Filled]], IF(ISNUMBER(SnapshotTable[[#This Row],[SC Current Ask]]), SnapshotTable[[#This Row],[SC Current Ask]], SnapshotTable[[#This Row],[SC Book Price]]) - SnapshotTable[[#This Row],[SC Intrinsic Value]], 0)</f>
        <v>0</v>
      </c>
      <c r="FI317" s="143"/>
      <c r="FJ317" s="32" t="str">
        <f>IF(SnapshotTable[[#This Row],[SC Is Filled]],100 * SnapshotTable[[#This Row],[SC Qty]] * IF(ISNUMBER(SnapshotTable[[#This Row],[SC Buyback Override]]), SnapshotTable[[#This Row],[SC Buyback Override]], SnapshotTable[[#This Row],[SC Current Ask]]), "")</f>
        <v/>
      </c>
      <c r="FK317" s="250" t="str">
        <f>IF(SnapshotTable[[#This Row],[SC Time Val]]&gt;0, SnapshotTable[[#This Row],[SC Time Val]] / SnapshotTable[[#This Row],[Last Price]],"")</f>
        <v/>
      </c>
      <c r="FL317" s="302" t="str">
        <f>IF(SnapshotTable[[#This Row],[SC Is Booked]], ((SnapshotTable[[#This Row],[Last Price]] -SnapshotTable[[#This Row],[SC Strike Price]]) / SnapshotTable[[#This Row],[Last Price]]) * -1, "")</f>
        <v/>
      </c>
      <c r="FM317" s="157" t="str">
        <f>IF(SnapshotTable[[#This Row],[SC Is Booked]],  (SnapshotTable[[#This Row],[SC Qty]] * 100 * SnapshotTable[[#This Row],[SC Strike Price]]) - SnapshotTable[[#This Row],[SC Current Ask]], "")</f>
        <v/>
      </c>
      <c r="FN3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31"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33"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36" t="str">
        <f>IF(AND(ISNUMBER(SnapshotTable[[#This Row],[SC Simple ROO]]),SnapshotTable[[#This Row],[SC Simple ROO]] &gt; 0), SnapshotTable[[#This Row],[SC Premium]] + (SnapshotTable[[#This Row],[SC Qty]] * SnapshotTable[[#This Row],[SC Upside Potential]]), "")</f>
        <v/>
      </c>
      <c r="FX317" s="302" t="str" cm="1">
        <f t="array" ref="FX317">IF(ISNUMBER(SnapshotTable[[#This Row],[SC Max Dollars]]), annualize(SnapshotTable[[#This Row],[SC Term]],(SnapshotTable[[#This Row],[SC Max Dollars]]/SnapshotTable[[#This Row],[SC Basis]])),"")</f>
        <v/>
      </c>
      <c r="FY317" s="236" t="str">
        <f>IF(AND(SnapshotTable[[#This Row],[SC Qty]]&gt;0,SnapshotTable[[#This Row],[SC Current Ask]]&gt;0), SnapshotTable[[#This Row],[SC Qty]] * SnapshotTable[[#This Row],[SC Current Ask]] * -100, "")</f>
        <v/>
      </c>
      <c r="FZ317" s="31" t="str">
        <f>IF(ISNUMBER((SnapshotTable[[#This Row],[SC Current Value]])), SnapshotTable[[#This Row],[SC Premium]] + SnapshotTable[[#This Row],[SC Current Value]], "")</f>
        <v/>
      </c>
      <c r="GA317" s="294" t="str">
        <f>IFERROR( IF(ISNUMBER((SnapshotTable[[#This Row],[SC Current Value]])), SnapshotTable[[#This Row],[SC Gain Loss]] / SnapshotTable[[#This Row],[SC Premium]], ""), "")</f>
        <v/>
      </c>
      <c r="GB317" s="42">
        <f>SnapshotTable[[#This Row],[Equity Shares]] * SaleSharesToConsiderPercentage</f>
        <v>0</v>
      </c>
      <c r="GC317" s="40">
        <f>SnapshotTable[[#This Row],[Long Term Target]] * SellingPriceToConsiderBasedOnTargetPercentage</f>
        <v>38.693499999999993</v>
      </c>
      <c r="GD317" s="40">
        <f>SnapshotTable[[#This Row],[Last Price]] * (1+ SellingPriceToConsiderBasedOnTargetPercentage)</f>
        <v>178.83449999999999</v>
      </c>
      <c r="GE317" s="41"/>
      <c r="GF317" s="40"/>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27" t="str">
        <f>IF(SnapshotTable[[#This Row],[Sale G/L]]&gt;0, SnapshotTable[[#This Row],[Sale G/L]] / SnapshotTable[[#This Row],[Sale Basis]], IF(ISNUMBER(SnapshotTable[[#This Row],[SC Exercise P&amp;L (TAX)]]), SnapshotTable[[#This Row],[SC Exercise P&amp;L (TAX)]] / SnapshotTable[[#This Row],[SC Basis]], ""))</f>
        <v/>
      </c>
      <c r="GK317" s="27" t="s">
        <v>776</v>
      </c>
      <c r="GL317" s="43"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43" t="str">
        <f>IF(AND(SnapshotTable[[#This Row],[LC Exp Date]]&gt;0,SnapshotTable[[#This Row],[LC Strike Price]]&gt;0), [1]!ToOptionSymbol(SnapshotTable[[#This Row],[Symbol]], SnapshotTable[[#This Row],[LC Strike Price]],SnapshotTable[[#This Row],[LC Exp Date]],0), "")</f>
        <v/>
      </c>
      <c r="GQ317" s="30" t="str">
        <f>IF(LEN(SnapshotTable[[#This Row],[LC Symbol]])&gt;0, 1, "")</f>
        <v/>
      </c>
      <c r="GR317" s="43" t="str">
        <f>IF(AND(SnapshotTable[[#This Row],[SC Exp Date]]&gt;0,SnapshotTable[[#This Row],[SC Strike Price]]&gt;0), [1]!ToOptionSymbol(SnapshotTable[[#This Row],[Symbol]], SnapshotTable[[#This Row],[SC Strike Price]],SnapshotTable[[#This Row],[SC Exp Date]],0), "")</f>
        <v/>
      </c>
      <c r="GS317" s="30" t="str">
        <f>IF(LEN(SnapshotTable[[#This Row],[SC Symbol]])&gt;0, 1, "")</f>
        <v/>
      </c>
      <c r="GT317" s="29"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31">
        <f>MAX(SnapshotTable[[#This Row],[Equity Basis Total]],SnapshotTable[[#This Row],[Equity Value]]) + (SnapshotTable[[#This Row],[SP Potential Spend]]- SnapshotTable[[#This Row],[SP Premium]] + SnapshotTable[[#This Row],[LP Premium]])+ (SnapshotTable[[#This Row],[LC Premium]] - SnapshotTable[[#This Row],[SC Premium]])</f>
        <v>0</v>
      </c>
      <c r="GW317" s="139" t="str">
        <f>IF(AND(SnapshotTable[[#This Row],[Exposure]] &lt;&gt; 0),SnapshotTable[[#This Row],[Exposure]] / SnapshotTable[[#Totals],[Exposure]], "")</f>
        <v/>
      </c>
      <c r="HK317" s="1"/>
      <c r="HL317" s="1"/>
      <c r="HM317" s="1"/>
      <c r="HN317" s="1"/>
      <c r="HO317" s="1"/>
      <c r="HP317" s="1"/>
    </row>
    <row r="318" spans="2:224" ht="12.75" hidden="1" customHeight="1" x14ac:dyDescent="0.25">
      <c r="B318" s="12" t="s">
        <v>126</v>
      </c>
      <c r="C318" s="422">
        <v>91.71</v>
      </c>
      <c r="D318" s="208"/>
      <c r="E318" s="39">
        <f>SnapshotTable[[#This Row],[Last Price]]*(1 -CrashDiscount)</f>
        <v>77.953499999999991</v>
      </c>
      <c r="F318" s="26" t="s">
        <v>63</v>
      </c>
      <c r="G318" s="26" t="s">
        <v>20</v>
      </c>
      <c r="H318" s="149"/>
      <c r="I318" s="194">
        <v>44770.270833333336</v>
      </c>
      <c r="J318" s="195">
        <v>44770.270833333336</v>
      </c>
      <c r="K318" s="196"/>
      <c r="L318" s="326"/>
      <c r="M318" s="140"/>
      <c r="N318" s="140"/>
      <c r="O318" s="140"/>
      <c r="P318" s="22"/>
      <c r="Q318" s="25"/>
      <c r="R318" s="4" t="str">
        <f>IF(SnapshotTable[[#This Row],[Equity Basis Total]] &gt; 0, SnapshotTable[[#This Row],[Equity Basis Total]] / SnapshotTable[[#This Row],[Equity Shares]], "")</f>
        <v/>
      </c>
      <c r="S318" s="269">
        <f>SnapshotTable[[#This Row],[Last Price]] * SnapshotTable[[#This Row],[Equity Shares]]</f>
        <v>0</v>
      </c>
      <c r="T318" s="269">
        <f>SnapshotTable[[#This Row],[Equity Value]] - SnapshotTable[[#This Row],[Equity Basis Total]]</f>
        <v>0</v>
      </c>
      <c r="U318" s="270" t="str">
        <f>IF(SnapshotTable[[#This Row],[Equity Basis Total]] &gt; 0, SnapshotTable[[#This Row],[Equity G/L]] / SnapshotTable[[#This Row],[Equity Basis Total]], "")</f>
        <v/>
      </c>
      <c r="V318" s="268"/>
      <c r="W318" s="26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7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0"/>
      <c r="AD318" s="151"/>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1"/>
      <c r="AI318" s="5">
        <v>72</v>
      </c>
      <c r="AJ318" s="138">
        <v>40.729999999999997</v>
      </c>
      <c r="AK318" s="152">
        <f>IF(ISNUMBER( SnapshotTable[[#This Row],[EBF Target]]),(SnapshotTable[[#This Row],[EBF Target]] - SnapshotTable[[#This Row],[Last Price]]) / SnapshotTable[[#This Row],[Last Price]], "")</f>
        <v>-0.21491658488714421</v>
      </c>
      <c r="AL318" s="152"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2">
        <f>IF(AND(ISNUMBER( SnapshotTable[[#This Row],[Long Term Target]]), ISNUMBER(SnapshotTable[[#This Row],[Last Price]])),(SnapshotTable[[#This Row],[Long Term Target]] - SnapshotTable[[#This Row],[Last Price]]) / SnapshotTable[[#This Row],[Last Price]], "")</f>
        <v>-0.55588267364518595</v>
      </c>
      <c r="AP318" s="5"/>
      <c r="AQ318" s="38"/>
      <c r="AR318" s="5"/>
      <c r="AS318" s="38"/>
      <c r="AT318" s="146"/>
      <c r="AU318" s="187" t="str">
        <f>IF(OR(SnapshotTable[[#This Row],[LP No Fill]]="Y",SnapshotTable[[#This Row],[SP Is Filled]],SnapshotTable[[#This Row],[LC Not Filled]]="Y",SnapshotTable[[#This Row],[SC Is Filled]]),"Y","")</f>
        <v/>
      </c>
      <c r="AV318" s="219"/>
      <c r="AW318" s="225"/>
      <c r="AX318" s="220"/>
      <c r="AY318" s="219" t="str">
        <f>IF(SnapshotTable[[#This Row],[Implied Move]]&gt;0, SnapshotTable[[#This Row],[Last Price]]-SnapshotTable[[#This Row],[Implied Move]],"")</f>
        <v/>
      </c>
      <c r="AZ318" s="219" t="str">
        <f>IF(SnapshotTable[[#This Row],[Implied Move]]&gt;0, SnapshotTable[[#This Row],[Last Price]] + SnapshotTable[[#This Row],[Implied Move]],"")</f>
        <v/>
      </c>
      <c r="BA318" s="331"/>
      <c r="BB318" s="347"/>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51"/>
      <c r="BE318" s="5"/>
      <c r="BF318" s="14"/>
      <c r="BG318" s="13"/>
      <c r="BH318" s="13"/>
      <c r="BI318" s="5"/>
      <c r="BJ318" s="136">
        <f>IF(SnapshotTable[[#This Row],[LP Qty]] &gt; 0, SnapshotTable[[#This Row],[LP Qty]] * SnapshotTable[[#This Row],[LP Book Price]] * 100,0)</f>
        <v>0</v>
      </c>
      <c r="BK318" s="136">
        <f>IF(SnapshotTable[[#This Row],[LP Premium]] &gt; 0, SnapshotTable[[#This Row],[LP Qty]] * SnapshotTable[[#This Row],[LP Strike Price]] * 100,0)</f>
        <v>0</v>
      </c>
      <c r="BL318" s="154"/>
      <c r="BM318" s="385" t="str">
        <f>IF(SnapshotTable[[#This Row],[LP Premium]] &gt; 0,SnapshotTable[[#This Row],[LP Exp Date]]-MAX(SnapshotTable[[#This Row],[LP Book Date]], SnapshotTable[[#This Row],[LP Fill Date]]),"")</f>
        <v/>
      </c>
      <c r="BN318" s="385" t="str">
        <f>IF(ISNUMBER( SnapshotTable[[#This Row],[LP Term]]), SnapshotTable[[#This Row],[LP Exp Date]] - MockToday,"")</f>
        <v/>
      </c>
      <c r="BO318" s="163"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7"/>
      <c r="BU318" s="13"/>
      <c r="BV318" s="5"/>
      <c r="BW318" s="419" t="b">
        <f>AND(ISNUMBER(SnapshotTable[[#This Row],[SP Exp Date]]), ISNUMBER(SnapshotTable[[#This Row],[SP Strike Price]]), ISNUMBER(SnapshotTable[[#This Row],[SP Qty]]), ISNUMBER(SnapshotTable[[#This Row],[SP Book Date]]), ISNUMBER(SnapshotTable[[#This Row],[SP Book Price]]))</f>
        <v>0</v>
      </c>
      <c r="BX318" s="419" t="b">
        <f>AND(SnapshotTable[[#This Row],[SP Is Booked]], NOT(ISBLANK(SnapshotTable[[#This Row],[SP Fill Date]])))</f>
        <v>0</v>
      </c>
      <c r="BY318" s="33">
        <f>IF(SnapshotTable[[#This Row],[SP Is Booked]], SnapshotTable[[#This Row],[SP Qty]] * SnapshotTable[[#This Row],[SP Book Price]] * 100, 0)</f>
        <v>0</v>
      </c>
      <c r="BZ318" s="369"/>
      <c r="CA318" s="368">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3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44"/>
      <c r="CK318" s="31">
        <f>IF(ISNUMBER(SnapshotTable[[#This Row],[SP Potential Spend]]),IF(ISNUMBER(SnapshotTable[[#This Row],[SP POW]]), SnapshotTable[[#This Row],[SP POW]] * SnapshotTable[[#This Row],[SP Potential Spend]], SnapshotTable[[#This Row],[SP Potential Spend]]), "")</f>
        <v>0</v>
      </c>
      <c r="CL318" s="164">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78"/>
      <c r="CO318" s="369"/>
      <c r="CP318" s="4" t="str">
        <f>IF(SnapshotTable[[#This Row],[SP Is Filled]], btc_max_buyback_amount(SnapshotTable[[#This Row],[SP Fill Date]],SnapshotTable[[#This Row],[SP Exp Date]], SnapshotTable[[#This Row],[SP Book Price]]),"")</f>
        <v/>
      </c>
      <c r="CQ318" s="78"/>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5" t="str">
        <f>IF(SnapshotTable[[#This Row],[SP Is Filled]], btc_next_cutoff_date(SnapshotTable[[#This Row],[SP Fill Date]],SnapshotTable[[#This Row],[SP Exp Date]]),"")</f>
        <v/>
      </c>
      <c r="CT318" s="23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43"/>
      <c r="CV318" s="235"/>
      <c r="CW318" s="378"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294" t="str">
        <f>IF(ISNUMBER((SnapshotTable[[#This Row],[SP Total Value]])), SnapshotTable[[#This Row],[SP Gain Loss]] / SnapshotTable[[#This Row],[SP Premium]], "")</f>
        <v/>
      </c>
      <c r="DI318" s="406"/>
      <c r="DJ318" s="138"/>
      <c r="DK318" s="148"/>
      <c r="DL318" s="13"/>
      <c r="DM318" s="13"/>
      <c r="DO318" s="31">
        <f>IF(SnapshotTable[[#This Row],[LC Symbol Count]]=1, SnapshotTable[[#This Row],[LC Qty]] * SnapshotTable[[#This Row],[LC Book Price]] * 100, 0)</f>
        <v>0</v>
      </c>
      <c r="DP318" s="163" t="str">
        <f>IF(AND(SnapshotTable[[#This Row],[LC Exp Date]]&gt;0, SnapshotTable[[#This Row],[LC Strike Price]]&gt;0,SnapshotTable[[#This Row],[LC Qty]]&gt;0,SnapshotTable[[#This Row],[LC Book Date]]&gt;0,SnapshotTable[[#This Row],[LC Book Price]]&gt;0,SnapshotTable[[#This Row],[LC Fill Date]]=0),"Y","")</f>
        <v/>
      </c>
      <c r="DQ318" s="386" t="str">
        <f>IF(SnapshotTable[[#This Row],[LC Premium]] &gt; 0,SnapshotTable[[#This Row],[LC Exp Date]]-MAX(SnapshotTable[[#This Row],[LC Book Date]], SnapshotTable[[#This Row],[LC Fill Date]]),"")</f>
        <v/>
      </c>
      <c r="DR318" s="386" t="str">
        <f>IF(ISNUMBER(SnapshotTable[[#This Row],[LC Term]]), SnapshotTable[[#This Row],[LC Exp Date]] - MockToday, "")</f>
        <v/>
      </c>
      <c r="DS318" s="23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40" t="str">
        <f>IF(ISNUMBER(SnapshotTable[[#This Row],[LC Actual Gain Loss]]), SnapshotTable[[#This Row],[LC Actual Gain Loss]] / SnapshotTable[[#This Row],[LC Premium]],"")</f>
        <v/>
      </c>
      <c r="DX318" s="284" t="str">
        <f>IF(ISNUMBER(SnapshotTable[[#This Row],[LC Book Price]]),SnapshotTable[[#This Row],[LC Book Price]] * 1.5,"")</f>
        <v/>
      </c>
      <c r="DY318" s="265" t="str">
        <f>IF(SnapshotTable[[#This Row],[LC Premium]]&gt;0, SnapshotTable[[#This Row],[LC Next Target]] * SnapshotTable[[#This Row],[LC Qty]] * 100,"")</f>
        <v/>
      </c>
      <c r="DZ318" s="265" t="str">
        <f>IF(ISNUMBER(SnapshotTable[[#This Row],[LC Target Gross]]), SnapshotTable[[#This Row],[LC Target Gross]] - SnapshotTable[[#This Row],[LC Premium]], "")</f>
        <v/>
      </c>
      <c r="EA318" s="305" t="str">
        <f>IF(ISNUMBER(SnapshotTable[[#This Row],[LC Target Gain Loss]]), SnapshotTable[[#This Row],[LC Target Gain Loss]]/SnapshotTable[[#This Row],[LC Premium]], "")</f>
        <v/>
      </c>
      <c r="EB318" s="262"/>
      <c r="EC318" s="283" t="str">
        <f>IF(SnapshotTable[[#This Row],[LC Premium]]&gt;0, SnapshotTable[[#This Row],[LC Book Price]] * (1 - LC_StopLoss_Pct),"")</f>
        <v/>
      </c>
      <c r="ED318" s="284"/>
      <c r="EE318" s="28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4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7"/>
      <c r="EL318" s="138"/>
      <c r="EM318" s="148"/>
      <c r="EN318" s="147"/>
      <c r="EO318" s="147"/>
      <c r="EP318" s="138"/>
      <c r="EQ318" s="419" t="b">
        <f>AND(ISNUMBER(SnapshotTable[[#This Row],[SC Exp Date]]), ISNUMBER(SnapshotTable[[#This Row],[SC Strike Price]]), ISNUMBER(SnapshotTable[[#This Row],[SC Qty]]), ISNUMBER(SnapshotTable[[#This Row],[SC Book Date]]), ISNUMBER(SnapshotTable[[#This Row],[SC Book Price]]))</f>
        <v>0</v>
      </c>
      <c r="ER318" s="419" t="b">
        <f>AND(SnapshotTable[[#This Row],[SC Is Booked]], NOT(ISBLANK(SnapshotTable[[#This Row],[SC Fill Date]])))</f>
        <v>0</v>
      </c>
      <c r="ES318" s="370"/>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3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283"/>
      <c r="FA318" s="218"/>
      <c r="FB318" s="370"/>
      <c r="FC318" s="4">
        <f>IF(SnapshotTable[[#This Row],[SC Is Filled]], btc_max_buyback_amount(SnapshotTable[[#This Row],[SC Fill Date]],SnapshotTable[[#This Row],[SC Exp Date]], SnapshotTable[[#This Row],[SC Book Price]]),0)</f>
        <v>0</v>
      </c>
      <c r="FD318" s="5"/>
      <c r="FE318" s="144"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382">
        <f>IF(SnapshotTable[[#This Row],[SC Is Filled]], IF(ISNUMBER(SnapshotTable[[#This Row],[SC Current Ask]]), SnapshotTable[[#This Row],[SC Current Ask]], SnapshotTable[[#This Row],[SC Book Price]]) - SnapshotTable[[#This Row],[SC Intrinsic Value]], 0)</f>
        <v>0</v>
      </c>
      <c r="FI318" s="143"/>
      <c r="FJ318" s="32" t="str">
        <f>IF(SnapshotTable[[#This Row],[SC Is Filled]],100 * SnapshotTable[[#This Row],[SC Qty]] * IF(ISNUMBER(SnapshotTable[[#This Row],[SC Buyback Override]]), SnapshotTable[[#This Row],[SC Buyback Override]], SnapshotTable[[#This Row],[SC Current Ask]]), "")</f>
        <v/>
      </c>
      <c r="FK318" s="250" t="str">
        <f>IF(SnapshotTable[[#This Row],[SC Time Val]]&gt;0, SnapshotTable[[#This Row],[SC Time Val]] / SnapshotTable[[#This Row],[Last Price]],"")</f>
        <v/>
      </c>
      <c r="FL318" s="302" t="str">
        <f>IF(SnapshotTable[[#This Row],[SC Is Booked]], ((SnapshotTable[[#This Row],[Last Price]] -SnapshotTable[[#This Row],[SC Strike Price]]) / SnapshotTable[[#This Row],[Last Price]]) * -1, "")</f>
        <v/>
      </c>
      <c r="FM318" s="157" t="str">
        <f>IF(SnapshotTable[[#This Row],[SC Is Booked]],  (SnapshotTable[[#This Row],[SC Qty]] * 100 * SnapshotTable[[#This Row],[SC Strike Price]]) - SnapshotTable[[#This Row],[SC Current Ask]], "")</f>
        <v/>
      </c>
      <c r="FN3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31"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33"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36" t="str">
        <f>IF(AND(ISNUMBER(SnapshotTable[[#This Row],[SC Simple ROO]]),SnapshotTable[[#This Row],[SC Simple ROO]] &gt; 0), SnapshotTable[[#This Row],[SC Premium]] + (SnapshotTable[[#This Row],[SC Qty]] * SnapshotTable[[#This Row],[SC Upside Potential]]), "")</f>
        <v/>
      </c>
      <c r="FX318" s="302" t="str" cm="1">
        <f t="array" ref="FX318">IF(ISNUMBER(SnapshotTable[[#This Row],[SC Max Dollars]]), annualize(SnapshotTable[[#This Row],[SC Term]],(SnapshotTable[[#This Row],[SC Max Dollars]]/SnapshotTable[[#This Row],[SC Basis]])),"")</f>
        <v/>
      </c>
      <c r="FY318" s="236" t="str">
        <f>IF(AND(SnapshotTable[[#This Row],[SC Qty]]&gt;0,SnapshotTable[[#This Row],[SC Current Ask]]&gt;0), SnapshotTable[[#This Row],[SC Qty]] * SnapshotTable[[#This Row],[SC Current Ask]] * -100, "")</f>
        <v/>
      </c>
      <c r="FZ318" s="31" t="str">
        <f>IF(ISNUMBER((SnapshotTable[[#This Row],[SC Current Value]])), SnapshotTable[[#This Row],[SC Premium]] + SnapshotTable[[#This Row],[SC Current Value]], "")</f>
        <v/>
      </c>
      <c r="GA318" s="29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38.693499999999993</v>
      </c>
      <c r="GD318" s="40">
        <f>SnapshotTable[[#This Row],[Last Price]] * (1+ SellingPriceToConsiderBasedOnTargetPercentage)</f>
        <v>178.83449999999999</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27" t="str">
        <f>IF(SnapshotTable[[#This Row],[Sale G/L]]&gt;0, SnapshotTable[[#This Row],[Sale G/L]] / SnapshotTable[[#This Row],[Sale Basis]], IF(ISNUMBER(SnapshotTable[[#This Row],[SC Exercise P&amp;L (TAX)]]), SnapshotTable[[#This Row],[SC Exercise P&amp;L (TAX)]] / SnapshotTable[[#This Row],[SC Basis]], ""))</f>
        <v/>
      </c>
      <c r="GK318" s="27" t="s">
        <v>777</v>
      </c>
      <c r="GL318" s="43"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43" t="str">
        <f>IF(AND(SnapshotTable[[#This Row],[LC Exp Date]]&gt;0,SnapshotTable[[#This Row],[LC Strike Price]]&gt;0), [1]!ToOptionSymbol(SnapshotTable[[#This Row],[Symbol]], SnapshotTable[[#This Row],[LC Strike Price]],SnapshotTable[[#This Row],[LC Exp Date]],0), "")</f>
        <v/>
      </c>
      <c r="GQ318" s="30" t="str">
        <f>IF(LEN(SnapshotTable[[#This Row],[LC Symbol]])&gt;0, 1, "")</f>
        <v/>
      </c>
      <c r="GR318" s="43" t="str">
        <f>IF(AND(SnapshotTable[[#This Row],[SC Exp Date]]&gt;0,SnapshotTable[[#This Row],[SC Strike Price]]&gt;0), [1]!ToOptionSymbol(SnapshotTable[[#This Row],[Symbol]], SnapshotTable[[#This Row],[SC Strike Price]],SnapshotTable[[#This Row],[SC Exp Date]],0), "")</f>
        <v/>
      </c>
      <c r="GS318" s="30" t="str">
        <f>IF(LEN(SnapshotTable[[#This Row],[SC Symbol]])&gt;0, 1, "")</f>
        <v/>
      </c>
      <c r="GT318" s="29"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31">
        <f>MAX(SnapshotTable[[#This Row],[Equity Basis Total]],SnapshotTable[[#This Row],[Equity Value]]) + (SnapshotTable[[#This Row],[SP Potential Spend]]- SnapshotTable[[#This Row],[SP Premium]] + SnapshotTable[[#This Row],[LP Premium]])+ (SnapshotTable[[#This Row],[LC Premium]] - SnapshotTable[[#This Row],[SC Premium]])</f>
        <v>0</v>
      </c>
      <c r="GW318" s="139" t="str">
        <f>IF(AND(SnapshotTable[[#This Row],[Exposure]] &lt;&gt; 0),SnapshotTable[[#This Row],[Exposure]] / SnapshotTable[[#Totals],[Exposure]], "")</f>
        <v/>
      </c>
      <c r="HK318" s="1"/>
      <c r="HL318" s="1"/>
      <c r="HM318" s="1"/>
      <c r="HN318" s="1"/>
      <c r="HO318" s="1"/>
      <c r="HP318" s="1"/>
    </row>
    <row r="319" spans="2:224" ht="12.75" hidden="1" customHeight="1" x14ac:dyDescent="0.25">
      <c r="B319" s="12" t="s">
        <v>1090</v>
      </c>
      <c r="C319" s="422">
        <v>29.27</v>
      </c>
      <c r="D319" s="208" t="s">
        <v>578</v>
      </c>
      <c r="E319" s="39">
        <f>SnapshotTable[[#This Row],[Last Price]]*(1 -CrashDiscount)</f>
        <v>24.8795</v>
      </c>
      <c r="F319" s="26" t="s">
        <v>613</v>
      </c>
      <c r="G319" s="26" t="s">
        <v>9</v>
      </c>
      <c r="H319" s="149"/>
      <c r="I319" s="194">
        <v>45147.680555555555</v>
      </c>
      <c r="J319" s="195">
        <v>45147.680555555555</v>
      </c>
      <c r="K319" s="196"/>
      <c r="L319" s="326"/>
      <c r="M319" s="140"/>
      <c r="N319" s="140"/>
      <c r="O319" s="140"/>
      <c r="P319" s="22"/>
      <c r="Q319" s="25"/>
      <c r="R319" s="4" t="str">
        <f>IF(SnapshotTable[[#This Row],[Equity Basis Total]] &gt; 0, SnapshotTable[[#This Row],[Equity Basis Total]] / SnapshotTable[[#This Row],[Equity Shares]], "")</f>
        <v/>
      </c>
      <c r="S319" s="269">
        <f>SnapshotTable[[#This Row],[Last Price]] * SnapshotTable[[#This Row],[Equity Shares]]</f>
        <v>0</v>
      </c>
      <c r="T319" s="269">
        <f>SnapshotTable[[#This Row],[Equity Value]] - SnapshotTable[[#This Row],[Equity Basis Total]]</f>
        <v>0</v>
      </c>
      <c r="U319" s="270" t="str">
        <f>IF(SnapshotTable[[#This Row],[Equity Basis Total]] &gt; 0, SnapshotTable[[#This Row],[Equity G/L]] / SnapshotTable[[#This Row],[Equity Basis Total]], "")</f>
        <v/>
      </c>
      <c r="V319" s="268">
        <v>63</v>
      </c>
      <c r="W319" s="268">
        <v>35</v>
      </c>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7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0"/>
      <c r="AD319" s="151"/>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1"/>
      <c r="AI319" s="5"/>
      <c r="AJ319" s="138">
        <v>37.200000000000003</v>
      </c>
      <c r="AK319" s="152" t="str">
        <f>IF(ISNUMBER( SnapshotTable[[#This Row],[EBF Target]]),(SnapshotTable[[#This Row],[EBF Target]] - SnapshotTable[[#This Row],[Last Price]]) / SnapshotTable[[#This Row],[Last Price]], "")</f>
        <v/>
      </c>
      <c r="AL319" s="152"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2">
        <f>IF(AND(ISNUMBER( SnapshotTable[[#This Row],[Long Term Target]]), ISNUMBER(SnapshotTable[[#This Row],[Last Price]])),(SnapshotTable[[#This Row],[Long Term Target]] - SnapshotTable[[#This Row],[Last Price]]) / SnapshotTable[[#This Row],[Last Price]], "")</f>
        <v>0.27092586265801172</v>
      </c>
      <c r="AP319" s="5">
        <v>37.5</v>
      </c>
      <c r="AQ319" s="38" t="s">
        <v>27</v>
      </c>
      <c r="AR319" s="5">
        <v>37.5</v>
      </c>
      <c r="AS319" s="38" t="s">
        <v>38</v>
      </c>
      <c r="AT319" s="146" t="s">
        <v>553</v>
      </c>
      <c r="AU319" s="187" t="str">
        <f>IF(OR(SnapshotTable[[#This Row],[LP No Fill]]="Y",SnapshotTable[[#This Row],[SP Is Filled]],SnapshotTable[[#This Row],[LC Not Filled]]="Y",SnapshotTable[[#This Row],[SC Is Filled]]),"Y","")</f>
        <v/>
      </c>
      <c r="AV319" s="219"/>
      <c r="AW319" s="225"/>
      <c r="AX319" s="220"/>
      <c r="AY319" s="219" t="str">
        <f>IF(SnapshotTable[[#This Row],[Implied Move]]&gt;0, SnapshotTable[[#This Row],[Last Price]]-SnapshotTable[[#This Row],[Implied Move]],"")</f>
        <v/>
      </c>
      <c r="AZ319" s="219" t="str">
        <f>IF(SnapshotTable[[#This Row],[Implied Move]]&gt;0, SnapshotTable[[#This Row],[Last Price]] + SnapshotTable[[#This Row],[Implied Move]],"")</f>
        <v/>
      </c>
      <c r="BA319" s="331">
        <v>36.799999999999997</v>
      </c>
      <c r="BB319" s="347"/>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51"/>
      <c r="BE319" s="5"/>
      <c r="BF319" s="14"/>
      <c r="BG319" s="13"/>
      <c r="BH319" s="13"/>
      <c r="BI319" s="5"/>
      <c r="BJ319" s="136">
        <f>IF(SnapshotTable[[#This Row],[LP Qty]] &gt; 0, SnapshotTable[[#This Row],[LP Qty]] * SnapshotTable[[#This Row],[LP Book Price]] * 100,0)</f>
        <v>0</v>
      </c>
      <c r="BK319" s="136">
        <f>IF(SnapshotTable[[#This Row],[LP Premium]] &gt; 0, SnapshotTable[[#This Row],[LP Qty]] * SnapshotTable[[#This Row],[LP Strike Price]] * 100,0)</f>
        <v>0</v>
      </c>
      <c r="BL319" s="154"/>
      <c r="BM319" s="385" t="str">
        <f>IF(SnapshotTable[[#This Row],[LP Premium]] &gt; 0,SnapshotTable[[#This Row],[LP Exp Date]]-MAX(SnapshotTable[[#This Row],[LP Book Date]], SnapshotTable[[#This Row],[LP Fill Date]]),"")</f>
        <v/>
      </c>
      <c r="BN319" s="385" t="str">
        <f>IF(ISNUMBER( SnapshotTable[[#This Row],[LP Term]]), SnapshotTable[[#This Row],[LP Exp Date]] - MockToday,"")</f>
        <v/>
      </c>
      <c r="BO319" s="163"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7"/>
      <c r="BU319" s="13"/>
      <c r="BV319" s="5"/>
      <c r="BW319" s="419" t="b">
        <f>AND(ISNUMBER(SnapshotTable[[#This Row],[SP Exp Date]]), ISNUMBER(SnapshotTable[[#This Row],[SP Strike Price]]), ISNUMBER(SnapshotTable[[#This Row],[SP Qty]]), ISNUMBER(SnapshotTable[[#This Row],[SP Book Date]]), ISNUMBER(SnapshotTable[[#This Row],[SP Book Price]]))</f>
        <v>0</v>
      </c>
      <c r="BX319" s="419" t="b">
        <f>AND(SnapshotTable[[#This Row],[SP Is Booked]], NOT(ISBLANK(SnapshotTable[[#This Row],[SP Fill Date]])))</f>
        <v>0</v>
      </c>
      <c r="BY319" s="33">
        <f>IF(SnapshotTable[[#This Row],[SP Is Booked]], SnapshotTable[[#This Row],[SP Qty]] * SnapshotTable[[#This Row],[SP Book Price]] * 100, 0)</f>
        <v>0</v>
      </c>
      <c r="BZ319" s="369"/>
      <c r="CA319" s="368">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3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44"/>
      <c r="CK319" s="31">
        <f>IF(ISNUMBER(SnapshotTable[[#This Row],[SP Potential Spend]]),IF(ISNUMBER(SnapshotTable[[#This Row],[SP POW]]), SnapshotTable[[#This Row],[SP POW]] * SnapshotTable[[#This Row],[SP Potential Spend]], SnapshotTable[[#This Row],[SP Potential Spend]]), "")</f>
        <v>0</v>
      </c>
      <c r="CL319" s="164">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78"/>
      <c r="CO319" s="369"/>
      <c r="CP319" s="4" t="str">
        <f>IF(SnapshotTable[[#This Row],[SP Is Filled]], btc_max_buyback_amount(SnapshotTable[[#This Row],[SP Fill Date]],SnapshotTable[[#This Row],[SP Exp Date]], SnapshotTable[[#This Row],[SP Book Price]]),"")</f>
        <v/>
      </c>
      <c r="CQ319" s="78"/>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5" t="str">
        <f>IF(SnapshotTable[[#This Row],[SP Is Filled]], btc_next_cutoff_date(SnapshotTable[[#This Row],[SP Fill Date]],SnapshotTable[[#This Row],[SP Exp Date]]),"")</f>
        <v/>
      </c>
      <c r="CT319" s="23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6"/>
      <c r="CV319" s="235"/>
      <c r="CW319" s="378"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294" t="str">
        <f>IF(ISNUMBER((SnapshotTable[[#This Row],[SP Total Value]])), SnapshotTable[[#This Row],[SP Gain Loss]] / SnapshotTable[[#This Row],[SP Premium]], "")</f>
        <v/>
      </c>
      <c r="DI319" s="406"/>
      <c r="DJ319" s="138"/>
      <c r="DK319" s="148"/>
      <c r="DL319" s="13"/>
      <c r="DM319" s="13"/>
      <c r="DO319" s="31">
        <f>IF(SnapshotTable[[#This Row],[LC Symbol Count]]=1, SnapshotTable[[#This Row],[LC Qty]] * SnapshotTable[[#This Row],[LC Book Price]] * 100, 0)</f>
        <v>0</v>
      </c>
      <c r="DP319" s="163" t="str">
        <f>IF(AND(SnapshotTable[[#This Row],[LC Exp Date]]&gt;0, SnapshotTable[[#This Row],[LC Strike Price]]&gt;0,SnapshotTable[[#This Row],[LC Qty]]&gt;0,SnapshotTable[[#This Row],[LC Book Date]]&gt;0,SnapshotTable[[#This Row],[LC Book Price]]&gt;0,SnapshotTable[[#This Row],[LC Fill Date]]=0),"Y","")</f>
        <v/>
      </c>
      <c r="DQ319" s="386" t="str">
        <f>IF(SnapshotTable[[#This Row],[LC Premium]] &gt; 0,SnapshotTable[[#This Row],[LC Exp Date]]-MAX(SnapshotTable[[#This Row],[LC Book Date]], SnapshotTable[[#This Row],[LC Fill Date]]),"")</f>
        <v/>
      </c>
      <c r="DR319" s="386" t="str">
        <f>IF(ISNUMBER(SnapshotTable[[#This Row],[LC Term]]), SnapshotTable[[#This Row],[LC Exp Date]] - MockToday, "")</f>
        <v/>
      </c>
      <c r="DS319" s="23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40" t="str">
        <f>IF(ISNUMBER(SnapshotTable[[#This Row],[LC Actual Gain Loss]]), SnapshotTable[[#This Row],[LC Actual Gain Loss]] / SnapshotTable[[#This Row],[LC Premium]],"")</f>
        <v/>
      </c>
      <c r="DX319" s="284" t="str">
        <f>IF(ISNUMBER(SnapshotTable[[#This Row],[LC Book Price]]),SnapshotTable[[#This Row],[LC Book Price]] * 1.5,"")</f>
        <v/>
      </c>
      <c r="DY319" s="265" t="str">
        <f>IF(SnapshotTable[[#This Row],[LC Premium]]&gt;0, SnapshotTable[[#This Row],[LC Next Target]] * SnapshotTable[[#This Row],[LC Qty]] * 100,"")</f>
        <v/>
      </c>
      <c r="DZ319" s="265" t="str">
        <f>IF(ISNUMBER(SnapshotTable[[#This Row],[LC Target Gross]]), SnapshotTable[[#This Row],[LC Target Gross]] - SnapshotTable[[#This Row],[LC Premium]], "")</f>
        <v/>
      </c>
      <c r="EA319" s="305" t="str">
        <f>IF(ISNUMBER(SnapshotTable[[#This Row],[LC Target Gain Loss]]), SnapshotTable[[#This Row],[LC Target Gain Loss]]/SnapshotTable[[#This Row],[LC Premium]], "")</f>
        <v/>
      </c>
      <c r="EB319" s="262"/>
      <c r="EC319" s="283" t="str">
        <f>IF(SnapshotTable[[#This Row],[LC Premium]]&gt;0, SnapshotTable[[#This Row],[LC Book Price]] * (1 - LC_StopLoss_Pct),"")</f>
        <v/>
      </c>
      <c r="ED319" s="284"/>
      <c r="EE319" s="28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4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7"/>
      <c r="EL319" s="138"/>
      <c r="EM319" s="148"/>
      <c r="EN319" s="147"/>
      <c r="EO319" s="147"/>
      <c r="EP319" s="138"/>
      <c r="EQ319" s="419" t="b">
        <f>AND(ISNUMBER(SnapshotTable[[#This Row],[SC Exp Date]]), ISNUMBER(SnapshotTable[[#This Row],[SC Strike Price]]), ISNUMBER(SnapshotTable[[#This Row],[SC Qty]]), ISNUMBER(SnapshotTable[[#This Row],[SC Book Date]]), ISNUMBER(SnapshotTable[[#This Row],[SC Book Price]]))</f>
        <v>0</v>
      </c>
      <c r="ER319" s="419" t="b">
        <f>AND(SnapshotTable[[#This Row],[SC Is Booked]], NOT(ISBLANK(SnapshotTable[[#This Row],[SC Fill Date]])))</f>
        <v>0</v>
      </c>
      <c r="ES319" s="370"/>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3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283"/>
      <c r="FA319" s="423"/>
      <c r="FB319" s="370">
        <v>0.95069999999999999</v>
      </c>
      <c r="FC319" s="4">
        <f>IF(SnapshotTable[[#This Row],[SC Is Filled]], btc_max_buyback_amount(SnapshotTable[[#This Row],[SC Fill Date]],SnapshotTable[[#This Row],[SC Exp Date]], SnapshotTable[[#This Row],[SC Book Price]]),0)</f>
        <v>0</v>
      </c>
      <c r="FD319" s="5"/>
      <c r="FE319" s="144"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382">
        <f>IF(SnapshotTable[[#This Row],[SC Is Filled]], IF(ISNUMBER(SnapshotTable[[#This Row],[SC Current Ask]]), SnapshotTable[[#This Row],[SC Current Ask]], SnapshotTable[[#This Row],[SC Book Price]]) - SnapshotTable[[#This Row],[SC Intrinsic Value]], 0)</f>
        <v>0</v>
      </c>
      <c r="FI319" s="143"/>
      <c r="FJ319" s="32" t="str">
        <f>IF(SnapshotTable[[#This Row],[SC Is Filled]],100 * SnapshotTable[[#This Row],[SC Qty]] * IF(ISNUMBER(SnapshotTable[[#This Row],[SC Buyback Override]]), SnapshotTable[[#This Row],[SC Buyback Override]], SnapshotTable[[#This Row],[SC Current Ask]]), "")</f>
        <v/>
      </c>
      <c r="FK319" s="250" t="str">
        <f>IF(SnapshotTable[[#This Row],[SC Time Val]]&gt;0, SnapshotTable[[#This Row],[SC Time Val]] / SnapshotTable[[#This Row],[Last Price]],"")</f>
        <v/>
      </c>
      <c r="FL319" s="302" t="str">
        <f>IF(SnapshotTable[[#This Row],[SC Is Booked]], ((SnapshotTable[[#This Row],[Last Price]] -SnapshotTable[[#This Row],[SC Strike Price]]) / SnapshotTable[[#This Row],[Last Price]]) * -1, "")</f>
        <v/>
      </c>
      <c r="FM319" s="157"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33"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36" t="str">
        <f>IF(AND(ISNUMBER(SnapshotTable[[#This Row],[SC Simple ROO]]),SnapshotTable[[#This Row],[SC Simple ROO]] &gt; 0), SnapshotTable[[#This Row],[SC Premium]] + (SnapshotTable[[#This Row],[SC Qty]] * SnapshotTable[[#This Row],[SC Upside Potential]]), "")</f>
        <v/>
      </c>
      <c r="FX319" s="302" t="str" cm="1">
        <f t="array" ref="FX319">IF(ISNUMBER(SnapshotTable[[#This Row],[SC Max Dollars]]), annualize(SnapshotTable[[#This Row],[SC Term]],(SnapshotTable[[#This Row],[SC Max Dollars]]/SnapshotTable[[#This Row],[SC Basis]])),"")</f>
        <v/>
      </c>
      <c r="FY319" s="23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29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35.340000000000003</v>
      </c>
      <c r="GD319" s="40">
        <f>SnapshotTable[[#This Row],[Last Price]] * (1+ SellingPriceToConsiderBasedOnTargetPercentage)</f>
        <v>57.076499999999996</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31">
        <f>MAX(SnapshotTable[[#This Row],[Equity Basis Total]],SnapshotTable[[#This Row],[Equity Value]]) + (SnapshotTable[[#This Row],[SP Potential Spend]]- SnapshotTable[[#This Row],[SP Premium]] + SnapshotTable[[#This Row],[LP Premium]])+ (SnapshotTable[[#This Row],[LC Premium]] - SnapshotTable[[#This Row],[SC Premium]])</f>
        <v>0</v>
      </c>
      <c r="GW319" s="139" t="str">
        <f>IF(AND(SnapshotTable[[#This Row],[Exposure]] &lt;&gt; 0),SnapshotTable[[#This Row],[Exposure]] / SnapshotTable[[#Totals],[Exposure]], "")</f>
        <v/>
      </c>
      <c r="HK319" s="1"/>
      <c r="HL319" s="1"/>
      <c r="HM319" s="1"/>
      <c r="HN319" s="1"/>
      <c r="HO319" s="1"/>
      <c r="HP319" s="1"/>
    </row>
    <row r="320" spans="2:224" ht="12.75" hidden="1" customHeight="1" x14ac:dyDescent="0.25">
      <c r="B320" s="12" t="s">
        <v>1090</v>
      </c>
      <c r="C320" s="422">
        <v>29.27</v>
      </c>
      <c r="D320" s="208" t="s">
        <v>578</v>
      </c>
      <c r="E320" s="39">
        <f>SnapshotTable[[#This Row],[Last Price]]*(1 -CrashDiscount)</f>
        <v>24.8795</v>
      </c>
      <c r="F320" s="26" t="s">
        <v>613</v>
      </c>
      <c r="G320" s="26" t="s">
        <v>9</v>
      </c>
      <c r="H320" s="149"/>
      <c r="I320" s="194">
        <v>45147.680555555555</v>
      </c>
      <c r="J320" s="195">
        <v>45147.680555555555</v>
      </c>
      <c r="K320" s="196"/>
      <c r="L320" s="326"/>
      <c r="M320" s="140"/>
      <c r="N320" s="140"/>
      <c r="O320" s="140"/>
      <c r="P320" s="22"/>
      <c r="Q320" s="25"/>
      <c r="R320" s="4" t="str">
        <f>IF(SnapshotTable[[#This Row],[Equity Basis Total]] &gt; 0, SnapshotTable[[#This Row],[Equity Basis Total]] / SnapshotTable[[#This Row],[Equity Shares]], "")</f>
        <v/>
      </c>
      <c r="S320" s="269">
        <f>SnapshotTable[[#This Row],[Last Price]] * SnapshotTable[[#This Row],[Equity Shares]]</f>
        <v>0</v>
      </c>
      <c r="T320" s="269">
        <f>SnapshotTable[[#This Row],[Equity Value]] - SnapshotTable[[#This Row],[Equity Basis Total]]</f>
        <v>0</v>
      </c>
      <c r="U320" s="270" t="str">
        <f>IF(SnapshotTable[[#This Row],[Equity Basis Total]] &gt; 0, SnapshotTable[[#This Row],[Equity G/L]] / SnapshotTable[[#This Row],[Equity Basis Total]], "")</f>
        <v/>
      </c>
      <c r="V320" s="268">
        <v>63</v>
      </c>
      <c r="W320" s="268">
        <v>35</v>
      </c>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7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0"/>
      <c r="AD320" s="151"/>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1"/>
      <c r="AI320" s="5"/>
      <c r="AJ320" s="138">
        <v>37.200000000000003</v>
      </c>
      <c r="AK320" s="152" t="str">
        <f>IF(ISNUMBER( SnapshotTable[[#This Row],[EBF Target]]),(SnapshotTable[[#This Row],[EBF Target]] - SnapshotTable[[#This Row],[Last Price]]) / SnapshotTable[[#This Row],[Last Price]], "")</f>
        <v/>
      </c>
      <c r="AL320" s="152"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2">
        <f>IF(AND(ISNUMBER( SnapshotTable[[#This Row],[Long Term Target]]), ISNUMBER(SnapshotTable[[#This Row],[Last Price]])),(SnapshotTable[[#This Row],[Long Term Target]] - SnapshotTable[[#This Row],[Last Price]]) / SnapshotTable[[#This Row],[Last Price]], "")</f>
        <v>0.27092586265801172</v>
      </c>
      <c r="AP320" s="5">
        <v>37.5</v>
      </c>
      <c r="AQ320" s="38" t="s">
        <v>27</v>
      </c>
      <c r="AR320" s="5">
        <v>37.5</v>
      </c>
      <c r="AS320" s="38" t="s">
        <v>38</v>
      </c>
      <c r="AT320" s="146" t="s">
        <v>553</v>
      </c>
      <c r="AU320" s="187" t="str">
        <f>IF(OR(SnapshotTable[[#This Row],[LP No Fill]]="Y",SnapshotTable[[#This Row],[SP Is Filled]],SnapshotTable[[#This Row],[LC Not Filled]]="Y",SnapshotTable[[#This Row],[SC Is Filled]]),"Y","")</f>
        <v/>
      </c>
      <c r="AV320" s="219"/>
      <c r="AW320" s="225"/>
      <c r="AX320" s="220"/>
      <c r="AY320" s="219" t="str">
        <f>IF(SnapshotTable[[#This Row],[Implied Move]]&gt;0, SnapshotTable[[#This Row],[Last Price]]-SnapshotTable[[#This Row],[Implied Move]],"")</f>
        <v/>
      </c>
      <c r="AZ320" s="219" t="str">
        <f>IF(SnapshotTable[[#This Row],[Implied Move]]&gt;0, SnapshotTable[[#This Row],[Last Price]] + SnapshotTable[[#This Row],[Implied Move]],"")</f>
        <v/>
      </c>
      <c r="BA320" s="331">
        <v>36.799999999999997</v>
      </c>
      <c r="BB320" s="347"/>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51"/>
      <c r="BE320" s="5"/>
      <c r="BF320" s="14"/>
      <c r="BG320" s="13"/>
      <c r="BH320" s="13"/>
      <c r="BI320" s="5"/>
      <c r="BJ320" s="136">
        <f>IF(SnapshotTable[[#This Row],[LP Qty]] &gt; 0, SnapshotTable[[#This Row],[LP Qty]] * SnapshotTable[[#This Row],[LP Book Price]] * 100,0)</f>
        <v>0</v>
      </c>
      <c r="BK320" s="136">
        <f>IF(SnapshotTable[[#This Row],[LP Premium]] &gt; 0, SnapshotTable[[#This Row],[LP Qty]] * SnapshotTable[[#This Row],[LP Strike Price]] * 100,0)</f>
        <v>0</v>
      </c>
      <c r="BL320" s="154"/>
      <c r="BM320" s="385" t="str">
        <f>IF(SnapshotTable[[#This Row],[LP Premium]] &gt; 0,SnapshotTable[[#This Row],[LP Exp Date]]-MAX(SnapshotTable[[#This Row],[LP Book Date]], SnapshotTable[[#This Row],[LP Fill Date]]),"")</f>
        <v/>
      </c>
      <c r="BN320" s="385" t="str">
        <f>IF(ISNUMBER( SnapshotTable[[#This Row],[LP Term]]), SnapshotTable[[#This Row],[LP Exp Date]] - MockToday,"")</f>
        <v/>
      </c>
      <c r="BO320" s="163"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7"/>
      <c r="BU320" s="13"/>
      <c r="BV320" s="5"/>
      <c r="BW320" s="419" t="b">
        <f>AND(ISNUMBER(SnapshotTable[[#This Row],[SP Exp Date]]), ISNUMBER(SnapshotTable[[#This Row],[SP Strike Price]]), ISNUMBER(SnapshotTable[[#This Row],[SP Qty]]), ISNUMBER(SnapshotTable[[#This Row],[SP Book Date]]), ISNUMBER(SnapshotTable[[#This Row],[SP Book Price]]))</f>
        <v>0</v>
      </c>
      <c r="BX320" s="419" t="b">
        <f>AND(SnapshotTable[[#This Row],[SP Is Booked]], NOT(ISBLANK(SnapshotTable[[#This Row],[SP Fill Date]])))</f>
        <v>0</v>
      </c>
      <c r="BY320" s="33">
        <f>IF(SnapshotTable[[#This Row],[SP Is Booked]], SnapshotTable[[#This Row],[SP Qty]] * SnapshotTable[[#This Row],[SP Book Price]] * 100, 0)</f>
        <v>0</v>
      </c>
      <c r="BZ320" s="369"/>
      <c r="CA320" s="368">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3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44"/>
      <c r="CK320" s="31">
        <f>IF(ISNUMBER(SnapshotTable[[#This Row],[SP Potential Spend]]),IF(ISNUMBER(SnapshotTable[[#This Row],[SP POW]]), SnapshotTable[[#This Row],[SP POW]] * SnapshotTable[[#This Row],[SP Potential Spend]], SnapshotTable[[#This Row],[SP Potential Spend]]), "")</f>
        <v>0</v>
      </c>
      <c r="CL320" s="164">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8"/>
      <c r="CO320" s="369"/>
      <c r="CP320" s="4" t="str">
        <f>IF(SnapshotTable[[#This Row],[SP Is Filled]], btc_max_buyback_amount(SnapshotTable[[#This Row],[SP Fill Date]],SnapshotTable[[#This Row],[SP Exp Date]], SnapshotTable[[#This Row],[SP Book Price]]),"")</f>
        <v/>
      </c>
      <c r="CQ320" s="78"/>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5" t="str">
        <f>IF(SnapshotTable[[#This Row],[SP Is Filled]], btc_next_cutoff_date(SnapshotTable[[#This Row],[SP Fill Date]],SnapshotTable[[#This Row],[SP Exp Date]]),"")</f>
        <v/>
      </c>
      <c r="CT320" s="23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56"/>
      <c r="CV320" s="235"/>
      <c r="CW320" s="378"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294" t="str">
        <f>IF(ISNUMBER((SnapshotTable[[#This Row],[SP Total Value]])), SnapshotTable[[#This Row],[SP Gain Loss]] / SnapshotTable[[#This Row],[SP Premium]], "")</f>
        <v/>
      </c>
      <c r="DI320" s="406"/>
      <c r="DJ320" s="138"/>
      <c r="DK320" s="148"/>
      <c r="DL320" s="13"/>
      <c r="DM320" s="13"/>
      <c r="DO320" s="31">
        <f>IF(SnapshotTable[[#This Row],[LC Symbol Count]]=1, SnapshotTable[[#This Row],[LC Qty]] * SnapshotTable[[#This Row],[LC Book Price]] * 100, 0)</f>
        <v>0</v>
      </c>
      <c r="DP320" s="163" t="str">
        <f>IF(AND(SnapshotTable[[#This Row],[LC Exp Date]]&gt;0, SnapshotTable[[#This Row],[LC Strike Price]]&gt;0,SnapshotTable[[#This Row],[LC Qty]]&gt;0,SnapshotTable[[#This Row],[LC Book Date]]&gt;0,SnapshotTable[[#This Row],[LC Book Price]]&gt;0,SnapshotTable[[#This Row],[LC Fill Date]]=0),"Y","")</f>
        <v/>
      </c>
      <c r="DQ320" s="386" t="str">
        <f>IF(SnapshotTable[[#This Row],[LC Premium]] &gt; 0,SnapshotTable[[#This Row],[LC Exp Date]]-MAX(SnapshotTable[[#This Row],[LC Book Date]], SnapshotTable[[#This Row],[LC Fill Date]]),"")</f>
        <v/>
      </c>
      <c r="DR320" s="386" t="str">
        <f>IF(ISNUMBER(SnapshotTable[[#This Row],[LC Term]]), SnapshotTable[[#This Row],[LC Exp Date]] - MockToday, "")</f>
        <v/>
      </c>
      <c r="DS320" s="23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40" t="str">
        <f>IF(ISNUMBER(SnapshotTable[[#This Row],[LC Actual Gain Loss]]), SnapshotTable[[#This Row],[LC Actual Gain Loss]] / SnapshotTable[[#This Row],[LC Premium]],"")</f>
        <v/>
      </c>
      <c r="DX320" s="284" t="str">
        <f>IF(ISNUMBER(SnapshotTable[[#This Row],[LC Book Price]]),SnapshotTable[[#This Row],[LC Book Price]] * 1.5,"")</f>
        <v/>
      </c>
      <c r="DY320" s="265" t="str">
        <f>IF(SnapshotTable[[#This Row],[LC Premium]]&gt;0, SnapshotTable[[#This Row],[LC Next Target]] * SnapshotTable[[#This Row],[LC Qty]] * 100,"")</f>
        <v/>
      </c>
      <c r="DZ320" s="265" t="str">
        <f>IF(ISNUMBER(SnapshotTable[[#This Row],[LC Target Gross]]), SnapshotTable[[#This Row],[LC Target Gross]] - SnapshotTable[[#This Row],[LC Premium]], "")</f>
        <v/>
      </c>
      <c r="EA320" s="305" t="str">
        <f>IF(ISNUMBER(SnapshotTable[[#This Row],[LC Target Gain Loss]]), SnapshotTable[[#This Row],[LC Target Gain Loss]]/SnapshotTable[[#This Row],[LC Premium]], "")</f>
        <v/>
      </c>
      <c r="EB320" s="262"/>
      <c r="EC320" s="283" t="str">
        <f>IF(SnapshotTable[[#This Row],[LC Premium]]&gt;0, SnapshotTable[[#This Row],[LC Book Price]] * (1 - LC_StopLoss_Pct),"")</f>
        <v/>
      </c>
      <c r="ED320" s="284"/>
      <c r="EE320" s="28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4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7"/>
      <c r="EL320" s="138"/>
      <c r="EM320" s="148"/>
      <c r="EN320" s="147"/>
      <c r="EO320" s="147"/>
      <c r="EP320" s="138"/>
      <c r="EQ320" s="419" t="b">
        <f>AND(ISNUMBER(SnapshotTable[[#This Row],[SC Exp Date]]), ISNUMBER(SnapshotTable[[#This Row],[SC Strike Price]]), ISNUMBER(SnapshotTable[[#This Row],[SC Qty]]), ISNUMBER(SnapshotTable[[#This Row],[SC Book Date]]), ISNUMBER(SnapshotTable[[#This Row],[SC Book Price]]))</f>
        <v>0</v>
      </c>
      <c r="ER320" s="419" t="b">
        <f>AND(SnapshotTable[[#This Row],[SC Is Booked]], NOT(ISBLANK(SnapshotTable[[#This Row],[SC Fill Date]])))</f>
        <v>0</v>
      </c>
      <c r="ES320" s="370"/>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3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283"/>
      <c r="FA320" s="423"/>
      <c r="FB320" s="370">
        <v>0.98650000000000004</v>
      </c>
      <c r="FC320" s="4">
        <f>IF(SnapshotTable[[#This Row],[SC Is Filled]], btc_max_buyback_amount(SnapshotTable[[#This Row],[SC Fill Date]],SnapshotTable[[#This Row],[SC Exp Date]], SnapshotTable[[#This Row],[SC Book Price]]),0)</f>
        <v>0</v>
      </c>
      <c r="FD320" s="5"/>
      <c r="FE320" s="144"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382">
        <f>IF(SnapshotTable[[#This Row],[SC Is Filled]], IF(ISNUMBER(SnapshotTable[[#This Row],[SC Current Ask]]), SnapshotTable[[#This Row],[SC Current Ask]], SnapshotTable[[#This Row],[SC Book Price]]) - SnapshotTable[[#This Row],[SC Intrinsic Value]], 0)</f>
        <v>0</v>
      </c>
      <c r="FI320" s="143"/>
      <c r="FJ320" s="32" t="str">
        <f>IF(SnapshotTable[[#This Row],[SC Is Filled]],100 * SnapshotTable[[#This Row],[SC Qty]] * IF(ISNUMBER(SnapshotTable[[#This Row],[SC Buyback Override]]), SnapshotTable[[#This Row],[SC Buyback Override]], SnapshotTable[[#This Row],[SC Current Ask]]), "")</f>
        <v/>
      </c>
      <c r="FK320" s="250" t="str">
        <f>IF(SnapshotTable[[#This Row],[SC Time Val]]&gt;0, SnapshotTable[[#This Row],[SC Time Val]] / SnapshotTable[[#This Row],[Last Price]],"")</f>
        <v/>
      </c>
      <c r="FL320" s="302" t="str">
        <f>IF(SnapshotTable[[#This Row],[SC Is Booked]], ((SnapshotTable[[#This Row],[Last Price]] -SnapshotTable[[#This Row],[SC Strike Price]]) / SnapshotTable[[#This Row],[Last Price]]) * -1, "")</f>
        <v/>
      </c>
      <c r="FM320" s="157"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33"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36" t="str">
        <f>IF(AND(ISNUMBER(SnapshotTable[[#This Row],[SC Simple ROO]]),SnapshotTable[[#This Row],[SC Simple ROO]] &gt; 0), SnapshotTable[[#This Row],[SC Premium]] + (SnapshotTable[[#This Row],[SC Qty]] * SnapshotTable[[#This Row],[SC Upside Potential]]), "")</f>
        <v/>
      </c>
      <c r="FX320" s="302" t="str" cm="1">
        <f t="array" ref="FX320">IF(ISNUMBER(SnapshotTable[[#This Row],[SC Max Dollars]]), annualize(SnapshotTable[[#This Row],[SC Term]],(SnapshotTable[[#This Row],[SC Max Dollars]]/SnapshotTable[[#This Row],[SC Basis]])),"")</f>
        <v/>
      </c>
      <c r="FY320" s="23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29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35.340000000000003</v>
      </c>
      <c r="GD320" s="40">
        <f>SnapshotTable[[#This Row],[Last Price]] * (1+ SellingPriceToConsiderBasedOnTargetPercentage)</f>
        <v>57.076499999999996</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31">
        <f>MAX(SnapshotTable[[#This Row],[Equity Basis Total]],SnapshotTable[[#This Row],[Equity Value]]) + (SnapshotTable[[#This Row],[SP Potential Spend]]- SnapshotTable[[#This Row],[SP Premium]] + SnapshotTable[[#This Row],[LP Premium]])+ (SnapshotTable[[#This Row],[LC Premium]] - SnapshotTable[[#This Row],[SC Premium]])</f>
        <v>0</v>
      </c>
      <c r="GW320" s="139" t="str">
        <f>IF(AND(SnapshotTable[[#This Row],[Exposure]] &lt;&gt; 0),SnapshotTable[[#This Row],[Exposure]] / SnapshotTable[[#Totals],[Exposure]], "")</f>
        <v/>
      </c>
      <c r="HK320" s="1"/>
      <c r="HL320" s="1"/>
      <c r="HM320" s="1"/>
      <c r="HN320" s="1"/>
      <c r="HO320" s="1"/>
      <c r="HP320" s="1"/>
    </row>
    <row r="321" spans="2:224" ht="12.75" hidden="1" customHeight="1" x14ac:dyDescent="0.25">
      <c r="B321" s="12" t="s">
        <v>35</v>
      </c>
      <c r="C321" s="422">
        <v>7.08</v>
      </c>
      <c r="D321" s="208"/>
      <c r="E321" s="39">
        <f>SnapshotTable[[#This Row],[Last Price]]*(1 -CrashDiscount)</f>
        <v>6.0179999999999998</v>
      </c>
      <c r="F321" s="26" t="s">
        <v>34</v>
      </c>
      <c r="G321" s="26" t="s">
        <v>17</v>
      </c>
      <c r="H321" s="149"/>
      <c r="I321" s="194">
        <v>44778.288194444445</v>
      </c>
      <c r="J321" s="195">
        <v>44778.288194444445</v>
      </c>
      <c r="K321" s="196"/>
      <c r="L321" s="326"/>
      <c r="M321" s="140"/>
      <c r="N321" s="140"/>
      <c r="O321" s="140"/>
      <c r="P321" s="22"/>
      <c r="Q321" s="25"/>
      <c r="R321" s="4" t="str">
        <f>IF(SnapshotTable[[#This Row],[Equity Basis Total]] &gt; 0, SnapshotTable[[#This Row],[Equity Basis Total]] / SnapshotTable[[#This Row],[Equity Shares]], "")</f>
        <v/>
      </c>
      <c r="S321" s="269">
        <f>SnapshotTable[[#This Row],[Last Price]] * SnapshotTable[[#This Row],[Equity Shares]]</f>
        <v>0</v>
      </c>
      <c r="T321" s="269">
        <f>SnapshotTable[[#This Row],[Equity Value]] - SnapshotTable[[#This Row],[Equity Basis Total]]</f>
        <v>0</v>
      </c>
      <c r="U321" s="270" t="str">
        <f>IF(SnapshotTable[[#This Row],[Equity Basis Total]] &gt; 0, SnapshotTable[[#This Row],[Equity G/L]] / SnapshotTable[[#This Row],[Equity Basis Total]], "")</f>
        <v/>
      </c>
      <c r="V321" s="268"/>
      <c r="W321" s="26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7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0">
        <v>0.3</v>
      </c>
      <c r="AD321" s="151">
        <v>42727</v>
      </c>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4.2372881355932202E-2</v>
      </c>
      <c r="AH321" s="151">
        <v>42703</v>
      </c>
      <c r="AI321" s="5"/>
      <c r="AJ321" s="138">
        <v>17.5</v>
      </c>
      <c r="AK321" s="152" t="str">
        <f>IF(ISNUMBER( SnapshotTable[[#This Row],[EBF Target]]),(SnapshotTable[[#This Row],[EBF Target]] - SnapshotTable[[#This Row],[Last Price]]) / SnapshotTable[[#This Row],[Last Price]], "")</f>
        <v/>
      </c>
      <c r="AL321" s="152"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2">
        <f>IF(AND(ISNUMBER( SnapshotTable[[#This Row],[Long Term Target]]), ISNUMBER(SnapshotTable[[#This Row],[Last Price]])),(SnapshotTable[[#This Row],[Long Term Target]] - SnapshotTable[[#This Row],[Last Price]]) / SnapshotTable[[#This Row],[Last Price]], "")</f>
        <v>1.4717514124293785</v>
      </c>
      <c r="AP321" s="5"/>
      <c r="AQ321" s="38"/>
      <c r="AR321" s="5"/>
      <c r="AS321" s="38"/>
      <c r="AT321" s="146"/>
      <c r="AU321" s="187" t="str">
        <f>IF(OR(SnapshotTable[[#This Row],[LP No Fill]]="Y",SnapshotTable[[#This Row],[SP Is Filled]],SnapshotTable[[#This Row],[LC Not Filled]]="Y",SnapshotTable[[#This Row],[SC Is Filled]]),"Y","")</f>
        <v/>
      </c>
      <c r="AV321" s="219"/>
      <c r="AW321" s="225"/>
      <c r="AX321" s="220"/>
      <c r="AY321" s="219" t="str">
        <f>IF(SnapshotTable[[#This Row],[Implied Move]]&gt;0, SnapshotTable[[#This Row],[Last Price]]-SnapshotTable[[#This Row],[Implied Move]],"")</f>
        <v/>
      </c>
      <c r="AZ321" s="219" t="str">
        <f>IF(SnapshotTable[[#This Row],[Implied Move]]&gt;0, SnapshotTable[[#This Row],[Last Price]] + SnapshotTable[[#This Row],[Implied Move]],"")</f>
        <v/>
      </c>
      <c r="BA321" s="331"/>
      <c r="BB321" s="347"/>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51"/>
      <c r="BE321" s="5"/>
      <c r="BF321" s="14"/>
      <c r="BG321" s="13"/>
      <c r="BH321" s="13"/>
      <c r="BI321" s="5"/>
      <c r="BJ321" s="136">
        <f>IF(SnapshotTable[[#This Row],[LP Qty]] &gt; 0, SnapshotTable[[#This Row],[LP Qty]] * SnapshotTable[[#This Row],[LP Book Price]] * 100,0)</f>
        <v>0</v>
      </c>
      <c r="BK321" s="136">
        <f>IF(SnapshotTable[[#This Row],[LP Premium]] &gt; 0, SnapshotTable[[#This Row],[LP Qty]] * SnapshotTable[[#This Row],[LP Strike Price]] * 100,0)</f>
        <v>0</v>
      </c>
      <c r="BL321" s="154"/>
      <c r="BM321" s="385" t="str">
        <f>IF(SnapshotTable[[#This Row],[LP Premium]] &gt; 0,SnapshotTable[[#This Row],[LP Exp Date]]-MAX(SnapshotTable[[#This Row],[LP Book Date]], SnapshotTable[[#This Row],[LP Fill Date]]),"")</f>
        <v/>
      </c>
      <c r="BN321" s="385" t="str">
        <f>IF(ISNUMBER( SnapshotTable[[#This Row],[LP Term]]), SnapshotTable[[#This Row],[LP Exp Date]] - MockToday,"")</f>
        <v/>
      </c>
      <c r="BO321" s="163"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7"/>
      <c r="BU321" s="13"/>
      <c r="BV321" s="5"/>
      <c r="BW321" s="419" t="b">
        <f>AND(ISNUMBER(SnapshotTable[[#This Row],[SP Exp Date]]), ISNUMBER(SnapshotTable[[#This Row],[SP Strike Price]]), ISNUMBER(SnapshotTable[[#This Row],[SP Qty]]), ISNUMBER(SnapshotTable[[#This Row],[SP Book Date]]), ISNUMBER(SnapshotTable[[#This Row],[SP Book Price]]))</f>
        <v>0</v>
      </c>
      <c r="BX321" s="419" t="b">
        <f>AND(SnapshotTable[[#This Row],[SP Is Booked]], NOT(ISBLANK(SnapshotTable[[#This Row],[SP Fill Date]])))</f>
        <v>0</v>
      </c>
      <c r="BY321" s="33">
        <f>IF(SnapshotTable[[#This Row],[SP Is Booked]], SnapshotTable[[#This Row],[SP Qty]] * SnapshotTable[[#This Row],[SP Book Price]] * 100, 0)</f>
        <v>0</v>
      </c>
      <c r="BZ321" s="369"/>
      <c r="CA321" s="368">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3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44"/>
      <c r="CK321" s="31">
        <f>IF(ISNUMBER(SnapshotTable[[#This Row],[SP Potential Spend]]),IF(ISNUMBER(SnapshotTable[[#This Row],[SP POW]]), SnapshotTable[[#This Row],[SP POW]] * SnapshotTable[[#This Row],[SP Potential Spend]], SnapshotTable[[#This Row],[SP Potential Spend]]), "")</f>
        <v>0</v>
      </c>
      <c r="CL321" s="164">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8"/>
      <c r="CO321" s="369"/>
      <c r="CP321" s="4" t="str">
        <f>IF(SnapshotTable[[#This Row],[SP Is Filled]], btc_max_buyback_amount(SnapshotTable[[#This Row],[SP Fill Date]],SnapshotTable[[#This Row],[SP Exp Date]], SnapshotTable[[#This Row],[SP Book Price]]),"")</f>
        <v/>
      </c>
      <c r="CQ321" s="78"/>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5" t="str">
        <f>IF(SnapshotTable[[#This Row],[SP Is Filled]], btc_next_cutoff_date(SnapshotTable[[#This Row],[SP Fill Date]],SnapshotTable[[#This Row],[SP Exp Date]]),"")</f>
        <v/>
      </c>
      <c r="CT321" s="23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3"/>
      <c r="CV321" s="235"/>
      <c r="CW321" s="378"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294" t="str">
        <f>IF(ISNUMBER((SnapshotTable[[#This Row],[SP Total Value]])), SnapshotTable[[#This Row],[SP Gain Loss]] / SnapshotTable[[#This Row],[SP Premium]], "")</f>
        <v/>
      </c>
      <c r="DI321" s="406"/>
      <c r="DJ321" s="138"/>
      <c r="DK321" s="148"/>
      <c r="DL321" s="13"/>
      <c r="DM321" s="13"/>
      <c r="DO321" s="31">
        <f>IF(SnapshotTable[[#This Row],[LC Symbol Count]]=1, SnapshotTable[[#This Row],[LC Qty]] * SnapshotTable[[#This Row],[LC Book Price]] * 100, 0)</f>
        <v>0</v>
      </c>
      <c r="DP321" s="163" t="str">
        <f>IF(AND(SnapshotTable[[#This Row],[LC Exp Date]]&gt;0, SnapshotTable[[#This Row],[LC Strike Price]]&gt;0,SnapshotTable[[#This Row],[LC Qty]]&gt;0,SnapshotTable[[#This Row],[LC Book Date]]&gt;0,SnapshotTable[[#This Row],[LC Book Price]]&gt;0,SnapshotTable[[#This Row],[LC Fill Date]]=0),"Y","")</f>
        <v/>
      </c>
      <c r="DQ321" s="386" t="str">
        <f>IF(SnapshotTable[[#This Row],[LC Premium]] &gt; 0,SnapshotTable[[#This Row],[LC Exp Date]]-MAX(SnapshotTable[[#This Row],[LC Book Date]], SnapshotTable[[#This Row],[LC Fill Date]]),"")</f>
        <v/>
      </c>
      <c r="DR321" s="386" t="str">
        <f>IF(ISNUMBER(SnapshotTable[[#This Row],[LC Term]]), SnapshotTable[[#This Row],[LC Exp Date]] - MockToday, "")</f>
        <v/>
      </c>
      <c r="DS321" s="23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40" t="str">
        <f>IF(ISNUMBER(SnapshotTable[[#This Row],[LC Actual Gain Loss]]), SnapshotTable[[#This Row],[LC Actual Gain Loss]] / SnapshotTable[[#This Row],[LC Premium]],"")</f>
        <v/>
      </c>
      <c r="DX321" s="284" t="str">
        <f>IF(ISNUMBER(SnapshotTable[[#This Row],[LC Book Price]]),SnapshotTable[[#This Row],[LC Book Price]] * 1.5,"")</f>
        <v/>
      </c>
      <c r="DY321" s="265" t="str">
        <f>IF(SnapshotTable[[#This Row],[LC Premium]]&gt;0, SnapshotTable[[#This Row],[LC Next Target]] * SnapshotTable[[#This Row],[LC Qty]] * 100,"")</f>
        <v/>
      </c>
      <c r="DZ321" s="265" t="str">
        <f>IF(ISNUMBER(SnapshotTable[[#This Row],[LC Target Gross]]), SnapshotTable[[#This Row],[LC Target Gross]] - SnapshotTable[[#This Row],[LC Premium]], "")</f>
        <v/>
      </c>
      <c r="EA321" s="305" t="str">
        <f>IF(ISNUMBER(SnapshotTable[[#This Row],[LC Target Gain Loss]]), SnapshotTable[[#This Row],[LC Target Gain Loss]]/SnapshotTable[[#This Row],[LC Premium]], "")</f>
        <v/>
      </c>
      <c r="EB321" s="262"/>
      <c r="EC321" s="283" t="str">
        <f>IF(SnapshotTable[[#This Row],[LC Premium]]&gt;0, SnapshotTable[[#This Row],[LC Book Price]] * (1 - LC_StopLoss_Pct),"")</f>
        <v/>
      </c>
      <c r="ED321" s="284"/>
      <c r="EE321" s="28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4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7"/>
      <c r="EL321" s="138"/>
      <c r="EM321" s="148"/>
      <c r="EN321" s="147"/>
      <c r="EO321" s="147"/>
      <c r="EP321" s="138"/>
      <c r="EQ321" s="419" t="b">
        <f>AND(ISNUMBER(SnapshotTable[[#This Row],[SC Exp Date]]), ISNUMBER(SnapshotTable[[#This Row],[SC Strike Price]]), ISNUMBER(SnapshotTable[[#This Row],[SC Qty]]), ISNUMBER(SnapshotTable[[#This Row],[SC Book Date]]), ISNUMBER(SnapshotTable[[#This Row],[SC Book Price]]))</f>
        <v>0</v>
      </c>
      <c r="ER321" s="419" t="b">
        <f>AND(SnapshotTable[[#This Row],[SC Is Booked]], NOT(ISBLANK(SnapshotTable[[#This Row],[SC Fill Date]])))</f>
        <v>0</v>
      </c>
      <c r="ES321" s="370"/>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3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283"/>
      <c r="FA321" s="218"/>
      <c r="FB321" s="370"/>
      <c r="FC321" s="4">
        <f>IF(SnapshotTable[[#This Row],[SC Is Filled]], btc_max_buyback_amount(SnapshotTable[[#This Row],[SC Fill Date]],SnapshotTable[[#This Row],[SC Exp Date]], SnapshotTable[[#This Row],[SC Book Price]]),0)</f>
        <v>0</v>
      </c>
      <c r="FD321" s="5"/>
      <c r="FE321" s="144"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382">
        <f>IF(SnapshotTable[[#This Row],[SC Is Filled]], IF(ISNUMBER(SnapshotTable[[#This Row],[SC Current Ask]]), SnapshotTable[[#This Row],[SC Current Ask]], SnapshotTable[[#This Row],[SC Book Price]]) - SnapshotTable[[#This Row],[SC Intrinsic Value]], 0)</f>
        <v>0</v>
      </c>
      <c r="FI321" s="143"/>
      <c r="FJ321" s="32" t="str">
        <f>IF(SnapshotTable[[#This Row],[SC Is Filled]],100 * SnapshotTable[[#This Row],[SC Qty]] * IF(ISNUMBER(SnapshotTable[[#This Row],[SC Buyback Override]]), SnapshotTable[[#This Row],[SC Buyback Override]], SnapshotTable[[#This Row],[SC Current Ask]]), "")</f>
        <v/>
      </c>
      <c r="FK321" s="250" t="str">
        <f>IF(SnapshotTable[[#This Row],[SC Time Val]]&gt;0, SnapshotTable[[#This Row],[SC Time Val]] / SnapshotTable[[#This Row],[Last Price]],"")</f>
        <v/>
      </c>
      <c r="FL321" s="302" t="str">
        <f>IF(SnapshotTable[[#This Row],[SC Is Booked]], ((SnapshotTable[[#This Row],[Last Price]] -SnapshotTable[[#This Row],[SC Strike Price]]) / SnapshotTable[[#This Row],[Last Price]]) * -1, "")</f>
        <v/>
      </c>
      <c r="FM321" s="157"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33"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36" t="str">
        <f>IF(AND(ISNUMBER(SnapshotTable[[#This Row],[SC Simple ROO]]),SnapshotTable[[#This Row],[SC Simple ROO]] &gt; 0), SnapshotTable[[#This Row],[SC Premium]] + (SnapshotTable[[#This Row],[SC Qty]] * SnapshotTable[[#This Row],[SC Upside Potential]]), "")</f>
        <v/>
      </c>
      <c r="FX321" s="302" t="str" cm="1">
        <f t="array" ref="FX321">IF(ISNUMBER(SnapshotTable[[#This Row],[SC Max Dollars]]), annualize(SnapshotTable[[#This Row],[SC Term]],(SnapshotTable[[#This Row],[SC Max Dollars]]/SnapshotTable[[#This Row],[SC Basis]])),"")</f>
        <v/>
      </c>
      <c r="FY321" s="23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29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16.625</v>
      </c>
      <c r="GD321" s="40">
        <f>SnapshotTable[[#This Row],[Last Price]] * (1+ SellingPriceToConsiderBasedOnTargetPercentage)</f>
        <v>13.805999999999999</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778</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31">
        <f>MAX(SnapshotTable[[#This Row],[Equity Basis Total]],SnapshotTable[[#This Row],[Equity Value]]) + (SnapshotTable[[#This Row],[SP Potential Spend]]- SnapshotTable[[#This Row],[SP Premium]] + SnapshotTable[[#This Row],[LP Premium]])+ (SnapshotTable[[#This Row],[LC Premium]] - SnapshotTable[[#This Row],[SC Premium]])</f>
        <v>0</v>
      </c>
      <c r="GW321" s="139" t="str">
        <f>IF(AND(SnapshotTable[[#This Row],[Exposure]] &lt;&gt; 0),SnapshotTable[[#This Row],[Exposure]] / SnapshotTable[[#Totals],[Exposure]], "")</f>
        <v/>
      </c>
      <c r="HK321" s="1"/>
      <c r="HL321" s="1"/>
      <c r="HM321" s="1"/>
      <c r="HN321" s="1"/>
      <c r="HO321" s="1"/>
      <c r="HP321" s="1"/>
    </row>
    <row r="322" spans="2:224" ht="12.75" hidden="1" customHeight="1" x14ac:dyDescent="0.25">
      <c r="B322" s="12" t="s">
        <v>528</v>
      </c>
      <c r="C322" s="422">
        <v>70.33</v>
      </c>
      <c r="D322" s="208" t="s">
        <v>885</v>
      </c>
      <c r="E322" s="39">
        <f>SnapshotTable[[#This Row],[Last Price]]*(1 -CrashDiscount)</f>
        <v>59.780499999999996</v>
      </c>
      <c r="F322" s="26" t="s">
        <v>613</v>
      </c>
      <c r="G322" s="26" t="s">
        <v>9</v>
      </c>
      <c r="H322" s="149"/>
      <c r="I322" s="194">
        <v>44776.291666666664</v>
      </c>
      <c r="J322" s="195">
        <v>44776.291666666664</v>
      </c>
      <c r="K322" s="196"/>
      <c r="L322" s="326"/>
      <c r="M322" s="140"/>
      <c r="N322" s="140"/>
      <c r="O322" s="140"/>
      <c r="P322" s="22"/>
      <c r="Q322" s="25"/>
      <c r="R322" s="4" t="str">
        <f>IF(SnapshotTable[[#This Row],[Equity Basis Total]] &gt; 0, SnapshotTable[[#This Row],[Equity Basis Total]] / SnapshotTable[[#This Row],[Equity Shares]], "")</f>
        <v/>
      </c>
      <c r="S322" s="269">
        <f>SnapshotTable[[#This Row],[Last Price]] * SnapshotTable[[#This Row],[Equity Shares]]</f>
        <v>0</v>
      </c>
      <c r="T322" s="269">
        <f>SnapshotTable[[#This Row],[Equity Value]] - SnapshotTable[[#This Row],[Equity Basis Total]]</f>
        <v>0</v>
      </c>
      <c r="U322" s="270" t="str">
        <f>IF(SnapshotTable[[#This Row],[Equity Basis Total]] &gt; 0, SnapshotTable[[#This Row],[Equity G/L]] / SnapshotTable[[#This Row],[Equity Basis Total]], "")</f>
        <v/>
      </c>
      <c r="V322" s="268">
        <v>65</v>
      </c>
      <c r="W322" s="268">
        <v>54.81</v>
      </c>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7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0"/>
      <c r="AD322" s="151"/>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1"/>
      <c r="AI322" s="5"/>
      <c r="AJ322" s="138">
        <v>57.25</v>
      </c>
      <c r="AK322" s="152" t="str">
        <f>IF(ISNUMBER( SnapshotTable[[#This Row],[EBF Target]]),(SnapshotTable[[#This Row],[EBF Target]] - SnapshotTable[[#This Row],[Last Price]]) / SnapshotTable[[#This Row],[Last Price]], "")</f>
        <v/>
      </c>
      <c r="AL322" s="152"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2">
        <f>IF(AND(ISNUMBER( SnapshotTable[[#This Row],[Long Term Target]]), ISNUMBER(SnapshotTable[[#This Row],[Last Price]])),(SnapshotTable[[#This Row],[Long Term Target]] - SnapshotTable[[#This Row],[Last Price]]) / SnapshotTable[[#This Row],[Last Price]], "")</f>
        <v>-0.18598037821697708</v>
      </c>
      <c r="AP322" s="5">
        <v>65</v>
      </c>
      <c r="AQ322" s="38" t="s">
        <v>27</v>
      </c>
      <c r="AR322" s="5">
        <v>54</v>
      </c>
      <c r="AS322" s="38" t="s">
        <v>26</v>
      </c>
      <c r="AT322" s="146" t="s">
        <v>553</v>
      </c>
      <c r="AU322" s="187" t="str">
        <f>IF(OR(SnapshotTable[[#This Row],[LP No Fill]]="Y",SnapshotTable[[#This Row],[SP Is Filled]],SnapshotTable[[#This Row],[LC Not Filled]]="Y",SnapshotTable[[#This Row],[SC Is Filled]]),"Y","")</f>
        <v/>
      </c>
      <c r="AV322" s="219"/>
      <c r="AW322" s="225">
        <v>4.827</v>
      </c>
      <c r="AX322" s="220">
        <v>44239</v>
      </c>
      <c r="AY322" s="219">
        <f>IF(SnapshotTable[[#This Row],[Implied Move]]&gt;0, SnapshotTable[[#This Row],[Last Price]]-SnapshotTable[[#This Row],[Implied Move]],"")</f>
        <v>65.503</v>
      </c>
      <c r="AZ322" s="219">
        <f>IF(SnapshotTable[[#This Row],[Implied Move]]&gt;0, SnapshotTable[[#This Row],[Last Price]] + SnapshotTable[[#This Row],[Implied Move]],"")</f>
        <v>75.156999999999996</v>
      </c>
      <c r="BA322" s="331">
        <v>58.25</v>
      </c>
      <c r="BB322" s="347"/>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51"/>
      <c r="BE322" s="5"/>
      <c r="BF322" s="14"/>
      <c r="BG322" s="13"/>
      <c r="BH322" s="13"/>
      <c r="BI322" s="5"/>
      <c r="BJ322" s="136">
        <f>IF(SnapshotTable[[#This Row],[LP Qty]] &gt; 0, SnapshotTable[[#This Row],[LP Qty]] * SnapshotTable[[#This Row],[LP Book Price]] * 100,0)</f>
        <v>0</v>
      </c>
      <c r="BK322" s="136">
        <f>IF(SnapshotTable[[#This Row],[LP Premium]] &gt; 0, SnapshotTable[[#This Row],[LP Qty]] * SnapshotTable[[#This Row],[LP Strike Price]] * 100,0)</f>
        <v>0</v>
      </c>
      <c r="BL322" s="154"/>
      <c r="BM322" s="385" t="str">
        <f>IF(SnapshotTable[[#This Row],[LP Premium]] &gt; 0,SnapshotTable[[#This Row],[LP Exp Date]]-MAX(SnapshotTable[[#This Row],[LP Book Date]], SnapshotTable[[#This Row],[LP Fill Date]]),"")</f>
        <v/>
      </c>
      <c r="BN322" s="385" t="str">
        <f>IF(ISNUMBER( SnapshotTable[[#This Row],[LP Term]]), SnapshotTable[[#This Row],[LP Exp Date]] - MockToday,"")</f>
        <v/>
      </c>
      <c r="BO322" s="163"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7"/>
      <c r="BU322" s="13"/>
      <c r="BV322" s="5"/>
      <c r="BW322" s="419" t="b">
        <f>AND(ISNUMBER(SnapshotTable[[#This Row],[SP Exp Date]]), ISNUMBER(SnapshotTable[[#This Row],[SP Strike Price]]), ISNUMBER(SnapshotTable[[#This Row],[SP Qty]]), ISNUMBER(SnapshotTable[[#This Row],[SP Book Date]]), ISNUMBER(SnapshotTable[[#This Row],[SP Book Price]]))</f>
        <v>0</v>
      </c>
      <c r="BX322" s="419" t="b">
        <f>AND(SnapshotTable[[#This Row],[SP Is Booked]], NOT(ISBLANK(SnapshotTable[[#This Row],[SP Fill Date]])))</f>
        <v>0</v>
      </c>
      <c r="BY322" s="33">
        <f>IF(SnapshotTable[[#This Row],[SP Is Booked]], SnapshotTable[[#This Row],[SP Qty]] * SnapshotTable[[#This Row],[SP Book Price]] * 100, 0)</f>
        <v>0</v>
      </c>
      <c r="BZ322" s="369"/>
      <c r="CA322" s="368">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3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44">
        <v>1</v>
      </c>
      <c r="CK322" s="31">
        <f>IF(ISNUMBER(SnapshotTable[[#This Row],[SP Potential Spend]]),IF(ISNUMBER(SnapshotTable[[#This Row],[SP POW]]), SnapshotTable[[#This Row],[SP POW]] * SnapshotTable[[#This Row],[SP Potential Spend]], SnapshotTable[[#This Row],[SP Potential Spend]]), "")</f>
        <v>0</v>
      </c>
      <c r="CL322" s="164">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78"/>
      <c r="CO322" s="369"/>
      <c r="CP322" s="4" t="str">
        <f>IF(SnapshotTable[[#This Row],[SP Is Filled]], btc_max_buyback_amount(SnapshotTable[[#This Row],[SP Fill Date]],SnapshotTable[[#This Row],[SP Exp Date]], SnapshotTable[[#This Row],[SP Book Price]]),"")</f>
        <v/>
      </c>
      <c r="CQ322" s="78"/>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5" t="str">
        <f>IF(SnapshotTable[[#This Row],[SP Is Filled]], btc_next_cutoff_date(SnapshotTable[[#This Row],[SP Fill Date]],SnapshotTable[[#This Row],[SP Exp Date]]),"")</f>
        <v/>
      </c>
      <c r="CT322" s="23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43"/>
      <c r="CV322" s="235"/>
      <c r="CW322" s="378"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294" t="str">
        <f>IF(ISNUMBER((SnapshotTable[[#This Row],[SP Total Value]])), SnapshotTable[[#This Row],[SP Gain Loss]] / SnapshotTable[[#This Row],[SP Premium]], "")</f>
        <v/>
      </c>
      <c r="DI322" s="406"/>
      <c r="DJ322" s="138"/>
      <c r="DK322" s="148"/>
      <c r="DL322" s="13"/>
      <c r="DM322" s="13"/>
      <c r="DO322" s="31">
        <f>IF(SnapshotTable[[#This Row],[LC Symbol Count]]=1, SnapshotTable[[#This Row],[LC Qty]] * SnapshotTable[[#This Row],[LC Book Price]] * 100, 0)</f>
        <v>0</v>
      </c>
      <c r="DP322" s="163" t="str">
        <f>IF(AND(SnapshotTable[[#This Row],[LC Exp Date]]&gt;0, SnapshotTable[[#This Row],[LC Strike Price]]&gt;0,SnapshotTable[[#This Row],[LC Qty]]&gt;0,SnapshotTable[[#This Row],[LC Book Date]]&gt;0,SnapshotTable[[#This Row],[LC Book Price]]&gt;0,SnapshotTable[[#This Row],[LC Fill Date]]=0),"Y","")</f>
        <v/>
      </c>
      <c r="DQ322" s="386" t="str">
        <f>IF(SnapshotTable[[#This Row],[LC Premium]] &gt; 0,SnapshotTable[[#This Row],[LC Exp Date]]-MAX(SnapshotTable[[#This Row],[LC Book Date]], SnapshotTable[[#This Row],[LC Fill Date]]),"")</f>
        <v/>
      </c>
      <c r="DR322" s="386" t="str">
        <f>IF(ISNUMBER(SnapshotTable[[#This Row],[LC Term]]), SnapshotTable[[#This Row],[LC Exp Date]] - MockToday, "")</f>
        <v/>
      </c>
      <c r="DS322" s="23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40" t="str">
        <f>IF(ISNUMBER(SnapshotTable[[#This Row],[LC Actual Gain Loss]]), SnapshotTable[[#This Row],[LC Actual Gain Loss]] / SnapshotTable[[#This Row],[LC Premium]],"")</f>
        <v/>
      </c>
      <c r="DX322" s="284" t="str">
        <f>IF(ISNUMBER(SnapshotTable[[#This Row],[LC Book Price]]),SnapshotTable[[#This Row],[LC Book Price]] * 1.5,"")</f>
        <v/>
      </c>
      <c r="DY322" s="265" t="str">
        <f>IF(SnapshotTable[[#This Row],[LC Premium]]&gt;0, SnapshotTable[[#This Row],[LC Next Target]] * SnapshotTable[[#This Row],[LC Qty]] * 100,"")</f>
        <v/>
      </c>
      <c r="DZ322" s="265" t="str">
        <f>IF(ISNUMBER(SnapshotTable[[#This Row],[LC Target Gross]]), SnapshotTable[[#This Row],[LC Target Gross]] - SnapshotTable[[#This Row],[LC Premium]], "")</f>
        <v/>
      </c>
      <c r="EA322" s="305" t="str">
        <f>IF(ISNUMBER(SnapshotTable[[#This Row],[LC Target Gain Loss]]), SnapshotTable[[#This Row],[LC Target Gain Loss]]/SnapshotTable[[#This Row],[LC Premium]], "")</f>
        <v/>
      </c>
      <c r="EB322" s="262"/>
      <c r="EC322" s="283" t="str">
        <f>IF(SnapshotTable[[#This Row],[LC Premium]]&gt;0, SnapshotTable[[#This Row],[LC Book Price]] * (1 - LC_StopLoss_Pct),"")</f>
        <v/>
      </c>
      <c r="ED322" s="284"/>
      <c r="EE322" s="28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4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7"/>
      <c r="EL322" s="138"/>
      <c r="EM322" s="148"/>
      <c r="EN322" s="147"/>
      <c r="EO322" s="147"/>
      <c r="EP322" s="138"/>
      <c r="EQ322" s="419" t="b">
        <f>AND(ISNUMBER(SnapshotTable[[#This Row],[SC Exp Date]]), ISNUMBER(SnapshotTable[[#This Row],[SC Strike Price]]), ISNUMBER(SnapshotTable[[#This Row],[SC Qty]]), ISNUMBER(SnapshotTable[[#This Row],[SC Book Date]]), ISNUMBER(SnapshotTable[[#This Row],[SC Book Price]]))</f>
        <v>0</v>
      </c>
      <c r="ER322" s="419" t="b">
        <f>AND(SnapshotTable[[#This Row],[SC Is Booked]], NOT(ISBLANK(SnapshotTable[[#This Row],[SC Fill Date]])))</f>
        <v>0</v>
      </c>
      <c r="ES322" s="370"/>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3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283"/>
      <c r="FA322" s="218"/>
      <c r="FB322" s="370"/>
      <c r="FC322" s="4">
        <f>IF(SnapshotTable[[#This Row],[SC Is Filled]], btc_max_buyback_amount(SnapshotTable[[#This Row],[SC Fill Date]],SnapshotTable[[#This Row],[SC Exp Date]], SnapshotTable[[#This Row],[SC Book Price]]),0)</f>
        <v>0</v>
      </c>
      <c r="FD322" s="5"/>
      <c r="FE322" s="144"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382">
        <f>IF(SnapshotTable[[#This Row],[SC Is Filled]], IF(ISNUMBER(SnapshotTable[[#This Row],[SC Current Ask]]), SnapshotTable[[#This Row],[SC Current Ask]], SnapshotTable[[#This Row],[SC Book Price]]) - SnapshotTable[[#This Row],[SC Intrinsic Value]], 0)</f>
        <v>0</v>
      </c>
      <c r="FI322" s="143"/>
      <c r="FJ322" s="32" t="str">
        <f>IF(SnapshotTable[[#This Row],[SC Is Filled]],100 * SnapshotTable[[#This Row],[SC Qty]] * IF(ISNUMBER(SnapshotTable[[#This Row],[SC Buyback Override]]), SnapshotTable[[#This Row],[SC Buyback Override]], SnapshotTable[[#This Row],[SC Current Ask]]), "")</f>
        <v/>
      </c>
      <c r="FK322" s="250" t="str">
        <f>IF(SnapshotTable[[#This Row],[SC Time Val]]&gt;0, SnapshotTable[[#This Row],[SC Time Val]] / SnapshotTable[[#This Row],[Last Price]],"")</f>
        <v/>
      </c>
      <c r="FL322" s="302" t="str">
        <f>IF(SnapshotTable[[#This Row],[SC Is Booked]], ((SnapshotTable[[#This Row],[Last Price]] -SnapshotTable[[#This Row],[SC Strike Price]]) / SnapshotTable[[#This Row],[Last Price]]) * -1, "")</f>
        <v/>
      </c>
      <c r="FM322" s="157" t="str">
        <f>IF(SnapshotTable[[#This Row],[SC Is Booked]],  (SnapshotTable[[#This Row],[SC Qty]] * 100 * SnapshotTable[[#This Row],[SC Strike Price]]) - SnapshotTable[[#This Row],[SC Current Ask]], "")</f>
        <v/>
      </c>
      <c r="FN3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31"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33"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36" t="str">
        <f>IF(AND(ISNUMBER(SnapshotTable[[#This Row],[SC Simple ROO]]),SnapshotTable[[#This Row],[SC Simple ROO]] &gt; 0), SnapshotTable[[#This Row],[SC Premium]] + (SnapshotTable[[#This Row],[SC Qty]] * SnapshotTable[[#This Row],[SC Upside Potential]]), "")</f>
        <v/>
      </c>
      <c r="FX322" s="302" t="str" cm="1">
        <f t="array" ref="FX322">IF(ISNUMBER(SnapshotTable[[#This Row],[SC Max Dollars]]), annualize(SnapshotTable[[#This Row],[SC Term]],(SnapshotTable[[#This Row],[SC Max Dollars]]/SnapshotTable[[#This Row],[SC Basis]])),"")</f>
        <v/>
      </c>
      <c r="FY322" s="23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294" t="str">
        <f>IFERROR( IF(ISNUMBER((SnapshotTable[[#This Row],[SC Current Value]])), SnapshotTable[[#This Row],[SC Gain Loss]] / SnapshotTable[[#This Row],[SC Premium]], ""), "")</f>
        <v/>
      </c>
      <c r="GB322" s="42">
        <f>SnapshotTable[[#This Row],[Equity Shares]] * SaleSharesToConsiderPercentage</f>
        <v>0</v>
      </c>
      <c r="GC322" s="40">
        <f>SnapshotTable[[#This Row],[Long Term Target]] * SellingPriceToConsiderBasedOnTargetPercentage</f>
        <v>54.387499999999996</v>
      </c>
      <c r="GD322" s="40">
        <f>SnapshotTable[[#This Row],[Last Price]] * (1+ SellingPriceToConsiderBasedOnTargetPercentage)</f>
        <v>137.14349999999999</v>
      </c>
      <c r="GE322" s="41"/>
      <c r="GF322" s="40"/>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27" t="str">
        <f>IF(SnapshotTable[[#This Row],[Sale G/L]]&gt;0, SnapshotTable[[#This Row],[Sale G/L]] / SnapshotTable[[#This Row],[Sale Basis]], IF(ISNUMBER(SnapshotTable[[#This Row],[SC Exercise P&amp;L (TAX)]]), SnapshotTable[[#This Row],[SC Exercise P&amp;L (TAX)]] / SnapshotTable[[#This Row],[SC Basis]], ""))</f>
        <v/>
      </c>
      <c r="GK322" s="27" t="s">
        <v>779</v>
      </c>
      <c r="GL322" s="43"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43" t="str">
        <f>IF(AND(SnapshotTable[[#This Row],[LC Exp Date]]&gt;0,SnapshotTable[[#This Row],[LC Strike Price]]&gt;0), [1]!ToOptionSymbol(SnapshotTable[[#This Row],[Symbol]], SnapshotTable[[#This Row],[LC Strike Price]],SnapshotTable[[#This Row],[LC Exp Date]],0), "")</f>
        <v/>
      </c>
      <c r="GQ322" s="30" t="str">
        <f>IF(LEN(SnapshotTable[[#This Row],[LC Symbol]])&gt;0, 1, "")</f>
        <v/>
      </c>
      <c r="GR322" s="43" t="str">
        <f>IF(AND(SnapshotTable[[#This Row],[SC Exp Date]]&gt;0,SnapshotTable[[#This Row],[SC Strike Price]]&gt;0), [1]!ToOptionSymbol(SnapshotTable[[#This Row],[Symbol]], SnapshotTable[[#This Row],[SC Strike Price]],SnapshotTable[[#This Row],[SC Exp Date]],0), "")</f>
        <v/>
      </c>
      <c r="GS322" s="30" t="str">
        <f>IF(LEN(SnapshotTable[[#This Row],[SC Symbol]])&gt;0, 1, "")</f>
        <v/>
      </c>
      <c r="GT322" s="29"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31">
        <f>MAX(SnapshotTable[[#This Row],[Equity Basis Total]],SnapshotTable[[#This Row],[Equity Value]]) + (SnapshotTable[[#This Row],[SP Potential Spend]]- SnapshotTable[[#This Row],[SP Premium]] + SnapshotTable[[#This Row],[LP Premium]])+ (SnapshotTable[[#This Row],[LC Premium]] - SnapshotTable[[#This Row],[SC Premium]])</f>
        <v>0</v>
      </c>
      <c r="GW322" s="139" t="str">
        <f>IF(AND(SnapshotTable[[#This Row],[Exposure]] &lt;&gt; 0),SnapshotTable[[#This Row],[Exposure]] / SnapshotTable[[#Totals],[Exposure]], "")</f>
        <v/>
      </c>
      <c r="HK322" s="1"/>
      <c r="HL322" s="1"/>
      <c r="HM322" s="1"/>
      <c r="HN322" s="1"/>
      <c r="HO322" s="1"/>
      <c r="HP322" s="1"/>
    </row>
    <row r="323" spans="2:224" ht="12.75" hidden="1" customHeight="1" x14ac:dyDescent="0.25">
      <c r="B323" s="12" t="s">
        <v>1135</v>
      </c>
      <c r="C323" s="422">
        <v>9.73</v>
      </c>
      <c r="D323" s="208"/>
      <c r="E323" s="39">
        <f>SnapshotTable[[#This Row],[Last Price]]*(1 -CrashDiscount)</f>
        <v>8.2705000000000002</v>
      </c>
      <c r="F323" s="26" t="s">
        <v>1029</v>
      </c>
      <c r="G323" s="26" t="s">
        <v>822</v>
      </c>
      <c r="H323" s="149"/>
      <c r="I323" s="194"/>
      <c r="J323" s="195"/>
      <c r="K323" s="196"/>
      <c r="L323" s="326"/>
      <c r="M323" s="140"/>
      <c r="N323" s="140"/>
      <c r="O323" s="140"/>
      <c r="P323" s="22"/>
      <c r="Q323" s="25"/>
      <c r="R323" s="4" t="str">
        <f>IF(SnapshotTable[[#This Row],[Equity Basis Total]] &gt; 0, SnapshotTable[[#This Row],[Equity Basis Total]] / SnapshotTable[[#This Row],[Equity Shares]], "")</f>
        <v/>
      </c>
      <c r="S323" s="269">
        <f>SnapshotTable[[#This Row],[Last Price]] * SnapshotTable[[#This Row],[Equity Shares]]</f>
        <v>0</v>
      </c>
      <c r="T323" s="269">
        <f>SnapshotTable[[#This Row],[Equity Value]] - SnapshotTable[[#This Row],[Equity Basis Total]]</f>
        <v>0</v>
      </c>
      <c r="U323" s="270" t="str">
        <f>IF(SnapshotTable[[#This Row],[Equity Basis Total]] &gt; 0, SnapshotTable[[#This Row],[Equity G/L]] / SnapshotTable[[#This Row],[Equity Basis Total]], "")</f>
        <v/>
      </c>
      <c r="V323" s="268">
        <v>5.35</v>
      </c>
      <c r="W323" s="268">
        <v>4.55</v>
      </c>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7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0"/>
      <c r="AD323" s="151"/>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1"/>
      <c r="AI323" s="5"/>
      <c r="AJ323" s="138"/>
      <c r="AK323" s="152" t="str">
        <f>IF(ISNUMBER( SnapshotTable[[#This Row],[EBF Target]]),(SnapshotTable[[#This Row],[EBF Target]] - SnapshotTable[[#This Row],[Last Price]]) / SnapshotTable[[#This Row],[Last Price]], "")</f>
        <v/>
      </c>
      <c r="AL323" s="152"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2" t="str">
        <f>IF(AND(ISNUMBER( SnapshotTable[[#This Row],[Long Term Target]]), ISNUMBER(SnapshotTable[[#This Row],[Last Price]])),(SnapshotTable[[#This Row],[Long Term Target]] - SnapshotTable[[#This Row],[Last Price]]) / SnapshotTable[[#This Row],[Last Price]], "")</f>
        <v/>
      </c>
      <c r="AP323" s="5">
        <v>5.35</v>
      </c>
      <c r="AQ323" s="38" t="s">
        <v>89</v>
      </c>
      <c r="AR323" s="5">
        <v>5.1100000000000003</v>
      </c>
      <c r="AS323" s="38" t="s">
        <v>32</v>
      </c>
      <c r="AT323" s="146" t="s">
        <v>1132</v>
      </c>
      <c r="AU323" s="187" t="str">
        <f>IF(OR(SnapshotTable[[#This Row],[LP No Fill]]="Y",SnapshotTable[[#This Row],[SP Is Filled]],SnapshotTable[[#This Row],[LC Not Filled]]="Y",SnapshotTable[[#This Row],[SC Is Filled]]),"Y","")</f>
        <v/>
      </c>
      <c r="AV323" s="219"/>
      <c r="AW323" s="225"/>
      <c r="AX323" s="220"/>
      <c r="AY323" s="219" t="str">
        <f>IF(SnapshotTable[[#This Row],[Implied Move]]&gt;0, SnapshotTable[[#This Row],[Last Price]]-SnapshotTable[[#This Row],[Implied Move]],"")</f>
        <v/>
      </c>
      <c r="AZ323" s="219" t="str">
        <f>IF(SnapshotTable[[#This Row],[Implied Move]]&gt;0, SnapshotTable[[#This Row],[Last Price]] + SnapshotTable[[#This Row],[Implied Move]],"")</f>
        <v/>
      </c>
      <c r="BA323" s="331">
        <v>4.84</v>
      </c>
      <c r="BB323" s="347" t="s">
        <v>1139</v>
      </c>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51"/>
      <c r="BE323" s="285"/>
      <c r="BF323" s="286"/>
      <c r="BG323" s="287"/>
      <c r="BH323" s="287"/>
      <c r="BI323" s="288"/>
      <c r="BJ323" s="153">
        <f>IF(SnapshotTable[[#This Row],[LP Qty]] &gt; 0, SnapshotTable[[#This Row],[LP Qty]] * SnapshotTable[[#This Row],[LP Book Price]] * 100,0)</f>
        <v>0</v>
      </c>
      <c r="BK323" s="136">
        <f>IF(SnapshotTable[[#This Row],[LP Premium]] &gt; 0, SnapshotTable[[#This Row],[LP Qty]] * SnapshotTable[[#This Row],[LP Strike Price]] * 100,0)</f>
        <v>0</v>
      </c>
      <c r="BL323" s="154"/>
      <c r="BM323" s="385" t="str">
        <f>IF(SnapshotTable[[#This Row],[LP Premium]] &gt; 0,SnapshotTable[[#This Row],[LP Exp Date]]-MAX(SnapshotTable[[#This Row],[LP Book Date]], SnapshotTable[[#This Row],[LP Fill Date]]),"")</f>
        <v/>
      </c>
      <c r="BN323" s="385" t="str">
        <f>IF(ISNUMBER( SnapshotTable[[#This Row],[LP Term]]), SnapshotTable[[#This Row],[LP Exp Date]] - MockToday,"")</f>
        <v/>
      </c>
      <c r="BO323" s="163"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7"/>
      <c r="BU323" s="13"/>
      <c r="BV323" s="5"/>
      <c r="BW323" s="419" t="b">
        <f>AND(ISNUMBER(SnapshotTable[[#This Row],[SP Exp Date]]), ISNUMBER(SnapshotTable[[#This Row],[SP Strike Price]]), ISNUMBER(SnapshotTable[[#This Row],[SP Qty]]), ISNUMBER(SnapshotTable[[#This Row],[SP Book Date]]), ISNUMBER(SnapshotTable[[#This Row],[SP Book Price]]))</f>
        <v>0</v>
      </c>
      <c r="BX323" s="419" t="b">
        <f>AND(SnapshotTable[[#This Row],[SP Is Booked]], NOT(ISBLANK(SnapshotTable[[#This Row],[SP Fill Date]])))</f>
        <v>0</v>
      </c>
      <c r="BY323" s="33">
        <f>IF(SnapshotTable[[#This Row],[SP Is Booked]], SnapshotTable[[#This Row],[SP Qty]] * SnapshotTable[[#This Row],[SP Book Price]] * 100, 0)</f>
        <v>0</v>
      </c>
      <c r="BZ323" s="369"/>
      <c r="CA323" s="368">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3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44"/>
      <c r="CK323" s="31">
        <f>IF(ISNUMBER(SnapshotTable[[#This Row],[SP Potential Spend]]),IF(ISNUMBER(SnapshotTable[[#This Row],[SP POW]]), SnapshotTable[[#This Row],[SP POW]] * SnapshotTable[[#This Row],[SP Potential Spend]], SnapshotTable[[#This Row],[SP Potential Spend]]), "")</f>
        <v>0</v>
      </c>
      <c r="CL323" s="164">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4"/>
      <c r="CO323" s="369"/>
      <c r="CP323" s="4" t="str">
        <f>IF(SnapshotTable[[#This Row],[SP Is Filled]], btc_max_buyback_amount(SnapshotTable[[#This Row],[SP Fill Date]],SnapshotTable[[#This Row],[SP Exp Date]], SnapshotTable[[#This Row],[SP Book Price]]),"")</f>
        <v/>
      </c>
      <c r="CQ323" s="78"/>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5" t="str">
        <f>IF(SnapshotTable[[#This Row],[SP Is Filled]], btc_next_cutoff_date(SnapshotTable[[#This Row],[SP Fill Date]],SnapshotTable[[#This Row],[SP Exp Date]]),"")</f>
        <v/>
      </c>
      <c r="CT323" s="23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6"/>
      <c r="CV323" s="235"/>
      <c r="CW323" s="378"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294" t="str">
        <f>IF(ISNUMBER((SnapshotTable[[#This Row],[SP Total Value]])), SnapshotTable[[#This Row],[SP Gain Loss]] / SnapshotTable[[#This Row],[SP Premium]], "")</f>
        <v/>
      </c>
      <c r="DI323" s="406"/>
      <c r="DJ323" s="138"/>
      <c r="DK323" s="148"/>
      <c r="DL323" s="147"/>
      <c r="DM323" s="147"/>
      <c r="DO323" s="31">
        <f>IF(SnapshotTable[[#This Row],[LC Symbol Count]]=1, SnapshotTable[[#This Row],[LC Qty]] * SnapshotTable[[#This Row],[LC Book Price]] * 100, 0)</f>
        <v>0</v>
      </c>
      <c r="DP323" s="289" t="str">
        <f>IF(AND(SnapshotTable[[#This Row],[LC Exp Date]]&gt;0, SnapshotTable[[#This Row],[LC Strike Price]]&gt;0,SnapshotTable[[#This Row],[LC Qty]]&gt;0,SnapshotTable[[#This Row],[LC Book Date]]&gt;0,SnapshotTable[[#This Row],[LC Book Price]]&gt;0,SnapshotTable[[#This Row],[LC Fill Date]]=0),"Y","")</f>
        <v/>
      </c>
      <c r="DQ323" s="386" t="str">
        <f>IF(SnapshotTable[[#This Row],[LC Premium]] &gt; 0,SnapshotTable[[#This Row],[LC Exp Date]]-MAX(SnapshotTable[[#This Row],[LC Book Date]], SnapshotTable[[#This Row],[LC Fill Date]]),"")</f>
        <v/>
      </c>
      <c r="DR323" s="386" t="str">
        <f>IF(ISNUMBER(SnapshotTable[[#This Row],[LC Term]]), SnapshotTable[[#This Row],[LC Exp Date]] - MockToday, "")</f>
        <v/>
      </c>
      <c r="DS323" s="23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40" t="str">
        <f>IF(ISNUMBER(SnapshotTable[[#This Row],[LC Actual Gain Loss]]), SnapshotTable[[#This Row],[LC Actual Gain Loss]] / SnapshotTable[[#This Row],[LC Premium]],"")</f>
        <v/>
      </c>
      <c r="DX323" s="284" t="str">
        <f>IF(ISNUMBER(SnapshotTable[[#This Row],[LC Book Price]]),SnapshotTable[[#This Row],[LC Book Price]] * 1.5,"")</f>
        <v/>
      </c>
      <c r="DY323" s="265" t="str">
        <f>IF(SnapshotTable[[#This Row],[LC Premium]]&gt;0, SnapshotTable[[#This Row],[LC Next Target]] * SnapshotTable[[#This Row],[LC Qty]] * 100,"")</f>
        <v/>
      </c>
      <c r="DZ323" s="265" t="str">
        <f>IF(ISNUMBER(SnapshotTable[[#This Row],[LC Target Gross]]), SnapshotTable[[#This Row],[LC Target Gross]] - SnapshotTable[[#This Row],[LC Premium]], "")</f>
        <v/>
      </c>
      <c r="EA323" s="305" t="str">
        <f>IF(ISNUMBER(SnapshotTable[[#This Row],[LC Target Gain Loss]]), SnapshotTable[[#This Row],[LC Target Gain Loss]]/SnapshotTable[[#This Row],[LC Premium]], "")</f>
        <v/>
      </c>
      <c r="EB323" s="262"/>
      <c r="EC323" s="283" t="str">
        <f>IF(SnapshotTable[[#This Row],[LC Premium]]&gt;0, SnapshotTable[[#This Row],[LC Book Price]] * (1 - LC_StopLoss_Pct),"")</f>
        <v/>
      </c>
      <c r="ED323" s="284"/>
      <c r="EE323" s="28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4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7"/>
      <c r="EL323" s="138"/>
      <c r="EM323" s="148"/>
      <c r="EN323" s="147"/>
      <c r="EO323" s="147"/>
      <c r="EP323" s="138"/>
      <c r="EQ323" s="419" t="b">
        <f>AND(ISNUMBER(SnapshotTable[[#This Row],[SC Exp Date]]), ISNUMBER(SnapshotTable[[#This Row],[SC Strike Price]]), ISNUMBER(SnapshotTable[[#This Row],[SC Qty]]), ISNUMBER(SnapshotTable[[#This Row],[SC Book Date]]), ISNUMBER(SnapshotTable[[#This Row],[SC Book Price]]))</f>
        <v>0</v>
      </c>
      <c r="ER323" s="419" t="b">
        <f>AND(SnapshotTable[[#This Row],[SC Is Booked]], NOT(ISBLANK(SnapshotTable[[#This Row],[SC Fill Date]])))</f>
        <v>0</v>
      </c>
      <c r="ES323" s="370"/>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3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283"/>
      <c r="FA323" s="218"/>
      <c r="FB323" s="370"/>
      <c r="FC323" s="4">
        <f>IF(SnapshotTable[[#This Row],[SC Is Filled]], btc_max_buyback_amount(SnapshotTable[[#This Row],[SC Fill Date]],SnapshotTable[[#This Row],[SC Exp Date]], SnapshotTable[[#This Row],[SC Book Price]]),0)</f>
        <v>0</v>
      </c>
      <c r="FD323" s="5"/>
      <c r="FE323" s="144"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382">
        <f>IF(SnapshotTable[[#This Row],[SC Is Filled]], IF(ISNUMBER(SnapshotTable[[#This Row],[SC Current Ask]]), SnapshotTable[[#This Row],[SC Current Ask]], SnapshotTable[[#This Row],[SC Book Price]]) - SnapshotTable[[#This Row],[SC Intrinsic Value]], 0)</f>
        <v>0</v>
      </c>
      <c r="FI323" s="143"/>
      <c r="FJ323" s="32" t="str">
        <f>IF(SnapshotTable[[#This Row],[SC Is Filled]],100 * SnapshotTable[[#This Row],[SC Qty]] * IF(ISNUMBER(SnapshotTable[[#This Row],[SC Buyback Override]]), SnapshotTable[[#This Row],[SC Buyback Override]], SnapshotTable[[#This Row],[SC Current Ask]]), "")</f>
        <v/>
      </c>
      <c r="FK323" s="250" t="str">
        <f>IF(SnapshotTable[[#This Row],[SC Time Val]]&gt;0, SnapshotTable[[#This Row],[SC Time Val]] / SnapshotTable[[#This Row],[Last Price]],"")</f>
        <v/>
      </c>
      <c r="FL323" s="302" t="str">
        <f>IF(SnapshotTable[[#This Row],[SC Is Booked]], ((SnapshotTable[[#This Row],[Last Price]] -SnapshotTable[[#This Row],[SC Strike Price]]) / SnapshotTable[[#This Row],[Last Price]]) * -1, "")</f>
        <v/>
      </c>
      <c r="FM323" s="157" t="str">
        <f>IF(SnapshotTable[[#This Row],[SC Is Booked]],  (SnapshotTable[[#This Row],[SC Qty]] * 100 * SnapshotTable[[#This Row],[SC Strike Price]]) - SnapshotTable[[#This Row],[SC Current Ask]], "")</f>
        <v/>
      </c>
      <c r="FN323"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7"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33"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36" t="str">
        <f>IF(AND(ISNUMBER(SnapshotTable[[#This Row],[SC Simple ROO]]),SnapshotTable[[#This Row],[SC Simple ROO]] &gt; 0), SnapshotTable[[#This Row],[SC Premium]] + (SnapshotTable[[#This Row],[SC Qty]] * SnapshotTable[[#This Row],[SC Upside Potential]]), "")</f>
        <v/>
      </c>
      <c r="FX323" s="302" t="str" cm="1">
        <f t="array" ref="FX323">IF(ISNUMBER(SnapshotTable[[#This Row],[SC Max Dollars]]), annualize(SnapshotTable[[#This Row],[SC Term]],(SnapshotTable[[#This Row],[SC Max Dollars]]/SnapshotTable[[#This Row],[SC Basis]])),"")</f>
        <v/>
      </c>
      <c r="FY323" s="236" t="str">
        <f>IF(AND(SnapshotTable[[#This Row],[SC Qty]]&gt;0,SnapshotTable[[#This Row],[SC Current Ask]]&gt;0), SnapshotTable[[#This Row],[SC Qty]] * SnapshotTable[[#This Row],[SC Current Ask]] * -100, "")</f>
        <v/>
      </c>
      <c r="FZ323" s="235" t="str">
        <f>IF(ISNUMBER((SnapshotTable[[#This Row],[SC Current Value]])), SnapshotTable[[#This Row],[SC Premium]] + SnapshotTable[[#This Row],[SC Current Value]], "")</f>
        <v/>
      </c>
      <c r="GA323" s="294" t="str">
        <f>IFERROR( IF(ISNUMBER((SnapshotTable[[#This Row],[SC Current Value]])), SnapshotTable[[#This Row],[SC Gain Loss]] / SnapshotTable[[#This Row],[SC Premium]], ""), "")</f>
        <v/>
      </c>
      <c r="GB323" s="291">
        <f>SnapshotTable[[#This Row],[Equity Shares]] * SaleSharesToConsiderPercentage</f>
        <v>0</v>
      </c>
      <c r="GC323" s="292">
        <f>SnapshotTable[[#This Row],[Long Term Target]] * SellingPriceToConsiderBasedOnTargetPercentage</f>
        <v>0</v>
      </c>
      <c r="GD323" s="292">
        <f>SnapshotTable[[#This Row],[Last Price]] * (1+ SellingPriceToConsiderBasedOnTargetPercentage)</f>
        <v>18.973500000000001</v>
      </c>
      <c r="GE323" s="293"/>
      <c r="GF323" s="292"/>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8" t="str">
        <f>IF(SnapshotTable[[#This Row],[Sale G/L]]&gt;0, SnapshotTable[[#This Row],[Sale G/L]] / SnapshotTable[[#This Row],[Sale Basis]], IF(ISNUMBER(SnapshotTable[[#This Row],[SC Exercise P&amp;L (TAX)]]), SnapshotTable[[#This Row],[SC Exercise P&amp;L (TAX)]] / SnapshotTable[[#This Row],[SC Basis]], ""))</f>
        <v/>
      </c>
      <c r="GK323" s="158"/>
      <c r="GL323" s="159"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59" t="str">
        <f>IF(AND(SnapshotTable[[#This Row],[LC Exp Date]]&gt;0,SnapshotTable[[#This Row],[LC Strike Price]]&gt;0), [1]!ToOptionSymbol(SnapshotTable[[#This Row],[Symbol]], SnapshotTable[[#This Row],[LC Strike Price]],SnapshotTable[[#This Row],[LC Exp Date]],0), "")</f>
        <v/>
      </c>
      <c r="GQ323" s="160" t="str">
        <f>IF(LEN(SnapshotTable[[#This Row],[LC Symbol]])&gt;0, 1, "")</f>
        <v/>
      </c>
      <c r="GR323" s="159" t="str">
        <f>IF(AND(SnapshotTable[[#This Row],[SC Exp Date]]&gt;0,SnapshotTable[[#This Row],[SC Strike Price]]&gt;0), [1]!ToOptionSymbol(SnapshotTable[[#This Row],[Symbol]], SnapshotTable[[#This Row],[SC Strike Price]],SnapshotTable[[#This Row],[SC Exp Date]],0), "")</f>
        <v/>
      </c>
      <c r="GS323" s="160" t="str">
        <f>IF(LEN(SnapshotTable[[#This Row],[SC Symbol]])&gt;0, 1, "")</f>
        <v/>
      </c>
      <c r="GT323" s="161"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31">
        <f>MAX(SnapshotTable[[#This Row],[Equity Basis Total]],SnapshotTable[[#This Row],[Equity Value]]) + (SnapshotTable[[#This Row],[SP Potential Spend]]- SnapshotTable[[#This Row],[SP Premium]] + SnapshotTable[[#This Row],[LP Premium]])+ (SnapshotTable[[#This Row],[LC Premium]] - SnapshotTable[[#This Row],[SC Premium]])</f>
        <v>0</v>
      </c>
      <c r="GW323" s="139" t="str">
        <f>IF(AND(SnapshotTable[[#This Row],[Exposure]] &lt;&gt; 0),SnapshotTable[[#This Row],[Exposure]] / SnapshotTable[[#Totals],[Exposure]], "")</f>
        <v/>
      </c>
      <c r="HK323" s="1"/>
      <c r="HL323" s="1"/>
      <c r="HM323" s="1"/>
      <c r="HN323" s="1"/>
      <c r="HO323" s="1"/>
      <c r="HP323" s="1"/>
    </row>
    <row r="324" spans="2:224" ht="12.75" hidden="1" customHeight="1" x14ac:dyDescent="0.25">
      <c r="B324" s="12" t="s">
        <v>19</v>
      </c>
      <c r="C324" s="422">
        <v>26.29</v>
      </c>
      <c r="D324" s="208"/>
      <c r="E324" s="39">
        <f>SnapshotTable[[#This Row],[Last Price]]*(1 -CrashDiscount)</f>
        <v>22.346499999999999</v>
      </c>
      <c r="F324" s="26" t="s">
        <v>18</v>
      </c>
      <c r="G324" s="26" t="s">
        <v>17</v>
      </c>
      <c r="H324" s="149"/>
      <c r="I324" s="194">
        <v>44776.291666666664</v>
      </c>
      <c r="J324" s="195">
        <v>44776.291666666664</v>
      </c>
      <c r="K324" s="196"/>
      <c r="L324" s="326"/>
      <c r="M324" s="140"/>
      <c r="N324" s="140"/>
      <c r="O324" s="140"/>
      <c r="P324" s="22"/>
      <c r="Q324" s="25"/>
      <c r="R324" s="4" t="str">
        <f>IF(SnapshotTable[[#This Row],[Equity Basis Total]] &gt; 0, SnapshotTable[[#This Row],[Equity Basis Total]] / SnapshotTable[[#This Row],[Equity Shares]], "")</f>
        <v/>
      </c>
      <c r="S324" s="269">
        <f>SnapshotTable[[#This Row],[Last Price]] * SnapshotTable[[#This Row],[Equity Shares]]</f>
        <v>0</v>
      </c>
      <c r="T324" s="269">
        <f>SnapshotTable[[#This Row],[Equity Value]] - SnapshotTable[[#This Row],[Equity Basis Total]]</f>
        <v>0</v>
      </c>
      <c r="U324" s="270" t="str">
        <f>IF(SnapshotTable[[#This Row],[Equity Basis Total]] &gt; 0, SnapshotTable[[#This Row],[Equity G/L]] / SnapshotTable[[#This Row],[Equity Basis Total]], "")</f>
        <v/>
      </c>
      <c r="V324" s="268"/>
      <c r="W324" s="26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7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0">
        <v>0.3</v>
      </c>
      <c r="AD324" s="151">
        <v>42727</v>
      </c>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1.1411182959300114E-2</v>
      </c>
      <c r="AH324" s="151">
        <v>42703</v>
      </c>
      <c r="AI324" s="5"/>
      <c r="AJ324" s="138">
        <v>62</v>
      </c>
      <c r="AK324" s="152" t="str">
        <f>IF(ISNUMBER( SnapshotTable[[#This Row],[EBF Target]]),(SnapshotTable[[#This Row],[EBF Target]] - SnapshotTable[[#This Row],[Last Price]]) / SnapshotTable[[#This Row],[Last Price]], "")</f>
        <v/>
      </c>
      <c r="AL324" s="152"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2">
        <f>IF(AND(ISNUMBER( SnapshotTable[[#This Row],[Long Term Target]]), ISNUMBER(SnapshotTable[[#This Row],[Last Price]])),(SnapshotTable[[#This Row],[Long Term Target]] - SnapshotTable[[#This Row],[Last Price]]) / SnapshotTable[[#This Row],[Last Price]], "")</f>
        <v>1.3583111449220238</v>
      </c>
      <c r="AP324" s="5"/>
      <c r="AQ324" s="38"/>
      <c r="AR324" s="5"/>
      <c r="AS324" s="38"/>
      <c r="AT324" s="146"/>
      <c r="AU324" s="187" t="str">
        <f>IF(OR(SnapshotTable[[#This Row],[LP No Fill]]="Y",SnapshotTable[[#This Row],[SP Is Filled]],SnapshotTable[[#This Row],[LC Not Filled]]="Y",SnapshotTable[[#This Row],[SC Is Filled]]),"Y","")</f>
        <v/>
      </c>
      <c r="AV324" s="219"/>
      <c r="AW324" s="225"/>
      <c r="AX324" s="220"/>
      <c r="AY324" s="219" t="str">
        <f>IF(SnapshotTable[[#This Row],[Implied Move]]&gt;0, SnapshotTable[[#This Row],[Last Price]]-SnapshotTable[[#This Row],[Implied Move]],"")</f>
        <v/>
      </c>
      <c r="AZ324" s="219" t="str">
        <f>IF(SnapshotTable[[#This Row],[Implied Move]]&gt;0, SnapshotTable[[#This Row],[Last Price]] + SnapshotTable[[#This Row],[Implied Move]],"")</f>
        <v/>
      </c>
      <c r="BA324" s="331"/>
      <c r="BB324" s="347"/>
      <c r="BC3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4" s="351"/>
      <c r="BE324" s="5"/>
      <c r="BF324" s="14"/>
      <c r="BG324" s="13"/>
      <c r="BH324" s="13"/>
      <c r="BI324" s="5"/>
      <c r="BJ324" s="136">
        <f>IF(SnapshotTable[[#This Row],[LP Qty]] &gt; 0, SnapshotTable[[#This Row],[LP Qty]] * SnapshotTable[[#This Row],[LP Book Price]] * 100,0)</f>
        <v>0</v>
      </c>
      <c r="BK324" s="136">
        <f>IF(SnapshotTable[[#This Row],[LP Premium]] &gt; 0, SnapshotTable[[#This Row],[LP Qty]] * SnapshotTable[[#This Row],[LP Strike Price]] * 100,0)</f>
        <v>0</v>
      </c>
      <c r="BL324" s="154"/>
      <c r="BM324" s="385" t="str">
        <f>IF(SnapshotTable[[#This Row],[LP Premium]] &gt; 0,SnapshotTable[[#This Row],[LP Exp Date]]-MAX(SnapshotTable[[#This Row],[LP Book Date]], SnapshotTable[[#This Row],[LP Fill Date]]),"")</f>
        <v/>
      </c>
      <c r="BN324" s="385" t="str">
        <f>IF(ISNUMBER( SnapshotTable[[#This Row],[LP Term]]), SnapshotTable[[#This Row],[LP Exp Date]] - MockToday,"")</f>
        <v/>
      </c>
      <c r="BO324" s="163"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c r="BR324" s="5"/>
      <c r="BS324" s="36"/>
      <c r="BT324" s="147"/>
      <c r="BU324" s="13"/>
      <c r="BV324" s="5"/>
      <c r="BW324" s="419" t="b">
        <f>AND(ISNUMBER(SnapshotTable[[#This Row],[SP Exp Date]]), ISNUMBER(SnapshotTable[[#This Row],[SP Strike Price]]), ISNUMBER(SnapshotTable[[#This Row],[SP Qty]]), ISNUMBER(SnapshotTable[[#This Row],[SP Book Date]]), ISNUMBER(SnapshotTable[[#This Row],[SP Book Price]]))</f>
        <v>0</v>
      </c>
      <c r="BX324" s="419" t="b">
        <f>AND(SnapshotTable[[#This Row],[SP Is Booked]], NOT(ISBLANK(SnapshotTable[[#This Row],[SP Fill Date]])))</f>
        <v>0</v>
      </c>
      <c r="BY324" s="33">
        <f>IF(SnapshotTable[[#This Row],[SP Is Booked]], SnapshotTable[[#This Row],[SP Qty]] * SnapshotTable[[#This Row],[SP Book Price]] * 100, 0)</f>
        <v>0</v>
      </c>
      <c r="BZ324" s="369"/>
      <c r="CA324" s="368">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3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44"/>
      <c r="CK324" s="31">
        <f>IF(ISNUMBER(SnapshotTable[[#This Row],[SP Potential Spend]]),IF(ISNUMBER(SnapshotTable[[#This Row],[SP POW]]), SnapshotTable[[#This Row],[SP POW]] * SnapshotTable[[#This Row],[SP Potential Spend]], SnapshotTable[[#This Row],[SP Potential Spend]]), "")</f>
        <v>0</v>
      </c>
      <c r="CL324" s="164">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8"/>
      <c r="CO324" s="369"/>
      <c r="CP324" s="4" t="str">
        <f>IF(SnapshotTable[[#This Row],[SP Is Filled]], btc_max_buyback_amount(SnapshotTable[[#This Row],[SP Fill Date]],SnapshotTable[[#This Row],[SP Exp Date]], SnapshotTable[[#This Row],[SP Book Price]]),"")</f>
        <v/>
      </c>
      <c r="CQ324" s="78"/>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5" t="str">
        <f>IF(SnapshotTable[[#This Row],[SP Is Filled]], btc_next_cutoff_date(SnapshotTable[[#This Row],[SP Fill Date]],SnapshotTable[[#This Row],[SP Exp Date]]),"")</f>
        <v/>
      </c>
      <c r="CT324" s="23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3"/>
      <c r="CV324" s="235"/>
      <c r="CW324" s="378"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294" t="str">
        <f>IF(ISNUMBER((SnapshotTable[[#This Row],[SP Total Value]])), SnapshotTable[[#This Row],[SP Gain Loss]] / SnapshotTable[[#This Row],[SP Premium]], "")</f>
        <v/>
      </c>
      <c r="DI324" s="406"/>
      <c r="DJ324" s="138"/>
      <c r="DK324" s="148"/>
      <c r="DL324" s="13"/>
      <c r="DM324" s="13"/>
      <c r="DO324" s="31">
        <f>IF(SnapshotTable[[#This Row],[LC Symbol Count]]=1, SnapshotTable[[#This Row],[LC Qty]] * SnapshotTable[[#This Row],[LC Book Price]] * 100, 0)</f>
        <v>0</v>
      </c>
      <c r="DP324" s="163" t="str">
        <f>IF(AND(SnapshotTable[[#This Row],[LC Exp Date]]&gt;0, SnapshotTable[[#This Row],[LC Strike Price]]&gt;0,SnapshotTable[[#This Row],[LC Qty]]&gt;0,SnapshotTable[[#This Row],[LC Book Date]]&gt;0,SnapshotTable[[#This Row],[LC Book Price]]&gt;0,SnapshotTable[[#This Row],[LC Fill Date]]=0),"Y","")</f>
        <v/>
      </c>
      <c r="DQ324" s="386" t="str">
        <f>IF(SnapshotTable[[#This Row],[LC Premium]] &gt; 0,SnapshotTable[[#This Row],[LC Exp Date]]-MAX(SnapshotTable[[#This Row],[LC Book Date]], SnapshotTable[[#This Row],[LC Fill Date]]),"")</f>
        <v/>
      </c>
      <c r="DR324" s="386" t="str">
        <f>IF(ISNUMBER(SnapshotTable[[#This Row],[LC Term]]), SnapshotTable[[#This Row],[LC Exp Date]] - MockToday, "")</f>
        <v/>
      </c>
      <c r="DS324" s="23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40" t="str">
        <f>IF(ISNUMBER(SnapshotTable[[#This Row],[LC Actual Gain Loss]]), SnapshotTable[[#This Row],[LC Actual Gain Loss]] / SnapshotTable[[#This Row],[LC Premium]],"")</f>
        <v/>
      </c>
      <c r="DX324" s="284" t="str">
        <f>IF(ISNUMBER(SnapshotTable[[#This Row],[LC Book Price]]),SnapshotTable[[#This Row],[LC Book Price]] * 1.5,"")</f>
        <v/>
      </c>
      <c r="DY324" s="265" t="str">
        <f>IF(SnapshotTable[[#This Row],[LC Premium]]&gt;0, SnapshotTable[[#This Row],[LC Next Target]] * SnapshotTable[[#This Row],[LC Qty]] * 100,"")</f>
        <v/>
      </c>
      <c r="DZ324" s="265" t="str">
        <f>IF(ISNUMBER(SnapshotTable[[#This Row],[LC Target Gross]]), SnapshotTable[[#This Row],[LC Target Gross]] - SnapshotTable[[#This Row],[LC Premium]], "")</f>
        <v/>
      </c>
      <c r="EA324" s="305" t="str">
        <f>IF(ISNUMBER(SnapshotTable[[#This Row],[LC Target Gain Loss]]), SnapshotTable[[#This Row],[LC Target Gain Loss]]/SnapshotTable[[#This Row],[LC Premium]], "")</f>
        <v/>
      </c>
      <c r="EB324" s="262"/>
      <c r="EC324" s="283" t="str">
        <f>IF(SnapshotTable[[#This Row],[LC Premium]]&gt;0, SnapshotTable[[#This Row],[LC Book Price]] * (1 - LC_StopLoss_Pct),"")</f>
        <v/>
      </c>
      <c r="ED324" s="284"/>
      <c r="EE324" s="28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4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7"/>
      <c r="EL324" s="138"/>
      <c r="EM324" s="148"/>
      <c r="EN324" s="147"/>
      <c r="EO324" s="147"/>
      <c r="EP324" s="138"/>
      <c r="EQ324" s="419" t="b">
        <f>AND(ISNUMBER(SnapshotTable[[#This Row],[SC Exp Date]]), ISNUMBER(SnapshotTable[[#This Row],[SC Strike Price]]), ISNUMBER(SnapshotTable[[#This Row],[SC Qty]]), ISNUMBER(SnapshotTable[[#This Row],[SC Book Date]]), ISNUMBER(SnapshotTable[[#This Row],[SC Book Price]]))</f>
        <v>0</v>
      </c>
      <c r="ER324" s="419" t="b">
        <f>AND(SnapshotTable[[#This Row],[SC Is Booked]], NOT(ISBLANK(SnapshotTable[[#This Row],[SC Fill Date]])))</f>
        <v>0</v>
      </c>
      <c r="ES324" s="370"/>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3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283"/>
      <c r="FA324" s="218"/>
      <c r="FB324" s="370"/>
      <c r="FC324" s="4">
        <f>IF(SnapshotTable[[#This Row],[SC Is Filled]], btc_max_buyback_amount(SnapshotTable[[#This Row],[SC Fill Date]],SnapshotTable[[#This Row],[SC Exp Date]], SnapshotTable[[#This Row],[SC Book Price]]),0)</f>
        <v>0</v>
      </c>
      <c r="FD324" s="5"/>
      <c r="FE324" s="144"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382">
        <f>IF(SnapshotTable[[#This Row],[SC Is Filled]], IF(ISNUMBER(SnapshotTable[[#This Row],[SC Current Ask]]), SnapshotTable[[#This Row],[SC Current Ask]], SnapshotTable[[#This Row],[SC Book Price]]) - SnapshotTable[[#This Row],[SC Intrinsic Value]], 0)</f>
        <v>0</v>
      </c>
      <c r="FI324" s="143"/>
      <c r="FJ324" s="32" t="str">
        <f>IF(SnapshotTable[[#This Row],[SC Is Filled]],100 * SnapshotTable[[#This Row],[SC Qty]] * IF(ISNUMBER(SnapshotTable[[#This Row],[SC Buyback Override]]), SnapshotTable[[#This Row],[SC Buyback Override]], SnapshotTable[[#This Row],[SC Current Ask]]), "")</f>
        <v/>
      </c>
      <c r="FK324" s="250" t="str">
        <f>IF(SnapshotTable[[#This Row],[SC Time Val]]&gt;0, SnapshotTable[[#This Row],[SC Time Val]] / SnapshotTable[[#This Row],[Last Price]],"")</f>
        <v/>
      </c>
      <c r="FL324" s="302" t="str">
        <f>IF(SnapshotTable[[#This Row],[SC Is Booked]], ((SnapshotTable[[#This Row],[Last Price]] -SnapshotTable[[#This Row],[SC Strike Price]]) / SnapshotTable[[#This Row],[Last Price]]) * -1, "")</f>
        <v/>
      </c>
      <c r="FM324" s="157"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33"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36" t="str">
        <f>IF(AND(ISNUMBER(SnapshotTable[[#This Row],[SC Simple ROO]]),SnapshotTable[[#This Row],[SC Simple ROO]] &gt; 0), SnapshotTable[[#This Row],[SC Premium]] + (SnapshotTable[[#This Row],[SC Qty]] * SnapshotTable[[#This Row],[SC Upside Potential]]), "")</f>
        <v/>
      </c>
      <c r="FX324" s="302" t="str" cm="1">
        <f t="array" ref="FX324">IF(ISNUMBER(SnapshotTable[[#This Row],[SC Max Dollars]]), annualize(SnapshotTable[[#This Row],[SC Term]],(SnapshotTable[[#This Row],[SC Max Dollars]]/SnapshotTable[[#This Row],[SC Basis]])),"")</f>
        <v/>
      </c>
      <c r="FY324" s="23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29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58.9</v>
      </c>
      <c r="GD324" s="40">
        <f>SnapshotTable[[#This Row],[Last Price]] * (1+ SellingPriceToConsiderBasedOnTargetPercentage)</f>
        <v>51.265499999999996</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780</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31">
        <f>MAX(SnapshotTable[[#This Row],[Equity Basis Total]],SnapshotTable[[#This Row],[Equity Value]]) + (SnapshotTable[[#This Row],[SP Potential Spend]]- SnapshotTable[[#This Row],[SP Premium]] + SnapshotTable[[#This Row],[LP Premium]])+ (SnapshotTable[[#This Row],[LC Premium]] - SnapshotTable[[#This Row],[SC Premium]])</f>
        <v>0</v>
      </c>
      <c r="GW324" s="139" t="str">
        <f>IF(AND(SnapshotTable[[#This Row],[Exposure]] &lt;&gt; 0),SnapshotTable[[#This Row],[Exposure]] / SnapshotTable[[#Totals],[Exposure]], "")</f>
        <v/>
      </c>
      <c r="HK324" s="1"/>
      <c r="HL324" s="1"/>
      <c r="HM324" s="1"/>
      <c r="HN324" s="1"/>
      <c r="HO324" s="1"/>
      <c r="HP324" s="1"/>
    </row>
    <row r="325" spans="2:224" ht="12.75" hidden="1" customHeight="1" x14ac:dyDescent="0.25">
      <c r="B325" s="12" t="s">
        <v>853</v>
      </c>
      <c r="C325" s="422">
        <v>10.6</v>
      </c>
      <c r="D325" s="208" t="s">
        <v>885</v>
      </c>
      <c r="E325" s="39">
        <f>SnapshotTable[[#This Row],[Last Price]]*(1 -CrashDiscount)</f>
        <v>9.01</v>
      </c>
      <c r="F325" s="26" t="s">
        <v>891</v>
      </c>
      <c r="G325" s="26" t="s">
        <v>822</v>
      </c>
      <c r="H325" s="149"/>
      <c r="I325" s="194">
        <v>44776.291666666664</v>
      </c>
      <c r="J325" s="195">
        <v>44776.291666666664</v>
      </c>
      <c r="K325" s="196"/>
      <c r="L325" s="326"/>
      <c r="M325" s="140"/>
      <c r="N325" s="140"/>
      <c r="O325" s="140"/>
      <c r="P325" s="22"/>
      <c r="Q325" s="25"/>
      <c r="R325" s="4" t="str">
        <f>IF(SnapshotTable[[#This Row],[Equity Basis Total]] &gt; 0, SnapshotTable[[#This Row],[Equity Basis Total]] / SnapshotTable[[#This Row],[Equity Shares]], "")</f>
        <v/>
      </c>
      <c r="S325" s="269">
        <f>SnapshotTable[[#This Row],[Last Price]] * SnapshotTable[[#This Row],[Equity Shares]]</f>
        <v>0</v>
      </c>
      <c r="T325" s="269">
        <f>SnapshotTable[[#This Row],[Equity Value]] - SnapshotTable[[#This Row],[Equity Basis Total]]</f>
        <v>0</v>
      </c>
      <c r="U325" s="270" t="str">
        <f>IF(SnapshotTable[[#This Row],[Equity Basis Total]] &gt; 0, SnapshotTable[[#This Row],[Equity G/L]] / SnapshotTable[[#This Row],[Equity Basis Total]], "")</f>
        <v/>
      </c>
      <c r="V325" s="268"/>
      <c r="W325" s="26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7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0"/>
      <c r="AD325" s="151"/>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1"/>
      <c r="AI325" s="5"/>
      <c r="AJ325" s="138" t="s">
        <v>164</v>
      </c>
      <c r="AK325" s="152" t="str">
        <f>IF(ISNUMBER( SnapshotTable[[#This Row],[EBF Target]]),(SnapshotTable[[#This Row],[EBF Target]] - SnapshotTable[[#This Row],[Last Price]]) / SnapshotTable[[#This Row],[Last Price]], "")</f>
        <v/>
      </c>
      <c r="AL325" s="152"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2" t="str">
        <f>IF(AND(ISNUMBER( SnapshotTable[[#This Row],[Long Term Target]]), ISNUMBER(SnapshotTable[[#This Row],[Last Price]])),(SnapshotTable[[#This Row],[Long Term Target]] - SnapshotTable[[#This Row],[Last Price]]) / SnapshotTable[[#This Row],[Last Price]], "")</f>
        <v/>
      </c>
      <c r="AP325" s="5"/>
      <c r="AQ325" s="38"/>
      <c r="AR325" s="5"/>
      <c r="AS325" s="38"/>
      <c r="AT325" s="146"/>
      <c r="AU325" s="187" t="str">
        <f>IF(OR(SnapshotTable[[#This Row],[LP No Fill]]="Y",SnapshotTable[[#This Row],[SP Is Filled]],SnapshotTable[[#This Row],[LC Not Filled]]="Y",SnapshotTable[[#This Row],[SC Is Filled]]),"Y","")</f>
        <v/>
      </c>
      <c r="AV325" s="219"/>
      <c r="AW325" s="225"/>
      <c r="AX325" s="220"/>
      <c r="AY325" s="219" t="str">
        <f>IF(SnapshotTable[[#This Row],[Implied Move]]&gt;0, SnapshotTable[[#This Row],[Last Price]]-SnapshotTable[[#This Row],[Implied Move]],"")</f>
        <v/>
      </c>
      <c r="AZ325" s="219" t="str">
        <f>IF(SnapshotTable[[#This Row],[Implied Move]]&gt;0, SnapshotTable[[#This Row],[Last Price]] + SnapshotTable[[#This Row],[Implied Move]],"")</f>
        <v/>
      </c>
      <c r="BA325" s="331"/>
      <c r="BB325" s="347"/>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51"/>
      <c r="BE325" s="138"/>
      <c r="BF325" s="166"/>
      <c r="BG325" s="167"/>
      <c r="BH325" s="167"/>
      <c r="BI325" s="221"/>
      <c r="BJ325" s="153">
        <f>IF(SnapshotTable[[#This Row],[LP Qty]] &gt; 0, SnapshotTable[[#This Row],[LP Qty]] * SnapshotTable[[#This Row],[LP Book Price]] * 100,0)</f>
        <v>0</v>
      </c>
      <c r="BK325" s="136">
        <f>IF(SnapshotTable[[#This Row],[LP Premium]] &gt; 0, SnapshotTable[[#This Row],[LP Qty]] * SnapshotTable[[#This Row],[LP Strike Price]] * 100,0)</f>
        <v>0</v>
      </c>
      <c r="BL325" s="154"/>
      <c r="BM325" s="385" t="str">
        <f>IF(SnapshotTable[[#This Row],[LP Premium]] &gt; 0,SnapshotTable[[#This Row],[LP Exp Date]]-MAX(SnapshotTable[[#This Row],[LP Book Date]], SnapshotTable[[#This Row],[LP Fill Date]]),"")</f>
        <v/>
      </c>
      <c r="BN325" s="385" t="str">
        <f>IF(ISNUMBER( SnapshotTable[[#This Row],[LP Term]]), SnapshotTable[[#This Row],[LP Exp Date]] - MockToday,"")</f>
        <v/>
      </c>
      <c r="BO325" s="163"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7"/>
      <c r="BU325" s="13"/>
      <c r="BV325" s="5"/>
      <c r="BW325" s="419" t="b">
        <f>AND(ISNUMBER(SnapshotTable[[#This Row],[SP Exp Date]]), ISNUMBER(SnapshotTable[[#This Row],[SP Strike Price]]), ISNUMBER(SnapshotTable[[#This Row],[SP Qty]]), ISNUMBER(SnapshotTable[[#This Row],[SP Book Date]]), ISNUMBER(SnapshotTable[[#This Row],[SP Book Price]]))</f>
        <v>0</v>
      </c>
      <c r="BX325" s="419" t="b">
        <f>AND(SnapshotTable[[#This Row],[SP Is Booked]], NOT(ISBLANK(SnapshotTable[[#This Row],[SP Fill Date]])))</f>
        <v>0</v>
      </c>
      <c r="BY325" s="33">
        <f>IF(SnapshotTable[[#This Row],[SP Is Booked]], SnapshotTable[[#This Row],[SP Qty]] * SnapshotTable[[#This Row],[SP Book Price]] * 100, 0)</f>
        <v>0</v>
      </c>
      <c r="BZ325" s="369"/>
      <c r="CA325" s="368">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3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44"/>
      <c r="CK325" s="31">
        <f>IF(ISNUMBER(SnapshotTable[[#This Row],[SP Potential Spend]]),IF(ISNUMBER(SnapshotTable[[#This Row],[SP POW]]), SnapshotTable[[#This Row],[SP POW]] * SnapshotTable[[#This Row],[SP Potential Spend]], SnapshotTable[[#This Row],[SP Potential Spend]]), "")</f>
        <v>0</v>
      </c>
      <c r="CL325" s="164">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4"/>
      <c r="CO325" s="369"/>
      <c r="CP325" s="4" t="str">
        <f>IF(SnapshotTable[[#This Row],[SP Is Filled]], btc_max_buyback_amount(SnapshotTable[[#This Row],[SP Fill Date]],SnapshotTable[[#This Row],[SP Exp Date]], SnapshotTable[[#This Row],[SP Book Price]]),"")</f>
        <v/>
      </c>
      <c r="CQ325" s="78"/>
      <c r="CR3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5" t="str">
        <f>IF(SnapshotTable[[#This Row],[SP Is Filled]], btc_next_cutoff_date(SnapshotTable[[#This Row],[SP Fill Date]],SnapshotTable[[#This Row],[SP Exp Date]]),"")</f>
        <v/>
      </c>
      <c r="CT325" s="23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6"/>
      <c r="CV325" s="235"/>
      <c r="CW325" s="378"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294" t="str">
        <f>IF(ISNUMBER((SnapshotTable[[#This Row],[SP Total Value]])), SnapshotTable[[#This Row],[SP Gain Loss]] / SnapshotTable[[#This Row],[SP Premium]], "")</f>
        <v/>
      </c>
      <c r="DI325" s="406"/>
      <c r="DJ325" s="138"/>
      <c r="DK325" s="148"/>
      <c r="DL325" s="147"/>
      <c r="DM325" s="147"/>
      <c r="DO325" s="31">
        <f>IF(SnapshotTable[[#This Row],[LC Symbol Count]]=1, SnapshotTable[[#This Row],[LC Qty]] * SnapshotTable[[#This Row],[LC Book Price]] * 100, 0)</f>
        <v>0</v>
      </c>
      <c r="DP325" s="163" t="str">
        <f>IF(AND(SnapshotTable[[#This Row],[LC Exp Date]]&gt;0, SnapshotTable[[#This Row],[LC Strike Price]]&gt;0,SnapshotTable[[#This Row],[LC Qty]]&gt;0,SnapshotTable[[#This Row],[LC Book Date]]&gt;0,SnapshotTable[[#This Row],[LC Book Price]]&gt;0,SnapshotTable[[#This Row],[LC Fill Date]]=0),"Y","")</f>
        <v/>
      </c>
      <c r="DQ325" s="386" t="str">
        <f>IF(SnapshotTable[[#This Row],[LC Premium]] &gt; 0,SnapshotTable[[#This Row],[LC Exp Date]]-MAX(SnapshotTable[[#This Row],[LC Book Date]], SnapshotTable[[#This Row],[LC Fill Date]]),"")</f>
        <v/>
      </c>
      <c r="DR325" s="386" t="str">
        <f>IF(ISNUMBER(SnapshotTable[[#This Row],[LC Term]]), SnapshotTable[[#This Row],[LC Exp Date]] - MockToday, "")</f>
        <v/>
      </c>
      <c r="DS325" s="23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40" t="str">
        <f>IF(ISNUMBER(SnapshotTable[[#This Row],[LC Actual Gain Loss]]), SnapshotTable[[#This Row],[LC Actual Gain Loss]] / SnapshotTable[[#This Row],[LC Premium]],"")</f>
        <v/>
      </c>
      <c r="DX325" s="284" t="str">
        <f>IF(ISNUMBER(SnapshotTable[[#This Row],[LC Book Price]]),SnapshotTable[[#This Row],[LC Book Price]] * 1.5,"")</f>
        <v/>
      </c>
      <c r="DY325" s="265" t="str">
        <f>IF(SnapshotTable[[#This Row],[LC Premium]]&gt;0, SnapshotTable[[#This Row],[LC Next Target]] * SnapshotTable[[#This Row],[LC Qty]] * 100,"")</f>
        <v/>
      </c>
      <c r="DZ325" s="265" t="str">
        <f>IF(ISNUMBER(SnapshotTable[[#This Row],[LC Target Gross]]), SnapshotTable[[#This Row],[LC Target Gross]] - SnapshotTable[[#This Row],[LC Premium]], "")</f>
        <v/>
      </c>
      <c r="EA325" s="305" t="str">
        <f>IF(ISNUMBER(SnapshotTable[[#This Row],[LC Target Gain Loss]]), SnapshotTable[[#This Row],[LC Target Gain Loss]]/SnapshotTable[[#This Row],[LC Premium]], "")</f>
        <v/>
      </c>
      <c r="EB325" s="262"/>
      <c r="EC325" s="283" t="str">
        <f>IF(SnapshotTable[[#This Row],[LC Premium]]&gt;0, SnapshotTable[[#This Row],[LC Book Price]] * (1 - LC_StopLoss_Pct),"")</f>
        <v/>
      </c>
      <c r="ED325" s="284"/>
      <c r="EE325" s="283" t="str">
        <f>IF(ISNUMBER(SnapshotTable[[#This Row],[LC Contract Value]]),IF(ISNUMBER(SnapshotTable[[#This Row],[LC Stop Loss Override]]), SnapshotTable[[#This Row],[LC Stop Loss Override]],SnapshotTable[[#This Row],[LC Stop Loss Calc Target]]),"")</f>
        <v/>
      </c>
      <c r="EF325" s="31"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4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7"/>
      <c r="EL325" s="138"/>
      <c r="EM325" s="148"/>
      <c r="EN325" s="147"/>
      <c r="EO325" s="147"/>
      <c r="EP325" s="138"/>
      <c r="EQ325" s="419" t="b">
        <f>AND(ISNUMBER(SnapshotTable[[#This Row],[SC Exp Date]]), ISNUMBER(SnapshotTable[[#This Row],[SC Strike Price]]), ISNUMBER(SnapshotTable[[#This Row],[SC Qty]]), ISNUMBER(SnapshotTable[[#This Row],[SC Book Date]]), ISNUMBER(SnapshotTable[[#This Row],[SC Book Price]]))</f>
        <v>0</v>
      </c>
      <c r="ER325" s="419" t="b">
        <f>AND(SnapshotTable[[#This Row],[SC Is Booked]], NOT(ISBLANK(SnapshotTable[[#This Row],[SC Fill Date]])))</f>
        <v>0</v>
      </c>
      <c r="ES325" s="370"/>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3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283"/>
      <c r="FA325" s="218"/>
      <c r="FB325" s="370"/>
      <c r="FC325" s="4">
        <f>IF(SnapshotTable[[#This Row],[SC Is Filled]], btc_max_buyback_amount(SnapshotTable[[#This Row],[SC Fill Date]],SnapshotTable[[#This Row],[SC Exp Date]], SnapshotTable[[#This Row],[SC Book Price]]),0)</f>
        <v>0</v>
      </c>
      <c r="FD325" s="5"/>
      <c r="FE325" s="144"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382">
        <f>IF(SnapshotTable[[#This Row],[SC Is Filled]], IF(ISNUMBER(SnapshotTable[[#This Row],[SC Current Ask]]), SnapshotTable[[#This Row],[SC Current Ask]], SnapshotTable[[#This Row],[SC Book Price]]) - SnapshotTable[[#This Row],[SC Intrinsic Value]], 0)</f>
        <v>0</v>
      </c>
      <c r="FI325" s="143"/>
      <c r="FJ325" s="32" t="str">
        <f>IF(SnapshotTable[[#This Row],[SC Is Filled]],100 * SnapshotTable[[#This Row],[SC Qty]] * IF(ISNUMBER(SnapshotTable[[#This Row],[SC Buyback Override]]), SnapshotTable[[#This Row],[SC Buyback Override]], SnapshotTable[[#This Row],[SC Current Ask]]), "")</f>
        <v/>
      </c>
      <c r="FK325" s="250" t="str">
        <f>IF(SnapshotTable[[#This Row],[SC Time Val]]&gt;0, SnapshotTable[[#This Row],[SC Time Val]] / SnapshotTable[[#This Row],[Last Price]],"")</f>
        <v/>
      </c>
      <c r="FL325" s="302" t="str">
        <f>IF(SnapshotTable[[#This Row],[SC Is Booked]], ((SnapshotTable[[#This Row],[Last Price]] -SnapshotTable[[#This Row],[SC Strike Price]]) / SnapshotTable[[#This Row],[Last Price]]) * -1, "")</f>
        <v/>
      </c>
      <c r="FM325" s="157" t="str">
        <f>IF(SnapshotTable[[#This Row],[SC Is Booked]],  (SnapshotTable[[#This Row],[SC Qty]] * 100 * SnapshotTable[[#This Row],[SC Strike Price]]) - SnapshotTable[[#This Row],[SC Current Ask]], "")</f>
        <v/>
      </c>
      <c r="FN32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7"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33"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36" t="str">
        <f>IF(AND(ISNUMBER(SnapshotTable[[#This Row],[SC Simple ROO]]),SnapshotTable[[#This Row],[SC Simple ROO]] &gt; 0), SnapshotTable[[#This Row],[SC Premium]] + (SnapshotTable[[#This Row],[SC Qty]] * SnapshotTable[[#This Row],[SC Upside Potential]]), "")</f>
        <v/>
      </c>
      <c r="FX325" s="302" t="str" cm="1">
        <f t="array" ref="FX325">IF(ISNUMBER(SnapshotTable[[#This Row],[SC Max Dollars]]), annualize(SnapshotTable[[#This Row],[SC Term]],(SnapshotTable[[#This Row],[SC Max Dollars]]/SnapshotTable[[#This Row],[SC Basis]])),"")</f>
        <v/>
      </c>
      <c r="FY325" s="236" t="str">
        <f>IF(AND(SnapshotTable[[#This Row],[SC Qty]]&gt;0,SnapshotTable[[#This Row],[SC Current Ask]]&gt;0), SnapshotTable[[#This Row],[SC Qty]] * SnapshotTable[[#This Row],[SC Current Ask]] * -100, "")</f>
        <v/>
      </c>
      <c r="FZ325" s="235" t="str">
        <f>IF(ISNUMBER((SnapshotTable[[#This Row],[SC Current Value]])), SnapshotTable[[#This Row],[SC Premium]] + SnapshotTable[[#This Row],[SC Current Value]], "")</f>
        <v/>
      </c>
      <c r="GA325" s="294" t="str">
        <f>IFERROR( IF(ISNUMBER((SnapshotTable[[#This Row],[SC Current Value]])), SnapshotTable[[#This Row],[SC Gain Loss]] / SnapshotTable[[#This Row],[SC Premium]], ""), "")</f>
        <v/>
      </c>
      <c r="GB325" s="42">
        <f>SnapshotTable[[#This Row],[Equity Shares]] * SaleSharesToConsiderPercentage</f>
        <v>0</v>
      </c>
      <c r="GC325" s="40" t="e">
        <f>SnapshotTable[[#This Row],[Long Term Target]] * SellingPriceToConsiderBasedOnTargetPercentage</f>
        <v>#VALUE!</v>
      </c>
      <c r="GD325" s="40">
        <f>SnapshotTable[[#This Row],[Last Price]] * (1+ SellingPriceToConsiderBasedOnTargetPercentage)</f>
        <v>20.669999999999998</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8" t="str">
        <f>IF(SnapshotTable[[#This Row],[Sale G/L]]&gt;0, SnapshotTable[[#This Row],[Sale G/L]] / SnapshotTable[[#This Row],[Sale Basis]], IF(ISNUMBER(SnapshotTable[[#This Row],[SC Exercise P&amp;L (TAX)]]), SnapshotTable[[#This Row],[SC Exercise P&amp;L (TAX)]] / SnapshotTable[[#This Row],[SC Basis]], ""))</f>
        <v/>
      </c>
      <c r="GK325" s="27"/>
      <c r="GL325" s="159"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59" t="str">
        <f>IF(AND(SnapshotTable[[#This Row],[LC Exp Date]]&gt;0,SnapshotTable[[#This Row],[LC Strike Price]]&gt;0), [1]!ToOptionSymbol(SnapshotTable[[#This Row],[Symbol]], SnapshotTable[[#This Row],[LC Strike Price]],SnapshotTable[[#This Row],[LC Exp Date]],0), "")</f>
        <v/>
      </c>
      <c r="GQ325" s="160" t="str">
        <f>IF(LEN(SnapshotTable[[#This Row],[LC Symbol]])&gt;0, 1, "")</f>
        <v/>
      </c>
      <c r="GR325" s="159" t="str">
        <f>IF(AND(SnapshotTable[[#This Row],[SC Exp Date]]&gt;0,SnapshotTable[[#This Row],[SC Strike Price]]&gt;0), [1]!ToOptionSymbol(SnapshotTable[[#This Row],[Symbol]], SnapshotTable[[#This Row],[SC Strike Price]],SnapshotTable[[#This Row],[SC Exp Date]],0), "")</f>
        <v/>
      </c>
      <c r="GS325" s="160" t="str">
        <f>IF(LEN(SnapshotTable[[#This Row],[SC Symbol]])&gt;0, 1, "")</f>
        <v/>
      </c>
      <c r="GT325" s="161"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31">
        <f>MAX(SnapshotTable[[#This Row],[Equity Basis Total]],SnapshotTable[[#This Row],[Equity Value]]) + (SnapshotTable[[#This Row],[SP Potential Spend]]- SnapshotTable[[#This Row],[SP Premium]] + SnapshotTable[[#This Row],[LP Premium]])+ (SnapshotTable[[#This Row],[LC Premium]] - SnapshotTable[[#This Row],[SC Premium]])</f>
        <v>0</v>
      </c>
      <c r="GW325" s="139" t="str">
        <f>IF(AND(SnapshotTable[[#This Row],[Exposure]] &lt;&gt; 0),SnapshotTable[[#This Row],[Exposure]] / SnapshotTable[[#Totals],[Exposure]], "")</f>
        <v/>
      </c>
      <c r="HK325" s="1"/>
      <c r="HL325" s="1"/>
      <c r="HM325" s="1"/>
      <c r="HN325" s="1"/>
      <c r="HO325" s="1"/>
      <c r="HP325" s="1"/>
    </row>
    <row r="326" spans="2:224" ht="12.75" hidden="1" customHeight="1" x14ac:dyDescent="0.25">
      <c r="B326" s="12" t="s">
        <v>255</v>
      </c>
      <c r="C326" s="422">
        <v>431.31</v>
      </c>
      <c r="D326" s="208"/>
      <c r="E326" s="39">
        <f>SnapshotTable[[#This Row],[Last Price]]*(1 -CrashDiscount)</f>
        <v>366.61349999999999</v>
      </c>
      <c r="F326" s="26" t="s">
        <v>148</v>
      </c>
      <c r="G326" s="26" t="s">
        <v>49</v>
      </c>
      <c r="H326" s="149"/>
      <c r="I326" s="194">
        <v>44757.246527777781</v>
      </c>
      <c r="J326" s="195">
        <v>44757.246527777781</v>
      </c>
      <c r="K326" s="196" t="s">
        <v>3</v>
      </c>
      <c r="L326" s="326"/>
      <c r="M326" s="140"/>
      <c r="N326" s="140" t="b">
        <v>1</v>
      </c>
      <c r="O326" s="140"/>
      <c r="P326" s="22"/>
      <c r="Q326" s="25"/>
      <c r="R326" s="4" t="str">
        <f>IF(SnapshotTable[[#This Row],[Equity Basis Total]] &gt; 0, SnapshotTable[[#This Row],[Equity Basis Total]] / SnapshotTable[[#This Row],[Equity Shares]], "")</f>
        <v/>
      </c>
      <c r="S326" s="269">
        <f>SnapshotTable[[#This Row],[Last Price]] * SnapshotTable[[#This Row],[Equity Shares]]</f>
        <v>0</v>
      </c>
      <c r="T326" s="269">
        <f>SnapshotTable[[#This Row],[Equity Value]] - SnapshotTable[[#This Row],[Equity Basis Total]]</f>
        <v>0</v>
      </c>
      <c r="U326" s="270" t="str">
        <f>IF(SnapshotTable[[#This Row],[Equity Basis Total]] &gt; 0, SnapshotTable[[#This Row],[Equity G/L]] / SnapshotTable[[#This Row],[Equity Basis Total]], "")</f>
        <v/>
      </c>
      <c r="V326" s="268"/>
      <c r="W326" s="26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7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0">
        <v>4.32</v>
      </c>
      <c r="AD326" s="151">
        <v>43823</v>
      </c>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1.0015997774222718E-2</v>
      </c>
      <c r="AH326" s="151">
        <v>43812</v>
      </c>
      <c r="AI326" s="5">
        <v>305</v>
      </c>
      <c r="AJ326" s="138">
        <v>331.96</v>
      </c>
      <c r="AK326" s="152">
        <f>IF(ISNUMBER( SnapshotTable[[#This Row],[EBF Target]]),(SnapshotTable[[#This Row],[EBF Target]] - SnapshotTable[[#This Row],[Last Price]]) / SnapshotTable[[#This Row],[Last Price]], "")</f>
        <v>-0.29285200899584984</v>
      </c>
      <c r="AL326" s="152"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2">
        <f>IF(AND(ISNUMBER( SnapshotTable[[#This Row],[Long Term Target]]), ISNUMBER(SnapshotTable[[#This Row],[Last Price]])),(SnapshotTable[[#This Row],[Long Term Target]] - SnapshotTable[[#This Row],[Last Price]]) / SnapshotTable[[#This Row],[Last Price]], "")</f>
        <v>-0.23034476362708961</v>
      </c>
      <c r="AP326" s="5"/>
      <c r="AQ326" s="38"/>
      <c r="AR326" s="5"/>
      <c r="AS326" s="38"/>
      <c r="AT326" s="146"/>
      <c r="AU326" s="187" t="str">
        <f>IF(OR(SnapshotTable[[#This Row],[LP No Fill]]="Y",SnapshotTable[[#This Row],[SP Is Filled]],SnapshotTable[[#This Row],[LC Not Filled]]="Y",SnapshotTable[[#This Row],[SC Is Filled]]),"Y","")</f>
        <v/>
      </c>
      <c r="AV326" s="219"/>
      <c r="AW326" s="225"/>
      <c r="AX326" s="220"/>
      <c r="AY326" s="219" t="str">
        <f>IF(SnapshotTable[[#This Row],[Implied Move]]&gt;0, SnapshotTable[[#This Row],[Last Price]]-SnapshotTable[[#This Row],[Implied Move]],"")</f>
        <v/>
      </c>
      <c r="AZ326" s="219" t="str">
        <f>IF(SnapshotTable[[#This Row],[Implied Move]]&gt;0, SnapshotTable[[#This Row],[Last Price]] + SnapshotTable[[#This Row],[Implied Move]],"")</f>
        <v/>
      </c>
      <c r="BA326" s="331">
        <v>239.78</v>
      </c>
      <c r="BB326" s="347"/>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51"/>
      <c r="BE326" s="5"/>
      <c r="BF326" s="14"/>
      <c r="BG326" s="13"/>
      <c r="BH326" s="13"/>
      <c r="BI326" s="5"/>
      <c r="BJ326" s="136">
        <f>IF(SnapshotTable[[#This Row],[LP Qty]] &gt; 0, SnapshotTable[[#This Row],[LP Qty]] * SnapshotTable[[#This Row],[LP Book Price]] * 100,0)</f>
        <v>0</v>
      </c>
      <c r="BK326" s="136">
        <f>IF(SnapshotTable[[#This Row],[LP Premium]] &gt; 0, SnapshotTable[[#This Row],[LP Qty]] * SnapshotTable[[#This Row],[LP Strike Price]] * 100,0)</f>
        <v>0</v>
      </c>
      <c r="BL326" s="154"/>
      <c r="BM326" s="385" t="str">
        <f>IF(SnapshotTable[[#This Row],[LP Premium]] &gt; 0,SnapshotTable[[#This Row],[LP Exp Date]]-MAX(SnapshotTable[[#This Row],[LP Book Date]], SnapshotTable[[#This Row],[LP Fill Date]]),"")</f>
        <v/>
      </c>
      <c r="BN326" s="385" t="str">
        <f>IF(ISNUMBER( SnapshotTable[[#This Row],[LP Term]]), SnapshotTable[[#This Row],[LP Exp Date]] - MockToday,"")</f>
        <v/>
      </c>
      <c r="BO326" s="163"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7"/>
      <c r="BU326" s="13"/>
      <c r="BV326" s="5"/>
      <c r="BW326" s="419" t="b">
        <f>AND(ISNUMBER(SnapshotTable[[#This Row],[SP Exp Date]]), ISNUMBER(SnapshotTable[[#This Row],[SP Strike Price]]), ISNUMBER(SnapshotTable[[#This Row],[SP Qty]]), ISNUMBER(SnapshotTable[[#This Row],[SP Book Date]]), ISNUMBER(SnapshotTable[[#This Row],[SP Book Price]]))</f>
        <v>0</v>
      </c>
      <c r="BX326" s="419" t="b">
        <f>AND(SnapshotTable[[#This Row],[SP Is Booked]], NOT(ISBLANK(SnapshotTable[[#This Row],[SP Fill Date]])))</f>
        <v>0</v>
      </c>
      <c r="BY326" s="33">
        <f>IF(SnapshotTable[[#This Row],[SP Is Booked]], SnapshotTable[[#This Row],[SP Qty]] * SnapshotTable[[#This Row],[SP Book Price]] * 100, 0)</f>
        <v>0</v>
      </c>
      <c r="BZ326" s="369"/>
      <c r="CA326" s="368">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3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44"/>
      <c r="CK326" s="31">
        <f>IF(ISNUMBER(SnapshotTable[[#This Row],[SP Potential Spend]]),IF(ISNUMBER(SnapshotTable[[#This Row],[SP POW]]), SnapshotTable[[#This Row],[SP POW]] * SnapshotTable[[#This Row],[SP Potential Spend]], SnapshotTable[[#This Row],[SP Potential Spend]]), "")</f>
        <v>0</v>
      </c>
      <c r="CL326" s="164">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78"/>
      <c r="CO326" s="369"/>
      <c r="CP326" s="4" t="str">
        <f>IF(SnapshotTable[[#This Row],[SP Is Filled]], btc_max_buyback_amount(SnapshotTable[[#This Row],[SP Fill Date]],SnapshotTable[[#This Row],[SP Exp Date]], SnapshotTable[[#This Row],[SP Book Price]]),"")</f>
        <v/>
      </c>
      <c r="CQ326" s="78"/>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5" t="str">
        <f>IF(SnapshotTable[[#This Row],[SP Is Filled]], btc_next_cutoff_date(SnapshotTable[[#This Row],[SP Fill Date]],SnapshotTable[[#This Row],[SP Exp Date]]),"")</f>
        <v/>
      </c>
      <c r="CT326" s="23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43"/>
      <c r="CV326" s="235"/>
      <c r="CW326" s="378"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294" t="str">
        <f>IF(ISNUMBER((SnapshotTable[[#This Row],[SP Total Value]])), SnapshotTable[[#This Row],[SP Gain Loss]] / SnapshotTable[[#This Row],[SP Premium]], "")</f>
        <v/>
      </c>
      <c r="DI326" s="406"/>
      <c r="DJ326" s="138"/>
      <c r="DK326" s="148"/>
      <c r="DL326" s="13"/>
      <c r="DM326" s="13"/>
      <c r="DO326" s="31">
        <f>IF(SnapshotTable[[#This Row],[LC Symbol Count]]=1, SnapshotTable[[#This Row],[LC Qty]] * SnapshotTable[[#This Row],[LC Book Price]] * 100, 0)</f>
        <v>0</v>
      </c>
      <c r="DP326" s="163" t="str">
        <f>IF(AND(SnapshotTable[[#This Row],[LC Exp Date]]&gt;0, SnapshotTable[[#This Row],[LC Strike Price]]&gt;0,SnapshotTable[[#This Row],[LC Qty]]&gt;0,SnapshotTable[[#This Row],[LC Book Date]]&gt;0,SnapshotTable[[#This Row],[LC Book Price]]&gt;0,SnapshotTable[[#This Row],[LC Fill Date]]=0),"Y","")</f>
        <v/>
      </c>
      <c r="DQ326" s="386" t="str">
        <f>IF(SnapshotTable[[#This Row],[LC Premium]] &gt; 0,SnapshotTable[[#This Row],[LC Exp Date]]-MAX(SnapshotTable[[#This Row],[LC Book Date]], SnapshotTable[[#This Row],[LC Fill Date]]),"")</f>
        <v/>
      </c>
      <c r="DR326" s="386" t="str">
        <f>IF(ISNUMBER(SnapshotTable[[#This Row],[LC Term]]), SnapshotTable[[#This Row],[LC Exp Date]] - MockToday, "")</f>
        <v/>
      </c>
      <c r="DS326" s="23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40" t="str">
        <f>IF(ISNUMBER(SnapshotTable[[#This Row],[LC Actual Gain Loss]]), SnapshotTable[[#This Row],[LC Actual Gain Loss]] / SnapshotTable[[#This Row],[LC Premium]],"")</f>
        <v/>
      </c>
      <c r="DX326" s="284" t="str">
        <f>IF(ISNUMBER(SnapshotTable[[#This Row],[LC Book Price]]),SnapshotTable[[#This Row],[LC Book Price]] * 1.5,"")</f>
        <v/>
      </c>
      <c r="DY326" s="265" t="str">
        <f>IF(SnapshotTable[[#This Row],[LC Premium]]&gt;0, SnapshotTable[[#This Row],[LC Next Target]] * SnapshotTable[[#This Row],[LC Qty]] * 100,"")</f>
        <v/>
      </c>
      <c r="DZ326" s="265" t="str">
        <f>IF(ISNUMBER(SnapshotTable[[#This Row],[LC Target Gross]]), SnapshotTable[[#This Row],[LC Target Gross]] - SnapshotTable[[#This Row],[LC Premium]], "")</f>
        <v/>
      </c>
      <c r="EA326" s="305" t="str">
        <f>IF(ISNUMBER(SnapshotTable[[#This Row],[LC Target Gain Loss]]), SnapshotTable[[#This Row],[LC Target Gain Loss]]/SnapshotTable[[#This Row],[LC Premium]], "")</f>
        <v/>
      </c>
      <c r="EB326" s="262"/>
      <c r="EC326" s="283" t="str">
        <f>IF(SnapshotTable[[#This Row],[LC Premium]]&gt;0, SnapshotTable[[#This Row],[LC Book Price]] * (1 - LC_StopLoss_Pct),"")</f>
        <v/>
      </c>
      <c r="ED326" s="284"/>
      <c r="EE326" s="28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4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7"/>
      <c r="EL326" s="138"/>
      <c r="EM326" s="148"/>
      <c r="EN326" s="147"/>
      <c r="EO326" s="147"/>
      <c r="EP326" s="138"/>
      <c r="EQ326" s="419" t="b">
        <f>AND(ISNUMBER(SnapshotTable[[#This Row],[SC Exp Date]]), ISNUMBER(SnapshotTable[[#This Row],[SC Strike Price]]), ISNUMBER(SnapshotTable[[#This Row],[SC Qty]]), ISNUMBER(SnapshotTable[[#This Row],[SC Book Date]]), ISNUMBER(SnapshotTable[[#This Row],[SC Book Price]]))</f>
        <v>0</v>
      </c>
      <c r="ER326" s="419" t="b">
        <f>AND(SnapshotTable[[#This Row],[SC Is Booked]], NOT(ISBLANK(SnapshotTable[[#This Row],[SC Fill Date]])))</f>
        <v>0</v>
      </c>
      <c r="ES326" s="370"/>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3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283"/>
      <c r="FA326" s="218"/>
      <c r="FB326" s="370"/>
      <c r="FC326" s="4">
        <f>IF(SnapshotTable[[#This Row],[SC Is Filled]], btc_max_buyback_amount(SnapshotTable[[#This Row],[SC Fill Date]],SnapshotTable[[#This Row],[SC Exp Date]], SnapshotTable[[#This Row],[SC Book Price]]),0)</f>
        <v>0</v>
      </c>
      <c r="FD326" s="5"/>
      <c r="FE326" s="144"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382">
        <f>IF(SnapshotTable[[#This Row],[SC Is Filled]], IF(ISNUMBER(SnapshotTable[[#This Row],[SC Current Ask]]), SnapshotTable[[#This Row],[SC Current Ask]], SnapshotTable[[#This Row],[SC Book Price]]) - SnapshotTable[[#This Row],[SC Intrinsic Value]], 0)</f>
        <v>0</v>
      </c>
      <c r="FI326" s="143"/>
      <c r="FJ326" s="32" t="str">
        <f>IF(SnapshotTable[[#This Row],[SC Is Filled]],100 * SnapshotTable[[#This Row],[SC Qty]] * IF(ISNUMBER(SnapshotTable[[#This Row],[SC Buyback Override]]), SnapshotTable[[#This Row],[SC Buyback Override]], SnapshotTable[[#This Row],[SC Current Ask]]), "")</f>
        <v/>
      </c>
      <c r="FK326" s="250" t="str">
        <f>IF(SnapshotTable[[#This Row],[SC Time Val]]&gt;0, SnapshotTable[[#This Row],[SC Time Val]] / SnapshotTable[[#This Row],[Last Price]],"")</f>
        <v/>
      </c>
      <c r="FL326" s="302" t="str">
        <f>IF(SnapshotTable[[#This Row],[SC Is Booked]], ((SnapshotTable[[#This Row],[Last Price]] -SnapshotTable[[#This Row],[SC Strike Price]]) / SnapshotTable[[#This Row],[Last Price]]) * -1, "")</f>
        <v/>
      </c>
      <c r="FM326" s="157" t="str">
        <f>IF(SnapshotTable[[#This Row],[SC Is Booked]],  (SnapshotTable[[#This Row],[SC Qty]] * 100 * SnapshotTable[[#This Row],[SC Strike Price]]) - SnapshotTable[[#This Row],[SC Current Ask]], "")</f>
        <v/>
      </c>
      <c r="FN3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31"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33"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36" t="str">
        <f>IF(AND(ISNUMBER(SnapshotTable[[#This Row],[SC Simple ROO]]),SnapshotTable[[#This Row],[SC Simple ROO]] &gt; 0), SnapshotTable[[#This Row],[SC Premium]] + (SnapshotTable[[#This Row],[SC Qty]] * SnapshotTable[[#This Row],[SC Upside Potential]]), "")</f>
        <v/>
      </c>
      <c r="FX326" s="302" t="str" cm="1">
        <f t="array" ref="FX326">IF(ISNUMBER(SnapshotTable[[#This Row],[SC Max Dollars]]), annualize(SnapshotTable[[#This Row],[SC Term]],(SnapshotTable[[#This Row],[SC Max Dollars]]/SnapshotTable[[#This Row],[SC Basis]])),"")</f>
        <v/>
      </c>
      <c r="FY326" s="23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294" t="str">
        <f>IFERROR( IF(ISNUMBER((SnapshotTable[[#This Row],[SC Current Value]])), SnapshotTable[[#This Row],[SC Gain Loss]] / SnapshotTable[[#This Row],[SC Premium]], ""), "")</f>
        <v/>
      </c>
      <c r="GB326" s="42">
        <f>SnapshotTable[[#This Row],[Equity Shares]] * SaleSharesToConsiderPercentage</f>
        <v>0</v>
      </c>
      <c r="GC326" s="40">
        <f>SnapshotTable[[#This Row],[Long Term Target]] * SellingPriceToConsiderBasedOnTargetPercentage</f>
        <v>315.36199999999997</v>
      </c>
      <c r="GD326" s="40">
        <f>SnapshotTable[[#This Row],[Last Price]] * (1+ SellingPriceToConsiderBasedOnTargetPercentage)</f>
        <v>841.05449999999996</v>
      </c>
      <c r="GE326" s="41"/>
      <c r="GF326" s="40"/>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27" t="str">
        <f>IF(SnapshotTable[[#This Row],[Sale G/L]]&gt;0, SnapshotTable[[#This Row],[Sale G/L]] / SnapshotTable[[#This Row],[Sale Basis]], IF(ISNUMBER(SnapshotTable[[#This Row],[SC Exercise P&amp;L (TAX)]]), SnapshotTable[[#This Row],[SC Exercise P&amp;L (TAX)]] / SnapshotTable[[#This Row],[SC Basis]], ""))</f>
        <v/>
      </c>
      <c r="GK326" s="27" t="s">
        <v>781</v>
      </c>
      <c r="GL326" s="43"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43" t="str">
        <f>IF(AND(SnapshotTable[[#This Row],[LC Exp Date]]&gt;0,SnapshotTable[[#This Row],[LC Strike Price]]&gt;0), [1]!ToOptionSymbol(SnapshotTable[[#This Row],[Symbol]], SnapshotTable[[#This Row],[LC Strike Price]],SnapshotTable[[#This Row],[LC Exp Date]],0), "")</f>
        <v/>
      </c>
      <c r="GQ326" s="30" t="str">
        <f>IF(LEN(SnapshotTable[[#This Row],[LC Symbol]])&gt;0, 1, "")</f>
        <v/>
      </c>
      <c r="GR326" s="43" t="str">
        <f>IF(AND(SnapshotTable[[#This Row],[SC Exp Date]]&gt;0,SnapshotTable[[#This Row],[SC Strike Price]]&gt;0), [1]!ToOptionSymbol(SnapshotTable[[#This Row],[Symbol]], SnapshotTable[[#This Row],[SC Strike Price]],SnapshotTable[[#This Row],[SC Exp Date]],0), "")</f>
        <v/>
      </c>
      <c r="GS326" s="30" t="str">
        <f>IF(LEN(SnapshotTable[[#This Row],[SC Symbol]])&gt;0, 1, "")</f>
        <v/>
      </c>
      <c r="GT326" s="29"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31">
        <f>MAX(SnapshotTable[[#This Row],[Equity Basis Total]],SnapshotTable[[#This Row],[Equity Value]]) + (SnapshotTable[[#This Row],[SP Potential Spend]]- SnapshotTable[[#This Row],[SP Premium]] + SnapshotTable[[#This Row],[LP Premium]])+ (SnapshotTable[[#This Row],[LC Premium]] - SnapshotTable[[#This Row],[SC Premium]])</f>
        <v>0</v>
      </c>
      <c r="GW326" s="139" t="str">
        <f>IF(AND(SnapshotTable[[#This Row],[Exposure]] &lt;&gt; 0),SnapshotTable[[#This Row],[Exposure]] / SnapshotTable[[#Totals],[Exposure]], "")</f>
        <v/>
      </c>
      <c r="HK326" s="1"/>
      <c r="HL326" s="1"/>
      <c r="HM326" s="1"/>
      <c r="HN326" s="1"/>
      <c r="HO326" s="1"/>
      <c r="HP326" s="1"/>
    </row>
    <row r="327" spans="2:224" ht="12.75" hidden="1" customHeight="1" x14ac:dyDescent="0.25">
      <c r="B327" s="12" t="s">
        <v>16</v>
      </c>
      <c r="C327" s="422">
        <v>115.84</v>
      </c>
      <c r="D327" s="208" t="s">
        <v>586</v>
      </c>
      <c r="E327" s="39">
        <f>SnapshotTable[[#This Row],[Last Price]]*(1 -CrashDiscount)</f>
        <v>98.463999999999999</v>
      </c>
      <c r="F327" s="26" t="s">
        <v>15</v>
      </c>
      <c r="G327" s="26" t="s">
        <v>14</v>
      </c>
      <c r="H327" s="149"/>
      <c r="I327" s="194">
        <v>44768.25</v>
      </c>
      <c r="J327" s="195">
        <v>44768.25</v>
      </c>
      <c r="K327" s="196"/>
      <c r="L327" s="326"/>
      <c r="M327" s="140"/>
      <c r="N327" s="140"/>
      <c r="O327" s="140"/>
      <c r="P327" s="22"/>
      <c r="Q327" s="25"/>
      <c r="R327" s="4" t="str">
        <f>IF(SnapshotTable[[#This Row],[Equity Basis Total]] &gt; 0, SnapshotTable[[#This Row],[Equity Basis Total]] / SnapshotTable[[#This Row],[Equity Shares]], "")</f>
        <v/>
      </c>
      <c r="S327" s="269">
        <f>SnapshotTable[[#This Row],[Last Price]] * SnapshotTable[[#This Row],[Equity Shares]]</f>
        <v>0</v>
      </c>
      <c r="T327" s="269">
        <f>SnapshotTable[[#This Row],[Equity Value]] - SnapshotTable[[#This Row],[Equity Basis Total]]</f>
        <v>0</v>
      </c>
      <c r="U327" s="270" t="str">
        <f>IF(SnapshotTable[[#This Row],[Equity Basis Total]] &gt; 0, SnapshotTable[[#This Row],[Equity G/L]] / SnapshotTable[[#This Row],[Equity Basis Total]], "")</f>
        <v/>
      </c>
      <c r="V327" s="268"/>
      <c r="W327" s="26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7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0">
        <v>0.3</v>
      </c>
      <c r="AD327" s="151">
        <v>42727</v>
      </c>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2.5897790055248618E-3</v>
      </c>
      <c r="AH327" s="151">
        <v>42703</v>
      </c>
      <c r="AI327" s="5"/>
      <c r="AJ327" s="138">
        <v>172.44</v>
      </c>
      <c r="AK327" s="152" t="str">
        <f>IF(ISNUMBER( SnapshotTable[[#This Row],[EBF Target]]),(SnapshotTable[[#This Row],[EBF Target]] - SnapshotTable[[#This Row],[Last Price]]) / SnapshotTable[[#This Row],[Last Price]], "")</f>
        <v/>
      </c>
      <c r="AL327" s="152"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2">
        <f>IF(AND(ISNUMBER( SnapshotTable[[#This Row],[Long Term Target]]), ISNUMBER(SnapshotTable[[#This Row],[Last Price]])),(SnapshotTable[[#This Row],[Long Term Target]] - SnapshotTable[[#This Row],[Last Price]]) / SnapshotTable[[#This Row],[Last Price]], "")</f>
        <v>0.48860497237569056</v>
      </c>
      <c r="AP327" s="5">
        <v>170</v>
      </c>
      <c r="AQ327" s="38" t="s">
        <v>27</v>
      </c>
      <c r="AR327" s="5">
        <v>170</v>
      </c>
      <c r="AS327" s="38" t="s">
        <v>38</v>
      </c>
      <c r="AT327" s="146" t="s">
        <v>542</v>
      </c>
      <c r="AU327" s="187" t="str">
        <f>IF(OR(SnapshotTable[[#This Row],[LP No Fill]]="Y",SnapshotTable[[#This Row],[SP Is Filled]],SnapshotTable[[#This Row],[LC Not Filled]]="Y",SnapshotTable[[#This Row],[SC Is Filled]]),"Y","")</f>
        <v/>
      </c>
      <c r="AV327" s="219"/>
      <c r="AW327" s="225">
        <v>4.5030000000000001</v>
      </c>
      <c r="AX327" s="220">
        <v>44287</v>
      </c>
      <c r="AY327" s="219">
        <f>IF(SnapshotTable[[#This Row],[Implied Move]]&gt;0, SnapshotTable[[#This Row],[Last Price]]-SnapshotTable[[#This Row],[Implied Move]],"")</f>
        <v>111.337</v>
      </c>
      <c r="AZ327" s="219">
        <f>IF(SnapshotTable[[#This Row],[Implied Move]]&gt;0, SnapshotTable[[#This Row],[Last Price]] + SnapshotTable[[#This Row],[Implied Move]],"")</f>
        <v>120.343</v>
      </c>
      <c r="BA327" s="331">
        <v>161.91</v>
      </c>
      <c r="BB327" s="347"/>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51"/>
      <c r="BE327" s="5"/>
      <c r="BF327" s="14"/>
      <c r="BG327" s="13"/>
      <c r="BH327" s="13"/>
      <c r="BI327" s="5"/>
      <c r="BJ327" s="136">
        <f>IF(SnapshotTable[[#This Row],[LP Qty]] &gt; 0, SnapshotTable[[#This Row],[LP Qty]] * SnapshotTable[[#This Row],[LP Book Price]] * 100,0)</f>
        <v>0</v>
      </c>
      <c r="BK327" s="136">
        <f>IF(SnapshotTable[[#This Row],[LP Premium]] &gt; 0, SnapshotTable[[#This Row],[LP Qty]] * SnapshotTable[[#This Row],[LP Strike Price]] * 100,0)</f>
        <v>0</v>
      </c>
      <c r="BL327" s="154"/>
      <c r="BM327" s="385" t="str">
        <f>IF(SnapshotTable[[#This Row],[LP Premium]] &gt; 0,SnapshotTable[[#This Row],[LP Exp Date]]-MAX(SnapshotTable[[#This Row],[LP Book Date]], SnapshotTable[[#This Row],[LP Fill Date]]),"")</f>
        <v/>
      </c>
      <c r="BN327" s="385" t="str">
        <f>IF(ISNUMBER( SnapshotTable[[#This Row],[LP Term]]), SnapshotTable[[#This Row],[LP Exp Date]] - MockToday,"")</f>
        <v/>
      </c>
      <c r="BO327" s="163"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7"/>
      <c r="BU327" s="13"/>
      <c r="BV327" s="5"/>
      <c r="BW327" s="419" t="b">
        <f>AND(ISNUMBER(SnapshotTable[[#This Row],[SP Exp Date]]), ISNUMBER(SnapshotTable[[#This Row],[SP Strike Price]]), ISNUMBER(SnapshotTable[[#This Row],[SP Qty]]), ISNUMBER(SnapshotTable[[#This Row],[SP Book Date]]), ISNUMBER(SnapshotTable[[#This Row],[SP Book Price]]))</f>
        <v>0</v>
      </c>
      <c r="BX327" s="419" t="b">
        <f>AND(SnapshotTable[[#This Row],[SP Is Booked]], NOT(ISBLANK(SnapshotTable[[#This Row],[SP Fill Date]])))</f>
        <v>0</v>
      </c>
      <c r="BY327" s="33">
        <f>IF(SnapshotTable[[#This Row],[SP Is Booked]], SnapshotTable[[#This Row],[SP Qty]] * SnapshotTable[[#This Row],[SP Book Price]] * 100, 0)</f>
        <v>0</v>
      </c>
      <c r="BZ327" s="369"/>
      <c r="CA327" s="368">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3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44"/>
      <c r="CK327" s="31">
        <f>IF(ISNUMBER(SnapshotTable[[#This Row],[SP Potential Spend]]),IF(ISNUMBER(SnapshotTable[[#This Row],[SP POW]]), SnapshotTable[[#This Row],[SP POW]] * SnapshotTable[[#This Row],[SP Potential Spend]], SnapshotTable[[#This Row],[SP Potential Spend]]), "")</f>
        <v>0</v>
      </c>
      <c r="CL327" s="164">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8"/>
      <c r="CO327" s="369"/>
      <c r="CP327" s="4" t="str">
        <f>IF(SnapshotTable[[#This Row],[SP Is Filled]], btc_max_buyback_amount(SnapshotTable[[#This Row],[SP Fill Date]],SnapshotTable[[#This Row],[SP Exp Date]], SnapshotTable[[#This Row],[SP Book Price]]),"")</f>
        <v/>
      </c>
      <c r="CQ327" s="78"/>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5" t="str">
        <f>IF(SnapshotTable[[#This Row],[SP Is Filled]], btc_next_cutoff_date(SnapshotTable[[#This Row],[SP Fill Date]],SnapshotTable[[#This Row],[SP Exp Date]]),"")</f>
        <v/>
      </c>
      <c r="CT327" s="23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3"/>
      <c r="CV327" s="235"/>
      <c r="CW327" s="378"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294" t="str">
        <f>IF(ISNUMBER((SnapshotTable[[#This Row],[SP Total Value]])), SnapshotTable[[#This Row],[SP Gain Loss]] / SnapshotTable[[#This Row],[SP Premium]], "")</f>
        <v/>
      </c>
      <c r="DI327" s="406"/>
      <c r="DJ327" s="138"/>
      <c r="DK327" s="148"/>
      <c r="DL327" s="13"/>
      <c r="DM327" s="13"/>
      <c r="DO327" s="31">
        <f>IF(SnapshotTable[[#This Row],[LC Symbol Count]]=1, SnapshotTable[[#This Row],[LC Qty]] * SnapshotTable[[#This Row],[LC Book Price]] * 100, 0)</f>
        <v>0</v>
      </c>
      <c r="DP327" s="163" t="str">
        <f>IF(AND(SnapshotTable[[#This Row],[LC Exp Date]]&gt;0, SnapshotTable[[#This Row],[LC Strike Price]]&gt;0,SnapshotTable[[#This Row],[LC Qty]]&gt;0,SnapshotTable[[#This Row],[LC Book Date]]&gt;0,SnapshotTable[[#This Row],[LC Book Price]]&gt;0,SnapshotTable[[#This Row],[LC Fill Date]]=0),"Y","")</f>
        <v/>
      </c>
      <c r="DQ327" s="386" t="str">
        <f>IF(SnapshotTable[[#This Row],[LC Premium]] &gt; 0,SnapshotTable[[#This Row],[LC Exp Date]]-MAX(SnapshotTable[[#This Row],[LC Book Date]], SnapshotTable[[#This Row],[LC Fill Date]]),"")</f>
        <v/>
      </c>
      <c r="DR327" s="386" t="str">
        <f>IF(ISNUMBER(SnapshotTable[[#This Row],[LC Term]]), SnapshotTable[[#This Row],[LC Exp Date]] - MockToday, "")</f>
        <v/>
      </c>
      <c r="DS327" s="23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40" t="str">
        <f>IF(ISNUMBER(SnapshotTable[[#This Row],[LC Actual Gain Loss]]), SnapshotTable[[#This Row],[LC Actual Gain Loss]] / SnapshotTable[[#This Row],[LC Premium]],"")</f>
        <v/>
      </c>
      <c r="DX327" s="284" t="str">
        <f>IF(ISNUMBER(SnapshotTable[[#This Row],[LC Book Price]]),SnapshotTable[[#This Row],[LC Book Price]] * 1.5,"")</f>
        <v/>
      </c>
      <c r="DY327" s="265" t="str">
        <f>IF(SnapshotTable[[#This Row],[LC Premium]]&gt;0, SnapshotTable[[#This Row],[LC Next Target]] * SnapshotTable[[#This Row],[LC Qty]] * 100,"")</f>
        <v/>
      </c>
      <c r="DZ327" s="265" t="str">
        <f>IF(ISNUMBER(SnapshotTable[[#This Row],[LC Target Gross]]), SnapshotTable[[#This Row],[LC Target Gross]] - SnapshotTable[[#This Row],[LC Premium]], "")</f>
        <v/>
      </c>
      <c r="EA327" s="305" t="str">
        <f>IF(ISNUMBER(SnapshotTable[[#This Row],[LC Target Gain Loss]]), SnapshotTable[[#This Row],[LC Target Gain Loss]]/SnapshotTable[[#This Row],[LC Premium]], "")</f>
        <v/>
      </c>
      <c r="EB327" s="262"/>
      <c r="EC327" s="283" t="str">
        <f>IF(SnapshotTable[[#This Row],[LC Premium]]&gt;0, SnapshotTable[[#This Row],[LC Book Price]] * (1 - LC_StopLoss_Pct),"")</f>
        <v/>
      </c>
      <c r="ED327" s="284"/>
      <c r="EE327" s="28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4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7"/>
      <c r="EL327" s="138"/>
      <c r="EM327" s="148"/>
      <c r="EN327" s="147"/>
      <c r="EO327" s="147"/>
      <c r="EP327" s="138"/>
      <c r="EQ327" s="419" t="b">
        <f>AND(ISNUMBER(SnapshotTable[[#This Row],[SC Exp Date]]), ISNUMBER(SnapshotTable[[#This Row],[SC Strike Price]]), ISNUMBER(SnapshotTable[[#This Row],[SC Qty]]), ISNUMBER(SnapshotTable[[#This Row],[SC Book Date]]), ISNUMBER(SnapshotTable[[#This Row],[SC Book Price]]))</f>
        <v>0</v>
      </c>
      <c r="ER327" s="419" t="b">
        <f>AND(SnapshotTable[[#This Row],[SC Is Booked]], NOT(ISBLANK(SnapshotTable[[#This Row],[SC Fill Date]])))</f>
        <v>0</v>
      </c>
      <c r="ES327" s="370"/>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3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283"/>
      <c r="FA327" s="218"/>
      <c r="FB327" s="370"/>
      <c r="FC327" s="4">
        <f>IF(SnapshotTable[[#This Row],[SC Is Filled]], btc_max_buyback_amount(SnapshotTable[[#This Row],[SC Fill Date]],SnapshotTable[[#This Row],[SC Exp Date]], SnapshotTable[[#This Row],[SC Book Price]]),0)</f>
        <v>0</v>
      </c>
      <c r="FD327" s="5"/>
      <c r="FE327" s="144"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382">
        <f>IF(SnapshotTable[[#This Row],[SC Is Filled]], IF(ISNUMBER(SnapshotTable[[#This Row],[SC Current Ask]]), SnapshotTable[[#This Row],[SC Current Ask]], SnapshotTable[[#This Row],[SC Book Price]]) - SnapshotTable[[#This Row],[SC Intrinsic Value]], 0)</f>
        <v>0</v>
      </c>
      <c r="FI327" s="143"/>
      <c r="FJ327" s="32" t="str">
        <f>IF(SnapshotTable[[#This Row],[SC Is Filled]],100 * SnapshotTable[[#This Row],[SC Qty]] * IF(ISNUMBER(SnapshotTable[[#This Row],[SC Buyback Override]]), SnapshotTable[[#This Row],[SC Buyback Override]], SnapshotTable[[#This Row],[SC Current Ask]]), "")</f>
        <v/>
      </c>
      <c r="FK327" s="250" t="str">
        <f>IF(SnapshotTable[[#This Row],[SC Time Val]]&gt;0, SnapshotTable[[#This Row],[SC Time Val]] / SnapshotTable[[#This Row],[Last Price]],"")</f>
        <v/>
      </c>
      <c r="FL327" s="302" t="str">
        <f>IF(SnapshotTable[[#This Row],[SC Is Booked]], ((SnapshotTable[[#This Row],[Last Price]] -SnapshotTable[[#This Row],[SC Strike Price]]) / SnapshotTable[[#This Row],[Last Price]]) * -1, "")</f>
        <v/>
      </c>
      <c r="FM327" s="157"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33"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36" t="str">
        <f>IF(AND(ISNUMBER(SnapshotTable[[#This Row],[SC Simple ROO]]),SnapshotTable[[#This Row],[SC Simple ROO]] &gt; 0), SnapshotTable[[#This Row],[SC Premium]] + (SnapshotTable[[#This Row],[SC Qty]] * SnapshotTable[[#This Row],[SC Upside Potential]]), "")</f>
        <v/>
      </c>
      <c r="FX327" s="302" t="str" cm="1">
        <f t="array" ref="FX327">IF(ISNUMBER(SnapshotTable[[#This Row],[SC Max Dollars]]), annualize(SnapshotTable[[#This Row],[SC Term]],(SnapshotTable[[#This Row],[SC Max Dollars]]/SnapshotTable[[#This Row],[SC Basis]])),"")</f>
        <v/>
      </c>
      <c r="FY327" s="23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29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163.81799999999998</v>
      </c>
      <c r="GD327" s="40">
        <f>SnapshotTable[[#This Row],[Last Price]] * (1+ SellingPriceToConsiderBasedOnTargetPercentage)</f>
        <v>225.88800000000001</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782</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31">
        <f>MAX(SnapshotTable[[#This Row],[Equity Basis Total]],SnapshotTable[[#This Row],[Equity Value]]) + (SnapshotTable[[#This Row],[SP Potential Spend]]- SnapshotTable[[#This Row],[SP Premium]] + SnapshotTable[[#This Row],[LP Premium]])+ (SnapshotTable[[#This Row],[LC Premium]] - SnapshotTable[[#This Row],[SC Premium]])</f>
        <v>0</v>
      </c>
      <c r="GW327" s="139" t="str">
        <f>IF(AND(SnapshotTable[[#This Row],[Exposure]] &lt;&gt; 0),SnapshotTable[[#This Row],[Exposure]] / SnapshotTable[[#Totals],[Exposure]], "")</f>
        <v/>
      </c>
      <c r="HK327" s="1"/>
      <c r="HL327" s="1"/>
      <c r="HM327" s="1"/>
      <c r="HN327" s="1"/>
      <c r="HO327" s="1"/>
      <c r="HP327" s="1"/>
    </row>
    <row r="328" spans="2:224" ht="12.75" hidden="1" customHeight="1" x14ac:dyDescent="0.25">
      <c r="B328" s="12" t="s">
        <v>1205</v>
      </c>
      <c r="C328" s="422">
        <v>40.97</v>
      </c>
      <c r="D328" s="208"/>
      <c r="E328" s="39">
        <f>SnapshotTable[[#This Row],[Last Price]]*(1 -CrashDiscount)</f>
        <v>34.8245</v>
      </c>
      <c r="F328" s="325" t="s">
        <v>5</v>
      </c>
      <c r="G328" s="325" t="s">
        <v>4</v>
      </c>
      <c r="H328" s="149"/>
      <c r="I328" s="194"/>
      <c r="J328" s="195"/>
      <c r="K328" s="196"/>
      <c r="L328" s="326"/>
      <c r="M328" s="140"/>
      <c r="N328" s="140"/>
      <c r="O328" s="140"/>
      <c r="P328" s="22"/>
      <c r="Q328" s="25"/>
      <c r="R328" s="4" t="str">
        <f>IF(SnapshotTable[[#This Row],[Equity Basis Total]] &gt; 0, SnapshotTable[[#This Row],[Equity Basis Total]] / SnapshotTable[[#This Row],[Equity Shares]], "")</f>
        <v/>
      </c>
      <c r="S328" s="269">
        <f>SnapshotTable[[#This Row],[Last Price]] * SnapshotTable[[#This Row],[Equity Shares]]</f>
        <v>0</v>
      </c>
      <c r="T328" s="269">
        <f>SnapshotTable[[#This Row],[Equity Value]] - SnapshotTable[[#This Row],[Equity Basis Total]]</f>
        <v>0</v>
      </c>
      <c r="U328" s="270" t="str">
        <f>IF(SnapshotTable[[#This Row],[Equity Basis Total]] &gt; 0, SnapshotTable[[#This Row],[Equity G/L]] / SnapshotTable[[#This Row],[Equity Basis Total]], "")</f>
        <v/>
      </c>
      <c r="V328" s="268"/>
      <c r="W328" s="26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7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0"/>
      <c r="AD328" s="151"/>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1"/>
      <c r="AI328" s="5"/>
      <c r="AJ328" s="138"/>
      <c r="AK328" s="152" t="str">
        <f>IF(ISNUMBER( SnapshotTable[[#This Row],[EBF Target]]),(SnapshotTable[[#This Row],[EBF Target]] - SnapshotTable[[#This Row],[Last Price]]) / SnapshotTable[[#This Row],[Last Price]], "")</f>
        <v/>
      </c>
      <c r="AL328" s="152"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2" t="str">
        <f>IF(AND(ISNUMBER( SnapshotTable[[#This Row],[Long Term Target]]), ISNUMBER(SnapshotTable[[#This Row],[Last Price]])),(SnapshotTable[[#This Row],[Long Term Target]] - SnapshotTable[[#This Row],[Last Price]]) / SnapshotTable[[#This Row],[Last Price]], "")</f>
        <v/>
      </c>
      <c r="AP328" s="5">
        <v>26.25</v>
      </c>
      <c r="AQ328" s="38" t="s">
        <v>46</v>
      </c>
      <c r="AR328" s="5">
        <v>26.24</v>
      </c>
      <c r="AS328" s="38" t="s">
        <v>45</v>
      </c>
      <c r="AT328" s="146" t="s">
        <v>575</v>
      </c>
      <c r="AU328" s="187" t="str">
        <f>IF(OR(SnapshotTable[[#This Row],[LP No Fill]]="Y",SnapshotTable[[#This Row],[SP Is Filled]],SnapshotTable[[#This Row],[LC Not Filled]]="Y",SnapshotTable[[#This Row],[SC Is Filled]]),"Y","")</f>
        <v/>
      </c>
      <c r="AV328" s="219"/>
      <c r="AW328" s="225"/>
      <c r="AX328" s="220"/>
      <c r="AY328" s="219" t="str">
        <f>IF(SnapshotTable[[#This Row],[Implied Move]]&gt;0, SnapshotTable[[#This Row],[Last Price]]-SnapshotTable[[#This Row],[Implied Move]],"")</f>
        <v/>
      </c>
      <c r="AZ328" s="219" t="str">
        <f>IF(SnapshotTable[[#This Row],[Implied Move]]&gt;0, SnapshotTable[[#This Row],[Last Price]] + SnapshotTable[[#This Row],[Implied Move]],"")</f>
        <v/>
      </c>
      <c r="BA328" s="331">
        <v>24.81</v>
      </c>
      <c r="BB328" s="347"/>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51"/>
      <c r="BE328" s="5"/>
      <c r="BF328" s="14"/>
      <c r="BG328" s="13"/>
      <c r="BH328" s="13"/>
      <c r="BI328" s="5"/>
      <c r="BJ328" s="136">
        <f>IF(SnapshotTable[[#This Row],[LP Qty]] &gt; 0, SnapshotTable[[#This Row],[LP Qty]] * SnapshotTable[[#This Row],[LP Book Price]] * 100,0)</f>
        <v>0</v>
      </c>
      <c r="BK328" s="136">
        <f>IF(SnapshotTable[[#This Row],[LP Premium]] &gt; 0, SnapshotTable[[#This Row],[LP Qty]] * SnapshotTable[[#This Row],[LP Strike Price]] * 100,0)</f>
        <v>0</v>
      </c>
      <c r="BL328" s="154"/>
      <c r="BM328" s="385" t="str">
        <f>IF(SnapshotTable[[#This Row],[LP Premium]] &gt; 0,SnapshotTable[[#This Row],[LP Exp Date]]-MAX(SnapshotTable[[#This Row],[LP Book Date]], SnapshotTable[[#This Row],[LP Fill Date]]),"")</f>
        <v/>
      </c>
      <c r="BN328" s="385" t="str">
        <f>IF(ISNUMBER( SnapshotTable[[#This Row],[LP Term]]), SnapshotTable[[#This Row],[LP Exp Date]] - MockToday,"")</f>
        <v/>
      </c>
      <c r="BO328" s="163"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7"/>
      <c r="BU328" s="13"/>
      <c r="BV328" s="5"/>
      <c r="BW328" s="419" t="b">
        <f>AND(ISNUMBER(SnapshotTable[[#This Row],[SP Exp Date]]), ISNUMBER(SnapshotTable[[#This Row],[SP Strike Price]]), ISNUMBER(SnapshotTable[[#This Row],[SP Qty]]), ISNUMBER(SnapshotTable[[#This Row],[SP Book Date]]), ISNUMBER(SnapshotTable[[#This Row],[SP Book Price]]))</f>
        <v>0</v>
      </c>
      <c r="BX328" s="419" t="b">
        <f>AND(SnapshotTable[[#This Row],[SP Is Booked]], NOT(ISBLANK(SnapshotTable[[#This Row],[SP Fill Date]])))</f>
        <v>0</v>
      </c>
      <c r="BY328" s="33">
        <f>IF(SnapshotTable[[#This Row],[SP Is Booked]], SnapshotTable[[#This Row],[SP Qty]] * SnapshotTable[[#This Row],[SP Book Price]] * 100, 0)</f>
        <v>0</v>
      </c>
      <c r="BZ328" s="369"/>
      <c r="CA328" s="368">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3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44"/>
      <c r="CK328" s="31">
        <f>IF(ISNUMBER(SnapshotTable[[#This Row],[SP Potential Spend]]),IF(ISNUMBER(SnapshotTable[[#This Row],[SP POW]]), SnapshotTable[[#This Row],[SP POW]] * SnapshotTable[[#This Row],[SP Potential Spend]], SnapshotTable[[#This Row],[SP Potential Spend]]), "")</f>
        <v>0</v>
      </c>
      <c r="CL328" s="164">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78"/>
      <c r="CO328" s="369"/>
      <c r="CP328" s="4" t="str">
        <f>IF(SnapshotTable[[#This Row],[SP Is Filled]], btc_max_buyback_amount(SnapshotTable[[#This Row],[SP Fill Date]],SnapshotTable[[#This Row],[SP Exp Date]], SnapshotTable[[#This Row],[SP Book Price]]),"")</f>
        <v/>
      </c>
      <c r="CQ328" s="78"/>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5" t="str">
        <f>IF(SnapshotTable[[#This Row],[SP Is Filled]], btc_next_cutoff_date(SnapshotTable[[#This Row],[SP Fill Date]],SnapshotTable[[#This Row],[SP Exp Date]]),"")</f>
        <v/>
      </c>
      <c r="CT328" s="23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43"/>
      <c r="CV328" s="235"/>
      <c r="CW328" s="378"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294" t="str">
        <f>IF(ISNUMBER((SnapshotTable[[#This Row],[SP Total Value]])), SnapshotTable[[#This Row],[SP Gain Loss]] / SnapshotTable[[#This Row],[SP Premium]], "")</f>
        <v/>
      </c>
      <c r="DI328" s="406"/>
      <c r="DJ328" s="138"/>
      <c r="DK328" s="148"/>
      <c r="DL328" s="13"/>
      <c r="DM328" s="13"/>
      <c r="DO328" s="31">
        <f>IF(SnapshotTable[[#This Row],[LC Symbol Count]]=1, SnapshotTable[[#This Row],[LC Qty]] * SnapshotTable[[#This Row],[LC Book Price]] * 100, 0)</f>
        <v>0</v>
      </c>
      <c r="DP328" s="163" t="str">
        <f>IF(AND(SnapshotTable[[#This Row],[LC Exp Date]]&gt;0, SnapshotTable[[#This Row],[LC Strike Price]]&gt;0,SnapshotTable[[#This Row],[LC Qty]]&gt;0,SnapshotTable[[#This Row],[LC Book Date]]&gt;0,SnapshotTable[[#This Row],[LC Book Price]]&gt;0,SnapshotTable[[#This Row],[LC Fill Date]]=0),"Y","")</f>
        <v/>
      </c>
      <c r="DQ328" s="386" t="str">
        <f>IF(SnapshotTable[[#This Row],[LC Premium]] &gt; 0,SnapshotTable[[#This Row],[LC Exp Date]]-MAX(SnapshotTable[[#This Row],[LC Book Date]], SnapshotTable[[#This Row],[LC Fill Date]]),"")</f>
        <v/>
      </c>
      <c r="DR328" s="386" t="str">
        <f>IF(ISNUMBER(SnapshotTable[[#This Row],[LC Term]]), SnapshotTable[[#This Row],[LC Exp Date]] - MockToday, "")</f>
        <v/>
      </c>
      <c r="DS328" s="23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40" t="str">
        <f>IF(ISNUMBER(SnapshotTable[[#This Row],[LC Actual Gain Loss]]), SnapshotTable[[#This Row],[LC Actual Gain Loss]] / SnapshotTable[[#This Row],[LC Premium]],"")</f>
        <v/>
      </c>
      <c r="DX328" s="284" t="str">
        <f>IF(ISNUMBER(SnapshotTable[[#This Row],[LC Book Price]]),SnapshotTable[[#This Row],[LC Book Price]] * 1.5,"")</f>
        <v/>
      </c>
      <c r="DY328" s="265" t="str">
        <f>IF(SnapshotTable[[#This Row],[LC Premium]]&gt;0, SnapshotTable[[#This Row],[LC Next Target]] * SnapshotTable[[#This Row],[LC Qty]] * 100,"")</f>
        <v/>
      </c>
      <c r="DZ328" s="265" t="str">
        <f>IF(ISNUMBER(SnapshotTable[[#This Row],[LC Target Gross]]), SnapshotTable[[#This Row],[LC Target Gross]] - SnapshotTable[[#This Row],[LC Premium]], "")</f>
        <v/>
      </c>
      <c r="EA328" s="305" t="str">
        <f>IF(ISNUMBER(SnapshotTable[[#This Row],[LC Target Gain Loss]]), SnapshotTable[[#This Row],[LC Target Gain Loss]]/SnapshotTable[[#This Row],[LC Premium]], "")</f>
        <v/>
      </c>
      <c r="EB328" s="262"/>
      <c r="EC328" s="283" t="str">
        <f>IF(SnapshotTable[[#This Row],[LC Premium]]&gt;0, SnapshotTable[[#This Row],[LC Book Price]] * (1 - LC_StopLoss_Pct),"")</f>
        <v/>
      </c>
      <c r="ED328" s="284"/>
      <c r="EE328" s="28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4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7"/>
      <c r="EL328" s="138"/>
      <c r="EM328" s="148"/>
      <c r="EN328" s="147"/>
      <c r="EO328" s="147"/>
      <c r="EP328" s="138"/>
      <c r="EQ328" s="419" t="b">
        <f>AND(ISNUMBER(SnapshotTable[[#This Row],[SC Exp Date]]), ISNUMBER(SnapshotTable[[#This Row],[SC Strike Price]]), ISNUMBER(SnapshotTable[[#This Row],[SC Qty]]), ISNUMBER(SnapshotTable[[#This Row],[SC Book Date]]), ISNUMBER(SnapshotTable[[#This Row],[SC Book Price]]))</f>
        <v>0</v>
      </c>
      <c r="ER328" s="419" t="b">
        <f>AND(SnapshotTable[[#This Row],[SC Is Booked]], NOT(ISBLANK(SnapshotTable[[#This Row],[SC Fill Date]])))</f>
        <v>0</v>
      </c>
      <c r="ES328" s="370"/>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3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283"/>
      <c r="FA328" s="218"/>
      <c r="FB328" s="370"/>
      <c r="FC328" s="4">
        <f>IF(SnapshotTable[[#This Row],[SC Is Filled]], btc_max_buyback_amount(SnapshotTable[[#This Row],[SC Fill Date]],SnapshotTable[[#This Row],[SC Exp Date]], SnapshotTable[[#This Row],[SC Book Price]]),0)</f>
        <v>0</v>
      </c>
      <c r="FD328" s="5"/>
      <c r="FE328" s="144"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382">
        <f>IF(SnapshotTable[[#This Row],[SC Is Filled]], IF(ISNUMBER(SnapshotTable[[#This Row],[SC Current Ask]]), SnapshotTable[[#This Row],[SC Current Ask]], SnapshotTable[[#This Row],[SC Book Price]]) - SnapshotTable[[#This Row],[SC Intrinsic Value]], 0)</f>
        <v>0</v>
      </c>
      <c r="FI328" s="143"/>
      <c r="FJ328" s="32" t="str">
        <f>IF(SnapshotTable[[#This Row],[SC Is Filled]],100 * SnapshotTable[[#This Row],[SC Qty]] * IF(ISNUMBER(SnapshotTable[[#This Row],[SC Buyback Override]]), SnapshotTable[[#This Row],[SC Buyback Override]], SnapshotTable[[#This Row],[SC Current Ask]]), "")</f>
        <v/>
      </c>
      <c r="FK328" s="250" t="str">
        <f>IF(SnapshotTable[[#This Row],[SC Time Val]]&gt;0, SnapshotTable[[#This Row],[SC Time Val]] / SnapshotTable[[#This Row],[Last Price]],"")</f>
        <v/>
      </c>
      <c r="FL328" s="302" t="str">
        <f>IF(SnapshotTable[[#This Row],[SC Is Booked]], ((SnapshotTable[[#This Row],[Last Price]] -SnapshotTable[[#This Row],[SC Strike Price]]) / SnapshotTable[[#This Row],[Last Price]]) * -1, "")</f>
        <v/>
      </c>
      <c r="FM328" s="157" t="str">
        <f>IF(SnapshotTable[[#This Row],[SC Is Booked]],  (SnapshotTable[[#This Row],[SC Qty]] * 100 * SnapshotTable[[#This Row],[SC Strike Price]]) - SnapshotTable[[#This Row],[SC Current Ask]], "")</f>
        <v/>
      </c>
      <c r="FN3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31"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33"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36" t="str">
        <f>IF(AND(ISNUMBER(SnapshotTable[[#This Row],[SC Simple ROO]]),SnapshotTable[[#This Row],[SC Simple ROO]] &gt; 0), SnapshotTable[[#This Row],[SC Premium]] + (SnapshotTable[[#This Row],[SC Qty]] * SnapshotTable[[#This Row],[SC Upside Potential]]), "")</f>
        <v/>
      </c>
      <c r="FX328" s="302" t="str" cm="1">
        <f t="array" ref="FX328">IF(ISNUMBER(SnapshotTable[[#This Row],[SC Max Dollars]]), annualize(SnapshotTable[[#This Row],[SC Term]],(SnapshotTable[[#This Row],[SC Max Dollars]]/SnapshotTable[[#This Row],[SC Basis]])),"")</f>
        <v/>
      </c>
      <c r="FY328" s="23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29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0</v>
      </c>
      <c r="GD328" s="40">
        <f>SnapshotTable[[#This Row],[Last Price]] * (1+ SellingPriceToConsiderBasedOnTargetPercentage)</f>
        <v>79.891499999999994</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27" t="str">
        <f>IF(SnapshotTable[[#This Row],[Sale G/L]]&gt;0, SnapshotTable[[#This Row],[Sale G/L]] / SnapshotTable[[#This Row],[Sale Basis]], IF(ISNUMBER(SnapshotTable[[#This Row],[SC Exercise P&amp;L (TAX)]]), SnapshotTable[[#This Row],[SC Exercise P&amp;L (TAX)]] / SnapshotTable[[#This Row],[SC Basis]], ""))</f>
        <v/>
      </c>
      <c r="GK328" s="27"/>
      <c r="GL328" s="43"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43" t="str">
        <f>IF(AND(SnapshotTable[[#This Row],[LC Exp Date]]&gt;0,SnapshotTable[[#This Row],[LC Strike Price]]&gt;0), [1]!ToOptionSymbol(SnapshotTable[[#This Row],[Symbol]], SnapshotTable[[#This Row],[LC Strike Price]],SnapshotTable[[#This Row],[LC Exp Date]],0), "")</f>
        <v/>
      </c>
      <c r="GQ328" s="30" t="str">
        <f>IF(LEN(SnapshotTable[[#This Row],[LC Symbol]])&gt;0, 1, "")</f>
        <v/>
      </c>
      <c r="GR328" s="43" t="str">
        <f>IF(AND(SnapshotTable[[#This Row],[SC Exp Date]]&gt;0,SnapshotTable[[#This Row],[SC Strike Price]]&gt;0), [1]!ToOptionSymbol(SnapshotTable[[#This Row],[Symbol]], SnapshotTable[[#This Row],[SC Strike Price]],SnapshotTable[[#This Row],[SC Exp Date]],0), "")</f>
        <v/>
      </c>
      <c r="GS328" s="30" t="str">
        <f>IF(LEN(SnapshotTable[[#This Row],[SC Symbol]])&gt;0, 1, "")</f>
        <v/>
      </c>
      <c r="GT328" s="29"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31">
        <f>MAX(SnapshotTable[[#This Row],[Equity Basis Total]],SnapshotTable[[#This Row],[Equity Value]]) + (SnapshotTable[[#This Row],[SP Potential Spend]]- SnapshotTable[[#This Row],[SP Premium]] + SnapshotTable[[#This Row],[LP Premium]])+ (SnapshotTable[[#This Row],[LC Premium]] - SnapshotTable[[#This Row],[SC Premium]])</f>
        <v>0</v>
      </c>
      <c r="GW328" s="139" t="str">
        <f>IF(AND(SnapshotTable[[#This Row],[Exposure]] &lt;&gt; 0),SnapshotTable[[#This Row],[Exposure]] / SnapshotTable[[#Totals],[Exposure]], "")</f>
        <v/>
      </c>
      <c r="HK328" s="1"/>
      <c r="HL328" s="1"/>
      <c r="HM328" s="1"/>
      <c r="HN328" s="1"/>
      <c r="HO328" s="1"/>
      <c r="HP328" s="1"/>
    </row>
    <row r="329" spans="2:224" ht="12.75" hidden="1" customHeight="1" x14ac:dyDescent="0.25">
      <c r="B329" s="12" t="s">
        <v>871</v>
      </c>
      <c r="C329" s="422">
        <v>1035.06</v>
      </c>
      <c r="D329" s="208" t="s">
        <v>578</v>
      </c>
      <c r="E329" s="39">
        <f>SnapshotTable[[#This Row],[Last Price]]*(1 -CrashDiscount)</f>
        <v>879.80099999999993</v>
      </c>
      <c r="F329" s="26" t="s">
        <v>66</v>
      </c>
      <c r="G329" s="26" t="s">
        <v>872</v>
      </c>
      <c r="H329" s="149"/>
      <c r="I329" s="194">
        <v>44769.677083333336</v>
      </c>
      <c r="J329" s="195">
        <v>44769.677083333336</v>
      </c>
      <c r="K329" s="196"/>
      <c r="L329" s="326"/>
      <c r="M329" s="140"/>
      <c r="N329" s="140"/>
      <c r="O329" s="140"/>
      <c r="P329" s="22"/>
      <c r="Q329" s="25"/>
      <c r="R329" s="4" t="str">
        <f>IF(SnapshotTable[[#This Row],[Equity Basis Total]] &gt; 0, SnapshotTable[[#This Row],[Equity Basis Total]] / SnapshotTable[[#This Row],[Equity Shares]], "")</f>
        <v/>
      </c>
      <c r="S329" s="269">
        <f>SnapshotTable[[#This Row],[Last Price]] * SnapshotTable[[#This Row],[Equity Shares]]</f>
        <v>0</v>
      </c>
      <c r="T329" s="269">
        <f>SnapshotTable[[#This Row],[Equity Value]] - SnapshotTable[[#This Row],[Equity Basis Total]]</f>
        <v>0</v>
      </c>
      <c r="U329" s="270" t="str">
        <f>IF(SnapshotTable[[#This Row],[Equity Basis Total]] &gt; 0, SnapshotTable[[#This Row],[Equity G/L]] / SnapshotTable[[#This Row],[Equity Basis Total]], "")</f>
        <v/>
      </c>
      <c r="V329" s="268"/>
      <c r="W329" s="268"/>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7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0"/>
      <c r="AD329" s="151"/>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0</v>
      </c>
      <c r="AH329" s="151"/>
      <c r="AI329" s="5"/>
      <c r="AJ329" s="138">
        <v>164.29</v>
      </c>
      <c r="AK329" s="152" t="str">
        <f>IF(ISNUMBER( SnapshotTable[[#This Row],[EBF Target]]),(SnapshotTable[[#This Row],[EBF Target]] - SnapshotTable[[#This Row],[Last Price]]) / SnapshotTable[[#This Row],[Last Price]], "")</f>
        <v/>
      </c>
      <c r="AL329" s="152"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2">
        <f>IF(AND(ISNUMBER( SnapshotTable[[#This Row],[Long Term Target]]), ISNUMBER(SnapshotTable[[#This Row],[Last Price]])),(SnapshotTable[[#This Row],[Long Term Target]] - SnapshotTable[[#This Row],[Last Price]]) / SnapshotTable[[#This Row],[Last Price]], "")</f>
        <v>-0.84127490193805188</v>
      </c>
      <c r="AP329" s="5">
        <v>170</v>
      </c>
      <c r="AQ329" s="38" t="s">
        <v>38</v>
      </c>
      <c r="AR329" s="5">
        <v>170</v>
      </c>
      <c r="AS329" s="38" t="s">
        <v>26</v>
      </c>
      <c r="AT329" s="146" t="s">
        <v>538</v>
      </c>
      <c r="AU329" s="187" t="str">
        <f>IF(OR(SnapshotTable[[#This Row],[LP No Fill]]="Y",SnapshotTable[[#This Row],[SP Is Filled]],SnapshotTable[[#This Row],[LC Not Filled]]="Y",SnapshotTable[[#This Row],[SC Is Filled]]),"Y","")</f>
        <v/>
      </c>
      <c r="AV329" s="219"/>
      <c r="AW329" s="225"/>
      <c r="AX329" s="220"/>
      <c r="AY329" s="219" t="str">
        <f>IF(SnapshotTable[[#This Row],[Implied Move]]&gt;0, SnapshotTable[[#This Row],[Last Price]]-SnapshotTable[[#This Row],[Implied Move]],"")</f>
        <v/>
      </c>
      <c r="AZ329" s="219" t="str">
        <f>IF(SnapshotTable[[#This Row],[Implied Move]]&gt;0, SnapshotTable[[#This Row],[Last Price]] + SnapshotTable[[#This Row],[Implied Move]],"")</f>
        <v/>
      </c>
      <c r="BA329" s="331"/>
      <c r="BB329" s="347"/>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51"/>
      <c r="BE329" s="138"/>
      <c r="BF329" s="166"/>
      <c r="BG329" s="167"/>
      <c r="BH329" s="167"/>
      <c r="BI329" s="221"/>
      <c r="BJ329" s="153">
        <f>IF(SnapshotTable[[#This Row],[LP Qty]] &gt; 0, SnapshotTable[[#This Row],[LP Qty]] * SnapshotTable[[#This Row],[LP Book Price]] * 100,0)</f>
        <v>0</v>
      </c>
      <c r="BK329" s="136">
        <f>IF(SnapshotTable[[#This Row],[LP Premium]] &gt; 0, SnapshotTable[[#This Row],[LP Qty]] * SnapshotTable[[#This Row],[LP Strike Price]] * 100,0)</f>
        <v>0</v>
      </c>
      <c r="BL329" s="154"/>
      <c r="BM329" s="385" t="str">
        <f>IF(SnapshotTable[[#This Row],[LP Premium]] &gt; 0,SnapshotTable[[#This Row],[LP Exp Date]]-MAX(SnapshotTable[[#This Row],[LP Book Date]], SnapshotTable[[#This Row],[LP Fill Date]]),"")</f>
        <v/>
      </c>
      <c r="BN329" s="385" t="str">
        <f>IF(ISNUMBER( SnapshotTable[[#This Row],[LP Term]]), SnapshotTable[[#This Row],[LP Exp Date]] - MockToday,"")</f>
        <v/>
      </c>
      <c r="BO329" s="163" t="str">
        <f>IF(AND(SnapshotTable[[#This Row],[LP Exp Date]]&gt;0, SnapshotTable[[#This Row],[LP Strike Price]]&gt;0,SnapshotTable[[#This Row],[LP Qty]]&gt;0,SnapshotTable[[#This Row],[LP Book Date]]&gt;0,SnapshotTable[[#This Row],[LP Book Price]]&gt;0,SnapshotTable[[#This Row],[LP Fill Date]]=0),"Y","")</f>
        <v/>
      </c>
      <c r="BP329" s="31" t="str">
        <f>IF(AND(SnapshotTable[[#This Row],[LP No Fill]]&lt;&gt;"Y",SnapshotTable[[#This Row],[LP Contract Value]]&gt;0, SnapshotTable[[#This Row],[LP Qty]]&gt;0), SnapshotTable[[#This Row],[LP Contract Value]]*SnapshotTable[[#This Row],[LP Qty]]*100,"")</f>
        <v/>
      </c>
      <c r="BQ329" s="13"/>
      <c r="BR329" s="5"/>
      <c r="BS329" s="36"/>
      <c r="BT329" s="147"/>
      <c r="BU329" s="13"/>
      <c r="BV329" s="5"/>
      <c r="BW329" s="419" t="b">
        <f>AND(ISNUMBER(SnapshotTable[[#This Row],[SP Exp Date]]), ISNUMBER(SnapshotTable[[#This Row],[SP Strike Price]]), ISNUMBER(SnapshotTable[[#This Row],[SP Qty]]), ISNUMBER(SnapshotTable[[#This Row],[SP Book Date]]), ISNUMBER(SnapshotTable[[#This Row],[SP Book Price]]))</f>
        <v>0</v>
      </c>
      <c r="BX329" s="419" t="b">
        <f>AND(SnapshotTable[[#This Row],[SP Is Booked]], NOT(ISBLANK(SnapshotTable[[#This Row],[SP Fill Date]])))</f>
        <v>0</v>
      </c>
      <c r="BY329" s="33">
        <f>IF(SnapshotTable[[#This Row],[SP Is Booked]], SnapshotTable[[#This Row],[SP Qty]] * SnapshotTable[[#This Row],[SP Book Price]] * 100, 0)</f>
        <v>0</v>
      </c>
      <c r="BZ329" s="369"/>
      <c r="CA329" s="368">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3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44"/>
      <c r="CK329" s="31">
        <f>IF(ISNUMBER(SnapshotTable[[#This Row],[SP Potential Spend]]),IF(ISNUMBER(SnapshotTable[[#This Row],[SP POW]]), SnapshotTable[[#This Row],[SP POW]] * SnapshotTable[[#This Row],[SP Potential Spend]], SnapshotTable[[#This Row],[SP Potential Spend]]), "")</f>
        <v>0</v>
      </c>
      <c r="CL329" s="164">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154"/>
      <c r="CO329" s="369"/>
      <c r="CP329" s="4" t="str">
        <f>IF(SnapshotTable[[#This Row],[SP Is Filled]], btc_max_buyback_amount(SnapshotTable[[#This Row],[SP Fill Date]],SnapshotTable[[#This Row],[SP Exp Date]], SnapshotTable[[#This Row],[SP Book Price]]),"")</f>
        <v/>
      </c>
      <c r="CQ329" s="78"/>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5" t="str">
        <f>IF(SnapshotTable[[#This Row],[SP Is Filled]], btc_next_cutoff_date(SnapshotTable[[#This Row],[SP Fill Date]],SnapshotTable[[#This Row],[SP Exp Date]]),"")</f>
        <v/>
      </c>
      <c r="CT329" s="23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56"/>
      <c r="CV329" s="235"/>
      <c r="CW329" s="378"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294" t="str">
        <f>IF(ISNUMBER((SnapshotTable[[#This Row],[SP Total Value]])), SnapshotTable[[#This Row],[SP Gain Loss]] / SnapshotTable[[#This Row],[SP Premium]], "")</f>
        <v/>
      </c>
      <c r="DI329" s="406"/>
      <c r="DJ329" s="138"/>
      <c r="DK329" s="148"/>
      <c r="DL329" s="147"/>
      <c r="DM329" s="147"/>
      <c r="DO329" s="31">
        <f>IF(SnapshotTable[[#This Row],[LC Symbol Count]]=1, SnapshotTable[[#This Row],[LC Qty]] * SnapshotTable[[#This Row],[LC Book Price]] * 100, 0)</f>
        <v>0</v>
      </c>
      <c r="DP329" s="163" t="str">
        <f>IF(AND(SnapshotTable[[#This Row],[LC Exp Date]]&gt;0, SnapshotTable[[#This Row],[LC Strike Price]]&gt;0,SnapshotTable[[#This Row],[LC Qty]]&gt;0,SnapshotTable[[#This Row],[LC Book Date]]&gt;0,SnapshotTable[[#This Row],[LC Book Price]]&gt;0,SnapshotTable[[#This Row],[LC Fill Date]]=0),"Y","")</f>
        <v/>
      </c>
      <c r="DQ329" s="386" t="str">
        <f>IF(SnapshotTable[[#This Row],[LC Premium]] &gt; 0,SnapshotTable[[#This Row],[LC Exp Date]]-MAX(SnapshotTable[[#This Row],[LC Book Date]], SnapshotTable[[#This Row],[LC Fill Date]]),"")</f>
        <v/>
      </c>
      <c r="DR329" s="386" t="str">
        <f>IF(ISNUMBER(SnapshotTable[[#This Row],[LC Term]]), SnapshotTable[[#This Row],[LC Exp Date]] - MockToday, "")</f>
        <v/>
      </c>
      <c r="DS329" s="23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40" t="str">
        <f>IF(ISNUMBER(SnapshotTable[[#This Row],[LC Actual Gain Loss]]), SnapshotTable[[#This Row],[LC Actual Gain Loss]] / SnapshotTable[[#This Row],[LC Premium]],"")</f>
        <v/>
      </c>
      <c r="DX329" s="284" t="str">
        <f>IF(ISNUMBER(SnapshotTable[[#This Row],[LC Book Price]]),SnapshotTable[[#This Row],[LC Book Price]] * 1.5,"")</f>
        <v/>
      </c>
      <c r="DY329" s="265" t="str">
        <f>IF(SnapshotTable[[#This Row],[LC Premium]]&gt;0, SnapshotTable[[#This Row],[LC Next Target]] * SnapshotTable[[#This Row],[LC Qty]] * 100,"")</f>
        <v/>
      </c>
      <c r="DZ329" s="265" t="str">
        <f>IF(ISNUMBER(SnapshotTable[[#This Row],[LC Target Gross]]), SnapshotTable[[#This Row],[LC Target Gross]] - SnapshotTable[[#This Row],[LC Premium]], "")</f>
        <v/>
      </c>
      <c r="EA329" s="305" t="str">
        <f>IF(ISNUMBER(SnapshotTable[[#This Row],[LC Target Gain Loss]]), SnapshotTable[[#This Row],[LC Target Gain Loss]]/SnapshotTable[[#This Row],[LC Premium]], "")</f>
        <v/>
      </c>
      <c r="EB329" s="262"/>
      <c r="EC329" s="283" t="str">
        <f>IF(SnapshotTable[[#This Row],[LC Premium]]&gt;0, SnapshotTable[[#This Row],[LC Book Price]] * (1 - LC_StopLoss_Pct),"")</f>
        <v/>
      </c>
      <c r="ED329" s="284"/>
      <c r="EE329" s="28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4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7"/>
      <c r="EL329" s="138"/>
      <c r="EM329" s="148"/>
      <c r="EN329" s="147"/>
      <c r="EO329" s="147"/>
      <c r="EP329" s="138"/>
      <c r="EQ329" s="419" t="b">
        <f>AND(ISNUMBER(SnapshotTable[[#This Row],[SC Exp Date]]), ISNUMBER(SnapshotTable[[#This Row],[SC Strike Price]]), ISNUMBER(SnapshotTable[[#This Row],[SC Qty]]), ISNUMBER(SnapshotTable[[#This Row],[SC Book Date]]), ISNUMBER(SnapshotTable[[#This Row],[SC Book Price]]))</f>
        <v>0</v>
      </c>
      <c r="ER329" s="419" t="b">
        <f>AND(SnapshotTable[[#This Row],[SC Is Booked]], NOT(ISBLANK(SnapshotTable[[#This Row],[SC Fill Date]])))</f>
        <v>0</v>
      </c>
      <c r="ES329" s="370"/>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3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283"/>
      <c r="FA329" s="218"/>
      <c r="FB329" s="370"/>
      <c r="FC329" s="4">
        <f>IF(SnapshotTable[[#This Row],[SC Is Filled]], btc_max_buyback_amount(SnapshotTable[[#This Row],[SC Fill Date]],SnapshotTable[[#This Row],[SC Exp Date]], SnapshotTable[[#This Row],[SC Book Price]]),0)</f>
        <v>0</v>
      </c>
      <c r="FD329" s="5"/>
      <c r="FE329" s="144"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382">
        <f>IF(SnapshotTable[[#This Row],[SC Is Filled]], IF(ISNUMBER(SnapshotTable[[#This Row],[SC Current Ask]]), SnapshotTable[[#This Row],[SC Current Ask]], SnapshotTable[[#This Row],[SC Book Price]]) - SnapshotTable[[#This Row],[SC Intrinsic Value]], 0)</f>
        <v>0</v>
      </c>
      <c r="FI329" s="143"/>
      <c r="FJ329" s="32" t="str">
        <f>IF(SnapshotTable[[#This Row],[SC Is Filled]],100 * SnapshotTable[[#This Row],[SC Qty]] * IF(ISNUMBER(SnapshotTable[[#This Row],[SC Buyback Override]]), SnapshotTable[[#This Row],[SC Buyback Override]], SnapshotTable[[#This Row],[SC Current Ask]]), "")</f>
        <v/>
      </c>
      <c r="FK329" s="250" t="str">
        <f>IF(SnapshotTable[[#This Row],[SC Time Val]]&gt;0, SnapshotTable[[#This Row],[SC Time Val]] / SnapshotTable[[#This Row],[Last Price]],"")</f>
        <v/>
      </c>
      <c r="FL329" s="302" t="str">
        <f>IF(SnapshotTable[[#This Row],[SC Is Booked]], ((SnapshotTable[[#This Row],[Last Price]] -SnapshotTable[[#This Row],[SC Strike Price]]) / SnapshotTable[[#This Row],[Last Price]]) * -1, "")</f>
        <v/>
      </c>
      <c r="FM329" s="157" t="str">
        <f>IF(SnapshotTable[[#This Row],[SC Is Booked]],  (SnapshotTable[[#This Row],[SC Qty]] * 100 * SnapshotTable[[#This Row],[SC Strike Price]]) - SnapshotTable[[#This Row],[SC Current Ask]], "")</f>
        <v/>
      </c>
      <c r="FN32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157"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33"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36" t="str">
        <f>IF(AND(ISNUMBER(SnapshotTable[[#This Row],[SC Simple ROO]]),SnapshotTable[[#This Row],[SC Simple ROO]] &gt; 0), SnapshotTable[[#This Row],[SC Premium]] + (SnapshotTable[[#This Row],[SC Qty]] * SnapshotTable[[#This Row],[SC Upside Potential]]), "")</f>
        <v/>
      </c>
      <c r="FX329" s="302" t="str" cm="1">
        <f t="array" ref="FX329">IF(ISNUMBER(SnapshotTable[[#This Row],[SC Max Dollars]]), annualize(SnapshotTable[[#This Row],[SC Term]],(SnapshotTable[[#This Row],[SC Max Dollars]]/SnapshotTable[[#This Row],[SC Basis]])),"")</f>
        <v/>
      </c>
      <c r="FY329" s="236" t="str">
        <f>IF(AND(SnapshotTable[[#This Row],[SC Qty]]&gt;0,SnapshotTable[[#This Row],[SC Current Ask]]&gt;0), SnapshotTable[[#This Row],[SC Qty]] * SnapshotTable[[#This Row],[SC Current Ask]] * -100, "")</f>
        <v/>
      </c>
      <c r="FZ329" s="235" t="str">
        <f>IF(ISNUMBER((SnapshotTable[[#This Row],[SC Current Value]])), SnapshotTable[[#This Row],[SC Premium]] + SnapshotTable[[#This Row],[SC Current Value]], "")</f>
        <v/>
      </c>
      <c r="GA329" s="29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156.07549999999998</v>
      </c>
      <c r="GD329" s="40">
        <f>SnapshotTable[[#This Row],[Last Price]] * (1+ SellingPriceToConsiderBasedOnTargetPercentage)</f>
        <v>2018.3669999999997</v>
      </c>
      <c r="GE329" s="41"/>
      <c r="GF329" s="40"/>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158" t="str">
        <f>IF(SnapshotTable[[#This Row],[Sale G/L]]&gt;0, SnapshotTable[[#This Row],[Sale G/L]] / SnapshotTable[[#This Row],[Sale Basis]], IF(ISNUMBER(SnapshotTable[[#This Row],[SC Exercise P&amp;L (TAX)]]), SnapshotTable[[#This Row],[SC Exercise P&amp;L (TAX)]] / SnapshotTable[[#This Row],[SC Basis]], ""))</f>
        <v/>
      </c>
      <c r="GK329" s="27"/>
      <c r="GL329" s="159"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159" t="str">
        <f>IF(AND(SnapshotTable[[#This Row],[LC Exp Date]]&gt;0,SnapshotTable[[#This Row],[LC Strike Price]]&gt;0), [1]!ToOptionSymbol(SnapshotTable[[#This Row],[Symbol]], SnapshotTable[[#This Row],[LC Strike Price]],SnapshotTable[[#This Row],[LC Exp Date]],0), "")</f>
        <v/>
      </c>
      <c r="GQ329" s="160" t="str">
        <f>IF(LEN(SnapshotTable[[#This Row],[LC Symbol]])&gt;0, 1, "")</f>
        <v/>
      </c>
      <c r="GR329" s="159" t="str">
        <f>IF(AND(SnapshotTable[[#This Row],[SC Exp Date]]&gt;0,SnapshotTable[[#This Row],[SC Strike Price]]&gt;0), [1]!ToOptionSymbol(SnapshotTable[[#This Row],[Symbol]], SnapshotTable[[#This Row],[SC Strike Price]],SnapshotTable[[#This Row],[SC Exp Date]],0), "")</f>
        <v/>
      </c>
      <c r="GS329" s="160" t="str">
        <f>IF(LEN(SnapshotTable[[#This Row],[SC Symbol]])&gt;0, 1, "")</f>
        <v/>
      </c>
      <c r="GT329" s="161"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31">
        <f>MAX(SnapshotTable[[#This Row],[Equity Basis Total]],SnapshotTable[[#This Row],[Equity Value]]) + (SnapshotTable[[#This Row],[SP Potential Spend]]- SnapshotTable[[#This Row],[SP Premium]] + SnapshotTable[[#This Row],[LP Premium]])+ (SnapshotTable[[#This Row],[LC Premium]] - SnapshotTable[[#This Row],[SC Premium]])</f>
        <v>0</v>
      </c>
      <c r="GW329" s="139" t="str">
        <f>IF(AND(SnapshotTable[[#This Row],[Exposure]] &lt;&gt; 0),SnapshotTable[[#This Row],[Exposure]] / SnapshotTable[[#Totals],[Exposure]], "")</f>
        <v/>
      </c>
      <c r="HK329" s="1"/>
      <c r="HL329" s="1"/>
      <c r="HM329" s="1"/>
      <c r="HN329" s="1"/>
      <c r="HO329" s="1"/>
      <c r="HP329" s="1"/>
    </row>
    <row r="330" spans="2:224" ht="12.75" hidden="1" customHeight="1" x14ac:dyDescent="0.25">
      <c r="B330" s="12" t="s">
        <v>13</v>
      </c>
      <c r="C330" s="422">
        <v>64.47</v>
      </c>
      <c r="D330" s="208"/>
      <c r="E330" s="39">
        <f>SnapshotTable[[#This Row],[Last Price]]*(1 -CrashDiscount)</f>
        <v>54.799499999999995</v>
      </c>
      <c r="F330" s="26" t="s">
        <v>12</v>
      </c>
      <c r="G330" s="26" t="s">
        <v>4</v>
      </c>
      <c r="H330" s="149"/>
      <c r="I330" s="194">
        <v>44756.28125</v>
      </c>
      <c r="J330" s="195">
        <v>44756.28125</v>
      </c>
      <c r="K330" s="196"/>
      <c r="L330" s="326"/>
      <c r="M330" s="140"/>
      <c r="N330" s="140"/>
      <c r="O330" s="140"/>
      <c r="P330" s="22"/>
      <c r="Q330" s="25"/>
      <c r="R330" s="4" t="str">
        <f>IF(SnapshotTable[[#This Row],[Equity Basis Total]] &gt; 0, SnapshotTable[[#This Row],[Equity Basis Total]] / SnapshotTable[[#This Row],[Equity Shares]], "")</f>
        <v/>
      </c>
      <c r="S330" s="269">
        <f>SnapshotTable[[#This Row],[Last Price]] * SnapshotTable[[#This Row],[Equity Shares]]</f>
        <v>0</v>
      </c>
      <c r="T330" s="269">
        <f>SnapshotTable[[#This Row],[Equity Value]] - SnapshotTable[[#This Row],[Equity Basis Total]]</f>
        <v>0</v>
      </c>
      <c r="U330" s="270" t="str">
        <f>IF(SnapshotTable[[#This Row],[Equity Basis Total]] &gt; 0, SnapshotTable[[#This Row],[Equity G/L]] / SnapshotTable[[#This Row],[Equity Basis Total]], "")</f>
        <v/>
      </c>
      <c r="V330" s="268"/>
      <c r="W330" s="26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7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0">
        <v>0.3</v>
      </c>
      <c r="AD330" s="151">
        <v>42727</v>
      </c>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4.6533271288971617E-3</v>
      </c>
      <c r="AH330" s="151">
        <v>42703</v>
      </c>
      <c r="AI330" s="5"/>
      <c r="AJ330" s="138">
        <v>42</v>
      </c>
      <c r="AK330" s="152" t="str">
        <f>IF(ISNUMBER( SnapshotTable[[#This Row],[EBF Target]]),(SnapshotTable[[#This Row],[EBF Target]] - SnapshotTable[[#This Row],[Last Price]]) / SnapshotTable[[#This Row],[Last Price]], "")</f>
        <v/>
      </c>
      <c r="AL330" s="152"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2">
        <f>IF(AND(ISNUMBER( SnapshotTable[[#This Row],[Long Term Target]]), ISNUMBER(SnapshotTable[[#This Row],[Last Price]])),(SnapshotTable[[#This Row],[Long Term Target]] - SnapshotTable[[#This Row],[Last Price]]) / SnapshotTable[[#This Row],[Last Price]], "")</f>
        <v>-0.34853420195439738</v>
      </c>
      <c r="AP330" s="5"/>
      <c r="AQ330" s="38"/>
      <c r="AR330" s="5"/>
      <c r="AS330" s="38"/>
      <c r="AT330" s="146"/>
      <c r="AU330" s="187" t="str">
        <f>IF(OR(SnapshotTable[[#This Row],[LP No Fill]]="Y",SnapshotTable[[#This Row],[SP Is Filled]],SnapshotTable[[#This Row],[LC Not Filled]]="Y",SnapshotTable[[#This Row],[SC Is Filled]]),"Y","")</f>
        <v/>
      </c>
      <c r="AV330" s="219"/>
      <c r="AW330" s="225"/>
      <c r="AX330" s="220"/>
      <c r="AY330" s="219" t="str">
        <f>IF(SnapshotTable[[#This Row],[Implied Move]]&gt;0, SnapshotTable[[#This Row],[Last Price]]-SnapshotTable[[#This Row],[Implied Move]],"")</f>
        <v/>
      </c>
      <c r="AZ330" s="219" t="str">
        <f>IF(SnapshotTable[[#This Row],[Implied Move]]&gt;0, SnapshotTable[[#This Row],[Last Price]] + SnapshotTable[[#This Row],[Implied Move]],"")</f>
        <v/>
      </c>
      <c r="BA330" s="331"/>
      <c r="BB330" s="347"/>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51"/>
      <c r="BE330" s="5"/>
      <c r="BF330" s="14"/>
      <c r="BG330" s="13"/>
      <c r="BH330" s="13"/>
      <c r="BI330" s="5"/>
      <c r="BJ330" s="136">
        <f>IF(SnapshotTable[[#This Row],[LP Qty]] &gt; 0, SnapshotTable[[#This Row],[LP Qty]] * SnapshotTable[[#This Row],[LP Book Price]] * 100,0)</f>
        <v>0</v>
      </c>
      <c r="BK330" s="136">
        <f>IF(SnapshotTable[[#This Row],[LP Premium]] &gt; 0, SnapshotTable[[#This Row],[LP Qty]] * SnapshotTable[[#This Row],[LP Strike Price]] * 100,0)</f>
        <v>0</v>
      </c>
      <c r="BL330" s="154"/>
      <c r="BM330" s="385" t="str">
        <f>IF(SnapshotTable[[#This Row],[LP Premium]] &gt; 0,SnapshotTable[[#This Row],[LP Exp Date]]-MAX(SnapshotTable[[#This Row],[LP Book Date]], SnapshotTable[[#This Row],[LP Fill Date]]),"")</f>
        <v/>
      </c>
      <c r="BN330" s="385" t="str">
        <f>IF(ISNUMBER( SnapshotTable[[#This Row],[LP Term]]), SnapshotTable[[#This Row],[LP Exp Date]] - MockToday,"")</f>
        <v/>
      </c>
      <c r="BO330" s="163"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7"/>
      <c r="BU330" s="13"/>
      <c r="BV330" s="5"/>
      <c r="BW330" s="419" t="b">
        <f>AND(ISNUMBER(SnapshotTable[[#This Row],[SP Exp Date]]), ISNUMBER(SnapshotTable[[#This Row],[SP Strike Price]]), ISNUMBER(SnapshotTable[[#This Row],[SP Qty]]), ISNUMBER(SnapshotTable[[#This Row],[SP Book Date]]), ISNUMBER(SnapshotTable[[#This Row],[SP Book Price]]))</f>
        <v>0</v>
      </c>
      <c r="BX330" s="419" t="b">
        <f>AND(SnapshotTable[[#This Row],[SP Is Booked]], NOT(ISBLANK(SnapshotTable[[#This Row],[SP Fill Date]])))</f>
        <v>0</v>
      </c>
      <c r="BY330" s="33">
        <f>IF(SnapshotTable[[#This Row],[SP Is Booked]], SnapshotTable[[#This Row],[SP Qty]] * SnapshotTable[[#This Row],[SP Book Price]] * 100, 0)</f>
        <v>0</v>
      </c>
      <c r="BZ330" s="369"/>
      <c r="CA330" s="368">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3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44"/>
      <c r="CK330" s="31">
        <f>IF(ISNUMBER(SnapshotTable[[#This Row],[SP Potential Spend]]),IF(ISNUMBER(SnapshotTable[[#This Row],[SP POW]]), SnapshotTable[[#This Row],[SP POW]] * SnapshotTable[[#This Row],[SP Potential Spend]], SnapshotTable[[#This Row],[SP Potential Spend]]), "")</f>
        <v>0</v>
      </c>
      <c r="CL330" s="164">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8"/>
      <c r="CO330" s="369"/>
      <c r="CP330" s="4" t="str">
        <f>IF(SnapshotTable[[#This Row],[SP Is Filled]], btc_max_buyback_amount(SnapshotTable[[#This Row],[SP Fill Date]],SnapshotTable[[#This Row],[SP Exp Date]], SnapshotTable[[#This Row],[SP Book Price]]),"")</f>
        <v/>
      </c>
      <c r="CQ330" s="78"/>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5" t="str">
        <f>IF(SnapshotTable[[#This Row],[SP Is Filled]], btc_next_cutoff_date(SnapshotTable[[#This Row],[SP Fill Date]],SnapshotTable[[#This Row],[SP Exp Date]]),"")</f>
        <v/>
      </c>
      <c r="CT330" s="23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43"/>
      <c r="CV330" s="235"/>
      <c r="CW330" s="378"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294" t="str">
        <f>IF(ISNUMBER((SnapshotTable[[#This Row],[SP Total Value]])), SnapshotTable[[#This Row],[SP Gain Loss]] / SnapshotTable[[#This Row],[SP Premium]], "")</f>
        <v/>
      </c>
      <c r="DI330" s="406"/>
      <c r="DJ330" s="138"/>
      <c r="DK330" s="148"/>
      <c r="DL330" s="13"/>
      <c r="DM330" s="13"/>
      <c r="DO330" s="31">
        <f>IF(SnapshotTable[[#This Row],[LC Symbol Count]]=1, SnapshotTable[[#This Row],[LC Qty]] * SnapshotTable[[#This Row],[LC Book Price]] * 100, 0)</f>
        <v>0</v>
      </c>
      <c r="DP330" s="163" t="str">
        <f>IF(AND(SnapshotTable[[#This Row],[LC Exp Date]]&gt;0, SnapshotTable[[#This Row],[LC Strike Price]]&gt;0,SnapshotTable[[#This Row],[LC Qty]]&gt;0,SnapshotTable[[#This Row],[LC Book Date]]&gt;0,SnapshotTable[[#This Row],[LC Book Price]]&gt;0,SnapshotTable[[#This Row],[LC Fill Date]]=0),"Y","")</f>
        <v/>
      </c>
      <c r="DQ330" s="386" t="str">
        <f>IF(SnapshotTable[[#This Row],[LC Premium]] &gt; 0,SnapshotTable[[#This Row],[LC Exp Date]]-MAX(SnapshotTable[[#This Row],[LC Book Date]], SnapshotTable[[#This Row],[LC Fill Date]]),"")</f>
        <v/>
      </c>
      <c r="DR330" s="386" t="str">
        <f>IF(ISNUMBER(SnapshotTable[[#This Row],[LC Term]]), SnapshotTable[[#This Row],[LC Exp Date]] - MockToday, "")</f>
        <v/>
      </c>
      <c r="DS330" s="23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40" t="str">
        <f>IF(ISNUMBER(SnapshotTable[[#This Row],[LC Actual Gain Loss]]), SnapshotTable[[#This Row],[LC Actual Gain Loss]] / SnapshotTable[[#This Row],[LC Premium]],"")</f>
        <v/>
      </c>
      <c r="DX330" s="284" t="str">
        <f>IF(ISNUMBER(SnapshotTable[[#This Row],[LC Book Price]]),SnapshotTable[[#This Row],[LC Book Price]] * 1.5,"")</f>
        <v/>
      </c>
      <c r="DY330" s="265" t="str">
        <f>IF(SnapshotTable[[#This Row],[LC Premium]]&gt;0, SnapshotTable[[#This Row],[LC Next Target]] * SnapshotTable[[#This Row],[LC Qty]] * 100,"")</f>
        <v/>
      </c>
      <c r="DZ330" s="265" t="str">
        <f>IF(ISNUMBER(SnapshotTable[[#This Row],[LC Target Gross]]), SnapshotTable[[#This Row],[LC Target Gross]] - SnapshotTable[[#This Row],[LC Premium]], "")</f>
        <v/>
      </c>
      <c r="EA330" s="305" t="str">
        <f>IF(ISNUMBER(SnapshotTable[[#This Row],[LC Target Gain Loss]]), SnapshotTable[[#This Row],[LC Target Gain Loss]]/SnapshotTable[[#This Row],[LC Premium]], "")</f>
        <v/>
      </c>
      <c r="EB330" s="262"/>
      <c r="EC330" s="283" t="str">
        <f>IF(SnapshotTable[[#This Row],[LC Premium]]&gt;0, SnapshotTable[[#This Row],[LC Book Price]] * (1 - LC_StopLoss_Pct),"")</f>
        <v/>
      </c>
      <c r="ED330" s="284"/>
      <c r="EE330" s="28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4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7"/>
      <c r="EL330" s="138"/>
      <c r="EM330" s="148"/>
      <c r="EN330" s="147"/>
      <c r="EO330" s="147"/>
      <c r="EP330" s="138"/>
      <c r="EQ330" s="419" t="b">
        <f>AND(ISNUMBER(SnapshotTable[[#This Row],[SC Exp Date]]), ISNUMBER(SnapshotTable[[#This Row],[SC Strike Price]]), ISNUMBER(SnapshotTable[[#This Row],[SC Qty]]), ISNUMBER(SnapshotTable[[#This Row],[SC Book Date]]), ISNUMBER(SnapshotTable[[#This Row],[SC Book Price]]))</f>
        <v>0</v>
      </c>
      <c r="ER330" s="419" t="b">
        <f>AND(SnapshotTable[[#This Row],[SC Is Booked]], NOT(ISBLANK(SnapshotTable[[#This Row],[SC Fill Date]])))</f>
        <v>0</v>
      </c>
      <c r="ES330" s="370"/>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3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283"/>
      <c r="FA330" s="218"/>
      <c r="FB330" s="370"/>
      <c r="FC330" s="4">
        <f>IF(SnapshotTable[[#This Row],[SC Is Filled]], btc_max_buyback_amount(SnapshotTable[[#This Row],[SC Fill Date]],SnapshotTable[[#This Row],[SC Exp Date]], SnapshotTable[[#This Row],[SC Book Price]]),0)</f>
        <v>0</v>
      </c>
      <c r="FD330" s="5"/>
      <c r="FE330" s="144"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382">
        <f>IF(SnapshotTable[[#This Row],[SC Is Filled]], IF(ISNUMBER(SnapshotTable[[#This Row],[SC Current Ask]]), SnapshotTable[[#This Row],[SC Current Ask]], SnapshotTable[[#This Row],[SC Book Price]]) - SnapshotTable[[#This Row],[SC Intrinsic Value]], 0)</f>
        <v>0</v>
      </c>
      <c r="FI330" s="143"/>
      <c r="FJ330" s="32" t="str">
        <f>IF(SnapshotTable[[#This Row],[SC Is Filled]],100 * SnapshotTable[[#This Row],[SC Qty]] * IF(ISNUMBER(SnapshotTable[[#This Row],[SC Buyback Override]]), SnapshotTable[[#This Row],[SC Buyback Override]], SnapshotTable[[#This Row],[SC Current Ask]]), "")</f>
        <v/>
      </c>
      <c r="FK330" s="250" t="str">
        <f>IF(SnapshotTable[[#This Row],[SC Time Val]]&gt;0, SnapshotTable[[#This Row],[SC Time Val]] / SnapshotTable[[#This Row],[Last Price]],"")</f>
        <v/>
      </c>
      <c r="FL330" s="302" t="str">
        <f>IF(SnapshotTable[[#This Row],[SC Is Booked]], ((SnapshotTable[[#This Row],[Last Price]] -SnapshotTable[[#This Row],[SC Strike Price]]) / SnapshotTable[[#This Row],[Last Price]]) * -1, "")</f>
        <v/>
      </c>
      <c r="FM330" s="157"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33"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36" t="str">
        <f>IF(AND(ISNUMBER(SnapshotTable[[#This Row],[SC Simple ROO]]),SnapshotTable[[#This Row],[SC Simple ROO]] &gt; 0), SnapshotTable[[#This Row],[SC Premium]] + (SnapshotTable[[#This Row],[SC Qty]] * SnapshotTable[[#This Row],[SC Upside Potential]]), "")</f>
        <v/>
      </c>
      <c r="FX330" s="302" t="str" cm="1">
        <f t="array" ref="FX330">IF(ISNUMBER(SnapshotTable[[#This Row],[SC Max Dollars]]), annualize(SnapshotTable[[#This Row],[SC Term]],(SnapshotTable[[#This Row],[SC Max Dollars]]/SnapshotTable[[#This Row],[SC Basis]])),"")</f>
        <v/>
      </c>
      <c r="FY330" s="23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29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39.9</v>
      </c>
      <c r="GD330" s="40">
        <f>SnapshotTable[[#This Row],[Last Price]] * (1+ SellingPriceToConsiderBasedOnTargetPercentage)</f>
        <v>125.7165</v>
      </c>
      <c r="GE330" s="41"/>
      <c r="GF330" s="40">
        <v>47.18</v>
      </c>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t="s">
        <v>783</v>
      </c>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31">
        <f>MAX(SnapshotTable[[#This Row],[Equity Basis Total]],SnapshotTable[[#This Row],[Equity Value]]) + (SnapshotTable[[#This Row],[SP Potential Spend]]- SnapshotTable[[#This Row],[SP Premium]] + SnapshotTable[[#This Row],[LP Premium]])+ (SnapshotTable[[#This Row],[LC Premium]] - SnapshotTable[[#This Row],[SC Premium]])</f>
        <v>0</v>
      </c>
      <c r="GW330" s="139" t="str">
        <f>IF(AND(SnapshotTable[[#This Row],[Exposure]] &lt;&gt; 0),SnapshotTable[[#This Row],[Exposure]] / SnapshotTable[[#Totals],[Exposure]], "")</f>
        <v/>
      </c>
      <c r="HK330" s="1"/>
      <c r="HL330" s="1"/>
      <c r="HM330" s="1"/>
      <c r="HN330" s="1"/>
      <c r="HO330" s="1"/>
      <c r="HP330" s="1"/>
    </row>
    <row r="331" spans="2:224" ht="12.75" hidden="1" customHeight="1" x14ac:dyDescent="0.25">
      <c r="B331" s="12" t="s">
        <v>510</v>
      </c>
      <c r="C331" s="422">
        <v>131.68</v>
      </c>
      <c r="D331" s="208"/>
      <c r="E331" s="39">
        <f>SnapshotTable[[#This Row],[Last Price]]*(1 -CrashDiscount)</f>
        <v>111.928</v>
      </c>
      <c r="F331" s="26" t="s">
        <v>5</v>
      </c>
      <c r="G331" s="26" t="s">
        <v>4</v>
      </c>
      <c r="H331" s="149"/>
      <c r="I331" s="194">
        <v>44596</v>
      </c>
      <c r="J331" s="195">
        <v>44596</v>
      </c>
      <c r="K331" s="196"/>
      <c r="L331" s="326"/>
      <c r="M331" s="140"/>
      <c r="N331" s="140"/>
      <c r="O331" s="140"/>
      <c r="P331" s="22"/>
      <c r="Q331" s="25"/>
      <c r="R331" s="4" t="str">
        <f>IF(SnapshotTable[[#This Row],[Equity Basis Total]] &gt; 0, SnapshotTable[[#This Row],[Equity Basis Total]] / SnapshotTable[[#This Row],[Equity Shares]], "")</f>
        <v/>
      </c>
      <c r="S331" s="269">
        <f>SnapshotTable[[#This Row],[Last Price]] * SnapshotTable[[#This Row],[Equity Shares]]</f>
        <v>0</v>
      </c>
      <c r="T331" s="269">
        <f>SnapshotTable[[#This Row],[Equity Value]] - SnapshotTable[[#This Row],[Equity Basis Total]]</f>
        <v>0</v>
      </c>
      <c r="U331" s="270" t="str">
        <f>IF(SnapshotTable[[#This Row],[Equity Basis Total]] &gt; 0, SnapshotTable[[#This Row],[Equity G/L]] / SnapshotTable[[#This Row],[Equity Basis Total]], "")</f>
        <v/>
      </c>
      <c r="V331" s="268"/>
      <c r="W331" s="268"/>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7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0"/>
      <c r="AD331" s="151"/>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1"/>
      <c r="AI331" s="5"/>
      <c r="AJ331" s="138" t="s">
        <v>164</v>
      </c>
      <c r="AK331" s="152" t="str">
        <f>IF(ISNUMBER( SnapshotTable[[#This Row],[EBF Target]]),(SnapshotTable[[#This Row],[EBF Target]] - SnapshotTable[[#This Row],[Last Price]]) / SnapshotTable[[#This Row],[Last Price]], "")</f>
        <v/>
      </c>
      <c r="AL331" s="152"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2" t="str">
        <f>IF(AND(ISNUMBER( SnapshotTable[[#This Row],[Long Term Target]]), ISNUMBER(SnapshotTable[[#This Row],[Last Price]])),(SnapshotTable[[#This Row],[Long Term Target]] - SnapshotTable[[#This Row],[Last Price]]) / SnapshotTable[[#This Row],[Last Price]], "")</f>
        <v/>
      </c>
      <c r="AP331" s="5">
        <v>13.5</v>
      </c>
      <c r="AQ331" s="38" t="s">
        <v>46</v>
      </c>
      <c r="AR331" s="5">
        <v>13.5</v>
      </c>
      <c r="AS331" s="38" t="s">
        <v>45</v>
      </c>
      <c r="AT331" s="146"/>
      <c r="AU331" s="187" t="str">
        <f>IF(OR(SnapshotTable[[#This Row],[LP No Fill]]="Y",SnapshotTable[[#This Row],[SP Is Filled]],SnapshotTable[[#This Row],[LC Not Filled]]="Y",SnapshotTable[[#This Row],[SC Is Filled]]),"Y","")</f>
        <v/>
      </c>
      <c r="AV331" s="219"/>
      <c r="AW331" s="225"/>
      <c r="AX331" s="220"/>
      <c r="AY331" s="219" t="str">
        <f>IF(SnapshotTable[[#This Row],[Implied Move]]&gt;0, SnapshotTable[[#This Row],[Last Price]]-SnapshotTable[[#This Row],[Implied Move]],"")</f>
        <v/>
      </c>
      <c r="AZ331" s="219" t="str">
        <f>IF(SnapshotTable[[#This Row],[Implied Move]]&gt;0, SnapshotTable[[#This Row],[Last Price]] + SnapshotTable[[#This Row],[Implied Move]],"")</f>
        <v/>
      </c>
      <c r="BA331" s="331"/>
      <c r="BB331" s="347"/>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51"/>
      <c r="BE331" s="5"/>
      <c r="BF331" s="14"/>
      <c r="BG331" s="13"/>
      <c r="BH331" s="13"/>
      <c r="BI331" s="5"/>
      <c r="BJ331" s="136">
        <f>IF(SnapshotTable[[#This Row],[LP Qty]] &gt; 0, SnapshotTable[[#This Row],[LP Qty]] * SnapshotTable[[#This Row],[LP Book Price]] * 100,0)</f>
        <v>0</v>
      </c>
      <c r="BK331" s="136">
        <f>IF(SnapshotTable[[#This Row],[LP Premium]] &gt; 0, SnapshotTable[[#This Row],[LP Qty]] * SnapshotTable[[#This Row],[LP Strike Price]] * 100,0)</f>
        <v>0</v>
      </c>
      <c r="BL331" s="154"/>
      <c r="BM331" s="385" t="str">
        <f>IF(SnapshotTable[[#This Row],[LP Premium]] &gt; 0,SnapshotTable[[#This Row],[LP Exp Date]]-MAX(SnapshotTable[[#This Row],[LP Book Date]], SnapshotTable[[#This Row],[LP Fill Date]]),"")</f>
        <v/>
      </c>
      <c r="BN331" s="385" t="str">
        <f>IF(ISNUMBER( SnapshotTable[[#This Row],[LP Term]]), SnapshotTable[[#This Row],[LP Exp Date]] - MockToday,"")</f>
        <v/>
      </c>
      <c r="BO331" s="163"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7"/>
      <c r="BU331" s="13"/>
      <c r="BV331" s="5"/>
      <c r="BW331" s="419" t="b">
        <f>AND(ISNUMBER(SnapshotTable[[#This Row],[SP Exp Date]]), ISNUMBER(SnapshotTable[[#This Row],[SP Strike Price]]), ISNUMBER(SnapshotTable[[#This Row],[SP Qty]]), ISNUMBER(SnapshotTable[[#This Row],[SP Book Date]]), ISNUMBER(SnapshotTable[[#This Row],[SP Book Price]]))</f>
        <v>0</v>
      </c>
      <c r="BX331" s="419" t="b">
        <f>AND(SnapshotTable[[#This Row],[SP Is Booked]], NOT(ISBLANK(SnapshotTable[[#This Row],[SP Fill Date]])))</f>
        <v>0</v>
      </c>
      <c r="BY331" s="33">
        <f>IF(SnapshotTable[[#This Row],[SP Is Booked]], SnapshotTable[[#This Row],[SP Qty]] * SnapshotTable[[#This Row],[SP Book Price]] * 100, 0)</f>
        <v>0</v>
      </c>
      <c r="BZ331" s="369"/>
      <c r="CA331" s="368">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3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44"/>
      <c r="CK331" s="31">
        <f>IF(ISNUMBER(SnapshotTable[[#This Row],[SP Potential Spend]]),IF(ISNUMBER(SnapshotTable[[#This Row],[SP POW]]), SnapshotTable[[#This Row],[SP POW]] * SnapshotTable[[#This Row],[SP Potential Spend]], SnapshotTable[[#This Row],[SP Potential Spend]]), "")</f>
        <v>0</v>
      </c>
      <c r="CL331" s="164">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8"/>
      <c r="CO331" s="369"/>
      <c r="CP331" s="4" t="str">
        <f>IF(SnapshotTable[[#This Row],[SP Is Filled]], btc_max_buyback_amount(SnapshotTable[[#This Row],[SP Fill Date]],SnapshotTable[[#This Row],[SP Exp Date]], SnapshotTable[[#This Row],[SP Book Price]]),"")</f>
        <v/>
      </c>
      <c r="CQ331" s="78"/>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5" t="str">
        <f>IF(SnapshotTable[[#This Row],[SP Is Filled]], btc_next_cutoff_date(SnapshotTable[[#This Row],[SP Fill Date]],SnapshotTable[[#This Row],[SP Exp Date]]),"")</f>
        <v/>
      </c>
      <c r="CT331" s="23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3"/>
      <c r="CV331" s="235"/>
      <c r="CW331" s="378"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294" t="str">
        <f>IF(ISNUMBER((SnapshotTable[[#This Row],[SP Total Value]])), SnapshotTable[[#This Row],[SP Gain Loss]] / SnapshotTable[[#This Row],[SP Premium]], "")</f>
        <v/>
      </c>
      <c r="DI331" s="406"/>
      <c r="DJ331" s="138"/>
      <c r="DK331" s="148"/>
      <c r="DL331" s="13"/>
      <c r="DM331" s="13"/>
      <c r="DO331" s="31">
        <f>IF(SnapshotTable[[#This Row],[LC Symbol Count]]=1, SnapshotTable[[#This Row],[LC Qty]] * SnapshotTable[[#This Row],[LC Book Price]] * 100, 0)</f>
        <v>0</v>
      </c>
      <c r="DP331" s="163" t="str">
        <f>IF(AND(SnapshotTable[[#This Row],[LC Exp Date]]&gt;0, SnapshotTable[[#This Row],[LC Strike Price]]&gt;0,SnapshotTable[[#This Row],[LC Qty]]&gt;0,SnapshotTable[[#This Row],[LC Book Date]]&gt;0,SnapshotTable[[#This Row],[LC Book Price]]&gt;0,SnapshotTable[[#This Row],[LC Fill Date]]=0),"Y","")</f>
        <v/>
      </c>
      <c r="DQ331" s="386" t="str">
        <f>IF(SnapshotTable[[#This Row],[LC Premium]] &gt; 0,SnapshotTable[[#This Row],[LC Exp Date]]-MAX(SnapshotTable[[#This Row],[LC Book Date]], SnapshotTable[[#This Row],[LC Fill Date]]),"")</f>
        <v/>
      </c>
      <c r="DR331" s="386" t="str">
        <f>IF(ISNUMBER(SnapshotTable[[#This Row],[LC Term]]), SnapshotTable[[#This Row],[LC Exp Date]] - MockToday, "")</f>
        <v/>
      </c>
      <c r="DS331" s="23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40" t="str">
        <f>IF(ISNUMBER(SnapshotTable[[#This Row],[LC Actual Gain Loss]]), SnapshotTable[[#This Row],[LC Actual Gain Loss]] / SnapshotTable[[#This Row],[LC Premium]],"")</f>
        <v/>
      </c>
      <c r="DX331" s="284" t="str">
        <f>IF(ISNUMBER(SnapshotTable[[#This Row],[LC Book Price]]),SnapshotTable[[#This Row],[LC Book Price]] * 1.5,"")</f>
        <v/>
      </c>
      <c r="DY331" s="265" t="str">
        <f>IF(SnapshotTable[[#This Row],[LC Premium]]&gt;0, SnapshotTable[[#This Row],[LC Next Target]] * SnapshotTable[[#This Row],[LC Qty]] * 100,"")</f>
        <v/>
      </c>
      <c r="DZ331" s="265" t="str">
        <f>IF(ISNUMBER(SnapshotTable[[#This Row],[LC Target Gross]]), SnapshotTable[[#This Row],[LC Target Gross]] - SnapshotTable[[#This Row],[LC Premium]], "")</f>
        <v/>
      </c>
      <c r="EA331" s="305" t="str">
        <f>IF(ISNUMBER(SnapshotTable[[#This Row],[LC Target Gain Loss]]), SnapshotTable[[#This Row],[LC Target Gain Loss]]/SnapshotTable[[#This Row],[LC Premium]], "")</f>
        <v/>
      </c>
      <c r="EB331" s="262"/>
      <c r="EC331" s="283" t="str">
        <f>IF(SnapshotTable[[#This Row],[LC Premium]]&gt;0, SnapshotTable[[#This Row],[LC Book Price]] * (1 - LC_StopLoss_Pct),"")</f>
        <v/>
      </c>
      <c r="ED331" s="284"/>
      <c r="EE331" s="28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4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7"/>
      <c r="EL331" s="138"/>
      <c r="EM331" s="148"/>
      <c r="EN331" s="147"/>
      <c r="EO331" s="147"/>
      <c r="EP331" s="138"/>
      <c r="EQ331" s="419" t="b">
        <f>AND(ISNUMBER(SnapshotTable[[#This Row],[SC Exp Date]]), ISNUMBER(SnapshotTable[[#This Row],[SC Strike Price]]), ISNUMBER(SnapshotTable[[#This Row],[SC Qty]]), ISNUMBER(SnapshotTable[[#This Row],[SC Book Date]]), ISNUMBER(SnapshotTable[[#This Row],[SC Book Price]]))</f>
        <v>0</v>
      </c>
      <c r="ER331" s="419" t="b">
        <f>AND(SnapshotTable[[#This Row],[SC Is Booked]], NOT(ISBLANK(SnapshotTable[[#This Row],[SC Fill Date]])))</f>
        <v>0</v>
      </c>
      <c r="ES331" s="370"/>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3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283"/>
      <c r="FA331" s="218"/>
      <c r="FB331" s="370"/>
      <c r="FC331" s="4">
        <f>IF(SnapshotTable[[#This Row],[SC Is Filled]], btc_max_buyback_amount(SnapshotTable[[#This Row],[SC Fill Date]],SnapshotTable[[#This Row],[SC Exp Date]], SnapshotTable[[#This Row],[SC Book Price]]),0)</f>
        <v>0</v>
      </c>
      <c r="FD331" s="5"/>
      <c r="FE331" s="144"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382">
        <f>IF(SnapshotTable[[#This Row],[SC Is Filled]], IF(ISNUMBER(SnapshotTable[[#This Row],[SC Current Ask]]), SnapshotTable[[#This Row],[SC Current Ask]], SnapshotTable[[#This Row],[SC Book Price]]) - SnapshotTable[[#This Row],[SC Intrinsic Value]], 0)</f>
        <v>0</v>
      </c>
      <c r="FI331" s="143"/>
      <c r="FJ331" s="32" t="str">
        <f>IF(SnapshotTable[[#This Row],[SC Is Filled]],100 * SnapshotTable[[#This Row],[SC Qty]] * IF(ISNUMBER(SnapshotTable[[#This Row],[SC Buyback Override]]), SnapshotTable[[#This Row],[SC Buyback Override]], SnapshotTable[[#This Row],[SC Current Ask]]), "")</f>
        <v/>
      </c>
      <c r="FK331" s="250" t="str">
        <f>IF(SnapshotTable[[#This Row],[SC Time Val]]&gt;0, SnapshotTable[[#This Row],[SC Time Val]] / SnapshotTable[[#This Row],[Last Price]],"")</f>
        <v/>
      </c>
      <c r="FL331" s="302" t="str">
        <f>IF(SnapshotTable[[#This Row],[SC Is Booked]], ((SnapshotTable[[#This Row],[Last Price]] -SnapshotTable[[#This Row],[SC Strike Price]]) / SnapshotTable[[#This Row],[Last Price]]) * -1, "")</f>
        <v/>
      </c>
      <c r="FM331" s="157"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33"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36" t="str">
        <f>IF(AND(ISNUMBER(SnapshotTable[[#This Row],[SC Simple ROO]]),SnapshotTable[[#This Row],[SC Simple ROO]] &gt; 0), SnapshotTable[[#This Row],[SC Premium]] + (SnapshotTable[[#This Row],[SC Qty]] * SnapshotTable[[#This Row],[SC Upside Potential]]), "")</f>
        <v/>
      </c>
      <c r="FX331" s="302" t="str" cm="1">
        <f t="array" ref="FX331">IF(ISNUMBER(SnapshotTable[[#This Row],[SC Max Dollars]]), annualize(SnapshotTable[[#This Row],[SC Term]],(SnapshotTable[[#This Row],[SC Max Dollars]]/SnapshotTable[[#This Row],[SC Basis]])),"")</f>
        <v/>
      </c>
      <c r="FY331" s="23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294" t="str">
        <f>IFERROR( IF(ISNUMBER((SnapshotTable[[#This Row],[SC Current Value]])), SnapshotTable[[#This Row],[SC Gain Loss]] / SnapshotTable[[#This Row],[SC Premium]], ""), "")</f>
        <v/>
      </c>
      <c r="GB331" s="42">
        <f>SnapshotTable[[#This Row],[Equity Shares]] * SaleSharesToConsiderPercentage</f>
        <v>0</v>
      </c>
      <c r="GC331" s="40" t="e">
        <f>SnapshotTable[[#This Row],[Long Term Target]] * SellingPriceToConsiderBasedOnTargetPercentage</f>
        <v>#VALUE!</v>
      </c>
      <c r="GD331" s="40">
        <f>SnapshotTable[[#This Row],[Last Price]] * (1+ SellingPriceToConsiderBasedOnTargetPercentage)</f>
        <v>256.77600000000001</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784</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31">
        <f>MAX(SnapshotTable[[#This Row],[Equity Basis Total]],SnapshotTable[[#This Row],[Equity Value]]) + (SnapshotTable[[#This Row],[SP Potential Spend]]- SnapshotTable[[#This Row],[SP Premium]] + SnapshotTable[[#This Row],[LP Premium]])+ (SnapshotTable[[#This Row],[LC Premium]] - SnapshotTable[[#This Row],[SC Premium]])</f>
        <v>0</v>
      </c>
      <c r="GW331" s="139" t="str">
        <f>IF(AND(SnapshotTable[[#This Row],[Exposure]] &lt;&gt; 0),SnapshotTable[[#This Row],[Exposure]] / SnapshotTable[[#Totals],[Exposure]], "")</f>
        <v/>
      </c>
      <c r="HK331" s="1"/>
      <c r="HL331" s="1"/>
      <c r="HM331" s="1"/>
      <c r="HN331" s="1"/>
      <c r="HO331" s="1"/>
      <c r="HP331" s="1"/>
    </row>
    <row r="332" spans="2:224" ht="12.75" hidden="1" customHeight="1" x14ac:dyDescent="0.25">
      <c r="B332" s="12" t="s">
        <v>251</v>
      </c>
      <c r="C332" s="422">
        <v>131.24</v>
      </c>
      <c r="D332" s="208"/>
      <c r="E332" s="39">
        <f>SnapshotTable[[#This Row],[Last Price]]*(1 -CrashDiscount)</f>
        <v>111.554</v>
      </c>
      <c r="F332" s="26" t="s">
        <v>135</v>
      </c>
      <c r="G332" s="26" t="s">
        <v>20</v>
      </c>
      <c r="H332" s="149"/>
      <c r="I332" s="194">
        <v>44596</v>
      </c>
      <c r="J332" s="195">
        <v>44596</v>
      </c>
      <c r="K332" s="196"/>
      <c r="L332" s="326"/>
      <c r="M332" s="140"/>
      <c r="N332" s="140"/>
      <c r="O332" s="140">
        <v>1</v>
      </c>
      <c r="P332" s="22"/>
      <c r="Q332" s="25"/>
      <c r="R332" s="4" t="str">
        <f>IF(SnapshotTable[[#This Row],[Equity Basis Total]] &gt; 0, SnapshotTable[[#This Row],[Equity Basis Total]] / SnapshotTable[[#This Row],[Equity Shares]], "")</f>
        <v/>
      </c>
      <c r="S332" s="269">
        <f>SnapshotTable[[#This Row],[Last Price]] * SnapshotTable[[#This Row],[Equity Shares]]</f>
        <v>0</v>
      </c>
      <c r="T332" s="269">
        <f>SnapshotTable[[#This Row],[Equity Value]] - SnapshotTable[[#This Row],[Equity Basis Total]]</f>
        <v>0</v>
      </c>
      <c r="U332" s="270" t="str">
        <f>IF(SnapshotTable[[#This Row],[Equity Basis Total]] &gt; 0, SnapshotTable[[#This Row],[Equity G/L]] / SnapshotTable[[#This Row],[Equity Basis Total]], "")</f>
        <v/>
      </c>
      <c r="V332" s="268"/>
      <c r="W332" s="26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7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0">
        <v>2.8</v>
      </c>
      <c r="AD332" s="151">
        <v>42988</v>
      </c>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2.1334958854007921E-2</v>
      </c>
      <c r="AH332" s="151">
        <v>42963</v>
      </c>
      <c r="AI332" s="5"/>
      <c r="AJ332" s="138">
        <v>198.76</v>
      </c>
      <c r="AK332" s="152" t="str">
        <f>IF(ISNUMBER( SnapshotTable[[#This Row],[EBF Target]]),(SnapshotTable[[#This Row],[EBF Target]] - SnapshotTable[[#This Row],[Last Price]]) / SnapshotTable[[#This Row],[Last Price]], "")</f>
        <v/>
      </c>
      <c r="AL332" s="152"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2">
        <f>IF(AND(ISNUMBER( SnapshotTable[[#This Row],[Long Term Target]]), ISNUMBER(SnapshotTable[[#This Row],[Last Price]])),(SnapshotTable[[#This Row],[Long Term Target]] - SnapshotTable[[#This Row],[Last Price]]) / SnapshotTable[[#This Row],[Last Price]], "")</f>
        <v>0.51447729350807658</v>
      </c>
      <c r="AP332" s="5"/>
      <c r="AQ332" s="38"/>
      <c r="AR332" s="5"/>
      <c r="AS332" s="38"/>
      <c r="AT332" s="146"/>
      <c r="AU332" s="187" t="str">
        <f>IF(OR(SnapshotTable[[#This Row],[LP No Fill]]="Y",SnapshotTable[[#This Row],[SP Is Filled]],SnapshotTable[[#This Row],[LC Not Filled]]="Y",SnapshotTable[[#This Row],[SC Is Filled]]),"Y","")</f>
        <v/>
      </c>
      <c r="AV332" s="219"/>
      <c r="AW332" s="225"/>
      <c r="AX332" s="220"/>
      <c r="AY332" s="219" t="str">
        <f>IF(SnapshotTable[[#This Row],[Implied Move]]&gt;0, SnapshotTable[[#This Row],[Last Price]]-SnapshotTable[[#This Row],[Implied Move]],"")</f>
        <v/>
      </c>
      <c r="AZ332" s="219" t="str">
        <f>IF(SnapshotTable[[#This Row],[Implied Move]]&gt;0, SnapshotTable[[#This Row],[Last Price]] + SnapshotTable[[#This Row],[Implied Move]],"")</f>
        <v/>
      </c>
      <c r="BA332" s="331"/>
      <c r="BB332" s="347"/>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51"/>
      <c r="BE332" s="5"/>
      <c r="BF332" s="14"/>
      <c r="BG332" s="13"/>
      <c r="BH332" s="13"/>
      <c r="BI332" s="5"/>
      <c r="BJ332" s="136">
        <f>IF(SnapshotTable[[#This Row],[LP Qty]] &gt; 0, SnapshotTable[[#This Row],[LP Qty]] * SnapshotTable[[#This Row],[LP Book Price]] * 100,0)</f>
        <v>0</v>
      </c>
      <c r="BK332" s="136">
        <f>IF(SnapshotTable[[#This Row],[LP Premium]] &gt; 0, SnapshotTable[[#This Row],[LP Qty]] * SnapshotTable[[#This Row],[LP Strike Price]] * 100,0)</f>
        <v>0</v>
      </c>
      <c r="BL332" s="154"/>
      <c r="BM332" s="385" t="str">
        <f>IF(SnapshotTable[[#This Row],[LP Premium]] &gt; 0,SnapshotTable[[#This Row],[LP Exp Date]]-MAX(SnapshotTable[[#This Row],[LP Book Date]], SnapshotTable[[#This Row],[LP Fill Date]]),"")</f>
        <v/>
      </c>
      <c r="BN332" s="385" t="str">
        <f>IF(ISNUMBER( SnapshotTable[[#This Row],[LP Term]]), SnapshotTable[[#This Row],[LP Exp Date]] - MockToday,"")</f>
        <v/>
      </c>
      <c r="BO332" s="163"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7"/>
      <c r="BU332" s="13"/>
      <c r="BV332" s="5"/>
      <c r="BW332" s="419" t="b">
        <f>AND(ISNUMBER(SnapshotTable[[#This Row],[SP Exp Date]]), ISNUMBER(SnapshotTable[[#This Row],[SP Strike Price]]), ISNUMBER(SnapshotTable[[#This Row],[SP Qty]]), ISNUMBER(SnapshotTable[[#This Row],[SP Book Date]]), ISNUMBER(SnapshotTable[[#This Row],[SP Book Price]]))</f>
        <v>0</v>
      </c>
      <c r="BX332" s="419" t="b">
        <f>AND(SnapshotTable[[#This Row],[SP Is Booked]], NOT(ISBLANK(SnapshotTable[[#This Row],[SP Fill Date]])))</f>
        <v>0</v>
      </c>
      <c r="BY332" s="33">
        <f>IF(SnapshotTable[[#This Row],[SP Is Booked]], SnapshotTable[[#This Row],[SP Qty]] * SnapshotTable[[#This Row],[SP Book Price]] * 100, 0)</f>
        <v>0</v>
      </c>
      <c r="BZ332" s="369"/>
      <c r="CA332" s="368">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3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44"/>
      <c r="CK332" s="31">
        <f>IF(ISNUMBER(SnapshotTable[[#This Row],[SP Potential Spend]]),IF(ISNUMBER(SnapshotTable[[#This Row],[SP POW]]), SnapshotTable[[#This Row],[SP POW]] * SnapshotTable[[#This Row],[SP Potential Spend]], SnapshotTable[[#This Row],[SP Potential Spend]]), "")</f>
        <v>0</v>
      </c>
      <c r="CL332" s="164">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8"/>
      <c r="CO332" s="369"/>
      <c r="CP332" s="4" t="str">
        <f>IF(SnapshotTable[[#This Row],[SP Is Filled]], btc_max_buyback_amount(SnapshotTable[[#This Row],[SP Fill Date]],SnapshotTable[[#This Row],[SP Exp Date]], SnapshotTable[[#This Row],[SP Book Price]]),"")</f>
        <v/>
      </c>
      <c r="CQ332" s="78"/>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5" t="str">
        <f>IF(SnapshotTable[[#This Row],[SP Is Filled]], btc_next_cutoff_date(SnapshotTable[[#This Row],[SP Fill Date]],SnapshotTable[[#This Row],[SP Exp Date]]),"")</f>
        <v/>
      </c>
      <c r="CT332" s="23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3"/>
      <c r="CV332" s="235"/>
      <c r="CW332" s="378"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294" t="str">
        <f>IF(ISNUMBER((SnapshotTable[[#This Row],[SP Total Value]])), SnapshotTable[[#This Row],[SP Gain Loss]] / SnapshotTable[[#This Row],[SP Premium]], "")</f>
        <v/>
      </c>
      <c r="DI332" s="406"/>
      <c r="DJ332" s="138"/>
      <c r="DK332" s="148"/>
      <c r="DL332" s="13"/>
      <c r="DM332" s="13"/>
      <c r="DO332" s="31">
        <f>IF(SnapshotTable[[#This Row],[LC Symbol Count]]=1, SnapshotTable[[#This Row],[LC Qty]] * SnapshotTable[[#This Row],[LC Book Price]] * 100, 0)</f>
        <v>0</v>
      </c>
      <c r="DP332" s="163" t="str">
        <f>IF(AND(SnapshotTable[[#This Row],[LC Exp Date]]&gt;0, SnapshotTable[[#This Row],[LC Strike Price]]&gt;0,SnapshotTable[[#This Row],[LC Qty]]&gt;0,SnapshotTable[[#This Row],[LC Book Date]]&gt;0,SnapshotTable[[#This Row],[LC Book Price]]&gt;0,SnapshotTable[[#This Row],[LC Fill Date]]=0),"Y","")</f>
        <v/>
      </c>
      <c r="DQ332" s="386" t="str">
        <f>IF(SnapshotTable[[#This Row],[LC Premium]] &gt; 0,SnapshotTable[[#This Row],[LC Exp Date]]-MAX(SnapshotTable[[#This Row],[LC Book Date]], SnapshotTable[[#This Row],[LC Fill Date]]),"")</f>
        <v/>
      </c>
      <c r="DR332" s="386" t="str">
        <f>IF(ISNUMBER(SnapshotTable[[#This Row],[LC Term]]), SnapshotTable[[#This Row],[LC Exp Date]] - MockToday, "")</f>
        <v/>
      </c>
      <c r="DS332" s="23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40" t="str">
        <f>IF(ISNUMBER(SnapshotTable[[#This Row],[LC Actual Gain Loss]]), SnapshotTable[[#This Row],[LC Actual Gain Loss]] / SnapshotTable[[#This Row],[LC Premium]],"")</f>
        <v/>
      </c>
      <c r="DX332" s="284" t="str">
        <f>IF(ISNUMBER(SnapshotTable[[#This Row],[LC Book Price]]),SnapshotTable[[#This Row],[LC Book Price]] * 1.5,"")</f>
        <v/>
      </c>
      <c r="DY332" s="265" t="str">
        <f>IF(SnapshotTable[[#This Row],[LC Premium]]&gt;0, SnapshotTable[[#This Row],[LC Next Target]] * SnapshotTable[[#This Row],[LC Qty]] * 100,"")</f>
        <v/>
      </c>
      <c r="DZ332" s="265" t="str">
        <f>IF(ISNUMBER(SnapshotTable[[#This Row],[LC Target Gross]]), SnapshotTable[[#This Row],[LC Target Gross]] - SnapshotTable[[#This Row],[LC Premium]], "")</f>
        <v/>
      </c>
      <c r="EA332" s="305" t="str">
        <f>IF(ISNUMBER(SnapshotTable[[#This Row],[LC Target Gain Loss]]), SnapshotTable[[#This Row],[LC Target Gain Loss]]/SnapshotTable[[#This Row],[LC Premium]], "")</f>
        <v/>
      </c>
      <c r="EB332" s="262"/>
      <c r="EC332" s="283" t="str">
        <f>IF(SnapshotTable[[#This Row],[LC Premium]]&gt;0, SnapshotTable[[#This Row],[LC Book Price]] * (1 - LC_StopLoss_Pct),"")</f>
        <v/>
      </c>
      <c r="ED332" s="284"/>
      <c r="EE332" s="28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4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7"/>
      <c r="EL332" s="138"/>
      <c r="EM332" s="148"/>
      <c r="EN332" s="147"/>
      <c r="EO332" s="147"/>
      <c r="EP332" s="138"/>
      <c r="EQ332" s="419" t="b">
        <f>AND(ISNUMBER(SnapshotTable[[#This Row],[SC Exp Date]]), ISNUMBER(SnapshotTable[[#This Row],[SC Strike Price]]), ISNUMBER(SnapshotTable[[#This Row],[SC Qty]]), ISNUMBER(SnapshotTable[[#This Row],[SC Book Date]]), ISNUMBER(SnapshotTable[[#This Row],[SC Book Price]]))</f>
        <v>0</v>
      </c>
      <c r="ER332" s="419" t="b">
        <f>AND(SnapshotTable[[#This Row],[SC Is Booked]], NOT(ISBLANK(SnapshotTable[[#This Row],[SC Fill Date]])))</f>
        <v>0</v>
      </c>
      <c r="ES332" s="370"/>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3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283"/>
      <c r="FA332" s="218"/>
      <c r="FB332" s="370"/>
      <c r="FC332" s="4">
        <f>IF(SnapshotTable[[#This Row],[SC Is Filled]], btc_max_buyback_amount(SnapshotTable[[#This Row],[SC Fill Date]],SnapshotTable[[#This Row],[SC Exp Date]], SnapshotTable[[#This Row],[SC Book Price]]),0)</f>
        <v>0</v>
      </c>
      <c r="FD332" s="5"/>
      <c r="FE332" s="144"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382">
        <f>IF(SnapshotTable[[#This Row],[SC Is Filled]], IF(ISNUMBER(SnapshotTable[[#This Row],[SC Current Ask]]), SnapshotTable[[#This Row],[SC Current Ask]], SnapshotTable[[#This Row],[SC Book Price]]) - SnapshotTable[[#This Row],[SC Intrinsic Value]], 0)</f>
        <v>0</v>
      </c>
      <c r="FI332" s="143"/>
      <c r="FJ332" s="32" t="str">
        <f>IF(SnapshotTable[[#This Row],[SC Is Filled]],100 * SnapshotTable[[#This Row],[SC Qty]] * IF(ISNUMBER(SnapshotTable[[#This Row],[SC Buyback Override]]), SnapshotTable[[#This Row],[SC Buyback Override]], SnapshotTable[[#This Row],[SC Current Ask]]), "")</f>
        <v/>
      </c>
      <c r="FK332" s="250" t="str">
        <f>IF(SnapshotTable[[#This Row],[SC Time Val]]&gt;0, SnapshotTable[[#This Row],[SC Time Val]] / SnapshotTable[[#This Row],[Last Price]],"")</f>
        <v/>
      </c>
      <c r="FL332" s="302" t="str">
        <f>IF(SnapshotTable[[#This Row],[SC Is Booked]], ((SnapshotTable[[#This Row],[Last Price]] -SnapshotTable[[#This Row],[SC Strike Price]]) / SnapshotTable[[#This Row],[Last Price]]) * -1, "")</f>
        <v/>
      </c>
      <c r="FM332" s="157"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33"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36" t="str">
        <f>IF(AND(ISNUMBER(SnapshotTable[[#This Row],[SC Simple ROO]]),SnapshotTable[[#This Row],[SC Simple ROO]] &gt; 0), SnapshotTable[[#This Row],[SC Premium]] + (SnapshotTable[[#This Row],[SC Qty]] * SnapshotTable[[#This Row],[SC Upside Potential]]), "")</f>
        <v/>
      </c>
      <c r="FX332" s="302" t="str" cm="1">
        <f t="array" ref="FX332">IF(ISNUMBER(SnapshotTable[[#This Row],[SC Max Dollars]]), annualize(SnapshotTable[[#This Row],[SC Term]],(SnapshotTable[[#This Row],[SC Max Dollars]]/SnapshotTable[[#This Row],[SC Basis]])),"")</f>
        <v/>
      </c>
      <c r="FY332" s="23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29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188.82199999999997</v>
      </c>
      <c r="GD332" s="40">
        <f>SnapshotTable[[#This Row],[Last Price]] * (1+ SellingPriceToConsiderBasedOnTargetPercentage)</f>
        <v>255.91800000000001</v>
      </c>
      <c r="GE332" s="41"/>
      <c r="GF332" s="40">
        <v>128.88</v>
      </c>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785</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31">
        <f>MAX(SnapshotTable[[#This Row],[Equity Basis Total]],SnapshotTable[[#This Row],[Equity Value]]) + (SnapshotTable[[#This Row],[SP Potential Spend]]- SnapshotTable[[#This Row],[SP Premium]] + SnapshotTable[[#This Row],[LP Premium]])+ (SnapshotTable[[#This Row],[LC Premium]] - SnapshotTable[[#This Row],[SC Premium]])</f>
        <v>0</v>
      </c>
      <c r="GW332" s="139" t="str">
        <f>IF(AND(SnapshotTable[[#This Row],[Exposure]] &lt;&gt; 0),SnapshotTable[[#This Row],[Exposure]] / SnapshotTable[[#Totals],[Exposure]], "")</f>
        <v/>
      </c>
      <c r="HK332" s="1"/>
      <c r="HL332" s="1"/>
      <c r="HM332" s="1"/>
      <c r="HN332" s="1"/>
      <c r="HO332" s="1"/>
      <c r="HP332" s="1"/>
    </row>
    <row r="333" spans="2:224" ht="12.75" hidden="1" customHeight="1" x14ac:dyDescent="0.25">
      <c r="B333" s="12" t="s">
        <v>1220</v>
      </c>
      <c r="C333" s="422">
        <v>28.45</v>
      </c>
      <c r="D333" s="208"/>
      <c r="E333" s="39">
        <f>SnapshotTable[[#This Row],[Last Price]]*(1 -CrashDiscount)</f>
        <v>24.182499999999997</v>
      </c>
      <c r="F333" s="26"/>
      <c r="G333" s="26"/>
      <c r="H333" s="149"/>
      <c r="I333" s="194"/>
      <c r="J333" s="195"/>
      <c r="K333" s="196"/>
      <c r="L333" s="326"/>
      <c r="M333" s="140"/>
      <c r="N333" s="140"/>
      <c r="O333" s="140"/>
      <c r="P333" s="22"/>
      <c r="Q333" s="25"/>
      <c r="R333" s="4" t="str">
        <f>IF(SnapshotTable[[#This Row],[Equity Basis Total]] &gt; 0, SnapshotTable[[#This Row],[Equity Basis Total]] / SnapshotTable[[#This Row],[Equity Shares]], "")</f>
        <v/>
      </c>
      <c r="S333" s="269">
        <f>SnapshotTable[[#This Row],[Last Price]] * SnapshotTable[[#This Row],[Equity Shares]]</f>
        <v>0</v>
      </c>
      <c r="T333" s="269">
        <f>SnapshotTable[[#This Row],[Equity Value]] - SnapshotTable[[#This Row],[Equity Basis Total]]</f>
        <v>0</v>
      </c>
      <c r="U333" s="270" t="str">
        <f>IF(SnapshotTable[[#This Row],[Equity Basis Total]] &gt; 0, SnapshotTable[[#This Row],[Equity G/L]] / SnapshotTable[[#This Row],[Equity Basis Total]], "")</f>
        <v/>
      </c>
      <c r="V333" s="268"/>
      <c r="W333" s="26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7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0"/>
      <c r="AD333" s="151"/>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0</v>
      </c>
      <c r="AH333" s="151"/>
      <c r="AI333" s="5"/>
      <c r="AJ333" s="138"/>
      <c r="AK333" s="152" t="str">
        <f>IF(ISNUMBER( SnapshotTable[[#This Row],[EBF Target]]),(SnapshotTable[[#This Row],[EBF Target]] - SnapshotTable[[#This Row],[Last Price]]) / SnapshotTable[[#This Row],[Last Price]], "")</f>
        <v/>
      </c>
      <c r="AL333" s="152"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2" t="str">
        <f>IF(AND(ISNUMBER( SnapshotTable[[#This Row],[Long Term Target]]), ISNUMBER(SnapshotTable[[#This Row],[Last Price]])),(SnapshotTable[[#This Row],[Long Term Target]] - SnapshotTable[[#This Row],[Last Price]]) / SnapshotTable[[#This Row],[Last Price]], "")</f>
        <v/>
      </c>
      <c r="AP333" s="5"/>
      <c r="AQ333" s="38"/>
      <c r="AR333" s="5"/>
      <c r="AS333" s="38"/>
      <c r="AT333" s="146"/>
      <c r="AU333" s="187" t="str">
        <f>IF(OR(SnapshotTable[[#This Row],[LP No Fill]]="Y",SnapshotTable[[#This Row],[SP Is Filled]],SnapshotTable[[#This Row],[LC Not Filled]]="Y",SnapshotTable[[#This Row],[SC Is Filled]]),"Y","")</f>
        <v/>
      </c>
      <c r="AV333" s="219"/>
      <c r="AW333" s="225"/>
      <c r="AX333" s="220"/>
      <c r="AY333" s="219" t="str">
        <f>IF(SnapshotTable[[#This Row],[Implied Move]]&gt;0, SnapshotTable[[#This Row],[Last Price]]-SnapshotTable[[#This Row],[Implied Move]],"")</f>
        <v/>
      </c>
      <c r="AZ333" s="219" t="str">
        <f>IF(SnapshotTable[[#This Row],[Implied Move]]&gt;0, SnapshotTable[[#This Row],[Last Price]] + SnapshotTable[[#This Row],[Implied Move]],"")</f>
        <v/>
      </c>
      <c r="BA333" s="331">
        <v>0.86</v>
      </c>
      <c r="BB333" s="347"/>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51"/>
      <c r="BE333" s="5"/>
      <c r="BF333" s="14"/>
      <c r="BG333" s="13"/>
      <c r="BH333" s="13"/>
      <c r="BI333" s="5"/>
      <c r="BJ333" s="136">
        <f>IF(SnapshotTable[[#This Row],[LP Qty]] &gt; 0, SnapshotTable[[#This Row],[LP Qty]] * SnapshotTable[[#This Row],[LP Book Price]] * 100,0)</f>
        <v>0</v>
      </c>
      <c r="BK333" s="136">
        <f>IF(SnapshotTable[[#This Row],[LP Premium]] &gt; 0, SnapshotTable[[#This Row],[LP Qty]] * SnapshotTable[[#This Row],[LP Strike Price]] * 100,0)</f>
        <v>0</v>
      </c>
      <c r="BL333" s="154"/>
      <c r="BM333" s="385" t="str">
        <f>IF(SnapshotTable[[#This Row],[LP Premium]] &gt; 0,SnapshotTable[[#This Row],[LP Exp Date]]-MAX(SnapshotTable[[#This Row],[LP Book Date]], SnapshotTable[[#This Row],[LP Fill Date]]),"")</f>
        <v/>
      </c>
      <c r="BN333" s="385" t="str">
        <f>IF(ISNUMBER( SnapshotTable[[#This Row],[LP Term]]), SnapshotTable[[#This Row],[LP Exp Date]] - MockToday,"")</f>
        <v/>
      </c>
      <c r="BO333" s="163"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7"/>
      <c r="BU333" s="13"/>
      <c r="BV333" s="5"/>
      <c r="BW333" s="419" t="b">
        <f>AND(ISNUMBER(SnapshotTable[[#This Row],[SP Exp Date]]), ISNUMBER(SnapshotTable[[#This Row],[SP Strike Price]]), ISNUMBER(SnapshotTable[[#This Row],[SP Qty]]), ISNUMBER(SnapshotTable[[#This Row],[SP Book Date]]), ISNUMBER(SnapshotTable[[#This Row],[SP Book Price]]))</f>
        <v>0</v>
      </c>
      <c r="BX333" s="419" t="b">
        <f>AND(SnapshotTable[[#This Row],[SP Is Booked]], NOT(ISBLANK(SnapshotTable[[#This Row],[SP Fill Date]])))</f>
        <v>0</v>
      </c>
      <c r="BY333" s="33">
        <f>IF(SnapshotTable[[#This Row],[SP Is Booked]], SnapshotTable[[#This Row],[SP Qty]] * SnapshotTable[[#This Row],[SP Book Price]] * 100, 0)</f>
        <v>0</v>
      </c>
      <c r="BZ333" s="369"/>
      <c r="CA333" s="368">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3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44"/>
      <c r="CK333" s="31">
        <f>IF(ISNUMBER(SnapshotTable[[#This Row],[SP Potential Spend]]),IF(ISNUMBER(SnapshotTable[[#This Row],[SP POW]]), SnapshotTable[[#This Row],[SP POW]] * SnapshotTable[[#This Row],[SP Potential Spend]], SnapshotTable[[#This Row],[SP Potential Spend]]), "")</f>
        <v>0</v>
      </c>
      <c r="CL333" s="164">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8"/>
      <c r="CO333" s="369"/>
      <c r="CP333" s="4" t="str">
        <f>IF(SnapshotTable[[#This Row],[SP Is Filled]], btc_max_buyback_amount(SnapshotTable[[#This Row],[SP Fill Date]],SnapshotTable[[#This Row],[SP Exp Date]], SnapshotTable[[#This Row],[SP Book Price]]),"")</f>
        <v/>
      </c>
      <c r="CQ333" s="78"/>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5" t="str">
        <f>IF(SnapshotTable[[#This Row],[SP Is Filled]], btc_next_cutoff_date(SnapshotTable[[#This Row],[SP Fill Date]],SnapshotTable[[#This Row],[SP Exp Date]]),"")</f>
        <v/>
      </c>
      <c r="CT333" s="23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3"/>
      <c r="CV333" s="235"/>
      <c r="CW333" s="378"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294" t="str">
        <f>IF(ISNUMBER((SnapshotTable[[#This Row],[SP Total Value]])), SnapshotTable[[#This Row],[SP Gain Loss]] / SnapshotTable[[#This Row],[SP Premium]], "")</f>
        <v/>
      </c>
      <c r="DI333" s="406"/>
      <c r="DJ333" s="138"/>
      <c r="DK333" s="148"/>
      <c r="DL333" s="13"/>
      <c r="DM333" s="13"/>
      <c r="DO333" s="31">
        <f>IF(SnapshotTable[[#This Row],[LC Symbol Count]]=1, SnapshotTable[[#This Row],[LC Qty]] * SnapshotTable[[#This Row],[LC Book Price]] * 100, 0)</f>
        <v>0</v>
      </c>
      <c r="DP333" s="163" t="str">
        <f>IF(AND(SnapshotTable[[#This Row],[LC Exp Date]]&gt;0, SnapshotTable[[#This Row],[LC Strike Price]]&gt;0,SnapshotTable[[#This Row],[LC Qty]]&gt;0,SnapshotTable[[#This Row],[LC Book Date]]&gt;0,SnapshotTable[[#This Row],[LC Book Price]]&gt;0,SnapshotTable[[#This Row],[LC Fill Date]]=0),"Y","")</f>
        <v/>
      </c>
      <c r="DQ333" s="386" t="str">
        <f>IF(SnapshotTable[[#This Row],[LC Premium]] &gt; 0,SnapshotTable[[#This Row],[LC Exp Date]]-MAX(SnapshotTable[[#This Row],[LC Book Date]], SnapshotTable[[#This Row],[LC Fill Date]]),"")</f>
        <v/>
      </c>
      <c r="DR333" s="386" t="str">
        <f>IF(ISNUMBER(SnapshotTable[[#This Row],[LC Term]]), SnapshotTable[[#This Row],[LC Exp Date]] - MockToday, "")</f>
        <v/>
      </c>
      <c r="DS333" s="23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40" t="str">
        <f>IF(ISNUMBER(SnapshotTable[[#This Row],[LC Actual Gain Loss]]), SnapshotTable[[#This Row],[LC Actual Gain Loss]] / SnapshotTable[[#This Row],[LC Premium]],"")</f>
        <v/>
      </c>
      <c r="DX333" s="284" t="str">
        <f>IF(ISNUMBER(SnapshotTable[[#This Row],[LC Book Price]]),SnapshotTable[[#This Row],[LC Book Price]] * 1.5,"")</f>
        <v/>
      </c>
      <c r="DY333" s="265" t="str">
        <f>IF(SnapshotTable[[#This Row],[LC Premium]]&gt;0, SnapshotTable[[#This Row],[LC Next Target]] * SnapshotTable[[#This Row],[LC Qty]] * 100,"")</f>
        <v/>
      </c>
      <c r="DZ333" s="265" t="str">
        <f>IF(ISNUMBER(SnapshotTable[[#This Row],[LC Target Gross]]), SnapshotTable[[#This Row],[LC Target Gross]] - SnapshotTable[[#This Row],[LC Premium]], "")</f>
        <v/>
      </c>
      <c r="EA333" s="305" t="str">
        <f>IF(ISNUMBER(SnapshotTable[[#This Row],[LC Target Gain Loss]]), SnapshotTable[[#This Row],[LC Target Gain Loss]]/SnapshotTable[[#This Row],[LC Premium]], "")</f>
        <v/>
      </c>
      <c r="EB333" s="262"/>
      <c r="EC333" s="283" t="str">
        <f>IF(SnapshotTable[[#This Row],[LC Premium]]&gt;0, SnapshotTable[[#This Row],[LC Book Price]] * (1 - LC_StopLoss_Pct),"")</f>
        <v/>
      </c>
      <c r="ED333" s="284"/>
      <c r="EE333" s="28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4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7"/>
      <c r="EL333" s="138"/>
      <c r="EM333" s="148"/>
      <c r="EN333" s="147"/>
      <c r="EO333" s="147"/>
      <c r="EP333" s="138"/>
      <c r="EQ333" s="419" t="b">
        <f>AND(ISNUMBER(SnapshotTable[[#This Row],[SC Exp Date]]), ISNUMBER(SnapshotTable[[#This Row],[SC Strike Price]]), ISNUMBER(SnapshotTable[[#This Row],[SC Qty]]), ISNUMBER(SnapshotTable[[#This Row],[SC Book Date]]), ISNUMBER(SnapshotTable[[#This Row],[SC Book Price]]))</f>
        <v>0</v>
      </c>
      <c r="ER333" s="419" t="b">
        <f>AND(SnapshotTable[[#This Row],[SC Is Booked]], NOT(ISBLANK(SnapshotTable[[#This Row],[SC Fill Date]])))</f>
        <v>0</v>
      </c>
      <c r="ES333" s="370"/>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3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283"/>
      <c r="FA333" s="218"/>
      <c r="FB333" s="370"/>
      <c r="FC333" s="4">
        <f>IF(SnapshotTable[[#This Row],[SC Is Filled]], btc_max_buyback_amount(SnapshotTable[[#This Row],[SC Fill Date]],SnapshotTable[[#This Row],[SC Exp Date]], SnapshotTable[[#This Row],[SC Book Price]]),0)</f>
        <v>0</v>
      </c>
      <c r="FD333" s="5"/>
      <c r="FE333" s="144"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382">
        <f>IF(SnapshotTable[[#This Row],[SC Is Filled]], IF(ISNUMBER(SnapshotTable[[#This Row],[SC Current Ask]]), SnapshotTable[[#This Row],[SC Current Ask]], SnapshotTable[[#This Row],[SC Book Price]]) - SnapshotTable[[#This Row],[SC Intrinsic Value]], 0)</f>
        <v>0</v>
      </c>
      <c r="FI333" s="143"/>
      <c r="FJ333" s="32" t="str">
        <f>IF(SnapshotTable[[#This Row],[SC Is Filled]],100 * SnapshotTable[[#This Row],[SC Qty]] * IF(ISNUMBER(SnapshotTable[[#This Row],[SC Buyback Override]]), SnapshotTable[[#This Row],[SC Buyback Override]], SnapshotTable[[#This Row],[SC Current Ask]]), "")</f>
        <v/>
      </c>
      <c r="FK333" s="250" t="str">
        <f>IF(SnapshotTable[[#This Row],[SC Time Val]]&gt;0, SnapshotTable[[#This Row],[SC Time Val]] / SnapshotTable[[#This Row],[Last Price]],"")</f>
        <v/>
      </c>
      <c r="FL333" s="302" t="str">
        <f>IF(SnapshotTable[[#This Row],[SC Is Booked]], ((SnapshotTable[[#This Row],[Last Price]] -SnapshotTable[[#This Row],[SC Strike Price]]) / SnapshotTable[[#This Row],[Last Price]]) * -1, "")</f>
        <v/>
      </c>
      <c r="FM333" s="157"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33"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36" t="str">
        <f>IF(AND(ISNUMBER(SnapshotTable[[#This Row],[SC Simple ROO]]),SnapshotTable[[#This Row],[SC Simple ROO]] &gt; 0), SnapshotTable[[#This Row],[SC Premium]] + (SnapshotTable[[#This Row],[SC Qty]] * SnapshotTable[[#This Row],[SC Upside Potential]]), "")</f>
        <v/>
      </c>
      <c r="FX333" s="302" t="str" cm="1">
        <f t="array" ref="FX333">IF(ISNUMBER(SnapshotTable[[#This Row],[SC Max Dollars]]), annualize(SnapshotTable[[#This Row],[SC Term]],(SnapshotTable[[#This Row],[SC Max Dollars]]/SnapshotTable[[#This Row],[SC Basis]])),"")</f>
        <v/>
      </c>
      <c r="FY333" s="23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29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0</v>
      </c>
      <c r="GD333" s="40">
        <f>SnapshotTable[[#This Row],[Last Price]] * (1+ SellingPriceToConsiderBasedOnTargetPercentage)</f>
        <v>55.477499999999999</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31">
        <f>MAX(SnapshotTable[[#This Row],[Equity Basis Total]],SnapshotTable[[#This Row],[Equity Value]]) + (SnapshotTable[[#This Row],[SP Potential Spend]]- SnapshotTable[[#This Row],[SP Premium]] + SnapshotTable[[#This Row],[LP Premium]])+ (SnapshotTable[[#This Row],[LC Premium]] - SnapshotTable[[#This Row],[SC Premium]])</f>
        <v>0</v>
      </c>
      <c r="GW333" s="139" t="str">
        <f>IF(AND(SnapshotTable[[#This Row],[Exposure]] &lt;&gt; 0),SnapshotTable[[#This Row],[Exposure]] / SnapshotTable[[#Totals],[Exposure]], "")</f>
        <v/>
      </c>
      <c r="HK333" s="1"/>
      <c r="HL333" s="1"/>
      <c r="HM333" s="1"/>
      <c r="HN333" s="1"/>
      <c r="HO333" s="1"/>
      <c r="HP333" s="1"/>
    </row>
    <row r="334" spans="2:224" ht="12.75" hidden="1" customHeight="1" x14ac:dyDescent="0.25">
      <c r="B334" s="12" t="s">
        <v>1269</v>
      </c>
      <c r="C334" s="422">
        <v>29.97</v>
      </c>
      <c r="D334" s="208"/>
      <c r="E334" s="39">
        <f>SnapshotTable[[#This Row],[Last Price]]*(1 -CrashDiscount)</f>
        <v>25.474499999999999</v>
      </c>
      <c r="F334" s="325" t="s">
        <v>223</v>
      </c>
      <c r="G334" s="325" t="s">
        <v>49</v>
      </c>
      <c r="H334" s="149"/>
      <c r="I334" s="194"/>
      <c r="J334" s="195"/>
      <c r="K334" s="196"/>
      <c r="L334" s="326"/>
      <c r="M334" s="140"/>
      <c r="N334" s="140"/>
      <c r="O334" s="140"/>
      <c r="P334" s="22"/>
      <c r="Q334" s="25"/>
      <c r="R334" s="4" t="str">
        <f>IF(SnapshotTable[[#This Row],[Equity Basis Total]] &gt; 0, SnapshotTable[[#This Row],[Equity Basis Total]] / SnapshotTable[[#This Row],[Equity Shares]], "")</f>
        <v/>
      </c>
      <c r="S334" s="269">
        <f>SnapshotTable[[#This Row],[Last Price]] * SnapshotTable[[#This Row],[Equity Shares]]</f>
        <v>0</v>
      </c>
      <c r="T334" s="269">
        <f>SnapshotTable[[#This Row],[Equity Value]] - SnapshotTable[[#This Row],[Equity Basis Total]]</f>
        <v>0</v>
      </c>
      <c r="U334" s="270" t="str">
        <f>IF(SnapshotTable[[#This Row],[Equity Basis Total]] &gt; 0, SnapshotTable[[#This Row],[Equity G/L]] / SnapshotTable[[#This Row],[Equity Basis Total]], "")</f>
        <v/>
      </c>
      <c r="V334" s="268">
        <v>30</v>
      </c>
      <c r="W334" s="268">
        <v>26.95</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7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0"/>
      <c r="AD334" s="151"/>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1"/>
      <c r="AI334" s="5"/>
      <c r="AJ334" s="138"/>
      <c r="AK334" s="152" t="str">
        <f>IF(ISNUMBER( SnapshotTable[[#This Row],[EBF Target]]),(SnapshotTable[[#This Row],[EBF Target]] - SnapshotTable[[#This Row],[Last Price]]) / SnapshotTable[[#This Row],[Last Price]], "")</f>
        <v/>
      </c>
      <c r="AL334" s="152"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2" t="str">
        <f>IF(AND(ISNUMBER( SnapshotTable[[#This Row],[Long Term Target]]), ISNUMBER(SnapshotTable[[#This Row],[Last Price]])),(SnapshotTable[[#This Row],[Long Term Target]] - SnapshotTable[[#This Row],[Last Price]]) / SnapshotTable[[#This Row],[Last Price]], "")</f>
        <v/>
      </c>
      <c r="AP334" s="5"/>
      <c r="AQ334" s="38"/>
      <c r="AR334" s="5"/>
      <c r="AS334" s="38"/>
      <c r="AT334" s="146"/>
      <c r="AU334" s="187" t="str">
        <f>IF(OR(SnapshotTable[[#This Row],[LP No Fill]]="Y",SnapshotTable[[#This Row],[SP Is Filled]],SnapshotTable[[#This Row],[LC Not Filled]]="Y",SnapshotTable[[#This Row],[SC Is Filled]]),"Y","")</f>
        <v/>
      </c>
      <c r="AV334" s="219"/>
      <c r="AW334" s="225"/>
      <c r="AX334" s="220"/>
      <c r="AY334" s="219" t="str">
        <f>IF(SnapshotTable[[#This Row],[Implied Move]]&gt;0, SnapshotTable[[#This Row],[Last Price]]-SnapshotTable[[#This Row],[Implied Move]],"")</f>
        <v/>
      </c>
      <c r="AZ334" s="219" t="str">
        <f>IF(SnapshotTable[[#This Row],[Implied Move]]&gt;0, SnapshotTable[[#This Row],[Last Price]] + SnapshotTable[[#This Row],[Implied Move]],"")</f>
        <v/>
      </c>
      <c r="BA334" s="331">
        <v>24.7</v>
      </c>
      <c r="BB334" s="40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51"/>
      <c r="BE334" s="5"/>
      <c r="BF334" s="14"/>
      <c r="BG334" s="13"/>
      <c r="BH334" s="13"/>
      <c r="BI334" s="5"/>
      <c r="BJ334" s="136">
        <f>IF(SnapshotTable[[#This Row],[LP Qty]] &gt; 0, SnapshotTable[[#This Row],[LP Qty]] * SnapshotTable[[#This Row],[LP Book Price]] * 100,0)</f>
        <v>0</v>
      </c>
      <c r="BK334" s="136">
        <f>IF(SnapshotTable[[#This Row],[LP Premium]] &gt; 0, SnapshotTable[[#This Row],[LP Qty]] * SnapshotTable[[#This Row],[LP Strike Price]] * 100,0)</f>
        <v>0</v>
      </c>
      <c r="BL334" s="154"/>
      <c r="BM334" s="385" t="str">
        <f>IF(SnapshotTable[[#This Row],[LP Premium]] &gt; 0,SnapshotTable[[#This Row],[LP Exp Date]]-MAX(SnapshotTable[[#This Row],[LP Book Date]], SnapshotTable[[#This Row],[LP Fill Date]]),"")</f>
        <v/>
      </c>
      <c r="BN334" s="385" t="str">
        <f>IF(ISNUMBER( SnapshotTable[[#This Row],[LP Term]]), SnapshotTable[[#This Row],[LP Exp Date]] - MockToday,"")</f>
        <v/>
      </c>
      <c r="BO334" s="163"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7"/>
      <c r="BU334" s="13"/>
      <c r="BV334" s="5"/>
      <c r="BW334" s="419" t="b">
        <f>AND(ISNUMBER(SnapshotTable[[#This Row],[SP Exp Date]]), ISNUMBER(SnapshotTable[[#This Row],[SP Strike Price]]), ISNUMBER(SnapshotTable[[#This Row],[SP Qty]]), ISNUMBER(SnapshotTable[[#This Row],[SP Book Date]]), ISNUMBER(SnapshotTable[[#This Row],[SP Book Price]]))</f>
        <v>0</v>
      </c>
      <c r="BX334" s="419" t="b">
        <f>AND(SnapshotTable[[#This Row],[SP Is Booked]], NOT(ISBLANK(SnapshotTable[[#This Row],[SP Fill Date]])))</f>
        <v>0</v>
      </c>
      <c r="BY334" s="33">
        <f>IF(SnapshotTable[[#This Row],[SP Is Booked]], SnapshotTable[[#This Row],[SP Qty]] * SnapshotTable[[#This Row],[SP Book Price]] * 100, 0)</f>
        <v>0</v>
      </c>
      <c r="BZ334" s="369"/>
      <c r="CA334" s="368">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3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44"/>
      <c r="CK334" s="31">
        <f>IF(ISNUMBER(SnapshotTable[[#This Row],[SP Potential Spend]]),IF(ISNUMBER(SnapshotTable[[#This Row],[SP POW]]), SnapshotTable[[#This Row],[SP POW]] * SnapshotTable[[#This Row],[SP Potential Spend]], SnapshotTable[[#This Row],[SP Potential Spend]]), "")</f>
        <v>0</v>
      </c>
      <c r="CL334" s="164">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8"/>
      <c r="CO334" s="369"/>
      <c r="CP334" s="4" t="str">
        <f>IF(SnapshotTable[[#This Row],[SP Is Filled]], btc_max_buyback_amount(SnapshotTable[[#This Row],[SP Fill Date]],SnapshotTable[[#This Row],[SP Exp Date]], SnapshotTable[[#This Row],[SP Book Price]]),"")</f>
        <v/>
      </c>
      <c r="CQ334" s="78"/>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5" t="str">
        <f>IF(SnapshotTable[[#This Row],[SP Is Filled]], btc_next_cutoff_date(SnapshotTable[[#This Row],[SP Fill Date]],SnapshotTable[[#This Row],[SP Exp Date]]),"")</f>
        <v/>
      </c>
      <c r="CT334" s="23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3"/>
      <c r="CV334" s="235"/>
      <c r="CW334" s="378"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294" t="str">
        <f>IF(ISNUMBER((SnapshotTable[[#This Row],[SP Total Value]])), SnapshotTable[[#This Row],[SP Gain Loss]] / SnapshotTable[[#This Row],[SP Premium]], "")</f>
        <v/>
      </c>
      <c r="DI334" s="406"/>
      <c r="DJ334" s="138"/>
      <c r="DK334" s="148"/>
      <c r="DL334" s="13"/>
      <c r="DM334" s="13"/>
      <c r="DO334" s="31">
        <f>IF(SnapshotTable[[#This Row],[LC Symbol Count]]=1, SnapshotTable[[#This Row],[LC Qty]] * SnapshotTable[[#This Row],[LC Book Price]] * 100, 0)</f>
        <v>0</v>
      </c>
      <c r="DP334" s="163" t="str">
        <f>IF(AND(SnapshotTable[[#This Row],[LC Exp Date]]&gt;0, SnapshotTable[[#This Row],[LC Strike Price]]&gt;0,SnapshotTable[[#This Row],[LC Qty]]&gt;0,SnapshotTable[[#This Row],[LC Book Date]]&gt;0,SnapshotTable[[#This Row],[LC Book Price]]&gt;0,SnapshotTable[[#This Row],[LC Fill Date]]=0),"Y","")</f>
        <v/>
      </c>
      <c r="DQ334" s="386" t="str">
        <f>IF(SnapshotTable[[#This Row],[LC Premium]] &gt; 0,SnapshotTable[[#This Row],[LC Exp Date]]-MAX(SnapshotTable[[#This Row],[LC Book Date]], SnapshotTable[[#This Row],[LC Fill Date]]),"")</f>
        <v/>
      </c>
      <c r="DR334" s="386" t="str">
        <f>IF(ISNUMBER(SnapshotTable[[#This Row],[LC Term]]), SnapshotTable[[#This Row],[LC Exp Date]] - MockToday, "")</f>
        <v/>
      </c>
      <c r="DS334" s="23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40" t="str">
        <f>IF(ISNUMBER(SnapshotTable[[#This Row],[LC Actual Gain Loss]]), SnapshotTable[[#This Row],[LC Actual Gain Loss]] / SnapshotTable[[#This Row],[LC Premium]],"")</f>
        <v/>
      </c>
      <c r="DX334" s="284" t="str">
        <f>IF(ISNUMBER(SnapshotTable[[#This Row],[LC Book Price]]),SnapshotTable[[#This Row],[LC Book Price]] * 1.5,"")</f>
        <v/>
      </c>
      <c r="DY334" s="265" t="str">
        <f>IF(SnapshotTable[[#This Row],[LC Premium]]&gt;0, SnapshotTable[[#This Row],[LC Next Target]] * SnapshotTable[[#This Row],[LC Qty]] * 100,"")</f>
        <v/>
      </c>
      <c r="DZ334" s="265" t="str">
        <f>IF(ISNUMBER(SnapshotTable[[#This Row],[LC Target Gross]]), SnapshotTable[[#This Row],[LC Target Gross]] - SnapshotTable[[#This Row],[LC Premium]], "")</f>
        <v/>
      </c>
      <c r="EA334" s="305" t="str">
        <f>IF(ISNUMBER(SnapshotTable[[#This Row],[LC Target Gain Loss]]), SnapshotTable[[#This Row],[LC Target Gain Loss]]/SnapshotTable[[#This Row],[LC Premium]], "")</f>
        <v/>
      </c>
      <c r="EB334" s="262"/>
      <c r="EC334" s="283" t="str">
        <f>IF(SnapshotTable[[#This Row],[LC Premium]]&gt;0, SnapshotTable[[#This Row],[LC Book Price]] * (1 - LC_StopLoss_Pct),"")</f>
        <v/>
      </c>
      <c r="ED334" s="284"/>
      <c r="EE334" s="28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4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7"/>
      <c r="EL334" s="138"/>
      <c r="EM334" s="148"/>
      <c r="EN334" s="147"/>
      <c r="EO334" s="147"/>
      <c r="EP334" s="138"/>
      <c r="EQ334" s="419" t="b">
        <f>AND(ISNUMBER(SnapshotTable[[#This Row],[SC Exp Date]]), ISNUMBER(SnapshotTable[[#This Row],[SC Strike Price]]), ISNUMBER(SnapshotTable[[#This Row],[SC Qty]]), ISNUMBER(SnapshotTable[[#This Row],[SC Book Date]]), ISNUMBER(SnapshotTable[[#This Row],[SC Book Price]]))</f>
        <v>0</v>
      </c>
      <c r="ER334" s="419" t="b">
        <f>AND(SnapshotTable[[#This Row],[SC Is Booked]], NOT(ISBLANK(SnapshotTable[[#This Row],[SC Fill Date]])))</f>
        <v>0</v>
      </c>
      <c r="ES334" s="370"/>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3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283"/>
      <c r="FA334" s="218"/>
      <c r="FB334" s="370"/>
      <c r="FC334" s="4">
        <f>IF(SnapshotTable[[#This Row],[SC Is Filled]], btc_max_buyback_amount(SnapshotTable[[#This Row],[SC Fill Date]],SnapshotTable[[#This Row],[SC Exp Date]], SnapshotTable[[#This Row],[SC Book Price]]),0)</f>
        <v>0</v>
      </c>
      <c r="FD334" s="5"/>
      <c r="FE334" s="144"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382">
        <f>IF(SnapshotTable[[#This Row],[SC Is Filled]], IF(ISNUMBER(SnapshotTable[[#This Row],[SC Current Ask]]), SnapshotTable[[#This Row],[SC Current Ask]], SnapshotTable[[#This Row],[SC Book Price]]) - SnapshotTable[[#This Row],[SC Intrinsic Value]], 0)</f>
        <v>0</v>
      </c>
      <c r="FI334" s="143"/>
      <c r="FJ334" s="32" t="str">
        <f>IF(SnapshotTable[[#This Row],[SC Is Filled]],100 * SnapshotTable[[#This Row],[SC Qty]] * IF(ISNUMBER(SnapshotTable[[#This Row],[SC Buyback Override]]), SnapshotTable[[#This Row],[SC Buyback Override]], SnapshotTable[[#This Row],[SC Current Ask]]), "")</f>
        <v/>
      </c>
      <c r="FK334" s="250" t="str">
        <f>IF(SnapshotTable[[#This Row],[SC Time Val]]&gt;0, SnapshotTable[[#This Row],[SC Time Val]] / SnapshotTable[[#This Row],[Last Price]],"")</f>
        <v/>
      </c>
      <c r="FL334" s="302" t="str">
        <f>IF(SnapshotTable[[#This Row],[SC Is Booked]], ((SnapshotTable[[#This Row],[Last Price]] -SnapshotTable[[#This Row],[SC Strike Price]]) / SnapshotTable[[#This Row],[Last Price]]) * -1, "")</f>
        <v/>
      </c>
      <c r="FM334" s="157"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33"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36" t="str">
        <f>IF(AND(ISNUMBER(SnapshotTable[[#This Row],[SC Simple ROO]]),SnapshotTable[[#This Row],[SC Simple ROO]] &gt; 0), SnapshotTable[[#This Row],[SC Premium]] + (SnapshotTable[[#This Row],[SC Qty]] * SnapshotTable[[#This Row],[SC Upside Potential]]), "")</f>
        <v/>
      </c>
      <c r="FX334" s="302" t="str" cm="1">
        <f t="array" ref="FX334">IF(ISNUMBER(SnapshotTable[[#This Row],[SC Max Dollars]]), annualize(SnapshotTable[[#This Row],[SC Term]],(SnapshotTable[[#This Row],[SC Max Dollars]]/SnapshotTable[[#This Row],[SC Basis]])),"")</f>
        <v/>
      </c>
      <c r="FY334" s="23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29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0</v>
      </c>
      <c r="GD334" s="40">
        <f>SnapshotTable[[#This Row],[Last Price]] * (1+ SellingPriceToConsiderBasedOnTargetPercentage)</f>
        <v>58.441499999999998</v>
      </c>
      <c r="GE334" s="41"/>
      <c r="GF334" s="40"/>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31">
        <f>MAX(SnapshotTable[[#This Row],[Equity Basis Total]],SnapshotTable[[#This Row],[Equity Value]]) + (SnapshotTable[[#This Row],[SP Potential Spend]]- SnapshotTable[[#This Row],[SP Premium]] + SnapshotTable[[#This Row],[LP Premium]])+ (SnapshotTable[[#This Row],[LC Premium]] - SnapshotTable[[#This Row],[SC Premium]])</f>
        <v>0</v>
      </c>
      <c r="GW334" s="139" t="str">
        <f>IF(AND(SnapshotTable[[#This Row],[Exposure]] &lt;&gt; 0),SnapshotTable[[#This Row],[Exposure]] / SnapshotTable[[#Totals],[Exposure]], "")</f>
        <v/>
      </c>
      <c r="HK334" s="1"/>
      <c r="HL334" s="1"/>
      <c r="HM334" s="1"/>
      <c r="HN334" s="1"/>
      <c r="HO334" s="1"/>
      <c r="HP334" s="1"/>
    </row>
    <row r="335" spans="2:224" ht="12.75" hidden="1" customHeight="1" x14ac:dyDescent="0.25">
      <c r="B335" s="12" t="s">
        <v>204</v>
      </c>
      <c r="C335" s="422">
        <v>353.42</v>
      </c>
      <c r="D335" s="208"/>
      <c r="E335" s="39">
        <f>SnapshotTable[[#This Row],[Last Price]]*(1 -CrashDiscount)</f>
        <v>300.40699999999998</v>
      </c>
      <c r="F335" s="26" t="s">
        <v>183</v>
      </c>
      <c r="G335" s="26" t="s">
        <v>4</v>
      </c>
      <c r="H335" s="149"/>
      <c r="I335" s="194">
        <v>44768.670138888891</v>
      </c>
      <c r="J335" s="195">
        <v>44768.670138888891</v>
      </c>
      <c r="K335" s="196"/>
      <c r="L335" s="326"/>
      <c r="M335" s="140"/>
      <c r="N335" s="140"/>
      <c r="O335" s="140"/>
      <c r="P335" s="22"/>
      <c r="Q335" s="25"/>
      <c r="R335" s="4" t="str">
        <f>IF(SnapshotTable[[#This Row],[Equity Basis Total]] &gt; 0, SnapshotTable[[#This Row],[Equity Basis Total]] / SnapshotTable[[#This Row],[Equity Shares]], "")</f>
        <v/>
      </c>
      <c r="S335" s="269">
        <f>SnapshotTable[[#This Row],[Last Price]] * SnapshotTable[[#This Row],[Equity Shares]]</f>
        <v>0</v>
      </c>
      <c r="T335" s="269">
        <f>SnapshotTable[[#This Row],[Equity Value]] - SnapshotTable[[#This Row],[Equity Basis Total]]</f>
        <v>0</v>
      </c>
      <c r="U335" s="270" t="str">
        <f>IF(SnapshotTable[[#This Row],[Equity Basis Total]] &gt; 0, SnapshotTable[[#This Row],[Equity G/L]] / SnapshotTable[[#This Row],[Equity Basis Total]], "")</f>
        <v/>
      </c>
      <c r="V335" s="268"/>
      <c r="W335" s="268"/>
      <c r="X335" s="4" t="str">
        <f>IF(AND(ISNUMBER(SnapshotTable[[#This Row],[Equity Basis Per Share]]),ISNUMBER(SnapshotTable[[#This Row],[Equity Target]])),SnapshotTable[[#This Row],[Equity Target]]-SnapshotTable[[#This Row],[Equity Basis Per Share]],"")</f>
        <v/>
      </c>
      <c r="Y335" s="4" t="str">
        <f>IF(AND(ISNUMBER(SnapshotTable[[#This Row],[Equity Basis Per Share]]),ISNUMBER(SnapshotTable[[#This Row],[Equity Stop Loss]])),SnapshotTable[[#This Row],[Equity Stop Loss]]-SnapshotTable[[#This Row],[Equity Basis Per Share]],"")</f>
        <v/>
      </c>
      <c r="Z335" s="275" t="str">
        <f>IFERROR( TEXT(SnapshotTable[[#This Row],[Equity Max Gain Per Share]] /ABS( SnapshotTable[[#This Row],[Equity Max Loss Per Share]]),"0.0 " ) &amp; " : 1", "")</f>
        <v/>
      </c>
      <c r="AA335" s="31" t="str">
        <f>IF(ISNUMBER(SnapshotTable[[#This Row],[Equity Max Gain Per Share]]),SnapshotTable[[#This Row],[Equity Max Gain Per Share]] * SnapshotTable[[#This Row],[Equity Shares]],"")</f>
        <v/>
      </c>
      <c r="AB335" s="31" t="str">
        <f>IF(ISNUMBER(SnapshotTable[[#This Row],[Equity Max Loss Per Share]]),SnapshotTable[[#This Row],[Equity Max Loss Per Share]] * SnapshotTable[[#This Row],[Equity Shares]],"")</f>
        <v/>
      </c>
      <c r="AC335" s="150">
        <v>0.66</v>
      </c>
      <c r="AD335" s="151">
        <v>42801</v>
      </c>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1.8674664704883708E-3</v>
      </c>
      <c r="AH335" s="151">
        <v>42866</v>
      </c>
      <c r="AI335" s="5"/>
      <c r="AJ335" s="138">
        <v>198.76</v>
      </c>
      <c r="AK335" s="152" t="str">
        <f>IF(ISNUMBER( SnapshotTable[[#This Row],[EBF Target]]),(SnapshotTable[[#This Row],[EBF Target]] - SnapshotTable[[#This Row],[Last Price]]) / SnapshotTable[[#This Row],[Last Price]], "")</f>
        <v/>
      </c>
      <c r="AL335" s="152"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2">
        <f>IF(AND(ISNUMBER( SnapshotTable[[#This Row],[Long Term Target]]), ISNUMBER(SnapshotTable[[#This Row],[Last Price]])),(SnapshotTable[[#This Row],[Long Term Target]] - SnapshotTable[[#This Row],[Last Price]]) / SnapshotTable[[#This Row],[Last Price]], "")</f>
        <v>-0.43760964291777493</v>
      </c>
      <c r="AP335" s="5">
        <v>187.5</v>
      </c>
      <c r="AQ335" s="38" t="s">
        <v>110</v>
      </c>
      <c r="AR335" s="5">
        <v>181.06</v>
      </c>
      <c r="AS335" s="38" t="s">
        <v>45</v>
      </c>
      <c r="AT335" s="146" t="s">
        <v>533</v>
      </c>
      <c r="AU335" s="187" t="str">
        <f>IF(OR(SnapshotTable[[#This Row],[LP No Fill]]="Y",SnapshotTable[[#This Row],[SP Is Filled]],SnapshotTable[[#This Row],[LC Not Filled]]="Y",SnapshotTable[[#This Row],[SC Is Filled]]),"Y","")</f>
        <v/>
      </c>
      <c r="AV335" s="219"/>
      <c r="AW335" s="225"/>
      <c r="AX335" s="220"/>
      <c r="AY335" s="219" t="str">
        <f>IF(SnapshotTable[[#This Row],[Implied Move]]&gt;0, SnapshotTable[[#This Row],[Last Price]]-SnapshotTable[[#This Row],[Implied Move]],"")</f>
        <v/>
      </c>
      <c r="AZ335" s="219" t="str">
        <f>IF(SnapshotTable[[#This Row],[Implied Move]]&gt;0, SnapshotTable[[#This Row],[Last Price]] + SnapshotTable[[#This Row],[Implied Move]],"")</f>
        <v/>
      </c>
      <c r="BA335" s="331"/>
      <c r="BB335" s="347"/>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51"/>
      <c r="BE335" s="5"/>
      <c r="BF335" s="14"/>
      <c r="BG335" s="13"/>
      <c r="BH335" s="13"/>
      <c r="BI335" s="5"/>
      <c r="BJ335" s="136">
        <f>IF(SnapshotTable[[#This Row],[LP Qty]] &gt; 0, SnapshotTable[[#This Row],[LP Qty]] * SnapshotTable[[#This Row],[LP Book Price]] * 100,0)</f>
        <v>0</v>
      </c>
      <c r="BK335" s="136">
        <f>IF(SnapshotTable[[#This Row],[LP Premium]] &gt; 0, SnapshotTable[[#This Row],[LP Qty]] * SnapshotTable[[#This Row],[LP Strike Price]] * 100,0)</f>
        <v>0</v>
      </c>
      <c r="BL335" s="154"/>
      <c r="BM335" s="385" t="str">
        <f>IF(SnapshotTable[[#This Row],[LP Premium]] &gt; 0,SnapshotTable[[#This Row],[LP Exp Date]]-MAX(SnapshotTable[[#This Row],[LP Book Date]], SnapshotTable[[#This Row],[LP Fill Date]]),"")</f>
        <v/>
      </c>
      <c r="BN335" s="385" t="str">
        <f>IF(ISNUMBER( SnapshotTable[[#This Row],[LP Term]]), SnapshotTable[[#This Row],[LP Exp Date]] - MockToday,"")</f>
        <v/>
      </c>
      <c r="BO335" s="163"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7"/>
      <c r="BU335" s="13"/>
      <c r="BV335" s="5"/>
      <c r="BW335" s="419" t="b">
        <f>AND(ISNUMBER(SnapshotTable[[#This Row],[SP Exp Date]]), ISNUMBER(SnapshotTable[[#This Row],[SP Strike Price]]), ISNUMBER(SnapshotTable[[#This Row],[SP Qty]]), ISNUMBER(SnapshotTable[[#This Row],[SP Book Date]]), ISNUMBER(SnapshotTable[[#This Row],[SP Book Price]]))</f>
        <v>0</v>
      </c>
      <c r="BX335" s="419" t="b">
        <f>AND(SnapshotTable[[#This Row],[SP Is Booked]], NOT(ISBLANK(SnapshotTable[[#This Row],[SP Fill Date]])))</f>
        <v>0</v>
      </c>
      <c r="BY335" s="33">
        <f>IF(SnapshotTable[[#This Row],[SP Is Booked]], SnapshotTable[[#This Row],[SP Qty]] * SnapshotTable[[#This Row],[SP Book Price]] * 100, 0)</f>
        <v>0</v>
      </c>
      <c r="BZ335" s="369"/>
      <c r="CA335" s="368">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3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44"/>
      <c r="CK335" s="31">
        <f>IF(ISNUMBER(SnapshotTable[[#This Row],[SP Potential Spend]]),IF(ISNUMBER(SnapshotTable[[#This Row],[SP POW]]), SnapshotTable[[#This Row],[SP POW]] * SnapshotTable[[#This Row],[SP Potential Spend]], SnapshotTable[[#This Row],[SP Potential Spend]]), "")</f>
        <v>0</v>
      </c>
      <c r="CL335" s="164">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8"/>
      <c r="CO335" s="369"/>
      <c r="CP335" s="4" t="str">
        <f>IF(SnapshotTable[[#This Row],[SP Is Filled]], btc_max_buyback_amount(SnapshotTable[[#This Row],[SP Fill Date]],SnapshotTable[[#This Row],[SP Exp Date]], SnapshotTable[[#This Row],[SP Book Price]]),"")</f>
        <v/>
      </c>
      <c r="CQ335" s="78"/>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5" t="str">
        <f>IF(SnapshotTable[[#This Row],[SP Is Filled]], btc_next_cutoff_date(SnapshotTable[[#This Row],[SP Fill Date]],SnapshotTable[[#This Row],[SP Exp Date]]),"")</f>
        <v/>
      </c>
      <c r="CT335" s="23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3"/>
      <c r="CV335" s="235"/>
      <c r="CW335" s="378"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294" t="str">
        <f>IF(ISNUMBER((SnapshotTable[[#This Row],[SP Total Value]])), SnapshotTable[[#This Row],[SP Gain Loss]] / SnapshotTable[[#This Row],[SP Premium]], "")</f>
        <v/>
      </c>
      <c r="DI335" s="406"/>
      <c r="DJ335" s="138"/>
      <c r="DK335" s="148"/>
      <c r="DL335" s="13"/>
      <c r="DM335" s="13"/>
      <c r="DO335" s="31">
        <f>IF(SnapshotTable[[#This Row],[LC Symbol Count]]=1, SnapshotTable[[#This Row],[LC Qty]] * SnapshotTable[[#This Row],[LC Book Price]] * 100, 0)</f>
        <v>0</v>
      </c>
      <c r="DP335" s="163" t="str">
        <f>IF(AND(SnapshotTable[[#This Row],[LC Exp Date]]&gt;0, SnapshotTable[[#This Row],[LC Strike Price]]&gt;0,SnapshotTable[[#This Row],[LC Qty]]&gt;0,SnapshotTable[[#This Row],[LC Book Date]]&gt;0,SnapshotTable[[#This Row],[LC Book Price]]&gt;0,SnapshotTable[[#This Row],[LC Fill Date]]=0),"Y","")</f>
        <v/>
      </c>
      <c r="DQ335" s="386" t="str">
        <f>IF(SnapshotTable[[#This Row],[LC Premium]] &gt; 0,SnapshotTable[[#This Row],[LC Exp Date]]-MAX(SnapshotTable[[#This Row],[LC Book Date]], SnapshotTable[[#This Row],[LC Fill Date]]),"")</f>
        <v/>
      </c>
      <c r="DR335" s="386" t="str">
        <f>IF(ISNUMBER(SnapshotTable[[#This Row],[LC Term]]), SnapshotTable[[#This Row],[LC Exp Date]] - MockToday, "")</f>
        <v/>
      </c>
      <c r="DS335" s="23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40" t="str">
        <f>IF(ISNUMBER(SnapshotTable[[#This Row],[LC Actual Gain Loss]]), SnapshotTable[[#This Row],[LC Actual Gain Loss]] / SnapshotTable[[#This Row],[LC Premium]],"")</f>
        <v/>
      </c>
      <c r="DX335" s="284" t="str">
        <f>IF(ISNUMBER(SnapshotTable[[#This Row],[LC Book Price]]),SnapshotTable[[#This Row],[LC Book Price]] * 1.5,"")</f>
        <v/>
      </c>
      <c r="DY335" s="265" t="str">
        <f>IF(SnapshotTable[[#This Row],[LC Premium]]&gt;0, SnapshotTable[[#This Row],[LC Next Target]] * SnapshotTable[[#This Row],[LC Qty]] * 100,"")</f>
        <v/>
      </c>
      <c r="DZ335" s="265" t="str">
        <f>IF(ISNUMBER(SnapshotTable[[#This Row],[LC Target Gross]]), SnapshotTable[[#This Row],[LC Target Gross]] - SnapshotTable[[#This Row],[LC Premium]], "")</f>
        <v/>
      </c>
      <c r="EA335" s="305" t="str">
        <f>IF(ISNUMBER(SnapshotTable[[#This Row],[LC Target Gain Loss]]), SnapshotTable[[#This Row],[LC Target Gain Loss]]/SnapshotTable[[#This Row],[LC Premium]], "")</f>
        <v/>
      </c>
      <c r="EB335" s="262"/>
      <c r="EC335" s="283" t="str">
        <f>IF(SnapshotTable[[#This Row],[LC Premium]]&gt;0, SnapshotTable[[#This Row],[LC Book Price]] * (1 - LC_StopLoss_Pct),"")</f>
        <v/>
      </c>
      <c r="ED335" s="284"/>
      <c r="EE335" s="28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4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7"/>
      <c r="EL335" s="138"/>
      <c r="EM335" s="148"/>
      <c r="EN335" s="147"/>
      <c r="EO335" s="147"/>
      <c r="EP335" s="138"/>
      <c r="EQ335" s="419" t="b">
        <f>AND(ISNUMBER(SnapshotTable[[#This Row],[SC Exp Date]]), ISNUMBER(SnapshotTable[[#This Row],[SC Strike Price]]), ISNUMBER(SnapshotTable[[#This Row],[SC Qty]]), ISNUMBER(SnapshotTable[[#This Row],[SC Book Date]]), ISNUMBER(SnapshotTable[[#This Row],[SC Book Price]]))</f>
        <v>0</v>
      </c>
      <c r="ER335" s="419" t="b">
        <f>AND(SnapshotTable[[#This Row],[SC Is Booked]], NOT(ISBLANK(SnapshotTable[[#This Row],[SC Fill Date]])))</f>
        <v>0</v>
      </c>
      <c r="ES335" s="370"/>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3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283"/>
      <c r="FA335" s="218"/>
      <c r="FB335" s="370"/>
      <c r="FC335" s="4">
        <f>IF(SnapshotTable[[#This Row],[SC Is Filled]], btc_max_buyback_amount(SnapshotTable[[#This Row],[SC Fill Date]],SnapshotTable[[#This Row],[SC Exp Date]], SnapshotTable[[#This Row],[SC Book Price]]),0)</f>
        <v>0</v>
      </c>
      <c r="FD335" s="5"/>
      <c r="FE335" s="144"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382">
        <f>IF(SnapshotTable[[#This Row],[SC Is Filled]], IF(ISNUMBER(SnapshotTable[[#This Row],[SC Current Ask]]), SnapshotTable[[#This Row],[SC Current Ask]], SnapshotTable[[#This Row],[SC Book Price]]) - SnapshotTable[[#This Row],[SC Intrinsic Value]], 0)</f>
        <v>0</v>
      </c>
      <c r="FI335" s="143"/>
      <c r="FJ335" s="32" t="str">
        <f>IF(SnapshotTable[[#This Row],[SC Is Filled]],100 * SnapshotTable[[#This Row],[SC Qty]] * IF(ISNUMBER(SnapshotTable[[#This Row],[SC Buyback Override]]), SnapshotTable[[#This Row],[SC Buyback Override]], SnapshotTable[[#This Row],[SC Current Ask]]), "")</f>
        <v/>
      </c>
      <c r="FK335" s="250" t="str">
        <f>IF(SnapshotTable[[#This Row],[SC Time Val]]&gt;0, SnapshotTable[[#This Row],[SC Time Val]] / SnapshotTable[[#This Row],[Last Price]],"")</f>
        <v/>
      </c>
      <c r="FL335" s="302" t="str">
        <f>IF(SnapshotTable[[#This Row],[SC Is Booked]], ((SnapshotTable[[#This Row],[Last Price]] -SnapshotTable[[#This Row],[SC Strike Price]]) / SnapshotTable[[#This Row],[Last Price]]) * -1, "")</f>
        <v/>
      </c>
      <c r="FM335" s="157"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33"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36" t="str">
        <f>IF(AND(ISNUMBER(SnapshotTable[[#This Row],[SC Simple ROO]]),SnapshotTable[[#This Row],[SC Simple ROO]] &gt; 0), SnapshotTable[[#This Row],[SC Premium]] + (SnapshotTable[[#This Row],[SC Qty]] * SnapshotTable[[#This Row],[SC Upside Potential]]), "")</f>
        <v/>
      </c>
      <c r="FX335" s="302" t="str" cm="1">
        <f t="array" ref="FX335">IF(ISNUMBER(SnapshotTable[[#This Row],[SC Max Dollars]]), annualize(SnapshotTable[[#This Row],[SC Term]],(SnapshotTable[[#This Row],[SC Max Dollars]]/SnapshotTable[[#This Row],[SC Basis]])),"")</f>
        <v/>
      </c>
      <c r="FY335" s="23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294" t="str">
        <f>IFERROR( IF(ISNUMBER((SnapshotTable[[#This Row],[SC Current Value]])), SnapshotTable[[#This Row],[SC Gain Loss]] / SnapshotTable[[#This Row],[SC Premium]], ""), "")</f>
        <v/>
      </c>
      <c r="GB335" s="42">
        <f>SnapshotTable[[#This Row],[Equity Shares]] * SaleSharesToConsiderPercentage</f>
        <v>0</v>
      </c>
      <c r="GC335" s="40">
        <f>SnapshotTable[[#This Row],[Long Term Target]] * SellingPriceToConsiderBasedOnTargetPercentage</f>
        <v>188.82199999999997</v>
      </c>
      <c r="GD335" s="40">
        <f>SnapshotTable[[#This Row],[Last Price]] * (1+ SellingPriceToConsiderBasedOnTargetPercentage)</f>
        <v>689.16899999999998</v>
      </c>
      <c r="GE335" s="41"/>
      <c r="GF335" s="40"/>
      <c r="GG335" s="31">
        <f>SnapshotTable[[#This Row],[Booked Sale Shares]] * SnapshotTable[[#This Row],[Booked Sale Price]]</f>
        <v>0</v>
      </c>
      <c r="GH335" s="31" t="str">
        <f>IF(SnapshotTable[[#This Row],[Equity Basis Total]] &gt; 0, SnapshotTable[[#This Row],[Equity Basis Per Share]] * SnapshotTable[[#This Row],[Booked Sale Shares]], "")</f>
        <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t="s">
        <v>786</v>
      </c>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5" s="231">
        <f>MAX(SnapshotTable[[#This Row],[Equity Basis Total]],SnapshotTable[[#This Row],[Equity Value]]) + (SnapshotTable[[#This Row],[SP Potential Spend]]- SnapshotTable[[#This Row],[SP Premium]] + SnapshotTable[[#This Row],[LP Premium]])+ (SnapshotTable[[#This Row],[LC Premium]] - SnapshotTable[[#This Row],[SC Premium]])</f>
        <v>0</v>
      </c>
      <c r="GW335" s="139" t="str">
        <f>IF(AND(SnapshotTable[[#This Row],[Exposure]] &lt;&gt; 0),SnapshotTable[[#This Row],[Exposure]] / SnapshotTable[[#Totals],[Exposure]], "")</f>
        <v/>
      </c>
      <c r="HK335" s="1"/>
      <c r="HL335" s="1"/>
      <c r="HM335" s="1"/>
      <c r="HN335" s="1"/>
      <c r="HO335" s="1"/>
      <c r="HP335" s="1"/>
    </row>
    <row r="336" spans="2:224" ht="12.75" hidden="1" customHeight="1" x14ac:dyDescent="0.25">
      <c r="B336" s="12" t="s">
        <v>132</v>
      </c>
      <c r="C336" s="422">
        <v>14.85</v>
      </c>
      <c r="D336" s="208"/>
      <c r="E336" s="39">
        <f>SnapshotTable[[#This Row],[Last Price]]*(1 -CrashDiscount)</f>
        <v>12.622499999999999</v>
      </c>
      <c r="F336" s="26" t="s">
        <v>131</v>
      </c>
      <c r="G336" s="26" t="s">
        <v>41</v>
      </c>
      <c r="H336" s="149"/>
      <c r="I336" s="194">
        <v>44769.802083333336</v>
      </c>
      <c r="J336" s="195">
        <v>44769.802083333336</v>
      </c>
      <c r="K336" s="196"/>
      <c r="L336" s="326"/>
      <c r="M336" s="140"/>
      <c r="N336" s="140"/>
      <c r="O336" s="140">
        <v>5</v>
      </c>
      <c r="P336" s="22"/>
      <c r="Q336" s="25"/>
      <c r="R336" s="4" t="str">
        <f>IF(SnapshotTable[[#This Row],[Equity Basis Total]] &gt; 0, SnapshotTable[[#This Row],[Equity Basis Total]] / SnapshotTable[[#This Row],[Equity Shares]], "")</f>
        <v/>
      </c>
      <c r="S336" s="269">
        <f>SnapshotTable[[#This Row],[Last Price]] * SnapshotTable[[#This Row],[Equity Shares]]</f>
        <v>0</v>
      </c>
      <c r="T336" s="269">
        <f>SnapshotTable[[#This Row],[Equity Value]] - SnapshotTable[[#This Row],[Equity Basis Total]]</f>
        <v>0</v>
      </c>
      <c r="U336" s="270" t="str">
        <f>IF(SnapshotTable[[#This Row],[Equity Basis Total]] &gt; 0, SnapshotTable[[#This Row],[Equity G/L]] / SnapshotTable[[#This Row],[Equity Basis Total]], "")</f>
        <v/>
      </c>
      <c r="V336" s="268"/>
      <c r="W336" s="268"/>
      <c r="X336" s="4" t="str">
        <f>IF(AND(ISNUMBER(SnapshotTable[[#This Row],[Equity Basis Per Share]]),ISNUMBER(SnapshotTable[[#This Row],[Equity Target]])),SnapshotTable[[#This Row],[Equity Target]]-SnapshotTable[[#This Row],[Equity Basis Per Share]],"")</f>
        <v/>
      </c>
      <c r="Y336" s="4" t="str">
        <f>IF(AND(ISNUMBER(SnapshotTable[[#This Row],[Equity Basis Per Share]]),ISNUMBER(SnapshotTable[[#This Row],[Equity Stop Loss]])),SnapshotTable[[#This Row],[Equity Stop Loss]]-SnapshotTable[[#This Row],[Equity Basis Per Share]],"")</f>
        <v/>
      </c>
      <c r="Z336" s="275" t="str">
        <f>IFERROR( TEXT(SnapshotTable[[#This Row],[Equity Max Gain Per Share]] /ABS( SnapshotTable[[#This Row],[Equity Max Loss Per Share]]),"0.0 " ) &amp; " : 1", "")</f>
        <v/>
      </c>
      <c r="AA336" s="31" t="str">
        <f>IF(ISNUMBER(SnapshotTable[[#This Row],[Equity Max Gain Per Share]]),SnapshotTable[[#This Row],[Equity Max Gain Per Share]] * SnapshotTable[[#This Row],[Equity Shares]],"")</f>
        <v/>
      </c>
      <c r="AB336" s="31" t="str">
        <f>IF(ISNUMBER(SnapshotTable[[#This Row],[Equity Max Loss Per Share]]),SnapshotTable[[#This Row],[Equity Max Loss Per Share]] * SnapshotTable[[#This Row],[Equity Shares]],"")</f>
        <v/>
      </c>
      <c r="AC336" s="150">
        <v>0</v>
      </c>
      <c r="AD336" s="151">
        <v>42680</v>
      </c>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1">
        <v>42291</v>
      </c>
      <c r="AI336" s="5"/>
      <c r="AJ336" s="138">
        <v>12.92</v>
      </c>
      <c r="AK336" s="152" t="str">
        <f>IF(ISNUMBER( SnapshotTable[[#This Row],[EBF Target]]),(SnapshotTable[[#This Row],[EBF Target]] - SnapshotTable[[#This Row],[Last Price]]) / SnapshotTable[[#This Row],[Last Price]], "")</f>
        <v/>
      </c>
      <c r="AL336" s="152"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2">
        <f>IF(AND(ISNUMBER( SnapshotTable[[#This Row],[Long Term Target]]), ISNUMBER(SnapshotTable[[#This Row],[Last Price]])),(SnapshotTable[[#This Row],[Long Term Target]] - SnapshotTable[[#This Row],[Last Price]]) / SnapshotTable[[#This Row],[Last Price]], "")</f>
        <v>-0.12996632996632995</v>
      </c>
      <c r="AP336" s="5">
        <v>7.25</v>
      </c>
      <c r="AQ336" s="38" t="s">
        <v>6</v>
      </c>
      <c r="AR336" s="5">
        <v>6.5</v>
      </c>
      <c r="AS336" s="38" t="s">
        <v>32</v>
      </c>
      <c r="AT336" s="146"/>
      <c r="AU336" s="187" t="str">
        <f>IF(OR(SnapshotTable[[#This Row],[LP No Fill]]="Y",SnapshotTable[[#This Row],[SP Is Filled]],SnapshotTable[[#This Row],[LC Not Filled]]="Y",SnapshotTable[[#This Row],[SC Is Filled]]),"Y","")</f>
        <v/>
      </c>
      <c r="AV336" s="219"/>
      <c r="AW336" s="225"/>
      <c r="AX336" s="220"/>
      <c r="AY336" s="219" t="str">
        <f>IF(SnapshotTable[[#This Row],[Implied Move]]&gt;0, SnapshotTable[[#This Row],[Last Price]]-SnapshotTable[[#This Row],[Implied Move]],"")</f>
        <v/>
      </c>
      <c r="AZ336" s="219" t="str">
        <f>IF(SnapshotTable[[#This Row],[Implied Move]]&gt;0, SnapshotTable[[#This Row],[Last Price]] + SnapshotTable[[#This Row],[Implied Move]],"")</f>
        <v/>
      </c>
      <c r="BA336" s="331"/>
      <c r="BB336" s="347"/>
      <c r="BC3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6" s="351"/>
      <c r="BE336" s="5"/>
      <c r="BF336" s="14"/>
      <c r="BG336" s="13"/>
      <c r="BH336" s="13"/>
      <c r="BI336" s="5"/>
      <c r="BJ336" s="136">
        <f>IF(SnapshotTable[[#This Row],[LP Qty]] &gt; 0, SnapshotTable[[#This Row],[LP Qty]] * SnapshotTable[[#This Row],[LP Book Price]] * 100,0)</f>
        <v>0</v>
      </c>
      <c r="BK336" s="136">
        <f>IF(SnapshotTable[[#This Row],[LP Premium]] &gt; 0, SnapshotTable[[#This Row],[LP Qty]] * SnapshotTable[[#This Row],[LP Strike Price]] * 100,0)</f>
        <v>0</v>
      </c>
      <c r="BL336" s="154"/>
      <c r="BM336" s="385" t="str">
        <f>IF(SnapshotTable[[#This Row],[LP Premium]] &gt; 0,SnapshotTable[[#This Row],[LP Exp Date]]-MAX(SnapshotTable[[#This Row],[LP Book Date]], SnapshotTable[[#This Row],[LP Fill Date]]),"")</f>
        <v/>
      </c>
      <c r="BN336" s="385" t="str">
        <f>IF(ISNUMBER( SnapshotTable[[#This Row],[LP Term]]), SnapshotTable[[#This Row],[LP Exp Date]] - MockToday,"")</f>
        <v/>
      </c>
      <c r="BO336" s="163"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c r="BR336" s="5"/>
      <c r="BS336" s="36"/>
      <c r="BT336" s="147"/>
      <c r="BU336" s="13"/>
      <c r="BV336" s="5"/>
      <c r="BW336" s="419" t="b">
        <f>AND(ISNUMBER(SnapshotTable[[#This Row],[SP Exp Date]]), ISNUMBER(SnapshotTable[[#This Row],[SP Strike Price]]), ISNUMBER(SnapshotTable[[#This Row],[SP Qty]]), ISNUMBER(SnapshotTable[[#This Row],[SP Book Date]]), ISNUMBER(SnapshotTable[[#This Row],[SP Book Price]]))</f>
        <v>0</v>
      </c>
      <c r="BX336" s="419" t="b">
        <f>AND(SnapshotTable[[#This Row],[SP Is Booked]], NOT(ISBLANK(SnapshotTable[[#This Row],[SP Fill Date]])))</f>
        <v>0</v>
      </c>
      <c r="BY336" s="33">
        <f>IF(SnapshotTable[[#This Row],[SP Is Booked]], SnapshotTable[[#This Row],[SP Qty]] * SnapshotTable[[#This Row],[SP Book Price]] * 100, 0)</f>
        <v>0</v>
      </c>
      <c r="BZ336" s="369"/>
      <c r="CA336" s="368">
        <f>SnapshotTable[[#This Row],[LP Qty]]</f>
        <v>0</v>
      </c>
      <c r="CB336" s="4" t="str">
        <f>IF(SnapshotTable[[#This Row],[SP Is Booked]], SnapshotTable[[#This Row],[SP Strike Price]] - SnapshotTable[[#This Row],[SP Book Price]], "")</f>
        <v/>
      </c>
      <c r="CC336" s="19" t="str">
        <f>IF(SnapshotTable[[#This Row],[SP Is Booked]],SnapshotTable[[#This Row],[SP Exp Date]]-MAX(SnapshotTable[[#This Row],[SP Book Date]], SnapshotTable[[#This Row],[SP Fill Date]]),"")</f>
        <v/>
      </c>
      <c r="CD336" s="7" t="str">
        <f>IF(SnapshotTable[[#This Row],[SP Is Booked]], SnapshotTable[[#This Row],[SP Book Price]]/SnapshotTable[[#This Row],[SP Strike Price]], "")</f>
        <v/>
      </c>
      <c r="CE336" s="7" t="str">
        <f>IF(ISNUMBER(SnapshotTable[[#This Row],[SP ROO Term]]),SnapshotTable[[#This Row],[SP ROO Term]]*(365/SnapshotTable[[#This Row],[SP Term]]),"")</f>
        <v/>
      </c>
      <c r="CF336" s="236">
        <f>SnapshotTable[[#This Row],[LP Strike Price]] * SnapshotTable[[#This Row],[LP Qty]] * 100</f>
        <v>0</v>
      </c>
      <c r="CG336" s="31">
        <f>IF(ISNUMBER(SnapshotTable[[#This Row],[SP Premium]]), (SnapshotTable[[#This Row],[SP Qty]] * SnapshotTable[[#This Row],[SP Strike Price]]* 100) - SnapshotTable[[#This Row],[LP Protection]], 0)</f>
        <v>0</v>
      </c>
      <c r="CH336" s="7" t="str">
        <f>IF(ISNUMBER(SnapshotTable[[#This Row],[SP Break Even]]),-1 * (SnapshotTable[[#This Row],[SP Break Even]] - SnapshotTable[[#This Row],[Last Price]]) / SnapshotTable[[#This Row],[Last Price]], "")</f>
        <v/>
      </c>
      <c r="CI336" s="31">
        <f>IF(AND(ISNUMBER((SnapshotTable[[#This Row],[SP Potential Spend]])), SnapshotTable[[#This Row],[SP Strike Price]] &gt; SnapshotTable[[#This Row],[Last Price]], SnapshotTable[[#This Row],[SP Is Filled]]), SnapshotTable[[#This Row],[SP Potential Spend]] -  SnapshotTable[[#This Row],[LP Max Value]], 0)</f>
        <v>0</v>
      </c>
      <c r="CJ336" s="244"/>
      <c r="CK336" s="31">
        <f>IF(ISNUMBER(SnapshotTable[[#This Row],[SP Potential Spend]]),IF(ISNUMBER(SnapshotTable[[#This Row],[SP POW]]), SnapshotTable[[#This Row],[SP POW]] * SnapshotTable[[#This Row],[SP Potential Spend]], SnapshotTable[[#This Row],[SP Potential Spend]]), "")</f>
        <v>0</v>
      </c>
      <c r="CL336" s="164">
        <f>IF(NOT(SnapshotTable[[#This Row],[SP Is Filled]]),(SnapshotTable[[#This Row],[SP Qty]] * SnapshotTable[[#This Row],[SP Strike Price]] * 100) - SnapshotTable[[#This Row],[LP Max Value]],"")</f>
        <v>0</v>
      </c>
      <c r="CM336" s="31" t="str">
        <f>IF(SnapshotTable[[#This Row],[SP Actual Spend]]&lt;&gt;0, ((SnapshotTable[[#This Row],[SP Strike Price]]-SnapshotTable[[#This Row],[Last Price]]) *(SnapshotTable[[#This Row],[SP Qty]]*100) - SnapshotTable[[#This Row],[SP Premium]]) * - 1, "")</f>
        <v/>
      </c>
      <c r="CN336" s="78"/>
      <c r="CO336" s="369"/>
      <c r="CP336" s="4" t="str">
        <f>IF(SnapshotTable[[#This Row],[SP Is Filled]], btc_max_buyback_amount(SnapshotTable[[#This Row],[SP Fill Date]],SnapshotTable[[#This Row],[SP Exp Date]], SnapshotTable[[#This Row],[SP Book Price]]),"")</f>
        <v/>
      </c>
      <c r="CQ336" s="78"/>
      <c r="CR3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6" s="155" t="str">
        <f>IF(SnapshotTable[[#This Row],[SP Is Filled]], btc_next_cutoff_date(SnapshotTable[[#This Row],[SP Fill Date]],SnapshotTable[[#This Row],[SP Exp Date]]),"")</f>
        <v/>
      </c>
      <c r="CT336" s="235" t="str" cm="1">
        <f t="array" ref="CT336">IF(SnapshotTable[[#This Row],[SP Is Filled]], btc_should_buy_back(SnapshotTable[[#This Row],[SP Fill Date]], SnapshotTable[[#This Row],[SP Exp Date]], SnapshotTable[[#This Row],[SP Book Price]], SnapshotTable[[#This Row],[SP Current Ask]], MockToday, SnapshotTable[[#This Row],[SP Buyback Override]]),"")</f>
        <v/>
      </c>
      <c r="CU336" s="143"/>
      <c r="CV336" s="235"/>
      <c r="CW336" s="378" t="str">
        <f>IF(ISNUMBER( SnapshotTable[[#This Row],[SP Term]]), SnapshotTable[[#This Row],[SP Exp Date]] - MockToday,"")</f>
        <v/>
      </c>
      <c r="CX336" s="31" t="str">
        <f>IF(SnapshotTable[[#This Row],[SP Is Filled]],SnapshotTable[[#This Row],[SP Buyback Price to Use]] * 100 * SnapshotTable[[#This Row],[SP Qty]], "")</f>
        <v/>
      </c>
      <c r="CY336" s="4" t="str">
        <f>IF(ISNUMBER(SnapshotTable[[#This Row],[SP Strike Price]]), SnapshotTable[[#This Row],[SP Strike Price]] * (1 - SP_MaxLoss_StrikePct), "")</f>
        <v/>
      </c>
      <c r="CZ336" s="31" t="str">
        <f>IF(ISNUMBER(SnapshotTable[[#This Row],[SP Strike  Stop Per Share]]),SnapshotTable[[#This Row],[SP Premium]] - ((SnapshotTable[[#This Row],[SP Strike Price]]-SnapshotTable[[#This Row],[SP Strike  Stop Per Share]]) *(SnapshotTable[[#This Row],[SP Qty]] * 100)),"")</f>
        <v/>
      </c>
      <c r="DA336" s="4" t="str">
        <f>IF(AND(ISNUMBER(SnapshotTable[[#This Row],[SP Premium]]),SnapshotTable[[#This Row],[SP Premium]]&gt;0), SnapshotTable[[#This Row],[SP Book Price]] * (1 + SP_MaxLoss_OptionPct), "")</f>
        <v/>
      </c>
      <c r="DB336" s="31" t="str">
        <f>IF(ISNUMBER(SnapshotTable[[#This Row],[SP Option  Stop Contract]]),(SnapshotTable[[#This Row],[SP Option  Stop Contract]] *(SnapshotTable[[#This Row],[SP Qty]] * 100) - SnapshotTable[[#This Row],[SP Premium]]),"")</f>
        <v/>
      </c>
      <c r="DC336" s="4"/>
      <c r="DD336" s="4"/>
      <c r="DE336" s="4" t="str">
        <f>IF(AND(SnapshotTable[[#This Row],[SP Qty]]&gt;0, SnapshotTable[[#This Row],[SP Stop To Use]]&gt;0),SnapshotTable[[#This Row],[SP Premium]] - ( SnapshotTable[[#This Row],[SP Qty]] * SnapshotTable[[#This Row],[SP Stop To Use]] * 100), "")</f>
        <v/>
      </c>
      <c r="DF336" s="31" t="str">
        <f>IF(AND(SnapshotTable[[#This Row],[SP Qty]]&gt;0,SnapshotTable[[#This Row],[SP Current Ask]]&gt;0), SnapshotTable[[#This Row],[SP Qty]] * SnapshotTable[[#This Row],[SP Current Ask]] * -100, "")</f>
        <v/>
      </c>
      <c r="DG336" s="31" t="str">
        <f>IF(ISNUMBER((SnapshotTable[[#This Row],[SP Total Value]])), SnapshotTable[[#This Row],[SP Premium]] + SnapshotTable[[#This Row],[SP Total Value]], "")</f>
        <v/>
      </c>
      <c r="DH336" s="294" t="str">
        <f>IF(ISNUMBER((SnapshotTable[[#This Row],[SP Total Value]])), SnapshotTable[[#This Row],[SP Gain Loss]] / SnapshotTable[[#This Row],[SP Premium]], "")</f>
        <v/>
      </c>
      <c r="DI336" s="406"/>
      <c r="DJ336" s="138"/>
      <c r="DK336" s="148"/>
      <c r="DL336" s="13"/>
      <c r="DM336" s="13"/>
      <c r="DO336" s="31">
        <f>IF(SnapshotTable[[#This Row],[LC Symbol Count]]=1, SnapshotTable[[#This Row],[LC Qty]] * SnapshotTable[[#This Row],[LC Book Price]] * 100, 0)</f>
        <v>0</v>
      </c>
      <c r="DP336" s="163" t="str">
        <f>IF(AND(SnapshotTable[[#This Row],[LC Exp Date]]&gt;0, SnapshotTable[[#This Row],[LC Strike Price]]&gt;0,SnapshotTable[[#This Row],[LC Qty]]&gt;0,SnapshotTable[[#This Row],[LC Book Date]]&gt;0,SnapshotTable[[#This Row],[LC Book Price]]&gt;0,SnapshotTable[[#This Row],[LC Fill Date]]=0),"Y","")</f>
        <v/>
      </c>
      <c r="DQ336" s="386" t="str">
        <f>IF(SnapshotTable[[#This Row],[LC Premium]] &gt; 0,SnapshotTable[[#This Row],[LC Exp Date]]-MAX(SnapshotTable[[#This Row],[LC Book Date]], SnapshotTable[[#This Row],[LC Fill Date]]),"")</f>
        <v/>
      </c>
      <c r="DR336" s="386" t="str">
        <f>IF(ISNUMBER(SnapshotTable[[#This Row],[LC Term]]), SnapshotTable[[#This Row],[LC Exp Date]] - MockToday, "")</f>
        <v/>
      </c>
      <c r="DS336" s="23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40" t="str">
        <f>IF(ISNUMBER(SnapshotTable[[#This Row],[LC Actual Gain Loss]]), SnapshotTable[[#This Row],[LC Actual Gain Loss]] / SnapshotTable[[#This Row],[LC Premium]],"")</f>
        <v/>
      </c>
      <c r="DX336" s="284" t="str">
        <f>IF(ISNUMBER(SnapshotTable[[#This Row],[LC Book Price]]),SnapshotTable[[#This Row],[LC Book Price]] * 1.5,"")</f>
        <v/>
      </c>
      <c r="DY336" s="265" t="str">
        <f>IF(SnapshotTable[[#This Row],[LC Premium]]&gt;0, SnapshotTable[[#This Row],[LC Next Target]] * SnapshotTable[[#This Row],[LC Qty]] * 100,"")</f>
        <v/>
      </c>
      <c r="DZ336" s="265" t="str">
        <f>IF(ISNUMBER(SnapshotTable[[#This Row],[LC Target Gross]]), SnapshotTable[[#This Row],[LC Target Gross]] - SnapshotTable[[#This Row],[LC Premium]], "")</f>
        <v/>
      </c>
      <c r="EA336" s="305" t="str">
        <f>IF(ISNUMBER(SnapshotTable[[#This Row],[LC Target Gain Loss]]), SnapshotTable[[#This Row],[LC Target Gain Loss]]/SnapshotTable[[#This Row],[LC Premium]], "")</f>
        <v/>
      </c>
      <c r="EB336" s="262"/>
      <c r="EC336" s="283" t="str">
        <f>IF(SnapshotTable[[#This Row],[LC Premium]]&gt;0, SnapshotTable[[#This Row],[LC Book Price]] * (1 - LC_StopLoss_Pct),"")</f>
        <v/>
      </c>
      <c r="ED336" s="284"/>
      <c r="EE336" s="28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4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0</v>
      </c>
      <c r="EK336" s="147"/>
      <c r="EL336" s="138"/>
      <c r="EM336" s="148"/>
      <c r="EN336" s="147"/>
      <c r="EO336" s="147"/>
      <c r="EP336" s="138"/>
      <c r="EQ336" s="419" t="b">
        <f>AND(ISNUMBER(SnapshotTable[[#This Row],[SC Exp Date]]), ISNUMBER(SnapshotTable[[#This Row],[SC Strike Price]]), ISNUMBER(SnapshotTable[[#This Row],[SC Qty]]), ISNUMBER(SnapshotTable[[#This Row],[SC Book Date]]), ISNUMBER(SnapshotTable[[#This Row],[SC Book Price]]))</f>
        <v>0</v>
      </c>
      <c r="ER336" s="419" t="b">
        <f>AND(SnapshotTable[[#This Row],[SC Is Booked]], NOT(ISBLANK(SnapshotTable[[#This Row],[SC Fill Date]])))</f>
        <v>0</v>
      </c>
      <c r="ES336" s="370"/>
      <c r="ET336" s="34" t="str">
        <f>IF(AND(ISNUMBER(SnapshotTable[[#This Row],[SC Exp Date]]), ISNUMBER(SnapshotTable[[#This Row],[SC Book Date]])), SnapshotTable[[#This Row],[SC Exp Date]] - MAX(SnapshotTable[[#This Row],[SC Book Date]], SnapshotTable[[#This Row],[SC Fill Date]]) + 1, "")</f>
        <v/>
      </c>
      <c r="EU336" s="34" t="str">
        <f>IF(ISNUMBER(SnapshotTable[[#This Row],[SC Term]]), SnapshotTable[[#This Row],[SC Exp Date]]- MockToday, "")</f>
        <v/>
      </c>
      <c r="EV336" s="31">
        <f>IF(SnapshotTable[[#This Row],[SC Is Booked]], SnapshotTable[[#This Row],[SC Qty]] * SnapshotTable[[#This Row],[SC Book Price]] * 100, 0)</f>
        <v>0</v>
      </c>
      <c r="EW336" s="4" t="str">
        <f>IF(AND(ISNUMBER(SnapshotTable[[#This Row],[Last Price]]), ISNUMBER( SnapshotTable[[#This Row],[SC Book Price]])), SnapshotTable[[#This Row],[Last Price]] - SnapshotTable[[#This Row],[SC Book Price]],"")</f>
        <v/>
      </c>
      <c r="EX336" s="234" t="str">
        <f>IF(SnapshotTable[[#This Row],[SC Is Booked]],IF(SnapshotTable[[#This Row],[SC Intrinsic Value]] &gt; 0, SnapshotTable[[#This Row],[SC Strike Price]], SnapshotTable[[#This Row],[Last Price]]), "")</f>
        <v/>
      </c>
      <c r="EY336" s="4">
        <f>IF(SnapshotTable[[#This Row],[SC Is Booked]], (MinimumPremiumRequired * SnapshotTable[[#This Row],[SC Basis]] * SnapshotTable[[#This Row],[SC Term]]), 0)</f>
        <v>0</v>
      </c>
      <c r="EZ336" s="283"/>
      <c r="FA336" s="218"/>
      <c r="FB336" s="370"/>
      <c r="FC336" s="4">
        <f>IF(SnapshotTable[[#This Row],[SC Is Filled]], btc_max_buyback_amount(SnapshotTable[[#This Row],[SC Fill Date]],SnapshotTable[[#This Row],[SC Exp Date]], SnapshotTable[[#This Row],[SC Book Price]]),0)</f>
        <v>0</v>
      </c>
      <c r="FD336" s="5"/>
      <c r="FE336" s="144" t="str">
        <f>IF(SnapshotTable[[#This Row],[SC Is Filled]], btc_next_cutoff_date(SnapshotTable[[#This Row],[SC Fill Date]],SnapshotTable[[#This Row],[SC Exp Date]]),"")</f>
        <v/>
      </c>
      <c r="FF336" s="4" t="str" cm="1">
        <f t="array" ref="FF336">IF(SnapshotTable[[#This Row],[SC Is Filled]], btc_should_buy_back(SnapshotTable[[#This Row],[SC Fill Date]], SnapshotTable[[#This Row],[SC Exp Date]], SnapshotTable[[#This Row],[SC Book Price]], SnapshotTable[[#This Row],[SC Current Ask]], MockToday, SnapshotTable[[#This Row],[SC Buyback Override]]),"")</f>
        <v/>
      </c>
      <c r="FG336" s="4">
        <f>IF(SnapshotTable[[#This Row],[SC Is Filled]], MAX(0,SnapshotTable[[#This Row],[Last Price]]  - SnapshotTable[[#This Row],[SC Strike Price]]), 0)</f>
        <v>0</v>
      </c>
      <c r="FH336" s="382">
        <f>IF(SnapshotTable[[#This Row],[SC Is Filled]], IF(ISNUMBER(SnapshotTable[[#This Row],[SC Current Ask]]), SnapshotTable[[#This Row],[SC Current Ask]], SnapshotTable[[#This Row],[SC Book Price]]) - SnapshotTable[[#This Row],[SC Intrinsic Value]], 0)</f>
        <v>0</v>
      </c>
      <c r="FI336" s="143"/>
      <c r="FJ336" s="32" t="str">
        <f>IF(SnapshotTable[[#This Row],[SC Is Filled]],100 * SnapshotTable[[#This Row],[SC Qty]] * IF(ISNUMBER(SnapshotTable[[#This Row],[SC Buyback Override]]), SnapshotTable[[#This Row],[SC Buyback Override]], SnapshotTable[[#This Row],[SC Current Ask]]), "")</f>
        <v/>
      </c>
      <c r="FK336" s="250" t="str">
        <f>IF(SnapshotTable[[#This Row],[SC Time Val]]&gt;0, SnapshotTable[[#This Row],[SC Time Val]] / SnapshotTable[[#This Row],[Last Price]],"")</f>
        <v/>
      </c>
      <c r="FL336" s="302" t="str">
        <f>IF(SnapshotTable[[#This Row],[SC Is Booked]], ((SnapshotTable[[#This Row],[Last Price]] -SnapshotTable[[#This Row],[SC Strike Price]]) / SnapshotTable[[#This Row],[Last Price]]) * -1, "")</f>
        <v/>
      </c>
      <c r="FM336" s="157" t="str">
        <f>IF(SnapshotTable[[#This Row],[SC Is Booked]],  (SnapshotTable[[#This Row],[SC Qty]] * 100 * SnapshotTable[[#This Row],[SC Strike Price]]) - SnapshotTable[[#This Row],[SC Current Ask]], "")</f>
        <v/>
      </c>
      <c r="FN3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t="str">
        <f>IF(AND(ISNUMBER(SnapshotTable[[#This Row],[SC Exercise Gross]]), ISNUMBER(SnapshotTable[[#This Row],[Equity Basis Per Share]] )), SnapshotTable[[#This Row],[SC Exercise Gross]] - SnapshotTable[[#This Row],[Equity Basis Total]] +  SnapshotTable[[#This Row],[SC Premium]], "")</f>
        <v/>
      </c>
      <c r="FP336" s="5" t="str">
        <f>IF(ISNUMBER(SnapshotTable[[#This Row],[SC Exercise Gross]]), (SnapshotTable[[#This Row],[SC Exercise Gross]]) / (SnapshotTable[[#This Row],[SC Qty]] * 100), "")</f>
        <v/>
      </c>
      <c r="FQ336" s="27" t="str">
        <f>IF(SnapshotTable[[#This Row],[SC Is Booked]],SnapshotTable[[#This Row],[SC Time Val]] /SnapshotTable[[#This Row],[SC Basis]], "")</f>
        <v/>
      </c>
      <c r="FR336" s="27" t="str" cm="1">
        <f t="array" ref="FR336">IF(AND(ISNUMBER(SnapshotTable[[#This Row],[SC Term]]),ISNUMBER(SnapshotTable[[#This Row],[SC Simple ROO]])), EllmanAnnualize(SnapshotTable[[#This Row],[SC DTE]], SnapshotTable[[#This Row],[SC Simple ROO]] ),"")</f>
        <v/>
      </c>
      <c r="FS336" s="4">
        <f>IF(SnapshotTable[[#This Row],[SC Strike Price]] &gt; SnapshotTable[[#This Row],[Last Price]], SnapshotTable[[#This Row],[SC Strike Price]] - SnapshotTable[[#This Row],[Last Price]],0)</f>
        <v>0</v>
      </c>
      <c r="FT336" s="27" t="str">
        <f>IF(AND(ISNUMBER(SnapshotTable[[#This Row],[SC Upside Potential]]), SnapshotTable[[#This Row],[SC Upside Potential]] &gt; 0),(SnapshotTable[[#This Row],[SC Upside Potential]]/ SnapshotTable[[#This Row],[ACB]]),"")</f>
        <v/>
      </c>
      <c r="FU336" s="333" t="str">
        <f>IF(SnapshotTable[[#This Row],[SC Intrinsic Value]] &gt; 0,SnapshotTable[[#This Row],[SC Intrinsic Value]],"")</f>
        <v/>
      </c>
      <c r="FV336" s="27" t="str">
        <f>IF(AND( ISNUMBER( SnapshotTable[[#This Row],[ACB]]),ISNUMBER(SnapshotTable[[#This Row],[SC Downside Protect]])),SnapshotTable[[#This Row],[SC Downside Protect]] / SnapshotTable[[#This Row],[ACB]],"")</f>
        <v/>
      </c>
      <c r="FW336" s="236" t="str">
        <f>IF(AND(ISNUMBER(SnapshotTable[[#This Row],[SC Simple ROO]]),SnapshotTable[[#This Row],[SC Simple ROO]] &gt; 0), SnapshotTable[[#This Row],[SC Premium]] + (SnapshotTable[[#This Row],[SC Qty]] * SnapshotTable[[#This Row],[SC Upside Potential]]), "")</f>
        <v/>
      </c>
      <c r="FX336" s="302" t="str" cm="1">
        <f t="array" ref="FX336">IF(ISNUMBER(SnapshotTable[[#This Row],[SC Max Dollars]]), annualize(SnapshotTable[[#This Row],[SC Term]],(SnapshotTable[[#This Row],[SC Max Dollars]]/SnapshotTable[[#This Row],[SC Basis]])),"")</f>
        <v/>
      </c>
      <c r="FY336" s="236" t="str">
        <f>IF(AND(SnapshotTable[[#This Row],[SC Qty]]&gt;0,SnapshotTable[[#This Row],[SC Current Ask]]&gt;0), SnapshotTable[[#This Row],[SC Qty]] * SnapshotTable[[#This Row],[SC Current Ask]] * -100, "")</f>
        <v/>
      </c>
      <c r="FZ336" s="31" t="str">
        <f>IF(ISNUMBER((SnapshotTable[[#This Row],[SC Current Value]])), SnapshotTable[[#This Row],[SC Premium]] + SnapshotTable[[#This Row],[SC Current Value]], "")</f>
        <v/>
      </c>
      <c r="GA336" s="294" t="str">
        <f>IFERROR( IF(ISNUMBER((SnapshotTable[[#This Row],[SC Current Value]])), SnapshotTable[[#This Row],[SC Gain Loss]] / SnapshotTable[[#This Row],[SC Premium]], ""), "")</f>
        <v/>
      </c>
      <c r="GB336" s="42">
        <f>SnapshotTable[[#This Row],[Equity Shares]] * SaleSharesToConsiderPercentage</f>
        <v>0</v>
      </c>
      <c r="GC336" s="40">
        <f>SnapshotTable[[#This Row],[Long Term Target]] * SellingPriceToConsiderBasedOnTargetPercentage</f>
        <v>12.273999999999999</v>
      </c>
      <c r="GD336" s="40">
        <f>SnapshotTable[[#This Row],[Last Price]] * (1+ SellingPriceToConsiderBasedOnTargetPercentage)</f>
        <v>28.9575</v>
      </c>
      <c r="GE336" s="41">
        <v>50</v>
      </c>
      <c r="GF336" s="40">
        <v>15.18</v>
      </c>
      <c r="GG336" s="31">
        <f>SnapshotTable[[#This Row],[Booked Sale Shares]] * SnapshotTable[[#This Row],[Booked Sale Price]]</f>
        <v>759</v>
      </c>
      <c r="GH336" s="31" t="str">
        <f>IF(SnapshotTable[[#This Row],[Equity Basis Total]] &gt; 0, SnapshotTable[[#This Row],[Equity Basis Per Share]] * SnapshotTable[[#This Row],[Booked Sale Shares]], "")</f>
        <v/>
      </c>
      <c r="GI336" s="31" t="e">
        <f>IF(SnapshotTable[[#This Row],[Sale Proceeds]]&gt;0, SnapshotTable[[#This Row],[Sale Proceeds]] - SnapshotTable[[#This Row],[Sale Basis]], 0)</f>
        <v>#VALUE!</v>
      </c>
      <c r="GJ336" s="27" t="e">
        <f>IF(SnapshotTable[[#This Row],[Sale G/L]]&gt;0, SnapshotTable[[#This Row],[Sale G/L]] / SnapshotTable[[#This Row],[Sale Basis]], IF(ISNUMBER(SnapshotTable[[#This Row],[SC Exercise P&amp;L (TAX)]]), SnapshotTable[[#This Row],[SC Exercise P&amp;L (TAX)]] / SnapshotTable[[#This Row],[SC Basis]], ""))</f>
        <v>#VALUE!</v>
      </c>
      <c r="GK336" s="27" t="s">
        <v>787</v>
      </c>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
      </c>
      <c r="GO336" s="30" t="str">
        <f>IF(LEN(SnapshotTable[[#This Row],[SP Symbol]])&gt;0, 1, "")</f>
        <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IF(AND(SnapshotTable[[#This Row],[SC Exp Date]]&gt;0,SnapshotTable[[#This Row],[SC Strike Price]]&gt;0), [1]!ToOptionSymbol(SnapshotTable[[#This Row],[Symbol]], SnapshotTable[[#This Row],[SC Strike Price]],SnapshotTable[[#This Row],[SC Exp Date]],0), "")</f>
        <v/>
      </c>
      <c r="GS336" s="30" t="str">
        <f>IF(LEN(SnapshotTable[[#This Row],[SC Symbol]])&gt;0, 1, "")</f>
        <v/>
      </c>
      <c r="GT336" s="29" t="str">
        <f>IF(COUNT(SnapshotTable[[#This Row],[LP Symbol Count]],SnapshotTable[[#This Row],[SP Symbol Count]],SnapshotTable[[#This Row],[LC Symbol Count]],SnapshotTable[[#This Row],[SC Symbol Count]])&gt;0, "Y", "")</f>
        <v/>
      </c>
      <c r="GU3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6" s="231">
        <f>MAX(SnapshotTable[[#This Row],[Equity Basis Total]],SnapshotTable[[#This Row],[Equity Value]]) + (SnapshotTable[[#This Row],[SP Potential Spend]]- SnapshotTable[[#This Row],[SP Premium]] + SnapshotTable[[#This Row],[LP Premium]])+ (SnapshotTable[[#This Row],[LC Premium]] - SnapshotTable[[#This Row],[SC Premium]])</f>
        <v>0</v>
      </c>
      <c r="GW336" s="139" t="str">
        <f>IF(AND(SnapshotTable[[#This Row],[Exposure]] &lt;&gt; 0),SnapshotTable[[#This Row],[Exposure]] / SnapshotTable[[#Totals],[Exposure]], "")</f>
        <v/>
      </c>
      <c r="HK336" s="1"/>
      <c r="HL336" s="1"/>
      <c r="HM336" s="1"/>
      <c r="HN336" s="1"/>
      <c r="HO336" s="1"/>
      <c r="HP336" s="1"/>
    </row>
    <row r="337" spans="2:224" ht="12.75" hidden="1" customHeight="1" x14ac:dyDescent="0.25">
      <c r="B337" s="12" t="s">
        <v>1044</v>
      </c>
      <c r="C337" s="422">
        <v>11.03</v>
      </c>
      <c r="D337" s="208" t="s">
        <v>578</v>
      </c>
      <c r="E337" s="39">
        <f>SnapshotTable[[#This Row],[Last Price]]*(1 -CrashDiscount)</f>
        <v>9.3754999999999988</v>
      </c>
      <c r="F337" s="26" t="s">
        <v>975</v>
      </c>
      <c r="G337" s="26" t="s">
        <v>822</v>
      </c>
      <c r="H337" s="149"/>
      <c r="I337" s="194">
        <v>44783.670138888891</v>
      </c>
      <c r="J337" s="195">
        <v>44783.670138888891</v>
      </c>
      <c r="K337" s="196"/>
      <c r="L337" s="326"/>
      <c r="M337" s="140"/>
      <c r="N337" s="140"/>
      <c r="O337" s="140"/>
      <c r="P337" s="22"/>
      <c r="Q337" s="25"/>
      <c r="R337" s="4" t="str">
        <f>IF(SnapshotTable[[#This Row],[Equity Basis Total]] &gt; 0, SnapshotTable[[#This Row],[Equity Basis Total]] / SnapshotTable[[#This Row],[Equity Shares]], "")</f>
        <v/>
      </c>
      <c r="S337" s="269">
        <f>SnapshotTable[[#This Row],[Last Price]] * SnapshotTable[[#This Row],[Equity Shares]]</f>
        <v>0</v>
      </c>
      <c r="T337" s="269">
        <f>SnapshotTable[[#This Row],[Equity Value]] - SnapshotTable[[#This Row],[Equity Basis Total]]</f>
        <v>0</v>
      </c>
      <c r="U337" s="270" t="str">
        <f>IF(SnapshotTable[[#This Row],[Equity Basis Total]] &gt; 0, SnapshotTable[[#This Row],[Equity G/L]] / SnapshotTable[[#This Row],[Equity Basis Total]], "")</f>
        <v/>
      </c>
      <c r="V337" s="268"/>
      <c r="W337" s="268"/>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7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0"/>
      <c r="AD337" s="151"/>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1"/>
      <c r="AI337" s="5"/>
      <c r="AJ337" s="138">
        <v>25.78</v>
      </c>
      <c r="AK337" s="152" t="str">
        <f>IF(ISNUMBER( SnapshotTable[[#This Row],[EBF Target]]),(SnapshotTable[[#This Row],[EBF Target]] - SnapshotTable[[#This Row],[Last Price]]) / SnapshotTable[[#This Row],[Last Price]], "")</f>
        <v/>
      </c>
      <c r="AL337" s="152"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2">
        <f>IF(AND(ISNUMBER( SnapshotTable[[#This Row],[Long Term Target]]), ISNUMBER(SnapshotTable[[#This Row],[Last Price]])),(SnapshotTable[[#This Row],[Long Term Target]] - SnapshotTable[[#This Row],[Last Price]]) / SnapshotTable[[#This Row],[Last Price]], "")</f>
        <v>1.3372620126926567</v>
      </c>
      <c r="AP337" s="5">
        <v>17.5</v>
      </c>
      <c r="AQ337" s="38" t="s">
        <v>27</v>
      </c>
      <c r="AR337" s="5">
        <v>17.5</v>
      </c>
      <c r="AS337" s="38" t="s">
        <v>38</v>
      </c>
      <c r="AT337" s="146" t="s">
        <v>542</v>
      </c>
      <c r="AU337" s="187" t="str">
        <f>IF(OR(SnapshotTable[[#This Row],[LP No Fill]]="Y",SnapshotTable[[#This Row],[SP Is Filled]],SnapshotTable[[#This Row],[LC Not Filled]]="Y",SnapshotTable[[#This Row],[SC Is Filled]]),"Y","")</f>
        <v/>
      </c>
      <c r="AV337" s="219"/>
      <c r="AW337" s="225"/>
      <c r="AX337" s="220"/>
      <c r="AY337" s="219" t="str">
        <f>IF(SnapshotTable[[#This Row],[Implied Move]]&gt;0, SnapshotTable[[#This Row],[Last Price]]-SnapshotTable[[#This Row],[Implied Move]],"")</f>
        <v/>
      </c>
      <c r="AZ337" s="219" t="str">
        <f>IF(SnapshotTable[[#This Row],[Implied Move]]&gt;0, SnapshotTable[[#This Row],[Last Price]] + SnapshotTable[[#This Row],[Implied Move]],"")</f>
        <v/>
      </c>
      <c r="BA337" s="331">
        <v>16.46</v>
      </c>
      <c r="BB337" s="347"/>
      <c r="BC3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7" s="351"/>
      <c r="BE337" s="138"/>
      <c r="BF337" s="166"/>
      <c r="BG337" s="167"/>
      <c r="BH337" s="167"/>
      <c r="BI337" s="221"/>
      <c r="BJ337" s="153">
        <f>IF(SnapshotTable[[#This Row],[LP Qty]] &gt; 0, SnapshotTable[[#This Row],[LP Qty]] * SnapshotTable[[#This Row],[LP Book Price]] * 100,0)</f>
        <v>0</v>
      </c>
      <c r="BK337" s="136">
        <f>IF(SnapshotTable[[#This Row],[LP Premium]] &gt; 0, SnapshotTable[[#This Row],[LP Qty]] * SnapshotTable[[#This Row],[LP Strike Price]] * 100,0)</f>
        <v>0</v>
      </c>
      <c r="BL337" s="154"/>
      <c r="BM337" s="385" t="str">
        <f>IF(SnapshotTable[[#This Row],[LP Premium]] &gt; 0,SnapshotTable[[#This Row],[LP Exp Date]]-MAX(SnapshotTable[[#This Row],[LP Book Date]], SnapshotTable[[#This Row],[LP Fill Date]]),"")</f>
        <v/>
      </c>
      <c r="BN337" s="385" t="str">
        <f>IF(ISNUMBER( SnapshotTable[[#This Row],[LP Term]]), SnapshotTable[[#This Row],[LP Exp Date]] - MockToday,"")</f>
        <v/>
      </c>
      <c r="BO337" s="163"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7"/>
      <c r="BU337" s="13"/>
      <c r="BV337" s="5"/>
      <c r="BW337" s="419" t="b">
        <f>AND(ISNUMBER(SnapshotTable[[#This Row],[SP Exp Date]]), ISNUMBER(SnapshotTable[[#This Row],[SP Strike Price]]), ISNUMBER(SnapshotTable[[#This Row],[SP Qty]]), ISNUMBER(SnapshotTable[[#This Row],[SP Book Date]]), ISNUMBER(SnapshotTable[[#This Row],[SP Book Price]]))</f>
        <v>0</v>
      </c>
      <c r="BX337" s="419" t="b">
        <f>AND(SnapshotTable[[#This Row],[SP Is Booked]], NOT(ISBLANK(SnapshotTable[[#This Row],[SP Fill Date]])))</f>
        <v>0</v>
      </c>
      <c r="BY337" s="33">
        <f>IF(SnapshotTable[[#This Row],[SP Is Booked]], SnapshotTable[[#This Row],[SP Qty]] * SnapshotTable[[#This Row],[SP Book Price]] * 100, 0)</f>
        <v>0</v>
      </c>
      <c r="BZ337" s="369"/>
      <c r="CA337" s="368">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3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44"/>
      <c r="CK337" s="31">
        <f>IF(ISNUMBER(SnapshotTable[[#This Row],[SP Potential Spend]]),IF(ISNUMBER(SnapshotTable[[#This Row],[SP POW]]), SnapshotTable[[#This Row],[SP POW]] * SnapshotTable[[#This Row],[SP Potential Spend]], SnapshotTable[[#This Row],[SP Potential Spend]]), "")</f>
        <v>0</v>
      </c>
      <c r="CL337" s="164">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218"/>
      <c r="CO337" s="369"/>
      <c r="CP337" s="4" t="str">
        <f>IF(SnapshotTable[[#This Row],[SP Is Filled]], btc_max_buyback_amount(SnapshotTable[[#This Row],[SP Fill Date]],SnapshotTable[[#This Row],[SP Exp Date]], SnapshotTable[[#This Row],[SP Book Price]]),"")</f>
        <v/>
      </c>
      <c r="CQ337" s="78"/>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5" t="str">
        <f>IF(SnapshotTable[[#This Row],[SP Is Filled]], btc_next_cutoff_date(SnapshotTable[[#This Row],[SP Fill Date]],SnapshotTable[[#This Row],[SP Exp Date]]),"")</f>
        <v/>
      </c>
      <c r="CT337" s="23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56"/>
      <c r="CV337" s="235"/>
      <c r="CW337" s="378"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294" t="str">
        <f>IF(ISNUMBER((SnapshotTable[[#This Row],[SP Total Value]])), SnapshotTable[[#This Row],[SP Gain Loss]] / SnapshotTable[[#This Row],[SP Premium]], "")</f>
        <v/>
      </c>
      <c r="DI337" s="406"/>
      <c r="DJ337" s="138"/>
      <c r="DK337" s="148"/>
      <c r="DL337" s="147"/>
      <c r="DM337" s="147"/>
      <c r="DO337" s="31">
        <f>IF(SnapshotTable[[#This Row],[LC Symbol Count]]=1, SnapshotTable[[#This Row],[LC Qty]] * SnapshotTable[[#This Row],[LC Book Price]] * 100, 0)</f>
        <v>0</v>
      </c>
      <c r="DP337" s="163" t="str">
        <f>IF(AND(SnapshotTable[[#This Row],[LC Exp Date]]&gt;0, SnapshotTable[[#This Row],[LC Strike Price]]&gt;0,SnapshotTable[[#This Row],[LC Qty]]&gt;0,SnapshotTable[[#This Row],[LC Book Date]]&gt;0,SnapshotTable[[#This Row],[LC Book Price]]&gt;0,SnapshotTable[[#This Row],[LC Fill Date]]=0),"Y","")</f>
        <v/>
      </c>
      <c r="DQ337" s="386" t="str">
        <f>IF(SnapshotTable[[#This Row],[LC Premium]] &gt; 0,SnapshotTable[[#This Row],[LC Exp Date]]-MAX(SnapshotTable[[#This Row],[LC Book Date]], SnapshotTable[[#This Row],[LC Fill Date]]),"")</f>
        <v/>
      </c>
      <c r="DR337" s="386" t="str">
        <f>IF(ISNUMBER(SnapshotTable[[#This Row],[LC Term]]), SnapshotTable[[#This Row],[LC Exp Date]] - MockToday, "")</f>
        <v/>
      </c>
      <c r="DS337" s="234" t="str">
        <f>IF(SnapshotTable[[#This Row],[LC Premium]]&gt;0,SnapshotTable[[#This Row],[LC Strike Price]] + SnapshotTable[[#This Row],[LC Book Price]],"")</f>
        <v/>
      </c>
      <c r="DU337" s="9" t="str">
        <f>IF(AND(SnapshotTable[[#This Row],[LC Symbol Count]]&gt;0, SnapshotTable[[#This Row],[LC Contract Value]]&gt;0), SnapshotTable[[#This Row],[LC Contract Value]] * SnapshotTable[[#This Row],[LC Qty]] * 100, "")</f>
        <v/>
      </c>
      <c r="DV337" s="9" t="str">
        <f>IF(AND(ISNUMBER(SnapshotTable[[#This Row],[LC Total Value]]), SnapshotTable[[#This Row],[LC Not Filled]]&lt;&gt;"Y"), SnapshotTable[[#This Row],[LC Total Value]]-SnapshotTable[[#This Row],[LC Premium]],"")</f>
        <v/>
      </c>
      <c r="DW337" s="240" t="str">
        <f>IF(ISNUMBER(SnapshotTable[[#This Row],[LC Actual Gain Loss]]), SnapshotTable[[#This Row],[LC Actual Gain Loss]] / SnapshotTable[[#This Row],[LC Premium]],"")</f>
        <v/>
      </c>
      <c r="DX337" s="284" t="str">
        <f>IF(ISNUMBER(SnapshotTable[[#This Row],[LC Book Price]]),SnapshotTable[[#This Row],[LC Book Price]] * 1.5,"")</f>
        <v/>
      </c>
      <c r="DY337" s="265" t="str">
        <f>IF(SnapshotTable[[#This Row],[LC Premium]]&gt;0, SnapshotTable[[#This Row],[LC Next Target]] * SnapshotTable[[#This Row],[LC Qty]] * 100,"")</f>
        <v/>
      </c>
      <c r="DZ337" s="265" t="str">
        <f>IF(ISNUMBER(SnapshotTable[[#This Row],[LC Target Gross]]), SnapshotTable[[#This Row],[LC Target Gross]] - SnapshotTable[[#This Row],[LC Premium]], "")</f>
        <v/>
      </c>
      <c r="EA337" s="305" t="str">
        <f>IF(ISNUMBER(SnapshotTable[[#This Row],[LC Target Gain Loss]]), SnapshotTable[[#This Row],[LC Target Gain Loss]]/SnapshotTable[[#This Row],[LC Premium]], "")</f>
        <v/>
      </c>
      <c r="EB337" s="262"/>
      <c r="EC337" s="283" t="str">
        <f>IF(SnapshotTable[[#This Row],[LC Premium]]&gt;0, SnapshotTable[[#This Row],[LC Book Price]] * (1 - LC_StopLoss_Pct),"")</f>
        <v/>
      </c>
      <c r="ED337" s="284"/>
      <c r="EE337" s="283" t="str">
        <f>IF(ISNUMBER(SnapshotTable[[#This Row],[LC Contract Value]]),IF(ISNUMBER(SnapshotTable[[#This Row],[LC Stop Loss Override]]), SnapshotTable[[#This Row],[LC Stop Loss Override]],SnapshotTable[[#This Row],[LC Stop Loss Calc Target]]),"")</f>
        <v/>
      </c>
      <c r="EF337" s="31" t="str">
        <f>IF(ISNUMBER(SnapshotTable[[#This Row],[LC Stop  To Use]]), (SnapshotTable[[#This Row],[LC Stop  To Use]] * SnapshotTable[[#This Row],[LC Qty]] * 100),"")</f>
        <v/>
      </c>
      <c r="EG337" s="9" t="str">
        <f>IF(ISNUMBER(SnapshotTable[[#This Row],[LC Total Value]]),SnapshotTable[[#This Row],[LC Stop Loss Amount]] - SnapshotTable[[#This Row],[LC Premium]],"")</f>
        <v/>
      </c>
      <c r="EH337" s="9">
        <f>IF(ISNUMBER(SnapshotTable[[#This Row],[LC Premium]]), SnapshotTable[[#This Row],[LC Qty]] * 100 * SnapshotTable[[#This Row],[LC Strike Price]], "")</f>
        <v>0</v>
      </c>
      <c r="EI337" s="240" t="str">
        <f>IF(AND(ISNUMBER(SnapshotTable[[#This Row],[LC Total Value]]),SnapshotTable[[#This Row],[LC Total Value]]&gt;0),SnapshotTable[[#This Row],[LC Stop Gain Loss]]  / SnapshotTable[[#This Row],[LC Premium]],"")</f>
        <v/>
      </c>
      <c r="EJ337" s="35">
        <f>IF(ISNUMBER(SnapshotTable[[#This Row],[Equity Shares]]),TRUNC(SnapshotTable[[#This Row],[Equity Shares]] / 100),0) + SnapshotTable[[#This Row],[LC Qty]]</f>
        <v>0</v>
      </c>
      <c r="EK337" s="147"/>
      <c r="EL337" s="138"/>
      <c r="EM337" s="148"/>
      <c r="EN337" s="147"/>
      <c r="EO337" s="147"/>
      <c r="EP337" s="138"/>
      <c r="EQ337" s="419" t="b">
        <f>AND(ISNUMBER(SnapshotTable[[#This Row],[SC Exp Date]]), ISNUMBER(SnapshotTable[[#This Row],[SC Strike Price]]), ISNUMBER(SnapshotTable[[#This Row],[SC Qty]]), ISNUMBER(SnapshotTable[[#This Row],[SC Book Date]]), ISNUMBER(SnapshotTable[[#This Row],[SC Book Price]]))</f>
        <v>0</v>
      </c>
      <c r="ER337" s="419" t="b">
        <f>AND(SnapshotTable[[#This Row],[SC Is Booked]], NOT(ISBLANK(SnapshotTable[[#This Row],[SC Fill Date]])))</f>
        <v>0</v>
      </c>
      <c r="ES337" s="370"/>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3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283"/>
      <c r="FA337" s="218"/>
      <c r="FB337" s="370"/>
      <c r="FC337" s="4">
        <f>IF(SnapshotTable[[#This Row],[SC Is Filled]], btc_max_buyback_amount(SnapshotTable[[#This Row],[SC Fill Date]],SnapshotTable[[#This Row],[SC Exp Date]], SnapshotTable[[#This Row],[SC Book Price]]),0)</f>
        <v>0</v>
      </c>
      <c r="FD337" s="5"/>
      <c r="FE337" s="144"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382">
        <f>IF(SnapshotTable[[#This Row],[SC Is Filled]], IF(ISNUMBER(SnapshotTable[[#This Row],[SC Current Ask]]), SnapshotTable[[#This Row],[SC Current Ask]], SnapshotTable[[#This Row],[SC Book Price]]) - SnapshotTable[[#This Row],[SC Intrinsic Value]], 0)</f>
        <v>0</v>
      </c>
      <c r="FI337" s="143"/>
      <c r="FJ337" s="32" t="str">
        <f>IF(SnapshotTable[[#This Row],[SC Is Filled]],100 * SnapshotTable[[#This Row],[SC Qty]] * IF(ISNUMBER(SnapshotTable[[#This Row],[SC Buyback Override]]), SnapshotTable[[#This Row],[SC Buyback Override]], SnapshotTable[[#This Row],[SC Current Ask]]), "")</f>
        <v/>
      </c>
      <c r="FK337" s="250" t="str">
        <f>IF(SnapshotTable[[#This Row],[SC Time Val]]&gt;0, SnapshotTable[[#This Row],[SC Time Val]] / SnapshotTable[[#This Row],[Last Price]],"")</f>
        <v/>
      </c>
      <c r="FL337" s="302" t="str">
        <f>IF(SnapshotTable[[#This Row],[SC Is Booked]], ((SnapshotTable[[#This Row],[Last Price]] -SnapshotTable[[#This Row],[SC Strike Price]]) / SnapshotTable[[#This Row],[Last Price]]) * -1, "")</f>
        <v/>
      </c>
      <c r="FM337" s="157" t="str">
        <f>IF(SnapshotTable[[#This Row],[SC Is Booked]],  (SnapshotTable[[#This Row],[SC Qty]] * 100 * SnapshotTable[[#This Row],[SC Strike Price]]) - SnapshotTable[[#This Row],[SC Current Ask]], "")</f>
        <v/>
      </c>
      <c r="FN337"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157"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33"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36" t="str">
        <f>IF(AND(ISNUMBER(SnapshotTable[[#This Row],[SC Simple ROO]]),SnapshotTable[[#This Row],[SC Simple ROO]] &gt; 0), SnapshotTable[[#This Row],[SC Premium]] + (SnapshotTable[[#This Row],[SC Qty]] * SnapshotTable[[#This Row],[SC Upside Potential]]), "")</f>
        <v/>
      </c>
      <c r="FX337" s="302" t="str" cm="1">
        <f t="array" ref="FX337">IF(ISNUMBER(SnapshotTable[[#This Row],[SC Max Dollars]]), annualize(SnapshotTable[[#This Row],[SC Term]],(SnapshotTable[[#This Row],[SC Max Dollars]]/SnapshotTable[[#This Row],[SC Basis]])),"")</f>
        <v/>
      </c>
      <c r="FY337" s="23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29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24.491</v>
      </c>
      <c r="GD337" s="40">
        <f>SnapshotTable[[#This Row],[Last Price]] * (1+ SellingPriceToConsiderBasedOnTargetPercentage)</f>
        <v>21.508499999999998</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158" t="str">
        <f>IF(SnapshotTable[[#This Row],[Sale G/L]]&gt;0, SnapshotTable[[#This Row],[Sale G/L]] / SnapshotTable[[#This Row],[Sale Basis]], IF(ISNUMBER(SnapshotTable[[#This Row],[SC Exercise P&amp;L (TAX)]]), SnapshotTable[[#This Row],[SC Exercise P&amp;L (TAX)]] / SnapshotTable[[#This Row],[SC Basis]], ""))</f>
        <v/>
      </c>
      <c r="GK337" s="158"/>
      <c r="GL337" s="159"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159" t="str">
        <f>IF(AND(SnapshotTable[[#This Row],[LC Exp Date]]&gt;0,SnapshotTable[[#This Row],[LC Strike Price]]&gt;0), [1]!ToOptionSymbol(SnapshotTable[[#This Row],[Symbol]], SnapshotTable[[#This Row],[LC Strike Price]],SnapshotTable[[#This Row],[LC Exp Date]],0), "")</f>
        <v/>
      </c>
      <c r="GQ337" s="160" t="str">
        <f>IF(LEN(SnapshotTable[[#This Row],[LC Symbol]])&gt;0, 1, "")</f>
        <v/>
      </c>
      <c r="GR337" s="159" t="str">
        <f>IF(AND(SnapshotTable[[#This Row],[SC Exp Date]]&gt;0,SnapshotTable[[#This Row],[SC Strike Price]]&gt;0), [1]!ToOptionSymbol(SnapshotTable[[#This Row],[Symbol]], SnapshotTable[[#This Row],[SC Strike Price]],SnapshotTable[[#This Row],[SC Exp Date]],0), "")</f>
        <v/>
      </c>
      <c r="GS337" s="160" t="str">
        <f>IF(LEN(SnapshotTable[[#This Row],[SC Symbol]])&gt;0, 1, "")</f>
        <v/>
      </c>
      <c r="GT337" s="161" t="str">
        <f>IF(COUNT(SnapshotTable[[#This Row],[LP Symbol Count]],SnapshotTable[[#This Row],[SP Symbol Count]],SnapshotTable[[#This Row],[LC Symbol Count]],SnapshotTable[[#This Row],[SC Symbol Count]])&gt;0, "Y", "")</f>
        <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7" s="231">
        <f>MAX(SnapshotTable[[#This Row],[Equity Basis Total]],SnapshotTable[[#This Row],[Equity Value]]) + (SnapshotTable[[#This Row],[SP Potential Spend]]- SnapshotTable[[#This Row],[SP Premium]] + SnapshotTable[[#This Row],[LP Premium]])+ (SnapshotTable[[#This Row],[LC Premium]] - SnapshotTable[[#This Row],[SC Premium]])</f>
        <v>0</v>
      </c>
      <c r="GW337" s="139" t="str">
        <f>IF(AND(SnapshotTable[[#This Row],[Exposure]] &lt;&gt; 0),SnapshotTable[[#This Row],[Exposure]] / SnapshotTable[[#Totals],[Exposure]], "")</f>
        <v/>
      </c>
      <c r="HK337" s="1"/>
      <c r="HL337" s="1"/>
      <c r="HM337" s="1"/>
      <c r="HN337" s="1"/>
      <c r="HO337" s="1"/>
      <c r="HP337" s="1"/>
    </row>
    <row r="338" spans="2:224" ht="12.75" hidden="1" customHeight="1" x14ac:dyDescent="0.25">
      <c r="B338" s="12" t="s">
        <v>574</v>
      </c>
      <c r="C338" s="422">
        <v>42.73</v>
      </c>
      <c r="D338" s="208"/>
      <c r="E338" s="39">
        <f>SnapshotTable[[#This Row],[Last Price]]*(1 -CrashDiscount)</f>
        <v>36.320499999999996</v>
      </c>
      <c r="F338" s="26" t="s">
        <v>105</v>
      </c>
      <c r="G338" s="26" t="s">
        <v>14</v>
      </c>
      <c r="H338" s="149"/>
      <c r="I338" s="194">
        <v>44769.802083333336</v>
      </c>
      <c r="J338" s="195">
        <v>44769.802083333336</v>
      </c>
      <c r="K338" s="196"/>
      <c r="L338" s="326"/>
      <c r="M338" s="140"/>
      <c r="N338" s="140"/>
      <c r="O338" s="140"/>
      <c r="P338" s="22"/>
      <c r="Q338" s="25"/>
      <c r="R338" s="4" t="str">
        <f>IF(SnapshotTable[[#This Row],[Equity Basis Total]] &gt; 0, SnapshotTable[[#This Row],[Equity Basis Total]] / SnapshotTable[[#This Row],[Equity Shares]], "")</f>
        <v/>
      </c>
      <c r="S338" s="269">
        <f>SnapshotTable[[#This Row],[Last Price]] * SnapshotTable[[#This Row],[Equity Shares]]</f>
        <v>0</v>
      </c>
      <c r="T338" s="269">
        <f>SnapshotTable[[#This Row],[Equity Value]] - SnapshotTable[[#This Row],[Equity Basis Total]]</f>
        <v>0</v>
      </c>
      <c r="U338" s="270" t="str">
        <f>IF(SnapshotTable[[#This Row],[Equity Basis Total]] &gt; 0, SnapshotTable[[#This Row],[Equity G/L]] / SnapshotTable[[#This Row],[Equity Basis Total]], "")</f>
        <v/>
      </c>
      <c r="V338" s="268"/>
      <c r="W338" s="26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7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0">
        <v>0.8</v>
      </c>
      <c r="AD338" s="151">
        <v>43831</v>
      </c>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1.8722209220688044E-2</v>
      </c>
      <c r="AH338" s="151">
        <v>43812</v>
      </c>
      <c r="AI338" s="5">
        <v>40</v>
      </c>
      <c r="AJ338" s="138">
        <v>27.81</v>
      </c>
      <c r="AK338" s="152">
        <f>IF(ISNUMBER( SnapshotTable[[#This Row],[EBF Target]]),(SnapshotTable[[#This Row],[EBF Target]] - SnapshotTable[[#This Row],[Last Price]]) / SnapshotTable[[#This Row],[Last Price]], "")</f>
        <v>-6.3889538965597875E-2</v>
      </c>
      <c r="AL338" s="152"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2">
        <f>IF(AND(ISNUMBER( SnapshotTable[[#This Row],[Long Term Target]]), ISNUMBER(SnapshotTable[[#This Row],[Last Price]])),(SnapshotTable[[#This Row],[Long Term Target]] - SnapshotTable[[#This Row],[Last Price]]) / SnapshotTable[[#This Row],[Last Price]], "")</f>
        <v>-0.34916920196583195</v>
      </c>
      <c r="AP338" s="5">
        <v>30</v>
      </c>
      <c r="AQ338" s="38" t="s">
        <v>46</v>
      </c>
      <c r="AR338" s="5"/>
      <c r="AS338" s="38"/>
      <c r="AT338" s="146" t="s">
        <v>575</v>
      </c>
      <c r="AU338" s="187" t="str">
        <f>IF(OR(SnapshotTable[[#This Row],[LP No Fill]]="Y",SnapshotTable[[#This Row],[SP Is Filled]],SnapshotTable[[#This Row],[LC Not Filled]]="Y",SnapshotTable[[#This Row],[SC Is Filled]]),"Y","")</f>
        <v/>
      </c>
      <c r="AV338" s="219"/>
      <c r="AW338" s="225"/>
      <c r="AX338" s="220"/>
      <c r="AY338" s="219" t="str">
        <f>IF(SnapshotTable[[#This Row],[Implied Move]]&gt;0, SnapshotTable[[#This Row],[Last Price]]-SnapshotTable[[#This Row],[Implied Move]],"")</f>
        <v/>
      </c>
      <c r="AZ338" s="219" t="str">
        <f>IF(SnapshotTable[[#This Row],[Implied Move]]&gt;0, SnapshotTable[[#This Row],[Last Price]] + SnapshotTable[[#This Row],[Implied Move]],"")</f>
        <v/>
      </c>
      <c r="BA338" s="331"/>
      <c r="BB338" s="347"/>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51"/>
      <c r="BE338" s="5"/>
      <c r="BF338" s="14"/>
      <c r="BG338" s="13"/>
      <c r="BH338" s="13"/>
      <c r="BI338" s="5"/>
      <c r="BJ338" s="136">
        <f>IF(SnapshotTable[[#This Row],[LP Qty]] &gt; 0, SnapshotTable[[#This Row],[LP Qty]] * SnapshotTable[[#This Row],[LP Book Price]] * 100,0)</f>
        <v>0</v>
      </c>
      <c r="BK338" s="136">
        <f>IF(SnapshotTable[[#This Row],[LP Premium]] &gt; 0, SnapshotTable[[#This Row],[LP Qty]] * SnapshotTable[[#This Row],[LP Strike Price]] * 100,0)</f>
        <v>0</v>
      </c>
      <c r="BL338" s="154"/>
      <c r="BM338" s="385" t="str">
        <f>IF(SnapshotTable[[#This Row],[LP Premium]] &gt; 0,SnapshotTable[[#This Row],[LP Exp Date]]-MAX(SnapshotTable[[#This Row],[LP Book Date]], SnapshotTable[[#This Row],[LP Fill Date]]),"")</f>
        <v/>
      </c>
      <c r="BN338" s="385" t="str">
        <f>IF(ISNUMBER( SnapshotTable[[#This Row],[LP Term]]), SnapshotTable[[#This Row],[LP Exp Date]] - MockToday,"")</f>
        <v/>
      </c>
      <c r="BO338" s="163"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7"/>
      <c r="BU338" s="13"/>
      <c r="BV338" s="5"/>
      <c r="BW338" s="419" t="b">
        <f>AND(ISNUMBER(SnapshotTable[[#This Row],[SP Exp Date]]), ISNUMBER(SnapshotTable[[#This Row],[SP Strike Price]]), ISNUMBER(SnapshotTable[[#This Row],[SP Qty]]), ISNUMBER(SnapshotTable[[#This Row],[SP Book Date]]), ISNUMBER(SnapshotTable[[#This Row],[SP Book Price]]))</f>
        <v>0</v>
      </c>
      <c r="BX338" s="419" t="b">
        <f>AND(SnapshotTable[[#This Row],[SP Is Booked]], NOT(ISBLANK(SnapshotTable[[#This Row],[SP Fill Date]])))</f>
        <v>0</v>
      </c>
      <c r="BY338" s="33">
        <f>IF(SnapshotTable[[#This Row],[SP Is Booked]], SnapshotTable[[#This Row],[SP Qty]] * SnapshotTable[[#This Row],[SP Book Price]] * 100, 0)</f>
        <v>0</v>
      </c>
      <c r="BZ338" s="369"/>
      <c r="CA338" s="368">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3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44"/>
      <c r="CK338" s="31">
        <f>IF(ISNUMBER(SnapshotTable[[#This Row],[SP Potential Spend]]),IF(ISNUMBER(SnapshotTable[[#This Row],[SP POW]]), SnapshotTable[[#This Row],[SP POW]] * SnapshotTable[[#This Row],[SP Potential Spend]], SnapshotTable[[#This Row],[SP Potential Spend]]), "")</f>
        <v>0</v>
      </c>
      <c r="CL338" s="164">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8"/>
      <c r="CO338" s="369"/>
      <c r="CP338" s="4" t="str">
        <f>IF(SnapshotTable[[#This Row],[SP Is Filled]], btc_max_buyback_amount(SnapshotTable[[#This Row],[SP Fill Date]],SnapshotTable[[#This Row],[SP Exp Date]], SnapshotTable[[#This Row],[SP Book Price]]),"")</f>
        <v/>
      </c>
      <c r="CQ338" s="78"/>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5" t="str">
        <f>IF(SnapshotTable[[#This Row],[SP Is Filled]], btc_next_cutoff_date(SnapshotTable[[#This Row],[SP Fill Date]],SnapshotTable[[#This Row],[SP Exp Date]]),"")</f>
        <v/>
      </c>
      <c r="CT338" s="23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3"/>
      <c r="CV338" s="235"/>
      <c r="CW338" s="378"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294" t="str">
        <f>IF(ISNUMBER((SnapshotTable[[#This Row],[SP Total Value]])), SnapshotTable[[#This Row],[SP Gain Loss]] / SnapshotTable[[#This Row],[SP Premium]], "")</f>
        <v/>
      </c>
      <c r="DI338" s="406"/>
      <c r="DJ338" s="138"/>
      <c r="DK338" s="148"/>
      <c r="DL338" s="13"/>
      <c r="DM338" s="13"/>
      <c r="DO338" s="31">
        <f>IF(SnapshotTable[[#This Row],[LC Symbol Count]]=1, SnapshotTable[[#This Row],[LC Qty]] * SnapshotTable[[#This Row],[LC Book Price]] * 100, 0)</f>
        <v>0</v>
      </c>
      <c r="DP338" s="163" t="str">
        <f>IF(AND(SnapshotTable[[#This Row],[LC Exp Date]]&gt;0, SnapshotTable[[#This Row],[LC Strike Price]]&gt;0,SnapshotTable[[#This Row],[LC Qty]]&gt;0,SnapshotTable[[#This Row],[LC Book Date]]&gt;0,SnapshotTable[[#This Row],[LC Book Price]]&gt;0,SnapshotTable[[#This Row],[LC Fill Date]]=0),"Y","")</f>
        <v/>
      </c>
      <c r="DQ338" s="386" t="str">
        <f>IF(SnapshotTable[[#This Row],[LC Premium]] &gt; 0,SnapshotTable[[#This Row],[LC Exp Date]]-MAX(SnapshotTable[[#This Row],[LC Book Date]], SnapshotTable[[#This Row],[LC Fill Date]]),"")</f>
        <v/>
      </c>
      <c r="DR338" s="386" t="str">
        <f>IF(ISNUMBER(SnapshotTable[[#This Row],[LC Term]]), SnapshotTable[[#This Row],[LC Exp Date]] - MockToday, "")</f>
        <v/>
      </c>
      <c r="DS338" s="23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40" t="str">
        <f>IF(ISNUMBER(SnapshotTable[[#This Row],[LC Actual Gain Loss]]), SnapshotTable[[#This Row],[LC Actual Gain Loss]] / SnapshotTable[[#This Row],[LC Premium]],"")</f>
        <v/>
      </c>
      <c r="DX338" s="284" t="str">
        <f>IF(ISNUMBER(SnapshotTable[[#This Row],[LC Book Price]]),SnapshotTable[[#This Row],[LC Book Price]] * 1.5,"")</f>
        <v/>
      </c>
      <c r="DY338" s="265" t="str">
        <f>IF(SnapshotTable[[#This Row],[LC Premium]]&gt;0, SnapshotTable[[#This Row],[LC Next Target]] * SnapshotTable[[#This Row],[LC Qty]] * 100,"")</f>
        <v/>
      </c>
      <c r="DZ338" s="265" t="str">
        <f>IF(ISNUMBER(SnapshotTable[[#This Row],[LC Target Gross]]), SnapshotTable[[#This Row],[LC Target Gross]] - SnapshotTable[[#This Row],[LC Premium]], "")</f>
        <v/>
      </c>
      <c r="EA338" s="305" t="str">
        <f>IF(ISNUMBER(SnapshotTable[[#This Row],[LC Target Gain Loss]]), SnapshotTable[[#This Row],[LC Target Gain Loss]]/SnapshotTable[[#This Row],[LC Premium]], "")</f>
        <v/>
      </c>
      <c r="EB338" s="262"/>
      <c r="EC338" s="283" t="str">
        <f>IF(SnapshotTable[[#This Row],[LC Premium]]&gt;0, SnapshotTable[[#This Row],[LC Book Price]] * (1 - LC_StopLoss_Pct),"")</f>
        <v/>
      </c>
      <c r="ED338" s="284"/>
      <c r="EE338" s="28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4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7"/>
      <c r="EL338" s="138"/>
      <c r="EM338" s="148"/>
      <c r="EN338" s="147"/>
      <c r="EO338" s="147"/>
      <c r="EP338" s="138"/>
      <c r="EQ338" s="419" t="b">
        <f>AND(ISNUMBER(SnapshotTable[[#This Row],[SC Exp Date]]), ISNUMBER(SnapshotTable[[#This Row],[SC Strike Price]]), ISNUMBER(SnapshotTable[[#This Row],[SC Qty]]), ISNUMBER(SnapshotTable[[#This Row],[SC Book Date]]), ISNUMBER(SnapshotTable[[#This Row],[SC Book Price]]))</f>
        <v>0</v>
      </c>
      <c r="ER338" s="419" t="b">
        <f>AND(SnapshotTable[[#This Row],[SC Is Booked]], NOT(ISBLANK(SnapshotTable[[#This Row],[SC Fill Date]])))</f>
        <v>0</v>
      </c>
      <c r="ES338" s="370"/>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3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283"/>
      <c r="FA338" s="218"/>
      <c r="FB338" s="370"/>
      <c r="FC338" s="4">
        <f>IF(SnapshotTable[[#This Row],[SC Is Filled]], btc_max_buyback_amount(SnapshotTable[[#This Row],[SC Fill Date]],SnapshotTable[[#This Row],[SC Exp Date]], SnapshotTable[[#This Row],[SC Book Price]]),0)</f>
        <v>0</v>
      </c>
      <c r="FD338" s="5"/>
      <c r="FE338" s="144"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382">
        <f>IF(SnapshotTable[[#This Row],[SC Is Filled]], IF(ISNUMBER(SnapshotTable[[#This Row],[SC Current Ask]]), SnapshotTable[[#This Row],[SC Current Ask]], SnapshotTable[[#This Row],[SC Book Price]]) - SnapshotTable[[#This Row],[SC Intrinsic Value]], 0)</f>
        <v>0</v>
      </c>
      <c r="FI338" s="143"/>
      <c r="FJ338" s="32" t="str">
        <f>IF(SnapshotTable[[#This Row],[SC Is Filled]],100 * SnapshotTable[[#This Row],[SC Qty]] * IF(ISNUMBER(SnapshotTable[[#This Row],[SC Buyback Override]]), SnapshotTable[[#This Row],[SC Buyback Override]], SnapshotTable[[#This Row],[SC Current Ask]]), "")</f>
        <v/>
      </c>
      <c r="FK338" s="250" t="str">
        <f>IF(SnapshotTable[[#This Row],[SC Time Val]]&gt;0, SnapshotTable[[#This Row],[SC Time Val]] / SnapshotTable[[#This Row],[Last Price]],"")</f>
        <v/>
      </c>
      <c r="FL338" s="302" t="str">
        <f>IF(SnapshotTable[[#This Row],[SC Is Booked]], ((SnapshotTable[[#This Row],[Last Price]] -SnapshotTable[[#This Row],[SC Strike Price]]) / SnapshotTable[[#This Row],[Last Price]]) * -1, "")</f>
        <v/>
      </c>
      <c r="FM338" s="157"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33"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36" t="str">
        <f>IF(AND(ISNUMBER(SnapshotTable[[#This Row],[SC Simple ROO]]),SnapshotTable[[#This Row],[SC Simple ROO]] &gt; 0), SnapshotTable[[#This Row],[SC Premium]] + (SnapshotTable[[#This Row],[SC Qty]] * SnapshotTable[[#This Row],[SC Upside Potential]]), "")</f>
        <v/>
      </c>
      <c r="FX338" s="302" t="str" cm="1">
        <f t="array" ref="FX338">IF(ISNUMBER(SnapshotTable[[#This Row],[SC Max Dollars]]), annualize(SnapshotTable[[#This Row],[SC Term]],(SnapshotTable[[#This Row],[SC Max Dollars]]/SnapshotTable[[#This Row],[SC Basis]])),"")</f>
        <v/>
      </c>
      <c r="FY338" s="23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29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26.419499999999999</v>
      </c>
      <c r="GD338" s="40">
        <f>SnapshotTable[[#This Row],[Last Price]] * (1+ SellingPriceToConsiderBasedOnTargetPercentage)</f>
        <v>83.323499999999996</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t="s">
        <v>788</v>
      </c>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31">
        <f>MAX(SnapshotTable[[#This Row],[Equity Basis Total]],SnapshotTable[[#This Row],[Equity Value]]) + (SnapshotTable[[#This Row],[SP Potential Spend]]- SnapshotTable[[#This Row],[SP Premium]] + SnapshotTable[[#This Row],[LP Premium]])+ (SnapshotTable[[#This Row],[LC Premium]] - SnapshotTable[[#This Row],[SC Premium]])</f>
        <v>0</v>
      </c>
      <c r="GW338" s="139" t="str">
        <f>IF(AND(SnapshotTable[[#This Row],[Exposure]] &lt;&gt; 0),SnapshotTable[[#This Row],[Exposure]] / SnapshotTable[[#Totals],[Exposure]], "")</f>
        <v/>
      </c>
      <c r="HK338" s="1"/>
      <c r="HL338" s="1"/>
      <c r="HM338" s="1"/>
      <c r="HN338" s="1"/>
      <c r="HO338" s="1"/>
      <c r="HP338" s="1"/>
    </row>
    <row r="339" spans="2:224" ht="12.75" hidden="1" customHeight="1" x14ac:dyDescent="0.25">
      <c r="B339" s="12" t="s">
        <v>978</v>
      </c>
      <c r="C339" s="422">
        <v>14.68</v>
      </c>
      <c r="D339" s="208" t="s">
        <v>578</v>
      </c>
      <c r="E339" s="39">
        <f>SnapshotTable[[#This Row],[Last Price]]*(1 -CrashDiscount)</f>
        <v>12.478</v>
      </c>
      <c r="F339" s="26" t="s">
        <v>904</v>
      </c>
      <c r="G339" s="26" t="s">
        <v>610</v>
      </c>
      <c r="H339" s="149"/>
      <c r="I339" s="194">
        <v>44791.208333333336</v>
      </c>
      <c r="J339" s="195">
        <v>44791.208333333336</v>
      </c>
      <c r="K339" s="196"/>
      <c r="L339" s="326"/>
      <c r="M339" s="140"/>
      <c r="N339" s="140"/>
      <c r="O339" s="140"/>
      <c r="P339" s="22"/>
      <c r="Q339" s="25"/>
      <c r="R339" s="4" t="str">
        <f>IF(SnapshotTable[[#This Row],[Equity Basis Total]] &gt; 0, SnapshotTable[[#This Row],[Equity Basis Total]] / SnapshotTable[[#This Row],[Equity Shares]], "")</f>
        <v/>
      </c>
      <c r="S339" s="269">
        <f>SnapshotTable[[#This Row],[Last Price]] * SnapshotTable[[#This Row],[Equity Shares]]</f>
        <v>0</v>
      </c>
      <c r="T339" s="269">
        <f>SnapshotTable[[#This Row],[Equity Value]] - SnapshotTable[[#This Row],[Equity Basis Total]]</f>
        <v>0</v>
      </c>
      <c r="U339" s="270" t="str">
        <f>IF(SnapshotTable[[#This Row],[Equity Basis Total]] &gt; 0, SnapshotTable[[#This Row],[Equity G/L]] / SnapshotTable[[#This Row],[Equity Basis Total]], "")</f>
        <v/>
      </c>
      <c r="V339" s="268"/>
      <c r="W339" s="26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7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0"/>
      <c r="AD339" s="151"/>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1"/>
      <c r="AI339" s="5"/>
      <c r="AJ339" s="138">
        <v>40.049999999999997</v>
      </c>
      <c r="AK339" s="152" t="str">
        <f>IF(ISNUMBER( SnapshotTable[[#This Row],[EBF Target]]),(SnapshotTable[[#This Row],[EBF Target]] - SnapshotTable[[#This Row],[Last Price]]) / SnapshotTable[[#This Row],[Last Price]], "")</f>
        <v/>
      </c>
      <c r="AL339" s="152"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2">
        <f>IF(AND(ISNUMBER( SnapshotTable[[#This Row],[Long Term Target]]), ISNUMBER(SnapshotTable[[#This Row],[Last Price]])),(SnapshotTable[[#This Row],[Long Term Target]] - SnapshotTable[[#This Row],[Last Price]]) / SnapshotTable[[#This Row],[Last Price]], "")</f>
        <v>1.7282016348773841</v>
      </c>
      <c r="AP339" s="5"/>
      <c r="AQ339" s="38"/>
      <c r="AR339" s="5">
        <v>28.9</v>
      </c>
      <c r="AS339" s="38" t="s">
        <v>32</v>
      </c>
      <c r="AT339" s="146"/>
      <c r="AU339" s="187" t="str">
        <f>IF(OR(SnapshotTable[[#This Row],[LP No Fill]]="Y",SnapshotTable[[#This Row],[SP Is Filled]],SnapshotTable[[#This Row],[LC Not Filled]]="Y",SnapshotTable[[#This Row],[SC Is Filled]]),"Y","")</f>
        <v/>
      </c>
      <c r="AV339" s="219"/>
      <c r="AW339" s="225"/>
      <c r="AX339" s="220"/>
      <c r="AY339" s="219" t="str">
        <f>IF(SnapshotTable[[#This Row],[Implied Move]]&gt;0, SnapshotTable[[#This Row],[Last Price]]-SnapshotTable[[#This Row],[Implied Move]],"")</f>
        <v/>
      </c>
      <c r="AZ339" s="219" t="str">
        <f>IF(SnapshotTable[[#This Row],[Implied Move]]&gt;0, SnapshotTable[[#This Row],[Last Price]] + SnapshotTable[[#This Row],[Implied Move]],"")</f>
        <v/>
      </c>
      <c r="BA339" s="331">
        <v>131.84</v>
      </c>
      <c r="BB339" s="347"/>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51"/>
      <c r="BE339" s="5"/>
      <c r="BF339" s="14"/>
      <c r="BG339" s="13"/>
      <c r="BH339" s="13"/>
      <c r="BI339" s="5"/>
      <c r="BJ339" s="136">
        <f>IF(SnapshotTable[[#This Row],[LP Qty]] &gt; 0, SnapshotTable[[#This Row],[LP Qty]] * SnapshotTable[[#This Row],[LP Book Price]] * 100,0)</f>
        <v>0</v>
      </c>
      <c r="BK339" s="136">
        <f>IF(SnapshotTable[[#This Row],[LP Premium]] &gt; 0, SnapshotTable[[#This Row],[LP Qty]] * SnapshotTable[[#This Row],[LP Strike Price]] * 100,0)</f>
        <v>0</v>
      </c>
      <c r="BL339" s="154"/>
      <c r="BM339" s="385" t="str">
        <f>IF(SnapshotTable[[#This Row],[LP Premium]] &gt; 0,SnapshotTable[[#This Row],[LP Exp Date]]-MAX(SnapshotTable[[#This Row],[LP Book Date]], SnapshotTable[[#This Row],[LP Fill Date]]),"")</f>
        <v/>
      </c>
      <c r="BN339" s="385" t="str">
        <f>IF(ISNUMBER( SnapshotTable[[#This Row],[LP Term]]), SnapshotTable[[#This Row],[LP Exp Date]] - MockToday,"")</f>
        <v/>
      </c>
      <c r="BO339" s="163"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7"/>
      <c r="BU339" s="13"/>
      <c r="BV339" s="5"/>
      <c r="BW339" s="419" t="b">
        <f>AND(ISNUMBER(SnapshotTable[[#This Row],[SP Exp Date]]), ISNUMBER(SnapshotTable[[#This Row],[SP Strike Price]]), ISNUMBER(SnapshotTable[[#This Row],[SP Qty]]), ISNUMBER(SnapshotTable[[#This Row],[SP Book Date]]), ISNUMBER(SnapshotTable[[#This Row],[SP Book Price]]))</f>
        <v>0</v>
      </c>
      <c r="BX339" s="419" t="b">
        <f>AND(SnapshotTable[[#This Row],[SP Is Booked]], NOT(ISBLANK(SnapshotTable[[#This Row],[SP Fill Date]])))</f>
        <v>0</v>
      </c>
      <c r="BY339" s="33">
        <f>IF(SnapshotTable[[#This Row],[SP Is Booked]], SnapshotTable[[#This Row],[SP Qty]] * SnapshotTable[[#This Row],[SP Book Price]] * 100, 0)</f>
        <v>0</v>
      </c>
      <c r="BZ339" s="369"/>
      <c r="CA339" s="368">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3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44"/>
      <c r="CK339" s="31">
        <f>IF(ISNUMBER(SnapshotTable[[#This Row],[SP Potential Spend]]),IF(ISNUMBER(SnapshotTable[[#This Row],[SP POW]]), SnapshotTable[[#This Row],[SP POW]] * SnapshotTable[[#This Row],[SP Potential Spend]], SnapshotTable[[#This Row],[SP Potential Spend]]), "")</f>
        <v>0</v>
      </c>
      <c r="CL339" s="164">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218"/>
      <c r="CO339" s="369"/>
      <c r="CP339" s="4" t="str">
        <f>IF(SnapshotTable[[#This Row],[SP Is Filled]], btc_max_buyback_amount(SnapshotTable[[#This Row],[SP Fill Date]],SnapshotTable[[#This Row],[SP Exp Date]], SnapshotTable[[#This Row],[SP Book Price]]),"")</f>
        <v/>
      </c>
      <c r="CQ339" s="78"/>
      <c r="CR3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5" t="str">
        <f>IF(SnapshotTable[[#This Row],[SP Is Filled]], btc_next_cutoff_date(SnapshotTable[[#This Row],[SP Fill Date]],SnapshotTable[[#This Row],[SP Exp Date]]),"")</f>
        <v/>
      </c>
      <c r="CT339" s="23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43"/>
      <c r="CV339" s="235"/>
      <c r="CW339" s="378"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294" t="str">
        <f>IF(ISNUMBER((SnapshotTable[[#This Row],[SP Total Value]])), SnapshotTable[[#This Row],[SP Gain Loss]] / SnapshotTable[[#This Row],[SP Premium]], "")</f>
        <v/>
      </c>
      <c r="DI339" s="406"/>
      <c r="DJ339" s="138"/>
      <c r="DK339" s="148"/>
      <c r="DL339" s="13"/>
      <c r="DM339" s="13"/>
      <c r="DO339" s="31">
        <f>IF(SnapshotTable[[#This Row],[LC Symbol Count]]=1, SnapshotTable[[#This Row],[LC Qty]] * SnapshotTable[[#This Row],[LC Book Price]] * 100, 0)</f>
        <v>0</v>
      </c>
      <c r="DP339" s="163" t="str">
        <f>IF(AND(SnapshotTable[[#This Row],[LC Exp Date]]&gt;0, SnapshotTable[[#This Row],[LC Strike Price]]&gt;0,SnapshotTable[[#This Row],[LC Qty]]&gt;0,SnapshotTable[[#This Row],[LC Book Date]]&gt;0,SnapshotTable[[#This Row],[LC Book Price]]&gt;0,SnapshotTable[[#This Row],[LC Fill Date]]=0),"Y","")</f>
        <v/>
      </c>
      <c r="DQ339" s="386" t="str">
        <f>IF(SnapshotTable[[#This Row],[LC Premium]] &gt; 0,SnapshotTable[[#This Row],[LC Exp Date]]-MAX(SnapshotTable[[#This Row],[LC Book Date]], SnapshotTable[[#This Row],[LC Fill Date]]),"")</f>
        <v/>
      </c>
      <c r="DR339" s="386" t="str">
        <f>IF(ISNUMBER(SnapshotTable[[#This Row],[LC Term]]), SnapshotTable[[#This Row],[LC Exp Date]] - MockToday, "")</f>
        <v/>
      </c>
      <c r="DS339" s="234" t="str">
        <f>IF(SnapshotTable[[#This Row],[LC Premium]]&gt;0,SnapshotTable[[#This Row],[LC Strike Price]] + SnapshotTable[[#This Row],[LC Book Price]],"")</f>
        <v/>
      </c>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40" t="str">
        <f>IF(ISNUMBER(SnapshotTable[[#This Row],[LC Actual Gain Loss]]), SnapshotTable[[#This Row],[LC Actual Gain Loss]] / SnapshotTable[[#This Row],[LC Premium]],"")</f>
        <v/>
      </c>
      <c r="DX339" s="284" t="str">
        <f>IF(ISNUMBER(SnapshotTable[[#This Row],[LC Book Price]]),SnapshotTable[[#This Row],[LC Book Price]] * 1.5,"")</f>
        <v/>
      </c>
      <c r="DY339" s="265" t="str">
        <f>IF(SnapshotTable[[#This Row],[LC Premium]]&gt;0, SnapshotTable[[#This Row],[LC Next Target]] * SnapshotTable[[#This Row],[LC Qty]] * 100,"")</f>
        <v/>
      </c>
      <c r="DZ339" s="265" t="str">
        <f>IF(ISNUMBER(SnapshotTable[[#This Row],[LC Target Gross]]), SnapshotTable[[#This Row],[LC Target Gross]] - SnapshotTable[[#This Row],[LC Premium]], "")</f>
        <v/>
      </c>
      <c r="EA339" s="305" t="str">
        <f>IF(ISNUMBER(SnapshotTable[[#This Row],[LC Target Gain Loss]]), SnapshotTable[[#This Row],[LC Target Gain Loss]]/SnapshotTable[[#This Row],[LC Premium]], "")</f>
        <v/>
      </c>
      <c r="EB339" s="262"/>
      <c r="EC339" s="283" t="str">
        <f>IF(SnapshotTable[[#This Row],[LC Premium]]&gt;0, SnapshotTable[[#This Row],[LC Book Price]] * (1 - LC_StopLoss_Pct),"")</f>
        <v/>
      </c>
      <c r="ED339" s="284"/>
      <c r="EE339" s="283" t="str">
        <f>IF(ISNUMBER(SnapshotTable[[#This Row],[LC Contract Value]]),IF(ISNUMBER(SnapshotTable[[#This Row],[LC Stop Loss Override]]), SnapshotTable[[#This Row],[LC Stop Loss Override]],SnapshotTable[[#This Row],[LC Stop Loss Calc Target]]),"")</f>
        <v/>
      </c>
      <c r="EF339" s="31"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4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7"/>
      <c r="EL339" s="138"/>
      <c r="EM339" s="148"/>
      <c r="EN339" s="147"/>
      <c r="EO339" s="147"/>
      <c r="EP339" s="138"/>
      <c r="EQ339" s="419" t="b">
        <f>AND(ISNUMBER(SnapshotTable[[#This Row],[SC Exp Date]]), ISNUMBER(SnapshotTable[[#This Row],[SC Strike Price]]), ISNUMBER(SnapshotTable[[#This Row],[SC Qty]]), ISNUMBER(SnapshotTable[[#This Row],[SC Book Date]]), ISNUMBER(SnapshotTable[[#This Row],[SC Book Price]]))</f>
        <v>0</v>
      </c>
      <c r="ER339" s="419" t="b">
        <f>AND(SnapshotTable[[#This Row],[SC Is Booked]], NOT(ISBLANK(SnapshotTable[[#This Row],[SC Fill Date]])))</f>
        <v>0</v>
      </c>
      <c r="ES339" s="370"/>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3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283"/>
      <c r="FA339" s="218"/>
      <c r="FB339" s="370"/>
      <c r="FC339" s="4">
        <f>IF(SnapshotTable[[#This Row],[SC Is Filled]], btc_max_buyback_amount(SnapshotTable[[#This Row],[SC Fill Date]],SnapshotTable[[#This Row],[SC Exp Date]], SnapshotTable[[#This Row],[SC Book Price]]),0)</f>
        <v>0</v>
      </c>
      <c r="FD339" s="5"/>
      <c r="FE339" s="144"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382">
        <f>IF(SnapshotTable[[#This Row],[SC Is Filled]], IF(ISNUMBER(SnapshotTable[[#This Row],[SC Current Ask]]), SnapshotTable[[#This Row],[SC Current Ask]], SnapshotTable[[#This Row],[SC Book Price]]) - SnapshotTable[[#This Row],[SC Intrinsic Value]], 0)</f>
        <v>0</v>
      </c>
      <c r="FI339" s="143"/>
      <c r="FJ339" s="32" t="str">
        <f>IF(SnapshotTable[[#This Row],[SC Is Filled]],100 * SnapshotTable[[#This Row],[SC Qty]] * IF(ISNUMBER(SnapshotTable[[#This Row],[SC Buyback Override]]), SnapshotTable[[#This Row],[SC Buyback Override]], SnapshotTable[[#This Row],[SC Current Ask]]), "")</f>
        <v/>
      </c>
      <c r="FK339" s="250" t="str">
        <f>IF(SnapshotTable[[#This Row],[SC Time Val]]&gt;0, SnapshotTable[[#This Row],[SC Time Val]] / SnapshotTable[[#This Row],[Last Price]],"")</f>
        <v/>
      </c>
      <c r="FL339" s="302" t="str">
        <f>IF(SnapshotTable[[#This Row],[SC Is Booked]], ((SnapshotTable[[#This Row],[Last Price]] -SnapshotTable[[#This Row],[SC Strike Price]]) / SnapshotTable[[#This Row],[Last Price]]) * -1, "")</f>
        <v/>
      </c>
      <c r="FM339" s="157" t="str">
        <f>IF(SnapshotTable[[#This Row],[SC Is Booked]],  (SnapshotTable[[#This Row],[SC Qty]] * 100 * SnapshotTable[[#This Row],[SC Strike Price]]) - SnapshotTable[[#This Row],[SC Current Ask]], "")</f>
        <v/>
      </c>
      <c r="FN3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31"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33"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36" t="str">
        <f>IF(AND(ISNUMBER(SnapshotTable[[#This Row],[SC Simple ROO]]),SnapshotTable[[#This Row],[SC Simple ROO]] &gt; 0), SnapshotTable[[#This Row],[SC Premium]] + (SnapshotTable[[#This Row],[SC Qty]] * SnapshotTable[[#This Row],[SC Upside Potential]]), "")</f>
        <v/>
      </c>
      <c r="FX339" s="302" t="str" cm="1">
        <f t="array" ref="FX339">IF(ISNUMBER(SnapshotTable[[#This Row],[SC Max Dollars]]), annualize(SnapshotTable[[#This Row],[SC Term]],(SnapshotTable[[#This Row],[SC Max Dollars]]/SnapshotTable[[#This Row],[SC Basis]])),"")</f>
        <v/>
      </c>
      <c r="FY339" s="236" t="str">
        <f>IF(AND(SnapshotTable[[#This Row],[SC Qty]]&gt;0,SnapshotTable[[#This Row],[SC Current Ask]]&gt;0), SnapshotTable[[#This Row],[SC Qty]] * SnapshotTable[[#This Row],[SC Current Ask]] * -100, "")</f>
        <v/>
      </c>
      <c r="FZ339" s="31" t="str">
        <f>IF(ISNUMBER((SnapshotTable[[#This Row],[SC Current Value]])), SnapshotTable[[#This Row],[SC Premium]] + SnapshotTable[[#This Row],[SC Current Value]], "")</f>
        <v/>
      </c>
      <c r="GA339" s="29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38.047499999999992</v>
      </c>
      <c r="GD339" s="40">
        <f>SnapshotTable[[#This Row],[Last Price]] * (1+ SellingPriceToConsiderBasedOnTargetPercentage)</f>
        <v>28.625999999999998</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27" t="str">
        <f>IF(SnapshotTable[[#This Row],[Sale G/L]]&gt;0, SnapshotTable[[#This Row],[Sale G/L]] / SnapshotTable[[#This Row],[Sale Basis]], IF(ISNUMBER(SnapshotTable[[#This Row],[SC Exercise P&amp;L (TAX)]]), SnapshotTable[[#This Row],[SC Exercise P&amp;L (TAX)]] / SnapshotTable[[#This Row],[SC Basis]], ""))</f>
        <v/>
      </c>
      <c r="GK339" s="27"/>
      <c r="GL339" s="43"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43" t="str">
        <f>IF(AND(SnapshotTable[[#This Row],[LC Exp Date]]&gt;0,SnapshotTable[[#This Row],[LC Strike Price]]&gt;0), [1]!ToOptionSymbol(SnapshotTable[[#This Row],[Symbol]], SnapshotTable[[#This Row],[LC Strike Price]],SnapshotTable[[#This Row],[LC Exp Date]],0), "")</f>
        <v/>
      </c>
      <c r="GQ339" s="30" t="str">
        <f>IF(LEN(SnapshotTable[[#This Row],[LC Symbol]])&gt;0, 1, "")</f>
        <v/>
      </c>
      <c r="GR339" s="43" t="str">
        <f>IF(AND(SnapshotTable[[#This Row],[SC Exp Date]]&gt;0,SnapshotTable[[#This Row],[SC Strike Price]]&gt;0), [1]!ToOptionSymbol(SnapshotTable[[#This Row],[Symbol]], SnapshotTable[[#This Row],[SC Strike Price]],SnapshotTable[[#This Row],[SC Exp Date]],0), "")</f>
        <v/>
      </c>
      <c r="GS339" s="30" t="str">
        <f>IF(LEN(SnapshotTable[[#This Row],[SC Symbol]])&gt;0, 1, "")</f>
        <v/>
      </c>
      <c r="GT339" s="29"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31">
        <f>MAX(SnapshotTable[[#This Row],[Equity Basis Total]],SnapshotTable[[#This Row],[Equity Value]]) + (SnapshotTable[[#This Row],[SP Potential Spend]]- SnapshotTable[[#This Row],[SP Premium]] + SnapshotTable[[#This Row],[LP Premium]])+ (SnapshotTable[[#This Row],[LC Premium]] - SnapshotTable[[#This Row],[SC Premium]])</f>
        <v>0</v>
      </c>
      <c r="GW339" s="139" t="str">
        <f>IF(AND(SnapshotTable[[#This Row],[Exposure]] &lt;&gt; 0),SnapshotTable[[#This Row],[Exposure]] / SnapshotTable[[#Totals],[Exposure]], "")</f>
        <v/>
      </c>
      <c r="HK339" s="1"/>
      <c r="HL339" s="1"/>
      <c r="HM339" s="1"/>
      <c r="HN339" s="1"/>
      <c r="HO339" s="1"/>
      <c r="HP339" s="1"/>
    </row>
    <row r="340" spans="2:224" ht="12.75" hidden="1" customHeight="1" x14ac:dyDescent="0.25">
      <c r="B340" s="12" t="s">
        <v>1026</v>
      </c>
      <c r="C340" s="422">
        <v>14.95</v>
      </c>
      <c r="D340" s="208" t="s">
        <v>578</v>
      </c>
      <c r="E340" s="39">
        <f>SnapshotTable[[#This Row],[Last Price]]*(1 -CrashDiscount)</f>
        <v>12.7075</v>
      </c>
      <c r="F340" s="26" t="s">
        <v>1027</v>
      </c>
      <c r="G340" s="325" t="s">
        <v>4</v>
      </c>
      <c r="H340" s="149"/>
      <c r="I340" s="194">
        <v>44777.708333333336</v>
      </c>
      <c r="J340" s="195">
        <v>44777.708333333336</v>
      </c>
      <c r="K340" s="196"/>
      <c r="L340" s="326"/>
      <c r="M340" s="140"/>
      <c r="N340" s="140"/>
      <c r="O340" s="140"/>
      <c r="P340" s="22"/>
      <c r="Q340" s="25"/>
      <c r="R340" s="4" t="str">
        <f>IF(SnapshotTable[[#This Row],[Equity Basis Total]] &gt; 0, SnapshotTable[[#This Row],[Equity Basis Total]] / SnapshotTable[[#This Row],[Equity Shares]], "")</f>
        <v/>
      </c>
      <c r="S340" s="269">
        <f>SnapshotTable[[#This Row],[Last Price]] * SnapshotTable[[#This Row],[Equity Shares]]</f>
        <v>0</v>
      </c>
      <c r="T340" s="269">
        <f>SnapshotTable[[#This Row],[Equity Value]] - SnapshotTable[[#This Row],[Equity Basis Total]]</f>
        <v>0</v>
      </c>
      <c r="U340" s="270" t="str">
        <f>IF(SnapshotTable[[#This Row],[Equity Basis Total]] &gt; 0, SnapshotTable[[#This Row],[Equity G/L]] / SnapshotTable[[#This Row],[Equity Basis Total]], "")</f>
        <v/>
      </c>
      <c r="V340" s="268"/>
      <c r="W340" s="26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7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0"/>
      <c r="AD340" s="151"/>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1"/>
      <c r="AI340" s="5"/>
      <c r="AJ340" s="138">
        <v>10</v>
      </c>
      <c r="AK340" s="152" t="str">
        <f>IF(ISNUMBER( SnapshotTable[[#This Row],[EBF Target]]),(SnapshotTable[[#This Row],[EBF Target]] - SnapshotTable[[#This Row],[Last Price]]) / SnapshotTable[[#This Row],[Last Price]], "")</f>
        <v/>
      </c>
      <c r="AL340" s="152"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2">
        <f>IF(AND(ISNUMBER( SnapshotTable[[#This Row],[Long Term Target]]), ISNUMBER(SnapshotTable[[#This Row],[Last Price]])),(SnapshotTable[[#This Row],[Long Term Target]] - SnapshotTable[[#This Row],[Last Price]]) / SnapshotTable[[#This Row],[Last Price]], "")</f>
        <v>-0.33110367892976583</v>
      </c>
      <c r="AP340" s="5">
        <v>16</v>
      </c>
      <c r="AQ340" s="38" t="s">
        <v>89</v>
      </c>
      <c r="AR340" s="5">
        <v>15.37</v>
      </c>
      <c r="AS340" s="38" t="s">
        <v>142</v>
      </c>
      <c r="AT340" s="146" t="s">
        <v>575</v>
      </c>
      <c r="AU340" s="187" t="str">
        <f>IF(OR(SnapshotTable[[#This Row],[LP No Fill]]="Y",SnapshotTable[[#This Row],[SP Is Filled]],SnapshotTable[[#This Row],[LC Not Filled]]="Y",SnapshotTable[[#This Row],[SC Is Filled]]),"Y","")</f>
        <v/>
      </c>
      <c r="AV340" s="219">
        <v>15.37</v>
      </c>
      <c r="AW340" s="225"/>
      <c r="AX340" s="220"/>
      <c r="AY340" s="219" t="str">
        <f>IF(SnapshotTable[[#This Row],[Implied Move]]&gt;0, SnapshotTable[[#This Row],[Last Price]]-SnapshotTable[[#This Row],[Implied Move]],"")</f>
        <v/>
      </c>
      <c r="AZ340" s="219" t="str">
        <f>IF(SnapshotTable[[#This Row],[Implied Move]]&gt;0, SnapshotTable[[#This Row],[Last Price]] + SnapshotTable[[#This Row],[Implied Move]],"")</f>
        <v/>
      </c>
      <c r="BA340" s="331">
        <v>1</v>
      </c>
      <c r="BB340" s="347"/>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51"/>
      <c r="BE340" s="138"/>
      <c r="BF340" s="166"/>
      <c r="BG340" s="167"/>
      <c r="BH340" s="167"/>
      <c r="BI340" s="221"/>
      <c r="BJ340" s="153">
        <f>IF(SnapshotTable[[#This Row],[LP Qty]] &gt; 0, SnapshotTable[[#This Row],[LP Qty]] * SnapshotTable[[#This Row],[LP Book Price]] * 100,0)</f>
        <v>0</v>
      </c>
      <c r="BK340" s="136">
        <f>IF(SnapshotTable[[#This Row],[LP Premium]] &gt; 0, SnapshotTable[[#This Row],[LP Qty]] * SnapshotTable[[#This Row],[LP Strike Price]] * 100,0)</f>
        <v>0</v>
      </c>
      <c r="BL340" s="154"/>
      <c r="BM340" s="385" t="str">
        <f>IF(SnapshotTable[[#This Row],[LP Premium]] &gt; 0,SnapshotTable[[#This Row],[LP Exp Date]]-MAX(SnapshotTable[[#This Row],[LP Book Date]], SnapshotTable[[#This Row],[LP Fill Date]]),"")</f>
        <v/>
      </c>
      <c r="BN340" s="385" t="str">
        <f>IF(ISNUMBER( SnapshotTable[[#This Row],[LP Term]]), SnapshotTable[[#This Row],[LP Exp Date]] - MockToday,"")</f>
        <v/>
      </c>
      <c r="BO340" s="163"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7"/>
      <c r="BU340" s="13"/>
      <c r="BV340" s="5"/>
      <c r="BW340" s="419" t="b">
        <f>AND(ISNUMBER(SnapshotTable[[#This Row],[SP Exp Date]]), ISNUMBER(SnapshotTable[[#This Row],[SP Strike Price]]), ISNUMBER(SnapshotTable[[#This Row],[SP Qty]]), ISNUMBER(SnapshotTable[[#This Row],[SP Book Date]]), ISNUMBER(SnapshotTable[[#This Row],[SP Book Price]]))</f>
        <v>0</v>
      </c>
      <c r="BX340" s="419" t="b">
        <f>AND(SnapshotTable[[#This Row],[SP Is Booked]], NOT(ISBLANK(SnapshotTable[[#This Row],[SP Fill Date]])))</f>
        <v>0</v>
      </c>
      <c r="BY340" s="33">
        <f>IF(SnapshotTable[[#This Row],[SP Is Booked]], SnapshotTable[[#This Row],[SP Qty]] * SnapshotTable[[#This Row],[SP Book Price]] * 100, 0)</f>
        <v>0</v>
      </c>
      <c r="BZ340" s="369"/>
      <c r="CA340" s="368">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3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44"/>
      <c r="CK340" s="31">
        <f>IF(ISNUMBER(SnapshotTable[[#This Row],[SP Potential Spend]]),IF(ISNUMBER(SnapshotTable[[#This Row],[SP POW]]), SnapshotTable[[#This Row],[SP POW]] * SnapshotTable[[#This Row],[SP Potential Spend]], SnapshotTable[[#This Row],[SP Potential Spend]]), "")</f>
        <v>0</v>
      </c>
      <c r="CL340" s="164">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154"/>
      <c r="CO340" s="369"/>
      <c r="CP340" s="4" t="str">
        <f>IF(SnapshotTable[[#This Row],[SP Is Filled]], btc_max_buyback_amount(SnapshotTable[[#This Row],[SP Fill Date]],SnapshotTable[[#This Row],[SP Exp Date]], SnapshotTable[[#This Row],[SP Book Price]]),"")</f>
        <v/>
      </c>
      <c r="CQ340" s="78"/>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5" t="str">
        <f>IF(SnapshotTable[[#This Row],[SP Is Filled]], btc_next_cutoff_date(SnapshotTable[[#This Row],[SP Fill Date]],SnapshotTable[[#This Row],[SP Exp Date]]),"")</f>
        <v/>
      </c>
      <c r="CT340" s="23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3"/>
      <c r="CV340" s="235"/>
      <c r="CW340" s="378"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294" t="str">
        <f>IF(ISNUMBER((SnapshotTable[[#This Row],[SP Total Value]])), SnapshotTable[[#This Row],[SP Gain Loss]] / SnapshotTable[[#This Row],[SP Premium]], "")</f>
        <v/>
      </c>
      <c r="DI340" s="406"/>
      <c r="DJ340" s="138"/>
      <c r="DK340" s="148"/>
      <c r="DL340" s="147"/>
      <c r="DM340" s="147"/>
      <c r="DO340" s="31">
        <f>IF(SnapshotTable[[#This Row],[LC Symbol Count]]=1, SnapshotTable[[#This Row],[LC Qty]] * SnapshotTable[[#This Row],[LC Book Price]] * 100, 0)</f>
        <v>0</v>
      </c>
      <c r="DP340" s="163" t="str">
        <f>IF(AND(SnapshotTable[[#This Row],[LC Exp Date]]&gt;0, SnapshotTable[[#This Row],[LC Strike Price]]&gt;0,SnapshotTable[[#This Row],[LC Qty]]&gt;0,SnapshotTable[[#This Row],[LC Book Date]]&gt;0,SnapshotTable[[#This Row],[LC Book Price]]&gt;0,SnapshotTable[[#This Row],[LC Fill Date]]=0),"Y","")</f>
        <v/>
      </c>
      <c r="DQ340" s="386" t="str">
        <f>IF(SnapshotTable[[#This Row],[LC Premium]] &gt; 0,SnapshotTable[[#This Row],[LC Exp Date]]-MAX(SnapshotTable[[#This Row],[LC Book Date]], SnapshotTable[[#This Row],[LC Fill Date]]),"")</f>
        <v/>
      </c>
      <c r="DR340" s="386" t="str">
        <f>IF(ISNUMBER(SnapshotTable[[#This Row],[LC Term]]), SnapshotTable[[#This Row],[LC Exp Date]] - MockToday, "")</f>
        <v/>
      </c>
      <c r="DS340" s="23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40" t="str">
        <f>IF(ISNUMBER(SnapshotTable[[#This Row],[LC Actual Gain Loss]]), SnapshotTable[[#This Row],[LC Actual Gain Loss]] / SnapshotTable[[#This Row],[LC Premium]],"")</f>
        <v/>
      </c>
      <c r="DX340" s="284" t="str">
        <f>IF(ISNUMBER(SnapshotTable[[#This Row],[LC Book Price]]),SnapshotTable[[#This Row],[LC Book Price]] * 1.5,"")</f>
        <v/>
      </c>
      <c r="DY340" s="265" t="str">
        <f>IF(SnapshotTable[[#This Row],[LC Premium]]&gt;0, SnapshotTable[[#This Row],[LC Next Target]] * SnapshotTable[[#This Row],[LC Qty]] * 100,"")</f>
        <v/>
      </c>
      <c r="DZ340" s="265" t="str">
        <f>IF(ISNUMBER(SnapshotTable[[#This Row],[LC Target Gross]]), SnapshotTable[[#This Row],[LC Target Gross]] - SnapshotTable[[#This Row],[LC Premium]], "")</f>
        <v/>
      </c>
      <c r="EA340" s="305" t="str">
        <f>IF(ISNUMBER(SnapshotTable[[#This Row],[LC Target Gain Loss]]), SnapshotTable[[#This Row],[LC Target Gain Loss]]/SnapshotTable[[#This Row],[LC Premium]], "")</f>
        <v/>
      </c>
      <c r="EB340" s="262"/>
      <c r="EC340" s="283" t="str">
        <f>IF(SnapshotTable[[#This Row],[LC Premium]]&gt;0, SnapshotTable[[#This Row],[LC Book Price]] * (1 - LC_StopLoss_Pct),"")</f>
        <v/>
      </c>
      <c r="ED340" s="284"/>
      <c r="EE340" s="28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4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7"/>
      <c r="EL340" s="138"/>
      <c r="EM340" s="148"/>
      <c r="EN340" s="147"/>
      <c r="EO340" s="147"/>
      <c r="EP340" s="138"/>
      <c r="EQ340" s="419" t="b">
        <f>AND(ISNUMBER(SnapshotTable[[#This Row],[SC Exp Date]]), ISNUMBER(SnapshotTable[[#This Row],[SC Strike Price]]), ISNUMBER(SnapshotTable[[#This Row],[SC Qty]]), ISNUMBER(SnapshotTable[[#This Row],[SC Book Date]]), ISNUMBER(SnapshotTable[[#This Row],[SC Book Price]]))</f>
        <v>0</v>
      </c>
      <c r="ER340" s="419" t="b">
        <f>AND(SnapshotTable[[#This Row],[SC Is Booked]], NOT(ISBLANK(SnapshotTable[[#This Row],[SC Fill Date]])))</f>
        <v>0</v>
      </c>
      <c r="ES340" s="370"/>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3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283"/>
      <c r="FA340" s="218"/>
      <c r="FB340" s="370"/>
      <c r="FC340" s="4">
        <f>IF(SnapshotTable[[#This Row],[SC Is Filled]], btc_max_buyback_amount(SnapshotTable[[#This Row],[SC Fill Date]],SnapshotTable[[#This Row],[SC Exp Date]], SnapshotTable[[#This Row],[SC Book Price]]),0)</f>
        <v>0</v>
      </c>
      <c r="FD340" s="5"/>
      <c r="FE340" s="144"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382">
        <f>IF(SnapshotTable[[#This Row],[SC Is Filled]], IF(ISNUMBER(SnapshotTable[[#This Row],[SC Current Ask]]), SnapshotTable[[#This Row],[SC Current Ask]], SnapshotTable[[#This Row],[SC Book Price]]) - SnapshotTable[[#This Row],[SC Intrinsic Value]], 0)</f>
        <v>0</v>
      </c>
      <c r="FI340" s="143">
        <v>45786</v>
      </c>
      <c r="FJ340" s="32" t="str">
        <f>IF(SnapshotTable[[#This Row],[SC Is Filled]],100 * SnapshotTable[[#This Row],[SC Qty]] * IF(ISNUMBER(SnapshotTable[[#This Row],[SC Buyback Override]]), SnapshotTable[[#This Row],[SC Buyback Override]], SnapshotTable[[#This Row],[SC Current Ask]]), "")</f>
        <v/>
      </c>
      <c r="FK340" s="250" t="str">
        <f>IF(SnapshotTable[[#This Row],[SC Time Val]]&gt;0, SnapshotTable[[#This Row],[SC Time Val]] / SnapshotTable[[#This Row],[Last Price]],"")</f>
        <v/>
      </c>
      <c r="FL340" s="302" t="str">
        <f>IF(SnapshotTable[[#This Row],[SC Is Booked]], ((SnapshotTable[[#This Row],[Last Price]] -SnapshotTable[[#This Row],[SC Strike Price]]) / SnapshotTable[[#This Row],[Last Price]]) * -1, "")</f>
        <v/>
      </c>
      <c r="FM340" s="157" t="str">
        <f>IF(SnapshotTable[[#This Row],[SC Is Booked]],  (SnapshotTable[[#This Row],[SC Qty]] * 100 * SnapshotTable[[#This Row],[SC Strike Price]]) - SnapshotTable[[#This Row],[SC Current Ask]], "")</f>
        <v/>
      </c>
      <c r="FN34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157"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33"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36" t="str">
        <f>IF(AND(ISNUMBER(SnapshotTable[[#This Row],[SC Simple ROO]]),SnapshotTable[[#This Row],[SC Simple ROO]] &gt; 0), SnapshotTable[[#This Row],[SC Premium]] + (SnapshotTable[[#This Row],[SC Qty]] * SnapshotTable[[#This Row],[SC Upside Potential]]), "")</f>
        <v/>
      </c>
      <c r="FX340" s="302" t="str" cm="1">
        <f t="array" ref="FX340">IF(ISNUMBER(SnapshotTable[[#This Row],[SC Max Dollars]]), annualize(SnapshotTable[[#This Row],[SC Term]],(SnapshotTable[[#This Row],[SC Max Dollars]]/SnapshotTable[[#This Row],[SC Basis]])),"")</f>
        <v/>
      </c>
      <c r="FY340" s="236" t="str">
        <f>IF(AND(SnapshotTable[[#This Row],[SC Qty]]&gt;0,SnapshotTable[[#This Row],[SC Current Ask]]&gt;0), SnapshotTable[[#This Row],[SC Qty]] * SnapshotTable[[#This Row],[SC Current Ask]] * -100, "")</f>
        <v/>
      </c>
      <c r="FZ340" s="235" t="str">
        <f>IF(ISNUMBER((SnapshotTable[[#This Row],[SC Current Value]])), SnapshotTable[[#This Row],[SC Premium]] + SnapshotTable[[#This Row],[SC Current Value]], "")</f>
        <v/>
      </c>
      <c r="GA340" s="29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9.5</v>
      </c>
      <c r="GD340" s="40">
        <f>SnapshotTable[[#This Row],[Last Price]] * (1+ SellingPriceToConsiderBasedOnTargetPercentage)</f>
        <v>29.152499999999996</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158" t="str">
        <f>IF(SnapshotTable[[#This Row],[Sale G/L]]&gt;0, SnapshotTable[[#This Row],[Sale G/L]] / SnapshotTable[[#This Row],[Sale Basis]], IF(ISNUMBER(SnapshotTable[[#This Row],[SC Exercise P&amp;L (TAX)]]), SnapshotTable[[#This Row],[SC Exercise P&amp;L (TAX)]] / SnapshotTable[[#This Row],[SC Basis]], ""))</f>
        <v/>
      </c>
      <c r="GK340" s="27"/>
      <c r="GL340" s="159"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159" t="str">
        <f>IF(AND(SnapshotTable[[#This Row],[LC Exp Date]]&gt;0,SnapshotTable[[#This Row],[LC Strike Price]]&gt;0), [1]!ToOptionSymbol(SnapshotTable[[#This Row],[Symbol]], SnapshotTable[[#This Row],[LC Strike Price]],SnapshotTable[[#This Row],[LC Exp Date]],0), "")</f>
        <v/>
      </c>
      <c r="GQ340" s="160" t="str">
        <f>IF(LEN(SnapshotTable[[#This Row],[LC Symbol]])&gt;0, 1, "")</f>
        <v/>
      </c>
      <c r="GR340" s="159" t="str">
        <f>IF(AND(SnapshotTable[[#This Row],[SC Exp Date]]&gt;0,SnapshotTable[[#This Row],[SC Strike Price]]&gt;0), [1]!ToOptionSymbol(SnapshotTable[[#This Row],[Symbol]], SnapshotTable[[#This Row],[SC Strike Price]],SnapshotTable[[#This Row],[SC Exp Date]],0), "")</f>
        <v/>
      </c>
      <c r="GS340" s="160" t="str">
        <f>IF(LEN(SnapshotTable[[#This Row],[SC Symbol]])&gt;0, 1, "")</f>
        <v/>
      </c>
      <c r="GT340" s="161"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31">
        <f>MAX(SnapshotTable[[#This Row],[Equity Basis Total]],SnapshotTable[[#This Row],[Equity Value]]) + (SnapshotTable[[#This Row],[SP Potential Spend]]- SnapshotTable[[#This Row],[SP Premium]] + SnapshotTable[[#This Row],[LP Premium]])+ (SnapshotTable[[#This Row],[LC Premium]] - SnapshotTable[[#This Row],[SC Premium]])</f>
        <v>0</v>
      </c>
      <c r="GW340" s="139" t="str">
        <f>IF(AND(SnapshotTable[[#This Row],[Exposure]] &lt;&gt; 0),SnapshotTable[[#This Row],[Exposure]] / SnapshotTable[[#Totals],[Exposure]], "")</f>
        <v/>
      </c>
      <c r="GX340" s="13"/>
      <c r="HK340" s="1"/>
      <c r="HL340" s="1"/>
      <c r="HM340" s="1"/>
      <c r="HN340" s="1"/>
      <c r="HO340" s="1"/>
      <c r="HP340" s="1"/>
    </row>
    <row r="341" spans="2:224" ht="12.75" hidden="1" customHeight="1" x14ac:dyDescent="0.25">
      <c r="B341" s="12" t="s">
        <v>91</v>
      </c>
      <c r="C341" s="422">
        <v>310.92</v>
      </c>
      <c r="D341" s="208"/>
      <c r="E341" s="39">
        <f>SnapshotTable[[#This Row],[Last Price]]*(1 -CrashDiscount)</f>
        <v>264.28199999999998</v>
      </c>
      <c r="F341" s="26" t="s">
        <v>90</v>
      </c>
      <c r="G341" s="26" t="s">
        <v>41</v>
      </c>
      <c r="H341" s="149"/>
      <c r="I341" s="194">
        <v>44768.28125</v>
      </c>
      <c r="J341" s="195">
        <v>44768.28125</v>
      </c>
      <c r="K341" s="196"/>
      <c r="L341" s="326"/>
      <c r="M341" s="140"/>
      <c r="N341" s="140"/>
      <c r="O341" s="140"/>
      <c r="P341" s="22"/>
      <c r="Q341" s="25"/>
      <c r="R341" s="4" t="str">
        <f>IF(SnapshotTable[[#This Row],[Equity Basis Total]] &gt; 0, SnapshotTable[[#This Row],[Equity Basis Total]] / SnapshotTable[[#This Row],[Equity Shares]], "")</f>
        <v/>
      </c>
      <c r="S341" s="269">
        <f>SnapshotTable[[#This Row],[Last Price]] * SnapshotTable[[#This Row],[Equity Shares]]</f>
        <v>0</v>
      </c>
      <c r="T341" s="269">
        <f>SnapshotTable[[#This Row],[Equity Value]] - SnapshotTable[[#This Row],[Equity Basis Total]]</f>
        <v>0</v>
      </c>
      <c r="U341" s="270" t="str">
        <f>IF(SnapshotTable[[#This Row],[Equity Basis Total]] &gt; 0, SnapshotTable[[#This Row],[Equity G/L]] / SnapshotTable[[#This Row],[Equity Basis Total]], "")</f>
        <v/>
      </c>
      <c r="V341" s="268"/>
      <c r="W341" s="268"/>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7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0">
        <v>2.4</v>
      </c>
      <c r="AD341" s="151">
        <v>42986</v>
      </c>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7.7190274025472783E-3</v>
      </c>
      <c r="AH341" s="151">
        <v>42782</v>
      </c>
      <c r="AI341" s="5"/>
      <c r="AJ341" s="138">
        <v>75.53</v>
      </c>
      <c r="AK341" s="152" t="str">
        <f>IF(ISNUMBER( SnapshotTable[[#This Row],[EBF Target]]),(SnapshotTable[[#This Row],[EBF Target]] - SnapshotTable[[#This Row],[Last Price]]) / SnapshotTable[[#This Row],[Last Price]], "")</f>
        <v/>
      </c>
      <c r="AL341" s="152"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2">
        <f>IF(AND(ISNUMBER( SnapshotTable[[#This Row],[Long Term Target]]), ISNUMBER(SnapshotTable[[#This Row],[Last Price]])),(SnapshotTable[[#This Row],[Long Term Target]] - SnapshotTable[[#This Row],[Last Price]]) / SnapshotTable[[#This Row],[Last Price]], "")</f>
        <v>-0.7570757751190017</v>
      </c>
      <c r="AP341" s="5">
        <v>67</v>
      </c>
      <c r="AQ341" s="38" t="s">
        <v>89</v>
      </c>
      <c r="AR341" s="5">
        <v>60</v>
      </c>
      <c r="AS341" s="38" t="s">
        <v>6</v>
      </c>
      <c r="AT341" s="146"/>
      <c r="AU341" s="187" t="str">
        <f>IF(OR(SnapshotTable[[#This Row],[LP No Fill]]="Y",SnapshotTable[[#This Row],[SP Is Filled]],SnapshotTable[[#This Row],[LC Not Filled]]="Y",SnapshotTable[[#This Row],[SC Is Filled]]),"Y","")</f>
        <v/>
      </c>
      <c r="AV341" s="219"/>
      <c r="AW341" s="225"/>
      <c r="AX341" s="220"/>
      <c r="AY341" s="219" t="str">
        <f>IF(SnapshotTable[[#This Row],[Implied Move]]&gt;0, SnapshotTable[[#This Row],[Last Price]]-SnapshotTable[[#This Row],[Implied Move]],"")</f>
        <v/>
      </c>
      <c r="AZ341" s="219" t="str">
        <f>IF(SnapshotTable[[#This Row],[Implied Move]]&gt;0, SnapshotTable[[#This Row],[Last Price]] + SnapshotTable[[#This Row],[Implied Move]],"")</f>
        <v/>
      </c>
      <c r="BA341" s="331"/>
      <c r="BB341" s="347"/>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51"/>
      <c r="BE341" s="5"/>
      <c r="BF341" s="14"/>
      <c r="BG341" s="13"/>
      <c r="BH341" s="13"/>
      <c r="BI341" s="5"/>
      <c r="BJ341" s="136">
        <f>IF(SnapshotTable[[#This Row],[LP Qty]] &gt; 0, SnapshotTable[[#This Row],[LP Qty]] * SnapshotTable[[#This Row],[LP Book Price]] * 100,0)</f>
        <v>0</v>
      </c>
      <c r="BK341" s="136">
        <f>IF(SnapshotTable[[#This Row],[LP Premium]] &gt; 0, SnapshotTable[[#This Row],[LP Qty]] * SnapshotTable[[#This Row],[LP Strike Price]] * 100,0)</f>
        <v>0</v>
      </c>
      <c r="BL341" s="154"/>
      <c r="BM341" s="385" t="str">
        <f>IF(SnapshotTable[[#This Row],[LP Premium]] &gt; 0,SnapshotTable[[#This Row],[LP Exp Date]]-MAX(SnapshotTable[[#This Row],[LP Book Date]], SnapshotTable[[#This Row],[LP Fill Date]]),"")</f>
        <v/>
      </c>
      <c r="BN341" s="385" t="str">
        <f>IF(ISNUMBER( SnapshotTable[[#This Row],[LP Term]]), SnapshotTable[[#This Row],[LP Exp Date]] - MockToday,"")</f>
        <v/>
      </c>
      <c r="BO341" s="163"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7"/>
      <c r="BU341" s="13"/>
      <c r="BV341" s="5"/>
      <c r="BW341" s="419" t="b">
        <f>AND(ISNUMBER(SnapshotTable[[#This Row],[SP Exp Date]]), ISNUMBER(SnapshotTable[[#This Row],[SP Strike Price]]), ISNUMBER(SnapshotTable[[#This Row],[SP Qty]]), ISNUMBER(SnapshotTable[[#This Row],[SP Book Date]]), ISNUMBER(SnapshotTable[[#This Row],[SP Book Price]]))</f>
        <v>0</v>
      </c>
      <c r="BX341" s="419" t="b">
        <f>AND(SnapshotTable[[#This Row],[SP Is Booked]], NOT(ISBLANK(SnapshotTable[[#This Row],[SP Fill Date]])))</f>
        <v>0</v>
      </c>
      <c r="BY341" s="33">
        <f>IF(SnapshotTable[[#This Row],[SP Is Booked]], SnapshotTable[[#This Row],[SP Qty]] * SnapshotTable[[#This Row],[SP Book Price]] * 100, 0)</f>
        <v>0</v>
      </c>
      <c r="BZ341" s="369"/>
      <c r="CA341" s="368">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3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44"/>
      <c r="CK341" s="31">
        <f>IF(ISNUMBER(SnapshotTable[[#This Row],[SP Potential Spend]]),IF(ISNUMBER(SnapshotTable[[#This Row],[SP POW]]), SnapshotTable[[#This Row],[SP POW]] * SnapshotTable[[#This Row],[SP Potential Spend]], SnapshotTable[[#This Row],[SP Potential Spend]]), "")</f>
        <v>0</v>
      </c>
      <c r="CL341" s="164">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8"/>
      <c r="CO341" s="369"/>
      <c r="CP341" s="4" t="str">
        <f>IF(SnapshotTable[[#This Row],[SP Is Filled]], btc_max_buyback_amount(SnapshotTable[[#This Row],[SP Fill Date]],SnapshotTable[[#This Row],[SP Exp Date]], SnapshotTable[[#This Row],[SP Book Price]]),"")</f>
        <v/>
      </c>
      <c r="CQ341" s="78"/>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5" t="str">
        <f>IF(SnapshotTable[[#This Row],[SP Is Filled]], btc_next_cutoff_date(SnapshotTable[[#This Row],[SP Fill Date]],SnapshotTable[[#This Row],[SP Exp Date]]),"")</f>
        <v/>
      </c>
      <c r="CT341" s="23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3"/>
      <c r="CV341" s="235"/>
      <c r="CW341" s="378"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294" t="str">
        <f>IF(ISNUMBER((SnapshotTable[[#This Row],[SP Total Value]])), SnapshotTable[[#This Row],[SP Gain Loss]] / SnapshotTable[[#This Row],[SP Premium]], "")</f>
        <v/>
      </c>
      <c r="DI341" s="406"/>
      <c r="DJ341" s="138"/>
      <c r="DK341" s="148"/>
      <c r="DL341" s="13"/>
      <c r="DM341" s="13"/>
      <c r="DO341" s="31">
        <f>IF(SnapshotTable[[#This Row],[LC Symbol Count]]=1, SnapshotTable[[#This Row],[LC Qty]] * SnapshotTable[[#This Row],[LC Book Price]] * 100, 0)</f>
        <v>0</v>
      </c>
      <c r="DP341" s="163" t="str">
        <f>IF(AND(SnapshotTable[[#This Row],[LC Exp Date]]&gt;0, SnapshotTable[[#This Row],[LC Strike Price]]&gt;0,SnapshotTable[[#This Row],[LC Qty]]&gt;0,SnapshotTable[[#This Row],[LC Book Date]]&gt;0,SnapshotTable[[#This Row],[LC Book Price]]&gt;0,SnapshotTable[[#This Row],[LC Fill Date]]=0),"Y","")</f>
        <v/>
      </c>
      <c r="DQ341" s="386" t="str">
        <f>IF(SnapshotTable[[#This Row],[LC Premium]] &gt; 0,SnapshotTable[[#This Row],[LC Exp Date]]-MAX(SnapshotTable[[#This Row],[LC Book Date]], SnapshotTable[[#This Row],[LC Fill Date]]),"")</f>
        <v/>
      </c>
      <c r="DR341" s="386" t="str">
        <f>IF(ISNUMBER(SnapshotTable[[#This Row],[LC Term]]), SnapshotTable[[#This Row],[LC Exp Date]] - MockToday, "")</f>
        <v/>
      </c>
      <c r="DS341" s="23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40" t="str">
        <f>IF(ISNUMBER(SnapshotTable[[#This Row],[LC Actual Gain Loss]]), SnapshotTable[[#This Row],[LC Actual Gain Loss]] / SnapshotTable[[#This Row],[LC Premium]],"")</f>
        <v/>
      </c>
      <c r="DX341" s="284" t="str">
        <f>IF(ISNUMBER(SnapshotTable[[#This Row],[LC Book Price]]),SnapshotTable[[#This Row],[LC Book Price]] * 1.5,"")</f>
        <v/>
      </c>
      <c r="DY341" s="265" t="str">
        <f>IF(SnapshotTable[[#This Row],[LC Premium]]&gt;0, SnapshotTable[[#This Row],[LC Next Target]] * SnapshotTable[[#This Row],[LC Qty]] * 100,"")</f>
        <v/>
      </c>
      <c r="DZ341" s="265" t="str">
        <f>IF(ISNUMBER(SnapshotTable[[#This Row],[LC Target Gross]]), SnapshotTable[[#This Row],[LC Target Gross]] - SnapshotTable[[#This Row],[LC Premium]], "")</f>
        <v/>
      </c>
      <c r="EA341" s="305" t="str">
        <f>IF(ISNUMBER(SnapshotTable[[#This Row],[LC Target Gain Loss]]), SnapshotTable[[#This Row],[LC Target Gain Loss]]/SnapshotTable[[#This Row],[LC Premium]], "")</f>
        <v/>
      </c>
      <c r="EB341" s="262"/>
      <c r="EC341" s="283" t="str">
        <f>IF(SnapshotTable[[#This Row],[LC Premium]]&gt;0, SnapshotTable[[#This Row],[LC Book Price]] * (1 - LC_StopLoss_Pct),"")</f>
        <v/>
      </c>
      <c r="ED341" s="284"/>
      <c r="EE341" s="28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4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7"/>
      <c r="EL341" s="138"/>
      <c r="EM341" s="148"/>
      <c r="EN341" s="147"/>
      <c r="EO341" s="147"/>
      <c r="EP341" s="138"/>
      <c r="EQ341" s="419" t="b">
        <f>AND(ISNUMBER(SnapshotTable[[#This Row],[SC Exp Date]]), ISNUMBER(SnapshotTable[[#This Row],[SC Strike Price]]), ISNUMBER(SnapshotTable[[#This Row],[SC Qty]]), ISNUMBER(SnapshotTable[[#This Row],[SC Book Date]]), ISNUMBER(SnapshotTable[[#This Row],[SC Book Price]]))</f>
        <v>0</v>
      </c>
      <c r="ER341" s="419" t="b">
        <f>AND(SnapshotTable[[#This Row],[SC Is Booked]], NOT(ISBLANK(SnapshotTable[[#This Row],[SC Fill Date]])))</f>
        <v>0</v>
      </c>
      <c r="ES341" s="370"/>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3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283"/>
      <c r="FA341" s="218"/>
      <c r="FB341" s="370"/>
      <c r="FC341" s="4">
        <f>IF(SnapshotTable[[#This Row],[SC Is Filled]], btc_max_buyback_amount(SnapshotTable[[#This Row],[SC Fill Date]],SnapshotTable[[#This Row],[SC Exp Date]], SnapshotTable[[#This Row],[SC Book Price]]),0)</f>
        <v>0</v>
      </c>
      <c r="FD341" s="5"/>
      <c r="FE341" s="144"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382">
        <f>IF(SnapshotTable[[#This Row],[SC Is Filled]], IF(ISNUMBER(SnapshotTable[[#This Row],[SC Current Ask]]), SnapshotTable[[#This Row],[SC Current Ask]], SnapshotTable[[#This Row],[SC Book Price]]) - SnapshotTable[[#This Row],[SC Intrinsic Value]], 0)</f>
        <v>0</v>
      </c>
      <c r="FI341" s="143"/>
      <c r="FJ341" s="32" t="str">
        <f>IF(SnapshotTable[[#This Row],[SC Is Filled]],100 * SnapshotTable[[#This Row],[SC Qty]] * IF(ISNUMBER(SnapshotTable[[#This Row],[SC Buyback Override]]), SnapshotTable[[#This Row],[SC Buyback Override]], SnapshotTable[[#This Row],[SC Current Ask]]), "")</f>
        <v/>
      </c>
      <c r="FK341" s="250" t="str">
        <f>IF(SnapshotTable[[#This Row],[SC Time Val]]&gt;0, SnapshotTable[[#This Row],[SC Time Val]] / SnapshotTable[[#This Row],[Last Price]],"")</f>
        <v/>
      </c>
      <c r="FL341" s="302" t="str">
        <f>IF(SnapshotTable[[#This Row],[SC Is Booked]], ((SnapshotTable[[#This Row],[Last Price]] -SnapshotTable[[#This Row],[SC Strike Price]]) / SnapshotTable[[#This Row],[Last Price]]) * -1, "")</f>
        <v/>
      </c>
      <c r="FM341" s="157"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33"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36" t="str">
        <f>IF(AND(ISNUMBER(SnapshotTable[[#This Row],[SC Simple ROO]]),SnapshotTable[[#This Row],[SC Simple ROO]] &gt; 0), SnapshotTable[[#This Row],[SC Premium]] + (SnapshotTable[[#This Row],[SC Qty]] * SnapshotTable[[#This Row],[SC Upside Potential]]), "")</f>
        <v/>
      </c>
      <c r="FX341" s="302" t="str" cm="1">
        <f t="array" ref="FX341">IF(ISNUMBER(SnapshotTable[[#This Row],[SC Max Dollars]]), annualize(SnapshotTable[[#This Row],[SC Term]],(SnapshotTable[[#This Row],[SC Max Dollars]]/SnapshotTable[[#This Row],[SC Basis]])),"")</f>
        <v/>
      </c>
      <c r="FY341" s="23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29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71.753500000000003</v>
      </c>
      <c r="GD341" s="40">
        <f>SnapshotTable[[#This Row],[Last Price]] * (1+ SellingPriceToConsiderBasedOnTargetPercentage)</f>
        <v>606.29399999999998</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789</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31">
        <f>MAX(SnapshotTable[[#This Row],[Equity Basis Total]],SnapshotTable[[#This Row],[Equity Value]]) + (SnapshotTable[[#This Row],[SP Potential Spend]]- SnapshotTable[[#This Row],[SP Premium]] + SnapshotTable[[#This Row],[LP Premium]])+ (SnapshotTable[[#This Row],[LC Premium]] - SnapshotTable[[#This Row],[SC Premium]])</f>
        <v>0</v>
      </c>
      <c r="GW341" s="139" t="str">
        <f>IF(AND(SnapshotTable[[#This Row],[Exposure]] &lt;&gt; 0),SnapshotTable[[#This Row],[Exposure]] / SnapshotTable[[#Totals],[Exposure]], "")</f>
        <v/>
      </c>
      <c r="HK341" s="1"/>
      <c r="HL341" s="1"/>
      <c r="HM341" s="1"/>
      <c r="HN341" s="1"/>
      <c r="HO341" s="1"/>
      <c r="HP341" s="1"/>
    </row>
    <row r="342" spans="2:224" ht="12.75" hidden="1" customHeight="1" x14ac:dyDescent="0.25">
      <c r="B342" s="12" t="s">
        <v>75</v>
      </c>
      <c r="C342" s="422">
        <v>14.52</v>
      </c>
      <c r="D342" s="208"/>
      <c r="E342" s="39">
        <f>SnapshotTable[[#This Row],[Last Price]]*(1 -CrashDiscount)</f>
        <v>12.341999999999999</v>
      </c>
      <c r="F342" s="26" t="s">
        <v>74</v>
      </c>
      <c r="G342" s="26" t="s">
        <v>4</v>
      </c>
      <c r="H342" s="149"/>
      <c r="I342" s="194">
        <v>44770.291666666664</v>
      </c>
      <c r="J342" s="195">
        <v>44770.291666666664</v>
      </c>
      <c r="K342" s="196"/>
      <c r="L342" s="326"/>
      <c r="M342" s="140"/>
      <c r="N342" s="140"/>
      <c r="O342" s="140"/>
      <c r="P342" s="22"/>
      <c r="Q342" s="25"/>
      <c r="R342" s="4" t="str">
        <f>IF(SnapshotTable[[#This Row],[Equity Basis Total]] &gt; 0, SnapshotTable[[#This Row],[Equity Basis Total]] / SnapshotTable[[#This Row],[Equity Shares]], "")</f>
        <v/>
      </c>
      <c r="S342" s="269">
        <f>SnapshotTable[[#This Row],[Last Price]] * SnapshotTable[[#This Row],[Equity Shares]]</f>
        <v>0</v>
      </c>
      <c r="T342" s="269">
        <f>SnapshotTable[[#This Row],[Equity Value]] - SnapshotTable[[#This Row],[Equity Basis Total]]</f>
        <v>0</v>
      </c>
      <c r="U342" s="270" t="str">
        <f>IF(SnapshotTable[[#This Row],[Equity Basis Total]] &gt; 0, SnapshotTable[[#This Row],[Equity G/L]] / SnapshotTable[[#This Row],[Equity Basis Total]], "")</f>
        <v/>
      </c>
      <c r="V342" s="268"/>
      <c r="W342" s="26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7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0"/>
      <c r="AD342" s="151"/>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1"/>
      <c r="AI342" s="5"/>
      <c r="AJ342" s="138">
        <v>9.7799999999999994</v>
      </c>
      <c r="AK342" s="152" t="str">
        <f>IF(ISNUMBER( SnapshotTable[[#This Row],[EBF Target]]),(SnapshotTable[[#This Row],[EBF Target]] - SnapshotTable[[#This Row],[Last Price]]) / SnapshotTable[[#This Row],[Last Price]], "")</f>
        <v/>
      </c>
      <c r="AL342" s="152"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2">
        <f>IF(AND(ISNUMBER( SnapshotTable[[#This Row],[Long Term Target]]), ISNUMBER(SnapshotTable[[#This Row],[Last Price]])),(SnapshotTable[[#This Row],[Long Term Target]] - SnapshotTable[[#This Row],[Last Price]]) / SnapshotTable[[#This Row],[Last Price]], "")</f>
        <v>-0.32644628099173556</v>
      </c>
      <c r="AP342" s="5"/>
      <c r="AQ342" s="38"/>
      <c r="AR342" s="5"/>
      <c r="AS342" s="38"/>
      <c r="AT342" s="146"/>
      <c r="AU342" s="187" t="str">
        <f>IF(OR(SnapshotTable[[#This Row],[LP No Fill]]="Y",SnapshotTable[[#This Row],[SP Is Filled]],SnapshotTable[[#This Row],[LC Not Filled]]="Y",SnapshotTable[[#This Row],[SC Is Filled]]),"Y","")</f>
        <v/>
      </c>
      <c r="AV342" s="219"/>
      <c r="AW342" s="225"/>
      <c r="AX342" s="220"/>
      <c r="AY342" s="219" t="str">
        <f>IF(SnapshotTable[[#This Row],[Implied Move]]&gt;0, SnapshotTable[[#This Row],[Last Price]]-SnapshotTable[[#This Row],[Implied Move]],"")</f>
        <v/>
      </c>
      <c r="AZ342" s="219" t="str">
        <f>IF(SnapshotTable[[#This Row],[Implied Move]]&gt;0, SnapshotTable[[#This Row],[Last Price]] + SnapshotTable[[#This Row],[Implied Move]],"")</f>
        <v/>
      </c>
      <c r="BA342" s="331"/>
      <c r="BB342" s="347"/>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51"/>
      <c r="BE342" s="5"/>
      <c r="BF342" s="14"/>
      <c r="BG342" s="13"/>
      <c r="BH342" s="13"/>
      <c r="BI342" s="5"/>
      <c r="BJ342" s="136">
        <f>IF(SnapshotTable[[#This Row],[LP Qty]] &gt; 0, SnapshotTable[[#This Row],[LP Qty]] * SnapshotTable[[#This Row],[LP Book Price]] * 100,0)</f>
        <v>0</v>
      </c>
      <c r="BK342" s="136">
        <f>IF(SnapshotTable[[#This Row],[LP Premium]] &gt; 0, SnapshotTable[[#This Row],[LP Qty]] * SnapshotTable[[#This Row],[LP Strike Price]] * 100,0)</f>
        <v>0</v>
      </c>
      <c r="BL342" s="154"/>
      <c r="BM342" s="385" t="str">
        <f>IF(SnapshotTable[[#This Row],[LP Premium]] &gt; 0,SnapshotTable[[#This Row],[LP Exp Date]]-MAX(SnapshotTable[[#This Row],[LP Book Date]], SnapshotTable[[#This Row],[LP Fill Date]]),"")</f>
        <v/>
      </c>
      <c r="BN342" s="385" t="str">
        <f>IF(ISNUMBER( SnapshotTable[[#This Row],[LP Term]]), SnapshotTable[[#This Row],[LP Exp Date]] - MockToday,"")</f>
        <v/>
      </c>
      <c r="BO342" s="163"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7"/>
      <c r="BU342" s="13"/>
      <c r="BV342" s="5"/>
      <c r="BW342" s="419" t="b">
        <f>AND(ISNUMBER(SnapshotTable[[#This Row],[SP Exp Date]]), ISNUMBER(SnapshotTable[[#This Row],[SP Strike Price]]), ISNUMBER(SnapshotTable[[#This Row],[SP Qty]]), ISNUMBER(SnapshotTable[[#This Row],[SP Book Date]]), ISNUMBER(SnapshotTable[[#This Row],[SP Book Price]]))</f>
        <v>0</v>
      </c>
      <c r="BX342" s="419" t="b">
        <f>AND(SnapshotTable[[#This Row],[SP Is Booked]], NOT(ISBLANK(SnapshotTable[[#This Row],[SP Fill Date]])))</f>
        <v>0</v>
      </c>
      <c r="BY342" s="33">
        <f>IF(SnapshotTable[[#This Row],[SP Is Booked]], SnapshotTable[[#This Row],[SP Qty]] * SnapshotTable[[#This Row],[SP Book Price]] * 100, 0)</f>
        <v>0</v>
      </c>
      <c r="BZ342" s="369"/>
      <c r="CA342" s="368">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3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44"/>
      <c r="CK342" s="31">
        <f>IF(ISNUMBER(SnapshotTable[[#This Row],[SP Potential Spend]]),IF(ISNUMBER(SnapshotTable[[#This Row],[SP POW]]), SnapshotTable[[#This Row],[SP POW]] * SnapshotTable[[#This Row],[SP Potential Spend]], SnapshotTable[[#This Row],[SP Potential Spend]]), "")</f>
        <v>0</v>
      </c>
      <c r="CL342" s="164">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8"/>
      <c r="CO342" s="369"/>
      <c r="CP342" s="4" t="str">
        <f>IF(SnapshotTable[[#This Row],[SP Is Filled]], btc_max_buyback_amount(SnapshotTable[[#This Row],[SP Fill Date]],SnapshotTable[[#This Row],[SP Exp Date]], SnapshotTable[[#This Row],[SP Book Price]]),"")</f>
        <v/>
      </c>
      <c r="CQ342" s="78"/>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5" t="str">
        <f>IF(SnapshotTable[[#This Row],[SP Is Filled]], btc_next_cutoff_date(SnapshotTable[[#This Row],[SP Fill Date]],SnapshotTable[[#This Row],[SP Exp Date]]),"")</f>
        <v/>
      </c>
      <c r="CT342" s="23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3"/>
      <c r="CV342" s="235"/>
      <c r="CW342" s="378"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294" t="str">
        <f>IF(ISNUMBER((SnapshotTable[[#This Row],[SP Total Value]])), SnapshotTable[[#This Row],[SP Gain Loss]] / SnapshotTable[[#This Row],[SP Premium]], "")</f>
        <v/>
      </c>
      <c r="DI342" s="406"/>
      <c r="DJ342" s="138"/>
      <c r="DK342" s="148"/>
      <c r="DL342" s="13"/>
      <c r="DM342" s="13"/>
      <c r="DO342" s="31">
        <f>IF(SnapshotTable[[#This Row],[LC Symbol Count]]=1, SnapshotTable[[#This Row],[LC Qty]] * SnapshotTable[[#This Row],[LC Book Price]] * 100, 0)</f>
        <v>0</v>
      </c>
      <c r="DP342" s="163" t="str">
        <f>IF(AND(SnapshotTable[[#This Row],[LC Exp Date]]&gt;0, SnapshotTable[[#This Row],[LC Strike Price]]&gt;0,SnapshotTable[[#This Row],[LC Qty]]&gt;0,SnapshotTable[[#This Row],[LC Book Date]]&gt;0,SnapshotTable[[#This Row],[LC Book Price]]&gt;0,SnapshotTable[[#This Row],[LC Fill Date]]=0),"Y","")</f>
        <v/>
      </c>
      <c r="DQ342" s="386" t="str">
        <f>IF(SnapshotTable[[#This Row],[LC Premium]] &gt; 0,SnapshotTable[[#This Row],[LC Exp Date]]-MAX(SnapshotTable[[#This Row],[LC Book Date]], SnapshotTable[[#This Row],[LC Fill Date]]),"")</f>
        <v/>
      </c>
      <c r="DR342" s="386" t="str">
        <f>IF(ISNUMBER(SnapshotTable[[#This Row],[LC Term]]), SnapshotTable[[#This Row],[LC Exp Date]] - MockToday, "")</f>
        <v/>
      </c>
      <c r="DS342" s="23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40" t="str">
        <f>IF(ISNUMBER(SnapshotTable[[#This Row],[LC Actual Gain Loss]]), SnapshotTable[[#This Row],[LC Actual Gain Loss]] / SnapshotTable[[#This Row],[LC Premium]],"")</f>
        <v/>
      </c>
      <c r="DX342" s="284" t="str">
        <f>IF(ISNUMBER(SnapshotTable[[#This Row],[LC Book Price]]),SnapshotTable[[#This Row],[LC Book Price]] * 1.5,"")</f>
        <v/>
      </c>
      <c r="DY342" s="265" t="str">
        <f>IF(SnapshotTable[[#This Row],[LC Premium]]&gt;0, SnapshotTable[[#This Row],[LC Next Target]] * SnapshotTable[[#This Row],[LC Qty]] * 100,"")</f>
        <v/>
      </c>
      <c r="DZ342" s="265" t="str">
        <f>IF(ISNUMBER(SnapshotTable[[#This Row],[LC Target Gross]]), SnapshotTable[[#This Row],[LC Target Gross]] - SnapshotTable[[#This Row],[LC Premium]], "")</f>
        <v/>
      </c>
      <c r="EA342" s="305" t="str">
        <f>IF(ISNUMBER(SnapshotTable[[#This Row],[LC Target Gain Loss]]), SnapshotTable[[#This Row],[LC Target Gain Loss]]/SnapshotTable[[#This Row],[LC Premium]], "")</f>
        <v/>
      </c>
      <c r="EB342" s="262"/>
      <c r="EC342" s="283" t="str">
        <f>IF(SnapshotTable[[#This Row],[LC Premium]]&gt;0, SnapshotTable[[#This Row],[LC Book Price]] * (1 - LC_StopLoss_Pct),"")</f>
        <v/>
      </c>
      <c r="ED342" s="284"/>
      <c r="EE342" s="28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4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0</v>
      </c>
      <c r="EK342" s="147"/>
      <c r="EL342" s="138"/>
      <c r="EM342" s="148"/>
      <c r="EN342" s="147"/>
      <c r="EO342" s="147"/>
      <c r="EP342" s="138"/>
      <c r="EQ342" s="419" t="b">
        <f>AND(ISNUMBER(SnapshotTable[[#This Row],[SC Exp Date]]), ISNUMBER(SnapshotTable[[#This Row],[SC Strike Price]]), ISNUMBER(SnapshotTable[[#This Row],[SC Qty]]), ISNUMBER(SnapshotTable[[#This Row],[SC Book Date]]), ISNUMBER(SnapshotTable[[#This Row],[SC Book Price]]))</f>
        <v>0</v>
      </c>
      <c r="ER342" s="419" t="b">
        <f>AND(SnapshotTable[[#This Row],[SC Is Booked]], NOT(ISBLANK(SnapshotTable[[#This Row],[SC Fill Date]])))</f>
        <v>0</v>
      </c>
      <c r="ES342" s="370"/>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3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283"/>
      <c r="FA342" s="218"/>
      <c r="FB342" s="370"/>
      <c r="FC342" s="4">
        <f>IF(SnapshotTable[[#This Row],[SC Is Filled]], btc_max_buyback_amount(SnapshotTable[[#This Row],[SC Fill Date]],SnapshotTable[[#This Row],[SC Exp Date]], SnapshotTable[[#This Row],[SC Book Price]]),0)</f>
        <v>0</v>
      </c>
      <c r="FD342" s="5"/>
      <c r="FE342" s="144"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382">
        <f>IF(SnapshotTable[[#This Row],[SC Is Filled]], IF(ISNUMBER(SnapshotTable[[#This Row],[SC Current Ask]]), SnapshotTable[[#This Row],[SC Current Ask]], SnapshotTable[[#This Row],[SC Book Price]]) - SnapshotTable[[#This Row],[SC Intrinsic Value]], 0)</f>
        <v>0</v>
      </c>
      <c r="FI342" s="143"/>
      <c r="FJ342" s="32" t="str">
        <f>IF(SnapshotTable[[#This Row],[SC Is Filled]],100 * SnapshotTable[[#This Row],[SC Qty]] * IF(ISNUMBER(SnapshotTable[[#This Row],[SC Buyback Override]]), SnapshotTable[[#This Row],[SC Buyback Override]], SnapshotTable[[#This Row],[SC Current Ask]]), "")</f>
        <v/>
      </c>
      <c r="FK342" s="250" t="str">
        <f>IF(SnapshotTable[[#This Row],[SC Time Val]]&gt;0, SnapshotTable[[#This Row],[SC Time Val]] / SnapshotTable[[#This Row],[Last Price]],"")</f>
        <v/>
      </c>
      <c r="FL342" s="302" t="str">
        <f>IF(SnapshotTable[[#This Row],[SC Is Booked]], ((SnapshotTable[[#This Row],[Last Price]] -SnapshotTable[[#This Row],[SC Strike Price]]) / SnapshotTable[[#This Row],[Last Price]]) * -1, "")</f>
        <v/>
      </c>
      <c r="FM342" s="157"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33"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36" t="str">
        <f>IF(AND(ISNUMBER(SnapshotTable[[#This Row],[SC Simple ROO]]),SnapshotTable[[#This Row],[SC Simple ROO]] &gt; 0), SnapshotTable[[#This Row],[SC Premium]] + (SnapshotTable[[#This Row],[SC Qty]] * SnapshotTable[[#This Row],[SC Upside Potential]]), "")</f>
        <v/>
      </c>
      <c r="FX342" s="302" t="str" cm="1">
        <f t="array" ref="FX342">IF(ISNUMBER(SnapshotTable[[#This Row],[SC Max Dollars]]), annualize(SnapshotTable[[#This Row],[SC Term]],(SnapshotTable[[#This Row],[SC Max Dollars]]/SnapshotTable[[#This Row],[SC Basis]])),"")</f>
        <v/>
      </c>
      <c r="FY342" s="23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294" t="str">
        <f>IFERROR( IF(ISNUMBER((SnapshotTable[[#This Row],[SC Current Value]])), SnapshotTable[[#This Row],[SC Gain Loss]] / SnapshotTable[[#This Row],[SC Premium]], ""), "")</f>
        <v/>
      </c>
      <c r="GB342" s="42">
        <f>SnapshotTable[[#This Row],[Equity Shares]] * SaleSharesToConsiderPercentage</f>
        <v>0</v>
      </c>
      <c r="GC342" s="40">
        <f>SnapshotTable[[#This Row],[Long Term Target]] * SellingPriceToConsiderBasedOnTargetPercentage</f>
        <v>9.2909999999999986</v>
      </c>
      <c r="GD342" s="40">
        <f>SnapshotTable[[#This Row],[Last Price]] * (1+ SellingPriceToConsiderBasedOnTargetPercentage)</f>
        <v>28.314</v>
      </c>
      <c r="GE342" s="41"/>
      <c r="GF342" s="40"/>
      <c r="GG342" s="31">
        <f>SnapshotTable[[#This Row],[Booked Sale Shares]] * SnapshotTable[[#This Row],[Booked Sale Price]]</f>
        <v>0</v>
      </c>
      <c r="GH342" s="31" t="str">
        <f>IF(SnapshotTable[[#This Row],[Equity Basis Total]] &gt; 0, SnapshotTable[[#This Row],[Equity Basis Per Share]] * SnapshotTable[[#This Row],[Booked Sale Shares]], "")</f>
        <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t="s">
        <v>790</v>
      </c>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2" s="231">
        <f>MAX(SnapshotTable[[#This Row],[Equity Basis Total]],SnapshotTable[[#This Row],[Equity Value]]) + (SnapshotTable[[#This Row],[SP Potential Spend]]- SnapshotTable[[#This Row],[SP Premium]] + SnapshotTable[[#This Row],[LP Premium]])+ (SnapshotTable[[#This Row],[LC Premium]] - SnapshotTable[[#This Row],[SC Premium]])</f>
        <v>0</v>
      </c>
      <c r="GW342" s="139" t="str">
        <f>IF(AND(SnapshotTable[[#This Row],[Exposure]] &lt;&gt; 0),SnapshotTable[[#This Row],[Exposure]] / SnapshotTable[[#Totals],[Exposure]], "")</f>
        <v/>
      </c>
      <c r="HK342" s="1"/>
      <c r="HL342" s="1"/>
      <c r="HM342" s="1"/>
      <c r="HN342" s="1"/>
      <c r="HO342" s="1"/>
      <c r="HP342" s="1"/>
    </row>
    <row r="343" spans="2:224" ht="12.75" hidden="1" customHeight="1" x14ac:dyDescent="0.25">
      <c r="B343" s="12" t="s">
        <v>467</v>
      </c>
      <c r="C343" s="422">
        <v>157.5</v>
      </c>
      <c r="D343" s="208"/>
      <c r="E343" s="39">
        <f>SnapshotTable[[#This Row],[Last Price]]*(1 -CrashDiscount)</f>
        <v>133.875</v>
      </c>
      <c r="F343" s="26" t="s">
        <v>468</v>
      </c>
      <c r="G343" s="26" t="s">
        <v>9</v>
      </c>
      <c r="H343" s="149"/>
      <c r="I343" s="194">
        <v>44798.302083333336</v>
      </c>
      <c r="J343" s="195">
        <v>44798.302083333336</v>
      </c>
      <c r="K343" s="196"/>
      <c r="L343" s="326"/>
      <c r="M343" s="140"/>
      <c r="N343" s="140"/>
      <c r="O343" s="140"/>
      <c r="P343" s="22"/>
      <c r="Q343" s="25"/>
      <c r="R343" s="4" t="str">
        <f>IF(SnapshotTable[[#This Row],[Equity Basis Total]] &gt; 0, SnapshotTable[[#This Row],[Equity Basis Total]] / SnapshotTable[[#This Row],[Equity Shares]], "")</f>
        <v/>
      </c>
      <c r="S343" s="269">
        <f>SnapshotTable[[#This Row],[Last Price]] * SnapshotTable[[#This Row],[Equity Shares]]</f>
        <v>0</v>
      </c>
      <c r="T343" s="269">
        <f>SnapshotTable[[#This Row],[Equity Value]] - SnapshotTable[[#This Row],[Equity Basis Total]]</f>
        <v>0</v>
      </c>
      <c r="U343" s="270" t="str">
        <f>IF(SnapshotTable[[#This Row],[Equity Basis Total]] &gt; 0, SnapshotTable[[#This Row],[Equity G/L]] / SnapshotTable[[#This Row],[Equity Basis Total]], "")</f>
        <v/>
      </c>
      <c r="V343" s="268"/>
      <c r="W343" s="26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7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0"/>
      <c r="AD343" s="151"/>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1"/>
      <c r="AI343" s="5"/>
      <c r="AJ343" s="138">
        <v>154.4</v>
      </c>
      <c r="AK343" s="152" t="str">
        <f>IF(ISNUMBER( SnapshotTable[[#This Row],[EBF Target]]),(SnapshotTable[[#This Row],[EBF Target]] - SnapshotTable[[#This Row],[Last Price]]) / SnapshotTable[[#This Row],[Last Price]], "")</f>
        <v/>
      </c>
      <c r="AL343" s="152"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2">
        <f>IF(AND(ISNUMBER( SnapshotTable[[#This Row],[Long Term Target]]), ISNUMBER(SnapshotTable[[#This Row],[Last Price]])),(SnapshotTable[[#This Row],[Long Term Target]] - SnapshotTable[[#This Row],[Last Price]]) / SnapshotTable[[#This Row],[Last Price]], "")</f>
        <v>-1.9682539682539645E-2</v>
      </c>
      <c r="AP343" s="5"/>
      <c r="AQ343" s="38"/>
      <c r="AR343" s="5"/>
      <c r="AS343" s="38"/>
      <c r="AT343" s="146"/>
      <c r="AU343" s="187" t="str">
        <f>IF(OR(SnapshotTable[[#This Row],[LP No Fill]]="Y",SnapshotTable[[#This Row],[SP Is Filled]],SnapshotTable[[#This Row],[LC Not Filled]]="Y",SnapshotTable[[#This Row],[SC Is Filled]]),"Y","")</f>
        <v/>
      </c>
      <c r="AV343" s="219"/>
      <c r="AW343" s="225"/>
      <c r="AX343" s="220"/>
      <c r="AY343" s="219" t="str">
        <f>IF(SnapshotTable[[#This Row],[Implied Move]]&gt;0, SnapshotTable[[#This Row],[Last Price]]-SnapshotTable[[#This Row],[Implied Move]],"")</f>
        <v/>
      </c>
      <c r="AZ343" s="219" t="str">
        <f>IF(SnapshotTable[[#This Row],[Implied Move]]&gt;0, SnapshotTable[[#This Row],[Last Price]] + SnapshotTable[[#This Row],[Implied Move]],"")</f>
        <v/>
      </c>
      <c r="BA343" s="331"/>
      <c r="BB343" s="347"/>
      <c r="BC3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3" s="351"/>
      <c r="BE343" s="5"/>
      <c r="BF343" s="14"/>
      <c r="BG343" s="13"/>
      <c r="BH343" s="13"/>
      <c r="BI343" s="5"/>
      <c r="BJ343" s="136">
        <f>IF(SnapshotTable[[#This Row],[LP Qty]] &gt; 0, SnapshotTable[[#This Row],[LP Qty]] * SnapshotTable[[#This Row],[LP Book Price]] * 100,0)</f>
        <v>0</v>
      </c>
      <c r="BK343" s="136">
        <f>IF(SnapshotTable[[#This Row],[LP Premium]] &gt; 0, SnapshotTable[[#This Row],[LP Qty]] * SnapshotTable[[#This Row],[LP Strike Price]] * 100,0)</f>
        <v>0</v>
      </c>
      <c r="BL343" s="154"/>
      <c r="BM343" s="385" t="str">
        <f>IF(SnapshotTable[[#This Row],[LP Premium]] &gt; 0,SnapshotTable[[#This Row],[LP Exp Date]]-MAX(SnapshotTable[[#This Row],[LP Book Date]], SnapshotTable[[#This Row],[LP Fill Date]]),"")</f>
        <v/>
      </c>
      <c r="BN343" s="385" t="str">
        <f>IF(ISNUMBER( SnapshotTable[[#This Row],[LP Term]]), SnapshotTable[[#This Row],[LP Exp Date]] - MockToday,"")</f>
        <v/>
      </c>
      <c r="BO343" s="163"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7"/>
      <c r="BU343" s="13"/>
      <c r="BV343" s="5"/>
      <c r="BW343" s="419" t="b">
        <f>AND(ISNUMBER(SnapshotTable[[#This Row],[SP Exp Date]]), ISNUMBER(SnapshotTable[[#This Row],[SP Strike Price]]), ISNUMBER(SnapshotTable[[#This Row],[SP Qty]]), ISNUMBER(SnapshotTable[[#This Row],[SP Book Date]]), ISNUMBER(SnapshotTable[[#This Row],[SP Book Price]]))</f>
        <v>0</v>
      </c>
      <c r="BX343" s="419" t="b">
        <f>AND(SnapshotTable[[#This Row],[SP Is Booked]], NOT(ISBLANK(SnapshotTable[[#This Row],[SP Fill Date]])))</f>
        <v>0</v>
      </c>
      <c r="BY343" s="33">
        <f>IF(SnapshotTable[[#This Row],[SP Is Booked]], SnapshotTable[[#This Row],[SP Qty]] * SnapshotTable[[#This Row],[SP Book Price]] * 100, 0)</f>
        <v>0</v>
      </c>
      <c r="BZ343" s="369"/>
      <c r="CA343" s="368">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3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44"/>
      <c r="CK343" s="31">
        <f>IF(ISNUMBER(SnapshotTable[[#This Row],[SP Potential Spend]]),IF(ISNUMBER(SnapshotTable[[#This Row],[SP POW]]), SnapshotTable[[#This Row],[SP POW]] * SnapshotTable[[#This Row],[SP Potential Spend]], SnapshotTable[[#This Row],[SP Potential Spend]]), "")</f>
        <v>0</v>
      </c>
      <c r="CL343" s="164">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8"/>
      <c r="CO343" s="369"/>
      <c r="CP343" s="4" t="str">
        <f>IF(SnapshotTable[[#This Row],[SP Is Filled]], btc_max_buyback_amount(SnapshotTable[[#This Row],[SP Fill Date]],SnapshotTable[[#This Row],[SP Exp Date]], SnapshotTable[[#This Row],[SP Book Price]]),"")</f>
        <v/>
      </c>
      <c r="CQ343" s="78"/>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5" t="str">
        <f>IF(SnapshotTable[[#This Row],[SP Is Filled]], btc_next_cutoff_date(SnapshotTable[[#This Row],[SP Fill Date]],SnapshotTable[[#This Row],[SP Exp Date]]),"")</f>
        <v/>
      </c>
      <c r="CT343" s="23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3"/>
      <c r="CV343" s="235"/>
      <c r="CW343" s="378"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294" t="str">
        <f>IF(ISNUMBER((SnapshotTable[[#This Row],[SP Total Value]])), SnapshotTable[[#This Row],[SP Gain Loss]] / SnapshotTable[[#This Row],[SP Premium]], "")</f>
        <v/>
      </c>
      <c r="DI343" s="406"/>
      <c r="DJ343" s="138"/>
      <c r="DK343" s="148"/>
      <c r="DL343" s="13"/>
      <c r="DM343" s="13"/>
      <c r="DO343" s="31">
        <f>IF(SnapshotTable[[#This Row],[LC Symbol Count]]=1, SnapshotTable[[#This Row],[LC Qty]] * SnapshotTable[[#This Row],[LC Book Price]] * 100, 0)</f>
        <v>0</v>
      </c>
      <c r="DP343" s="163" t="str">
        <f>IF(AND(SnapshotTable[[#This Row],[LC Exp Date]]&gt;0, SnapshotTable[[#This Row],[LC Strike Price]]&gt;0,SnapshotTable[[#This Row],[LC Qty]]&gt;0,SnapshotTable[[#This Row],[LC Book Date]]&gt;0,SnapshotTable[[#This Row],[LC Book Price]]&gt;0,SnapshotTable[[#This Row],[LC Fill Date]]=0),"Y","")</f>
        <v/>
      </c>
      <c r="DQ343" s="386" t="str">
        <f>IF(SnapshotTable[[#This Row],[LC Premium]] &gt; 0,SnapshotTable[[#This Row],[LC Exp Date]]-MAX(SnapshotTable[[#This Row],[LC Book Date]], SnapshotTable[[#This Row],[LC Fill Date]]),"")</f>
        <v/>
      </c>
      <c r="DR343" s="386" t="str">
        <f>IF(ISNUMBER(SnapshotTable[[#This Row],[LC Term]]), SnapshotTable[[#This Row],[LC Exp Date]] - MockToday, "")</f>
        <v/>
      </c>
      <c r="DS343" s="234" t="str">
        <f>IF(SnapshotTable[[#This Row],[LC Premium]]&gt;0,SnapshotTable[[#This Row],[LC Strike Price]] + SnapshotTable[[#This Row],[LC Book Price]],"")</f>
        <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40" t="str">
        <f>IF(ISNUMBER(SnapshotTable[[#This Row],[LC Actual Gain Loss]]), SnapshotTable[[#This Row],[LC Actual Gain Loss]] / SnapshotTable[[#This Row],[LC Premium]],"")</f>
        <v/>
      </c>
      <c r="DX343" s="284" t="str">
        <f>IF(ISNUMBER(SnapshotTable[[#This Row],[LC Book Price]]),SnapshotTable[[#This Row],[LC Book Price]] * 1.5,"")</f>
        <v/>
      </c>
      <c r="DY343" s="265" t="str">
        <f>IF(SnapshotTable[[#This Row],[LC Premium]]&gt;0, SnapshotTable[[#This Row],[LC Next Target]] * SnapshotTable[[#This Row],[LC Qty]] * 100,"")</f>
        <v/>
      </c>
      <c r="DZ343" s="265" t="str">
        <f>IF(ISNUMBER(SnapshotTable[[#This Row],[LC Target Gross]]), SnapshotTable[[#This Row],[LC Target Gross]] - SnapshotTable[[#This Row],[LC Premium]], "")</f>
        <v/>
      </c>
      <c r="EA343" s="305" t="str">
        <f>IF(ISNUMBER(SnapshotTable[[#This Row],[LC Target Gain Loss]]), SnapshotTable[[#This Row],[LC Target Gain Loss]]/SnapshotTable[[#This Row],[LC Premium]], "")</f>
        <v/>
      </c>
      <c r="EB343" s="262"/>
      <c r="EC343" s="283" t="str">
        <f>IF(SnapshotTable[[#This Row],[LC Premium]]&gt;0, SnapshotTable[[#This Row],[LC Book Price]] * (1 - LC_StopLoss_Pct),"")</f>
        <v/>
      </c>
      <c r="ED343" s="284"/>
      <c r="EE343" s="28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0</v>
      </c>
      <c r="EI343" s="24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0</v>
      </c>
      <c r="EK343" s="147"/>
      <c r="EL343" s="138"/>
      <c r="EM343" s="148"/>
      <c r="EN343" s="147"/>
      <c r="EO343" s="147"/>
      <c r="EP343" s="138"/>
      <c r="EQ343" s="419" t="b">
        <f>AND(ISNUMBER(SnapshotTable[[#This Row],[SC Exp Date]]), ISNUMBER(SnapshotTable[[#This Row],[SC Strike Price]]), ISNUMBER(SnapshotTable[[#This Row],[SC Qty]]), ISNUMBER(SnapshotTable[[#This Row],[SC Book Date]]), ISNUMBER(SnapshotTable[[#This Row],[SC Book Price]]))</f>
        <v>0</v>
      </c>
      <c r="ER343" s="419" t="b">
        <f>AND(SnapshotTable[[#This Row],[SC Is Booked]], NOT(ISBLANK(SnapshotTable[[#This Row],[SC Fill Date]])))</f>
        <v>0</v>
      </c>
      <c r="ES343" s="370"/>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t="str">
        <f>IF(AND(ISNUMBER(SnapshotTable[[#This Row],[Last Price]]), ISNUMBER( SnapshotTable[[#This Row],[SC Book Price]])), SnapshotTable[[#This Row],[Last Price]] - SnapshotTable[[#This Row],[SC Book Price]],"")</f>
        <v/>
      </c>
      <c r="EX343" s="23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283"/>
      <c r="FA343" s="218"/>
      <c r="FB343" s="370"/>
      <c r="FC343" s="4">
        <f>IF(SnapshotTable[[#This Row],[SC Is Filled]], btc_max_buyback_amount(SnapshotTable[[#This Row],[SC Fill Date]],SnapshotTable[[#This Row],[SC Exp Date]], SnapshotTable[[#This Row],[SC Book Price]]),0)</f>
        <v>0</v>
      </c>
      <c r="FD343" s="5"/>
      <c r="FE343" s="144"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382">
        <f>IF(SnapshotTable[[#This Row],[SC Is Filled]], IF(ISNUMBER(SnapshotTable[[#This Row],[SC Current Ask]]), SnapshotTable[[#This Row],[SC Current Ask]], SnapshotTable[[#This Row],[SC Book Price]]) - SnapshotTable[[#This Row],[SC Intrinsic Value]], 0)</f>
        <v>0</v>
      </c>
      <c r="FI343" s="143"/>
      <c r="FJ343" s="32" t="str">
        <f>IF(SnapshotTable[[#This Row],[SC Is Filled]],100 * SnapshotTable[[#This Row],[SC Qty]] * IF(ISNUMBER(SnapshotTable[[#This Row],[SC Buyback Override]]), SnapshotTable[[#This Row],[SC Buyback Override]], SnapshotTable[[#This Row],[SC Current Ask]]), "")</f>
        <v/>
      </c>
      <c r="FK343" s="250" t="str">
        <f>IF(SnapshotTable[[#This Row],[SC Time Val]]&gt;0, SnapshotTable[[#This Row],[SC Time Val]] / SnapshotTable[[#This Row],[Last Price]],"")</f>
        <v/>
      </c>
      <c r="FL343" s="302" t="str">
        <f>IF(SnapshotTable[[#This Row],[SC Is Booked]], ((SnapshotTable[[#This Row],[Last Price]] -SnapshotTable[[#This Row],[SC Strike Price]]) / SnapshotTable[[#This Row],[Last Price]]) * -1, "")</f>
        <v/>
      </c>
      <c r="FM343" s="157"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0</v>
      </c>
      <c r="FT343" s="27" t="str">
        <f>IF(AND(ISNUMBER(SnapshotTable[[#This Row],[SC Upside Potential]]), SnapshotTable[[#This Row],[SC Upside Potential]] &gt; 0),(SnapshotTable[[#This Row],[SC Upside Potential]]/ SnapshotTable[[#This Row],[ACB]]),"")</f>
        <v/>
      </c>
      <c r="FU343" s="333"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36" t="str">
        <f>IF(AND(ISNUMBER(SnapshotTable[[#This Row],[SC Simple ROO]]),SnapshotTable[[#This Row],[SC Simple ROO]] &gt; 0), SnapshotTable[[#This Row],[SC Premium]] + (SnapshotTable[[#This Row],[SC Qty]] * SnapshotTable[[#This Row],[SC Upside Potential]]), "")</f>
        <v/>
      </c>
      <c r="FX343" s="302" t="str" cm="1">
        <f t="array" ref="FX343">IF(ISNUMBER(SnapshotTable[[#This Row],[SC Max Dollars]]), annualize(SnapshotTable[[#This Row],[SC Term]],(SnapshotTable[[#This Row],[SC Max Dollars]]/SnapshotTable[[#This Row],[SC Basis]])),"")</f>
        <v/>
      </c>
      <c r="FY343" s="23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29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146.68</v>
      </c>
      <c r="GD343" s="40">
        <f>SnapshotTable[[#This Row],[Last Price]] * (1+ SellingPriceToConsiderBasedOnTargetPercentage)</f>
        <v>307.125</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t="s">
        <v>791</v>
      </c>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
      </c>
      <c r="GQ343" s="30" t="str">
        <f>IF(LEN(SnapshotTable[[#This Row],[LC Symbol]])&gt;0, 1, "")</f>
        <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3" s="231">
        <f>MAX(SnapshotTable[[#This Row],[Equity Basis Total]],SnapshotTable[[#This Row],[Equity Value]]) + (SnapshotTable[[#This Row],[SP Potential Spend]]- SnapshotTable[[#This Row],[SP Premium]] + SnapshotTable[[#This Row],[LP Premium]])+ (SnapshotTable[[#This Row],[LC Premium]] - SnapshotTable[[#This Row],[SC Premium]])</f>
        <v>0</v>
      </c>
      <c r="GW343" s="139" t="str">
        <f>IF(AND(SnapshotTable[[#This Row],[Exposure]] &lt;&gt; 0),SnapshotTable[[#This Row],[Exposure]] / SnapshotTable[[#Totals],[Exposure]], "")</f>
        <v/>
      </c>
      <c r="HK343" s="1"/>
      <c r="HL343" s="1"/>
      <c r="HM343" s="1"/>
      <c r="HN343" s="1"/>
      <c r="HO343" s="1"/>
      <c r="HP343" s="1"/>
    </row>
    <row r="344" spans="2:224" ht="12.75" hidden="1" customHeight="1" x14ac:dyDescent="0.25">
      <c r="B344" s="12" t="s">
        <v>1192</v>
      </c>
      <c r="C344" s="422">
        <v>301.16000000000003</v>
      </c>
      <c r="D344" s="208" t="s">
        <v>578</v>
      </c>
      <c r="E344" s="39">
        <f>SnapshotTable[[#This Row],[Last Price]]*(1 -CrashDiscount)</f>
        <v>255.98600000000002</v>
      </c>
      <c r="F344" s="325" t="s">
        <v>917</v>
      </c>
      <c r="G344" s="325" t="s">
        <v>872</v>
      </c>
      <c r="H344" s="149"/>
      <c r="I344" s="194"/>
      <c r="J344" s="195"/>
      <c r="K344" s="196"/>
      <c r="L344" s="326"/>
      <c r="M344" s="140"/>
      <c r="N344" s="140"/>
      <c r="O344" s="140"/>
      <c r="P344" s="22"/>
      <c r="Q344" s="25"/>
      <c r="R344" s="4" t="str">
        <f>IF(SnapshotTable[[#This Row],[Equity Basis Total]] &gt; 0, SnapshotTable[[#This Row],[Equity Basis Total]] / SnapshotTable[[#This Row],[Equity Shares]], "")</f>
        <v/>
      </c>
      <c r="S344" s="269">
        <f>SnapshotTable[[#This Row],[Last Price]] * SnapshotTable[[#This Row],[Equity Shares]]</f>
        <v>0</v>
      </c>
      <c r="T344" s="269">
        <f>SnapshotTable[[#This Row],[Equity Value]] - SnapshotTable[[#This Row],[Equity Basis Total]]</f>
        <v>0</v>
      </c>
      <c r="U344" s="270" t="str">
        <f>IF(SnapshotTable[[#This Row],[Equity Basis Total]] &gt; 0, SnapshotTable[[#This Row],[Equity G/L]] / SnapshotTable[[#This Row],[Equity Basis Total]], "")</f>
        <v/>
      </c>
      <c r="V344" s="268"/>
      <c r="W344" s="26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7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0"/>
      <c r="AD344" s="151"/>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1"/>
      <c r="AI344" s="5"/>
      <c r="AJ344" s="138">
        <v>145</v>
      </c>
      <c r="AK344" s="152" t="str">
        <f>IF(ISNUMBER( SnapshotTable[[#This Row],[EBF Target]]),(SnapshotTable[[#This Row],[EBF Target]] - SnapshotTable[[#This Row],[Last Price]]) / SnapshotTable[[#This Row],[Last Price]], "")</f>
        <v/>
      </c>
      <c r="AL344" s="152"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2">
        <f>IF(AND(ISNUMBER( SnapshotTable[[#This Row],[Long Term Target]]), ISNUMBER(SnapshotTable[[#This Row],[Last Price]])),(SnapshotTable[[#This Row],[Long Term Target]] - SnapshotTable[[#This Row],[Last Price]]) / SnapshotTable[[#This Row],[Last Price]], "")</f>
        <v>-0.5185283570195246</v>
      </c>
      <c r="AP344" s="5">
        <v>145</v>
      </c>
      <c r="AQ344" s="38" t="s">
        <v>89</v>
      </c>
      <c r="AR344" s="5">
        <v>129.15</v>
      </c>
      <c r="AS344" s="38" t="s">
        <v>32</v>
      </c>
      <c r="AT344" s="146" t="s">
        <v>1132</v>
      </c>
      <c r="AU344" s="187" t="str">
        <f>IF(OR(SnapshotTable[[#This Row],[LP No Fill]]="Y",SnapshotTable[[#This Row],[SP Is Filled]],SnapshotTable[[#This Row],[LC Not Filled]]="Y",SnapshotTable[[#This Row],[SC Is Filled]]),"Y","")</f>
        <v/>
      </c>
      <c r="AV344" s="219"/>
      <c r="AW344" s="225"/>
      <c r="AX344" s="220"/>
      <c r="AY344" s="219" t="str">
        <f>IF(SnapshotTable[[#This Row],[Implied Move]]&gt;0, SnapshotTable[[#This Row],[Last Price]]-SnapshotTable[[#This Row],[Implied Move]],"")</f>
        <v/>
      </c>
      <c r="AZ344" s="219" t="str">
        <f>IF(SnapshotTable[[#This Row],[Implied Move]]&gt;0, SnapshotTable[[#This Row],[Last Price]] + SnapshotTable[[#This Row],[Implied Move]],"")</f>
        <v/>
      </c>
      <c r="BA344" s="331">
        <v>135.32</v>
      </c>
      <c r="BB344" s="347"/>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51"/>
      <c r="BE344" s="5"/>
      <c r="BF344" s="14"/>
      <c r="BG344" s="13"/>
      <c r="BH344" s="13"/>
      <c r="BI344" s="5"/>
      <c r="BJ344" s="136">
        <f>IF(SnapshotTable[[#This Row],[LP Qty]] &gt; 0, SnapshotTable[[#This Row],[LP Qty]] * SnapshotTable[[#This Row],[LP Book Price]] * 100,0)</f>
        <v>0</v>
      </c>
      <c r="BK344" s="136">
        <f>IF(SnapshotTable[[#This Row],[LP Premium]] &gt; 0, SnapshotTable[[#This Row],[LP Qty]] * SnapshotTable[[#This Row],[LP Strike Price]] * 100,0)</f>
        <v>0</v>
      </c>
      <c r="BL344" s="154"/>
      <c r="BM344" s="385" t="str">
        <f>IF(SnapshotTable[[#This Row],[LP Premium]] &gt; 0,SnapshotTable[[#This Row],[LP Exp Date]]-MAX(SnapshotTable[[#This Row],[LP Book Date]], SnapshotTable[[#This Row],[LP Fill Date]]),"")</f>
        <v/>
      </c>
      <c r="BN344" s="385" t="str">
        <f>IF(ISNUMBER( SnapshotTable[[#This Row],[LP Term]]), SnapshotTable[[#This Row],[LP Exp Date]] - MockToday,"")</f>
        <v/>
      </c>
      <c r="BO344" s="163"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7"/>
      <c r="BU344" s="13"/>
      <c r="BV344" s="5"/>
      <c r="BW344" s="419" t="b">
        <f>AND(ISNUMBER(SnapshotTable[[#This Row],[SP Exp Date]]), ISNUMBER(SnapshotTable[[#This Row],[SP Strike Price]]), ISNUMBER(SnapshotTable[[#This Row],[SP Qty]]), ISNUMBER(SnapshotTable[[#This Row],[SP Book Date]]), ISNUMBER(SnapshotTable[[#This Row],[SP Book Price]]))</f>
        <v>0</v>
      </c>
      <c r="BX344" s="419" t="b">
        <f>AND(SnapshotTable[[#This Row],[SP Is Booked]], NOT(ISBLANK(SnapshotTable[[#This Row],[SP Fill Date]])))</f>
        <v>0</v>
      </c>
      <c r="BY344" s="33">
        <f>IF(SnapshotTable[[#This Row],[SP Is Booked]], SnapshotTable[[#This Row],[SP Qty]] * SnapshotTable[[#This Row],[SP Book Price]] * 100, 0)</f>
        <v>0</v>
      </c>
      <c r="BZ344" s="369"/>
      <c r="CA344" s="368">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3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44"/>
      <c r="CK344" s="31">
        <f>IF(ISNUMBER(SnapshotTable[[#This Row],[SP Potential Spend]]),IF(ISNUMBER(SnapshotTable[[#This Row],[SP POW]]), SnapshotTable[[#This Row],[SP POW]] * SnapshotTable[[#This Row],[SP Potential Spend]], SnapshotTable[[#This Row],[SP Potential Spend]]), "")</f>
        <v>0</v>
      </c>
      <c r="CL344" s="164">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78"/>
      <c r="CO344" s="369"/>
      <c r="CP344" s="4" t="str">
        <f>IF(SnapshotTable[[#This Row],[SP Is Filled]], btc_max_buyback_amount(SnapshotTable[[#This Row],[SP Fill Date]],SnapshotTable[[#This Row],[SP Exp Date]], SnapshotTable[[#This Row],[SP Book Price]]),"")</f>
        <v/>
      </c>
      <c r="CQ344" s="78"/>
      <c r="CR3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5" t="str">
        <f>IF(SnapshotTable[[#This Row],[SP Is Filled]], btc_next_cutoff_date(SnapshotTable[[#This Row],[SP Fill Date]],SnapshotTable[[#This Row],[SP Exp Date]]),"")</f>
        <v/>
      </c>
      <c r="CT344" s="23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3"/>
      <c r="CV344" s="235"/>
      <c r="CW344" s="378"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294" t="str">
        <f>IF(ISNUMBER((SnapshotTable[[#This Row],[SP Total Value]])), SnapshotTable[[#This Row],[SP Gain Loss]] / SnapshotTable[[#This Row],[SP Premium]], "")</f>
        <v/>
      </c>
      <c r="DI344" s="406"/>
      <c r="DJ344" s="138"/>
      <c r="DK344" s="148"/>
      <c r="DL344" s="13"/>
      <c r="DM344" s="13"/>
      <c r="DO344" s="31">
        <f>IF(SnapshotTable[[#This Row],[LC Symbol Count]]=1, SnapshotTable[[#This Row],[LC Qty]] * SnapshotTable[[#This Row],[LC Book Price]] * 100, 0)</f>
        <v>0</v>
      </c>
      <c r="DP344" s="163" t="str">
        <f>IF(AND(SnapshotTable[[#This Row],[LC Exp Date]]&gt;0, SnapshotTable[[#This Row],[LC Strike Price]]&gt;0,SnapshotTable[[#This Row],[LC Qty]]&gt;0,SnapshotTable[[#This Row],[LC Book Date]]&gt;0,SnapshotTable[[#This Row],[LC Book Price]]&gt;0,SnapshotTable[[#This Row],[LC Fill Date]]=0),"Y","")</f>
        <v/>
      </c>
      <c r="DQ344" s="386" t="str">
        <f>IF(SnapshotTable[[#This Row],[LC Premium]] &gt; 0,SnapshotTable[[#This Row],[LC Exp Date]]-MAX(SnapshotTable[[#This Row],[LC Book Date]], SnapshotTable[[#This Row],[LC Fill Date]]),"")</f>
        <v/>
      </c>
      <c r="DR344" s="386" t="str">
        <f>IF(ISNUMBER(SnapshotTable[[#This Row],[LC Term]]), SnapshotTable[[#This Row],[LC Exp Date]] - MockToday, "")</f>
        <v/>
      </c>
      <c r="DS344" s="23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40" t="str">
        <f>IF(ISNUMBER(SnapshotTable[[#This Row],[LC Actual Gain Loss]]), SnapshotTable[[#This Row],[LC Actual Gain Loss]] / SnapshotTable[[#This Row],[LC Premium]],"")</f>
        <v/>
      </c>
      <c r="DX344" s="284" t="str">
        <f>IF(ISNUMBER(SnapshotTable[[#This Row],[LC Book Price]]),SnapshotTable[[#This Row],[LC Book Price]] * 1.5,"")</f>
        <v/>
      </c>
      <c r="DY344" s="265" t="str">
        <f>IF(SnapshotTable[[#This Row],[LC Premium]]&gt;0, SnapshotTable[[#This Row],[LC Next Target]] * SnapshotTable[[#This Row],[LC Qty]] * 100,"")</f>
        <v/>
      </c>
      <c r="DZ344" s="265" t="str">
        <f>IF(ISNUMBER(SnapshotTable[[#This Row],[LC Target Gross]]), SnapshotTable[[#This Row],[LC Target Gross]] - SnapshotTable[[#This Row],[LC Premium]], "")</f>
        <v/>
      </c>
      <c r="EA344" s="305" t="str">
        <f>IF(ISNUMBER(SnapshotTable[[#This Row],[LC Target Gain Loss]]), SnapshotTable[[#This Row],[LC Target Gain Loss]]/SnapshotTable[[#This Row],[LC Premium]], "")</f>
        <v/>
      </c>
      <c r="EB344" s="262"/>
      <c r="EC344" s="283" t="str">
        <f>IF(SnapshotTable[[#This Row],[LC Premium]]&gt;0, SnapshotTable[[#This Row],[LC Book Price]] * (1 - LC_StopLoss_Pct),"")</f>
        <v/>
      </c>
      <c r="ED344" s="284"/>
      <c r="EE344" s="283" t="str">
        <f>IF(ISNUMBER(SnapshotTable[[#This Row],[LC Contract Value]]),IF(ISNUMBER(SnapshotTable[[#This Row],[LC Stop Loss Override]]), SnapshotTable[[#This Row],[LC Stop Loss Override]],SnapshotTable[[#This Row],[LC Stop Loss Calc Target]]),"")</f>
        <v/>
      </c>
      <c r="EF344" s="31"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4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7"/>
      <c r="EL344" s="138"/>
      <c r="EM344" s="148"/>
      <c r="EN344" s="147"/>
      <c r="EO344" s="147"/>
      <c r="EP344" s="138"/>
      <c r="EQ344" s="419" t="b">
        <f>AND(ISNUMBER(SnapshotTable[[#This Row],[SC Exp Date]]), ISNUMBER(SnapshotTable[[#This Row],[SC Strike Price]]), ISNUMBER(SnapshotTable[[#This Row],[SC Qty]]), ISNUMBER(SnapshotTable[[#This Row],[SC Book Date]]), ISNUMBER(SnapshotTable[[#This Row],[SC Book Price]]))</f>
        <v>0</v>
      </c>
      <c r="ER344" s="419" t="b">
        <f>AND(SnapshotTable[[#This Row],[SC Is Booked]], NOT(ISBLANK(SnapshotTable[[#This Row],[SC Fill Date]])))</f>
        <v>0</v>
      </c>
      <c r="ES344" s="370"/>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3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283"/>
      <c r="FA344" s="218"/>
      <c r="FB344" s="370"/>
      <c r="FC344" s="4">
        <f>IF(SnapshotTable[[#This Row],[SC Is Filled]], btc_max_buyback_amount(SnapshotTable[[#This Row],[SC Fill Date]],SnapshotTable[[#This Row],[SC Exp Date]], SnapshotTable[[#This Row],[SC Book Price]]),0)</f>
        <v>0</v>
      </c>
      <c r="FD344" s="5"/>
      <c r="FE344" s="144"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382">
        <f>IF(SnapshotTable[[#This Row],[SC Is Filled]], IF(ISNUMBER(SnapshotTable[[#This Row],[SC Current Ask]]), SnapshotTable[[#This Row],[SC Current Ask]], SnapshotTable[[#This Row],[SC Book Price]]) - SnapshotTable[[#This Row],[SC Intrinsic Value]], 0)</f>
        <v>0</v>
      </c>
      <c r="FI344" s="143"/>
      <c r="FJ344" s="32" t="str">
        <f>IF(SnapshotTable[[#This Row],[SC Is Filled]],100 * SnapshotTable[[#This Row],[SC Qty]] * IF(ISNUMBER(SnapshotTable[[#This Row],[SC Buyback Override]]), SnapshotTable[[#This Row],[SC Buyback Override]], SnapshotTable[[#This Row],[SC Current Ask]]), "")</f>
        <v/>
      </c>
      <c r="FK344" s="250" t="str">
        <f>IF(SnapshotTable[[#This Row],[SC Time Val]]&gt;0, SnapshotTable[[#This Row],[SC Time Val]] / SnapshotTable[[#This Row],[Last Price]],"")</f>
        <v/>
      </c>
      <c r="FL344" s="302" t="str">
        <f>IF(SnapshotTable[[#This Row],[SC Is Booked]], ((SnapshotTable[[#This Row],[Last Price]] -SnapshotTable[[#This Row],[SC Strike Price]]) / SnapshotTable[[#This Row],[Last Price]]) * -1, "")</f>
        <v/>
      </c>
      <c r="FM344" s="157" t="str">
        <f>IF(SnapshotTable[[#This Row],[SC Is Booked]],  (SnapshotTable[[#This Row],[SC Qty]] * 100 * SnapshotTable[[#This Row],[SC Strike Price]]) - SnapshotTable[[#This Row],[SC Current Ask]], "")</f>
        <v/>
      </c>
      <c r="FN3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31"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33"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36" t="str">
        <f>IF(AND(ISNUMBER(SnapshotTable[[#This Row],[SC Simple ROO]]),SnapshotTable[[#This Row],[SC Simple ROO]] &gt; 0), SnapshotTable[[#This Row],[SC Premium]] + (SnapshotTable[[#This Row],[SC Qty]] * SnapshotTable[[#This Row],[SC Upside Potential]]), "")</f>
        <v/>
      </c>
      <c r="FX344" s="302" t="str" cm="1">
        <f t="array" ref="FX344">IF(ISNUMBER(SnapshotTable[[#This Row],[SC Max Dollars]]), annualize(SnapshotTable[[#This Row],[SC Term]],(SnapshotTable[[#This Row],[SC Max Dollars]]/SnapshotTable[[#This Row],[SC Basis]])),"")</f>
        <v/>
      </c>
      <c r="FY344" s="236" t="str">
        <f>IF(AND(SnapshotTable[[#This Row],[SC Qty]]&gt;0,SnapshotTable[[#This Row],[SC Current Ask]]&gt;0), SnapshotTable[[#This Row],[SC Qty]] * SnapshotTable[[#This Row],[SC Current Ask]] * -100, "")</f>
        <v/>
      </c>
      <c r="FZ344" s="31" t="str">
        <f>IF(ISNUMBER((SnapshotTable[[#This Row],[SC Current Value]])), SnapshotTable[[#This Row],[SC Premium]] + SnapshotTable[[#This Row],[SC Current Value]], "")</f>
        <v/>
      </c>
      <c r="GA344" s="294" t="str">
        <f>IFERROR( IF(ISNUMBER((SnapshotTable[[#This Row],[SC Current Value]])), SnapshotTable[[#This Row],[SC Gain Loss]] / SnapshotTable[[#This Row],[SC Premium]], ""), "")</f>
        <v/>
      </c>
      <c r="GB344" s="42">
        <f>SnapshotTable[[#This Row],[Equity Shares]] * SaleSharesToConsiderPercentage</f>
        <v>0</v>
      </c>
      <c r="GC344" s="40">
        <f>SnapshotTable[[#This Row],[Long Term Target]] * SellingPriceToConsiderBasedOnTargetPercentage</f>
        <v>137.75</v>
      </c>
      <c r="GD344" s="40">
        <f>SnapshotTable[[#This Row],[Last Price]] * (1+ SellingPriceToConsiderBasedOnTargetPercentage)</f>
        <v>587.26200000000006</v>
      </c>
      <c r="GE344" s="41"/>
      <c r="GF344" s="40"/>
      <c r="GG344" s="31">
        <f>SnapshotTable[[#This Row],[Booked Sale Shares]] * SnapshotTable[[#This Row],[Booked Sale Price]]</f>
        <v>0</v>
      </c>
      <c r="GH344" s="31" t="str">
        <f>IF(SnapshotTable[[#This Row],[Equity Basis Total]] &gt; 0, SnapshotTable[[#This Row],[Equity Basis Per Share]] * SnapshotTable[[#This Row],[Booked Sale Shares]], "")</f>
        <v/>
      </c>
      <c r="GI344" s="31">
        <f>IF(SnapshotTable[[#This Row],[Sale Proceeds]]&gt;0, SnapshotTable[[#This Row],[Sale Proceeds]] - SnapshotTable[[#This Row],[Sale Basis]], 0)</f>
        <v>0</v>
      </c>
      <c r="GJ344" s="27" t="str">
        <f>IF(SnapshotTable[[#This Row],[Sale G/L]]&gt;0, SnapshotTable[[#This Row],[Sale G/L]] / SnapshotTable[[#This Row],[Sale Basis]], IF(ISNUMBER(SnapshotTable[[#This Row],[SC Exercise P&amp;L (TAX)]]), SnapshotTable[[#This Row],[SC Exercise P&amp;L (TAX)]] / SnapshotTable[[#This Row],[SC Basis]], ""))</f>
        <v/>
      </c>
      <c r="GK344" s="27"/>
      <c r="GL344" s="43"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43" t="str">
        <f>IF(AND(SnapshotTable[[#This Row],[LC Exp Date]]&gt;0,SnapshotTable[[#This Row],[LC Strike Price]]&gt;0), [1]!ToOptionSymbol(SnapshotTable[[#This Row],[Symbol]], SnapshotTable[[#This Row],[LC Strike Price]],SnapshotTable[[#This Row],[LC Exp Date]],0), "")</f>
        <v/>
      </c>
      <c r="GQ344" s="30" t="str">
        <f>IF(LEN(SnapshotTable[[#This Row],[LC Symbol]])&gt;0, 1, "")</f>
        <v/>
      </c>
      <c r="GR344" s="43" t="str">
        <f>IF(AND(SnapshotTable[[#This Row],[SC Exp Date]]&gt;0,SnapshotTable[[#This Row],[SC Strike Price]]&gt;0), [1]!ToOptionSymbol(SnapshotTable[[#This Row],[Symbol]], SnapshotTable[[#This Row],[SC Strike Price]],SnapshotTable[[#This Row],[SC Exp Date]],0), "")</f>
        <v/>
      </c>
      <c r="GS344" s="30" t="str">
        <f>IF(LEN(SnapshotTable[[#This Row],[SC Symbol]])&gt;0, 1, "")</f>
        <v/>
      </c>
      <c r="GT344" s="29"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4" s="231">
        <f>MAX(SnapshotTable[[#This Row],[Equity Basis Total]],SnapshotTable[[#This Row],[Equity Value]]) + (SnapshotTable[[#This Row],[SP Potential Spend]]- SnapshotTable[[#This Row],[SP Premium]] + SnapshotTable[[#This Row],[LP Premium]])+ (SnapshotTable[[#This Row],[LC Premium]] - SnapshotTable[[#This Row],[SC Premium]])</f>
        <v>0</v>
      </c>
      <c r="GW344" s="139" t="str">
        <f>IF(AND(SnapshotTable[[#This Row],[Exposure]] &lt;&gt; 0),SnapshotTable[[#This Row],[Exposure]] / SnapshotTable[[#Totals],[Exposure]], "")</f>
        <v/>
      </c>
      <c r="HK344" s="1"/>
      <c r="HL344" s="1"/>
      <c r="HM344" s="1"/>
      <c r="HN344" s="1"/>
      <c r="HO344" s="1"/>
      <c r="HP344" s="1"/>
    </row>
    <row r="345" spans="2:224" ht="12.75" hidden="1" customHeight="1" x14ac:dyDescent="0.25">
      <c r="B345" s="12" t="s">
        <v>896</v>
      </c>
      <c r="C345" s="422">
        <v>21.53</v>
      </c>
      <c r="D345" s="208" t="s">
        <v>578</v>
      </c>
      <c r="E345" s="39">
        <f>SnapshotTable[[#This Row],[Last Price]]*(1 -CrashDiscount)</f>
        <v>18.3005</v>
      </c>
      <c r="F345" s="26" t="s">
        <v>814</v>
      </c>
      <c r="G345" s="26" t="s">
        <v>610</v>
      </c>
      <c r="H345" s="149"/>
      <c r="I345" s="194">
        <v>44777.208333333336</v>
      </c>
      <c r="J345" s="195">
        <v>44777.208333333336</v>
      </c>
      <c r="K345" s="196"/>
      <c r="L345" s="326"/>
      <c r="M345" s="140"/>
      <c r="N345" s="140"/>
      <c r="O345" s="140"/>
      <c r="P345" s="22"/>
      <c r="Q345" s="25"/>
      <c r="R345" s="4" t="str">
        <f>IF(SnapshotTable[[#This Row],[Equity Basis Total]] &gt; 0, SnapshotTable[[#This Row],[Equity Basis Total]] / SnapshotTable[[#This Row],[Equity Shares]], "")</f>
        <v/>
      </c>
      <c r="S345" s="269">
        <f>SnapshotTable[[#This Row],[Last Price]] * SnapshotTable[[#This Row],[Equity Shares]]</f>
        <v>0</v>
      </c>
      <c r="T345" s="269">
        <f>SnapshotTable[[#This Row],[Equity Value]] - SnapshotTable[[#This Row],[Equity Basis Total]]</f>
        <v>0</v>
      </c>
      <c r="U345" s="270" t="str">
        <f>IF(SnapshotTable[[#This Row],[Equity Basis Total]] &gt; 0, SnapshotTable[[#This Row],[Equity G/L]] / SnapshotTable[[#This Row],[Equity Basis Total]], "")</f>
        <v/>
      </c>
      <c r="V345" s="268"/>
      <c r="W345" s="268"/>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7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0"/>
      <c r="AD345" s="151"/>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1"/>
      <c r="AI345" s="5"/>
      <c r="AJ345" s="138">
        <v>29.6</v>
      </c>
      <c r="AK345" s="152" t="str">
        <f>IF(ISNUMBER( SnapshotTable[[#This Row],[EBF Target]]),(SnapshotTable[[#This Row],[EBF Target]] - SnapshotTable[[#This Row],[Last Price]]) / SnapshotTable[[#This Row],[Last Price]], "")</f>
        <v/>
      </c>
      <c r="AL345" s="152"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2">
        <f>IF(AND(ISNUMBER( SnapshotTable[[#This Row],[Long Term Target]]), ISNUMBER(SnapshotTable[[#This Row],[Last Price]])),(SnapshotTable[[#This Row],[Long Term Target]] - SnapshotTable[[#This Row],[Last Price]]) / SnapshotTable[[#This Row],[Last Price]], "")</f>
        <v>0.37482582443102647</v>
      </c>
      <c r="AP345" s="5"/>
      <c r="AQ345" s="38"/>
      <c r="AR345" s="5"/>
      <c r="AS345" s="38"/>
      <c r="AT345" s="146"/>
      <c r="AU345" s="187" t="str">
        <f>IF(OR(SnapshotTable[[#This Row],[LP No Fill]]="Y",SnapshotTable[[#This Row],[SP Is Filled]],SnapshotTable[[#This Row],[LC Not Filled]]="Y",SnapshotTable[[#This Row],[SC Is Filled]]),"Y","")</f>
        <v/>
      </c>
      <c r="AV345" s="219"/>
      <c r="AW345" s="225"/>
      <c r="AX345" s="220"/>
      <c r="AY345" s="219" t="str">
        <f>IF(SnapshotTable[[#This Row],[Implied Move]]&gt;0, SnapshotTable[[#This Row],[Last Price]]-SnapshotTable[[#This Row],[Implied Move]],"")</f>
        <v/>
      </c>
      <c r="AZ345" s="219" t="str">
        <f>IF(SnapshotTable[[#This Row],[Implied Move]]&gt;0, SnapshotTable[[#This Row],[Last Price]] + SnapshotTable[[#This Row],[Implied Move]],"")</f>
        <v/>
      </c>
      <c r="BA345" s="331"/>
      <c r="BB345" s="347"/>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51"/>
      <c r="BE345" s="138"/>
      <c r="BF345" s="166"/>
      <c r="BG345" s="167"/>
      <c r="BH345" s="167"/>
      <c r="BI345" s="221"/>
      <c r="BJ345" s="153">
        <f>IF(SnapshotTable[[#This Row],[LP Qty]] &gt; 0, SnapshotTable[[#This Row],[LP Qty]] * SnapshotTable[[#This Row],[LP Book Price]] * 100,0)</f>
        <v>0</v>
      </c>
      <c r="BK345" s="136">
        <f>IF(SnapshotTable[[#This Row],[LP Premium]] &gt; 0, SnapshotTable[[#This Row],[LP Qty]] * SnapshotTable[[#This Row],[LP Strike Price]] * 100,0)</f>
        <v>0</v>
      </c>
      <c r="BL345" s="154"/>
      <c r="BM345" s="385" t="str">
        <f>IF(SnapshotTable[[#This Row],[LP Premium]] &gt; 0,SnapshotTable[[#This Row],[LP Exp Date]]-MAX(SnapshotTable[[#This Row],[LP Book Date]], SnapshotTable[[#This Row],[LP Fill Date]]),"")</f>
        <v/>
      </c>
      <c r="BN345" s="385" t="str">
        <f>IF(ISNUMBER( SnapshotTable[[#This Row],[LP Term]]), SnapshotTable[[#This Row],[LP Exp Date]] - MockToday,"")</f>
        <v/>
      </c>
      <c r="BO345" s="163" t="str">
        <f>IF(AND(SnapshotTable[[#This Row],[LP Exp Date]]&gt;0, SnapshotTable[[#This Row],[LP Strike Price]]&gt;0,SnapshotTable[[#This Row],[LP Qty]]&gt;0,SnapshotTable[[#This Row],[LP Book Date]]&gt;0,SnapshotTable[[#This Row],[LP Book Price]]&gt;0,SnapshotTable[[#This Row],[LP Fill Date]]=0),"Y","")</f>
        <v/>
      </c>
      <c r="BP345" s="31" t="str">
        <f>IF(AND(SnapshotTable[[#This Row],[LP No Fill]]&lt;&gt;"Y",SnapshotTable[[#This Row],[LP Contract Value]]&gt;0, SnapshotTable[[#This Row],[LP Qty]]&gt;0), SnapshotTable[[#This Row],[LP Contract Value]]*SnapshotTable[[#This Row],[LP Qty]]*100,"")</f>
        <v/>
      </c>
      <c r="BQ345" s="13"/>
      <c r="BR345" s="5"/>
      <c r="BS345" s="36"/>
      <c r="BT345" s="147"/>
      <c r="BU345" s="13"/>
      <c r="BV345" s="5"/>
      <c r="BW345" s="419" t="b">
        <f>AND(ISNUMBER(SnapshotTable[[#This Row],[SP Exp Date]]), ISNUMBER(SnapshotTable[[#This Row],[SP Strike Price]]), ISNUMBER(SnapshotTable[[#This Row],[SP Qty]]), ISNUMBER(SnapshotTable[[#This Row],[SP Book Date]]), ISNUMBER(SnapshotTable[[#This Row],[SP Book Price]]))</f>
        <v>0</v>
      </c>
      <c r="BX345" s="419" t="b">
        <f>AND(SnapshotTable[[#This Row],[SP Is Booked]], NOT(ISBLANK(SnapshotTable[[#This Row],[SP Fill Date]])))</f>
        <v>0</v>
      </c>
      <c r="BY345" s="33">
        <f>IF(SnapshotTable[[#This Row],[SP Is Booked]], SnapshotTable[[#This Row],[SP Qty]] * SnapshotTable[[#This Row],[SP Book Price]] * 100, 0)</f>
        <v>0</v>
      </c>
      <c r="BZ345" s="369"/>
      <c r="CA345" s="368">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3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44"/>
      <c r="CK345" s="31">
        <f>IF(ISNUMBER(SnapshotTable[[#This Row],[SP Potential Spend]]),IF(ISNUMBER(SnapshotTable[[#This Row],[SP POW]]), SnapshotTable[[#This Row],[SP POW]] * SnapshotTable[[#This Row],[SP Potential Spend]], SnapshotTable[[#This Row],[SP Potential Spend]]), "")</f>
        <v>0</v>
      </c>
      <c r="CL345" s="164">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154"/>
      <c r="CO345" s="369"/>
      <c r="CP345" s="4" t="str">
        <f>IF(SnapshotTable[[#This Row],[SP Is Filled]], btc_max_buyback_amount(SnapshotTable[[#This Row],[SP Fill Date]],SnapshotTable[[#This Row],[SP Exp Date]], SnapshotTable[[#This Row],[SP Book Price]]),"")</f>
        <v/>
      </c>
      <c r="CQ345" s="78"/>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5" t="str">
        <f>IF(SnapshotTable[[#This Row],[SP Is Filled]], btc_next_cutoff_date(SnapshotTable[[#This Row],[SP Fill Date]],SnapshotTable[[#This Row],[SP Exp Date]]),"")</f>
        <v/>
      </c>
      <c r="CT345" s="23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6"/>
      <c r="CV345" s="235"/>
      <c r="CW345" s="378"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294" t="str">
        <f>IF(ISNUMBER((SnapshotTable[[#This Row],[SP Total Value]])), SnapshotTable[[#This Row],[SP Gain Loss]] / SnapshotTable[[#This Row],[SP Premium]], "")</f>
        <v/>
      </c>
      <c r="DI345" s="406"/>
      <c r="DJ345" s="138"/>
      <c r="DK345" s="148"/>
      <c r="DL345" s="147"/>
      <c r="DM345" s="147"/>
      <c r="DO345" s="31">
        <f>IF(SnapshotTable[[#This Row],[LC Symbol Count]]=1, SnapshotTable[[#This Row],[LC Qty]] * SnapshotTable[[#This Row],[LC Book Price]] * 100, 0)</f>
        <v>0</v>
      </c>
      <c r="DP345" s="289" t="str">
        <f>IF(AND(SnapshotTable[[#This Row],[LC Exp Date]]&gt;0, SnapshotTable[[#This Row],[LC Strike Price]]&gt;0,SnapshotTable[[#This Row],[LC Qty]]&gt;0,SnapshotTable[[#This Row],[LC Book Date]]&gt;0,SnapshotTable[[#This Row],[LC Book Price]]&gt;0,SnapshotTable[[#This Row],[LC Fill Date]]=0),"Y","")</f>
        <v/>
      </c>
      <c r="DQ345" s="386" t="str">
        <f>IF(SnapshotTable[[#This Row],[LC Premium]] &gt; 0,SnapshotTable[[#This Row],[LC Exp Date]]-MAX(SnapshotTable[[#This Row],[LC Book Date]], SnapshotTable[[#This Row],[LC Fill Date]]),"")</f>
        <v/>
      </c>
      <c r="DR345" s="386" t="str">
        <f>IF(ISNUMBER(SnapshotTable[[#This Row],[LC Term]]), SnapshotTable[[#This Row],[LC Exp Date]] - MockToday, "")</f>
        <v/>
      </c>
      <c r="DS345" s="234" t="str">
        <f>IF(SnapshotTable[[#This Row],[LC Premium]]&gt;0,SnapshotTable[[#This Row],[LC Strike Price]] + SnapshotTable[[#This Row],[LC Book Price]],"")</f>
        <v/>
      </c>
      <c r="DU345" s="9" t="str">
        <f>IF(AND(SnapshotTable[[#This Row],[LC Symbol Count]]&gt;0, SnapshotTable[[#This Row],[LC Contract Value]]&gt;0), SnapshotTable[[#This Row],[LC Contract Value]] * SnapshotTable[[#This Row],[LC Qty]] * 100, "")</f>
        <v/>
      </c>
      <c r="DV345" s="9" t="str">
        <f>IF(AND(ISNUMBER(SnapshotTable[[#This Row],[LC Total Value]]), SnapshotTable[[#This Row],[LC Not Filled]]&lt;&gt;"Y"), SnapshotTable[[#This Row],[LC Total Value]]-SnapshotTable[[#This Row],[LC Premium]],"")</f>
        <v/>
      </c>
      <c r="DW345" s="240" t="str">
        <f>IF(ISNUMBER(SnapshotTable[[#This Row],[LC Actual Gain Loss]]), SnapshotTable[[#This Row],[LC Actual Gain Loss]] / SnapshotTable[[#This Row],[LC Premium]],"")</f>
        <v/>
      </c>
      <c r="DX345" s="284" t="str">
        <f>IF(ISNUMBER(SnapshotTable[[#This Row],[LC Book Price]]),SnapshotTable[[#This Row],[LC Book Price]] * 1.5,"")</f>
        <v/>
      </c>
      <c r="DY345" s="265" t="str">
        <f>IF(SnapshotTable[[#This Row],[LC Premium]]&gt;0, SnapshotTable[[#This Row],[LC Next Target]] * SnapshotTable[[#This Row],[LC Qty]] * 100,"")</f>
        <v/>
      </c>
      <c r="DZ345" s="265" t="str">
        <f>IF(ISNUMBER(SnapshotTable[[#This Row],[LC Target Gross]]), SnapshotTable[[#This Row],[LC Target Gross]] - SnapshotTable[[#This Row],[LC Premium]], "")</f>
        <v/>
      </c>
      <c r="EA345" s="305" t="str">
        <f>IF(ISNUMBER(SnapshotTable[[#This Row],[LC Target Gain Loss]]), SnapshotTable[[#This Row],[LC Target Gain Loss]]/SnapshotTable[[#This Row],[LC Premium]], "")</f>
        <v/>
      </c>
      <c r="EB345" s="262"/>
      <c r="EC345" s="283" t="str">
        <f>IF(SnapshotTable[[#This Row],[LC Premium]]&gt;0, SnapshotTable[[#This Row],[LC Book Price]] * (1 - LC_StopLoss_Pct),"")</f>
        <v/>
      </c>
      <c r="ED345" s="284"/>
      <c r="EE345" s="28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str">
        <f>IF(ISNUMBER(SnapshotTable[[#This Row],[LC Total Value]]),SnapshotTable[[#This Row],[LC Stop Loss Amount]] - SnapshotTable[[#This Row],[LC Premium]],"")</f>
        <v/>
      </c>
      <c r="EH345" s="9">
        <f>IF(ISNUMBER(SnapshotTable[[#This Row],[LC Premium]]), SnapshotTable[[#This Row],[LC Qty]] * 100 * SnapshotTable[[#This Row],[LC Strike Price]], "")</f>
        <v>0</v>
      </c>
      <c r="EI345" s="24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7"/>
      <c r="EL345" s="138"/>
      <c r="EM345" s="148"/>
      <c r="EN345" s="147"/>
      <c r="EO345" s="147"/>
      <c r="EP345" s="138"/>
      <c r="EQ345" s="419" t="b">
        <f>AND(ISNUMBER(SnapshotTable[[#This Row],[SC Exp Date]]), ISNUMBER(SnapshotTable[[#This Row],[SC Strike Price]]), ISNUMBER(SnapshotTable[[#This Row],[SC Qty]]), ISNUMBER(SnapshotTable[[#This Row],[SC Book Date]]), ISNUMBER(SnapshotTable[[#This Row],[SC Book Price]]))</f>
        <v>0</v>
      </c>
      <c r="ER345" s="419" t="b">
        <f>AND(SnapshotTable[[#This Row],[SC Is Booked]], NOT(ISBLANK(SnapshotTable[[#This Row],[SC Fill Date]])))</f>
        <v>0</v>
      </c>
      <c r="ES345" s="370"/>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3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283"/>
      <c r="FA345" s="218"/>
      <c r="FB345" s="370"/>
      <c r="FC345" s="4">
        <f>IF(SnapshotTable[[#This Row],[SC Is Filled]], btc_max_buyback_amount(SnapshotTable[[#This Row],[SC Fill Date]],SnapshotTable[[#This Row],[SC Exp Date]], SnapshotTable[[#This Row],[SC Book Price]]),0)</f>
        <v>0</v>
      </c>
      <c r="FD345" s="5"/>
      <c r="FE345" s="144"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382">
        <f>IF(SnapshotTable[[#This Row],[SC Is Filled]], IF(ISNUMBER(SnapshotTable[[#This Row],[SC Current Ask]]), SnapshotTable[[#This Row],[SC Current Ask]], SnapshotTable[[#This Row],[SC Book Price]]) - SnapshotTable[[#This Row],[SC Intrinsic Value]], 0)</f>
        <v>0</v>
      </c>
      <c r="FI345" s="143"/>
      <c r="FJ345" s="32" t="str">
        <f>IF(SnapshotTable[[#This Row],[SC Is Filled]],100 * SnapshotTable[[#This Row],[SC Qty]] * IF(ISNUMBER(SnapshotTable[[#This Row],[SC Buyback Override]]), SnapshotTable[[#This Row],[SC Buyback Override]], SnapshotTable[[#This Row],[SC Current Ask]]), "")</f>
        <v/>
      </c>
      <c r="FK345" s="250" t="str">
        <f>IF(SnapshotTable[[#This Row],[SC Time Val]]&gt;0, SnapshotTable[[#This Row],[SC Time Val]] / SnapshotTable[[#This Row],[Last Price]],"")</f>
        <v/>
      </c>
      <c r="FL345" s="302" t="str">
        <f>IF(SnapshotTable[[#This Row],[SC Is Booked]], ((SnapshotTable[[#This Row],[Last Price]] -SnapshotTable[[#This Row],[SC Strike Price]]) / SnapshotTable[[#This Row],[Last Price]]) * -1, "")</f>
        <v/>
      </c>
      <c r="FM345" s="157" t="str">
        <f>IF(SnapshotTable[[#This Row],[SC Is Booked]],  (SnapshotTable[[#This Row],[SC Qty]] * 100 * SnapshotTable[[#This Row],[SC Strike Price]]) - SnapshotTable[[#This Row],[SC Current Ask]], "")</f>
        <v/>
      </c>
      <c r="FN34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157"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33"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36" t="str">
        <f>IF(AND(ISNUMBER(SnapshotTable[[#This Row],[SC Simple ROO]]),SnapshotTable[[#This Row],[SC Simple ROO]] &gt; 0), SnapshotTable[[#This Row],[SC Premium]] + (SnapshotTable[[#This Row],[SC Qty]] * SnapshotTable[[#This Row],[SC Upside Potential]]), "")</f>
        <v/>
      </c>
      <c r="FX345" s="302" t="str" cm="1">
        <f t="array" ref="FX345">IF(ISNUMBER(SnapshotTable[[#This Row],[SC Max Dollars]]), annualize(SnapshotTable[[#This Row],[SC Term]],(SnapshotTable[[#This Row],[SC Max Dollars]]/SnapshotTable[[#This Row],[SC Basis]])),"")</f>
        <v/>
      </c>
      <c r="FY345" s="236" t="str">
        <f>IF(AND(SnapshotTable[[#This Row],[SC Qty]]&gt;0,SnapshotTable[[#This Row],[SC Current Ask]]&gt;0), SnapshotTable[[#This Row],[SC Qty]] * SnapshotTable[[#This Row],[SC Current Ask]] * -100, "")</f>
        <v/>
      </c>
      <c r="FZ345" s="235" t="str">
        <f>IF(ISNUMBER((SnapshotTable[[#This Row],[SC Current Value]])), SnapshotTable[[#This Row],[SC Premium]] + SnapshotTable[[#This Row],[SC Current Value]], "")</f>
        <v/>
      </c>
      <c r="GA345" s="29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28.12</v>
      </c>
      <c r="GD345" s="40">
        <f>SnapshotTable[[#This Row],[Last Price]] * (1+ SellingPriceToConsiderBasedOnTargetPercentage)</f>
        <v>41.983499999999999</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158" t="str">
        <f>IF(SnapshotTable[[#This Row],[Sale G/L]]&gt;0, SnapshotTable[[#This Row],[Sale G/L]] / SnapshotTable[[#This Row],[Sale Basis]], IF(ISNUMBER(SnapshotTable[[#This Row],[SC Exercise P&amp;L (TAX)]]), SnapshotTable[[#This Row],[SC Exercise P&amp;L (TAX)]] / SnapshotTable[[#This Row],[SC Basis]], ""))</f>
        <v/>
      </c>
      <c r="GK345" s="158"/>
      <c r="GL345" s="159"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159" t="str">
        <f>IF(AND(SnapshotTable[[#This Row],[LC Exp Date]]&gt;0,SnapshotTable[[#This Row],[LC Strike Price]]&gt;0), [1]!ToOptionSymbol(SnapshotTable[[#This Row],[Symbol]], SnapshotTable[[#This Row],[LC Strike Price]],SnapshotTable[[#This Row],[LC Exp Date]],0), "")</f>
        <v/>
      </c>
      <c r="GQ345" s="160" t="str">
        <f>IF(LEN(SnapshotTable[[#This Row],[LC Symbol]])&gt;0, 1, "")</f>
        <v/>
      </c>
      <c r="GR345" s="159" t="str">
        <f>IF(AND(SnapshotTable[[#This Row],[SC Exp Date]]&gt;0,SnapshotTable[[#This Row],[SC Strike Price]]&gt;0), [1]!ToOptionSymbol(SnapshotTable[[#This Row],[Symbol]], SnapshotTable[[#This Row],[SC Strike Price]],SnapshotTable[[#This Row],[SC Exp Date]],0), "")</f>
        <v/>
      </c>
      <c r="GS345" s="160" t="str">
        <f>IF(LEN(SnapshotTable[[#This Row],[SC Symbol]])&gt;0, 1, "")</f>
        <v/>
      </c>
      <c r="GT345" s="161"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31">
        <f>MAX(SnapshotTable[[#This Row],[Equity Basis Total]],SnapshotTable[[#This Row],[Equity Value]]) + (SnapshotTable[[#This Row],[SP Potential Spend]]- SnapshotTable[[#This Row],[SP Premium]] + SnapshotTable[[#This Row],[LP Premium]])+ (SnapshotTable[[#This Row],[LC Premium]] - SnapshotTable[[#This Row],[SC Premium]])</f>
        <v>0</v>
      </c>
      <c r="GW345" s="139" t="str">
        <f>IF(AND(SnapshotTable[[#This Row],[Exposure]] &lt;&gt; 0),SnapshotTable[[#This Row],[Exposure]] / SnapshotTable[[#Totals],[Exposure]], "")</f>
        <v/>
      </c>
      <c r="HK345" s="1"/>
      <c r="HL345" s="1"/>
      <c r="HM345" s="1"/>
      <c r="HN345" s="1"/>
      <c r="HO345" s="1"/>
      <c r="HP345" s="1"/>
    </row>
    <row r="346" spans="2:224" ht="12.75" hidden="1" customHeight="1" x14ac:dyDescent="0.25">
      <c r="B346" s="12" t="s">
        <v>1168</v>
      </c>
      <c r="C346" s="422">
        <v>8.27</v>
      </c>
      <c r="D346" s="208" t="s">
        <v>258</v>
      </c>
      <c r="E346" s="39">
        <f>SnapshotTable[[#This Row],[Last Price]]*(1 -CrashDiscount)</f>
        <v>7.0294999999999996</v>
      </c>
      <c r="F346" s="26" t="s">
        <v>1169</v>
      </c>
      <c r="G346" s="325" t="s">
        <v>610</v>
      </c>
      <c r="H346" s="149"/>
      <c r="I346" s="194"/>
      <c r="J346" s="195"/>
      <c r="K346" s="196"/>
      <c r="L346" s="326"/>
      <c r="M346" s="140"/>
      <c r="N346" s="140"/>
      <c r="O346" s="140"/>
      <c r="P346" s="22"/>
      <c r="Q346" s="25"/>
      <c r="R346" s="4" t="str">
        <f>IF(SnapshotTable[[#This Row],[Equity Basis Total]] &gt; 0, SnapshotTable[[#This Row],[Equity Basis Total]] / SnapshotTable[[#This Row],[Equity Shares]], "")</f>
        <v/>
      </c>
      <c r="S346" s="269">
        <f>SnapshotTable[[#This Row],[Last Price]] * SnapshotTable[[#This Row],[Equity Shares]]</f>
        <v>0</v>
      </c>
      <c r="T346" s="269">
        <f>SnapshotTable[[#This Row],[Equity Value]] - SnapshotTable[[#This Row],[Equity Basis Total]]</f>
        <v>0</v>
      </c>
      <c r="U346" s="270" t="str">
        <f>IF(SnapshotTable[[#This Row],[Equity Basis Total]] &gt; 0, SnapshotTable[[#This Row],[Equity G/L]] / SnapshotTable[[#This Row],[Equity Basis Total]], "")</f>
        <v/>
      </c>
      <c r="V346" s="268">
        <v>15</v>
      </c>
      <c r="W346" s="26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7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0"/>
      <c r="AD346" s="151"/>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1"/>
      <c r="AI346" s="5"/>
      <c r="AJ346" s="138"/>
      <c r="AK346" s="152" t="str">
        <f>IF(ISNUMBER( SnapshotTable[[#This Row],[EBF Target]]),(SnapshotTable[[#This Row],[EBF Target]] - SnapshotTable[[#This Row],[Last Price]]) / SnapshotTable[[#This Row],[Last Price]], "")</f>
        <v/>
      </c>
      <c r="AL346" s="152"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2" t="str">
        <f>IF(AND(ISNUMBER( SnapshotTable[[#This Row],[Long Term Target]]), ISNUMBER(SnapshotTable[[#This Row],[Last Price]])),(SnapshotTable[[#This Row],[Long Term Target]] - SnapshotTable[[#This Row],[Last Price]]) / SnapshotTable[[#This Row],[Last Price]], "")</f>
        <v/>
      </c>
      <c r="AP346" s="5"/>
      <c r="AQ346" s="38"/>
      <c r="AR346" s="5"/>
      <c r="AS346" s="38"/>
      <c r="AT346" s="146" t="s">
        <v>1132</v>
      </c>
      <c r="AU346" s="187" t="str">
        <f>IF(OR(SnapshotTable[[#This Row],[LP No Fill]]="Y",SnapshotTable[[#This Row],[SP Is Filled]],SnapshotTable[[#This Row],[LC Not Filled]]="Y",SnapshotTable[[#This Row],[SC Is Filled]]),"Y","")</f>
        <v/>
      </c>
      <c r="AV346" s="219"/>
      <c r="AW346" s="225"/>
      <c r="AX346" s="220"/>
      <c r="AY346" s="219" t="str">
        <f>IF(SnapshotTable[[#This Row],[Implied Move]]&gt;0, SnapshotTable[[#This Row],[Last Price]]-SnapshotTable[[#This Row],[Implied Move]],"")</f>
        <v/>
      </c>
      <c r="AZ346" s="219" t="str">
        <f>IF(SnapshotTable[[#This Row],[Implied Move]]&gt;0, SnapshotTable[[#This Row],[Last Price]] + SnapshotTable[[#This Row],[Implied Move]],"")</f>
        <v/>
      </c>
      <c r="BA346" s="331">
        <v>11.53</v>
      </c>
      <c r="BB346" s="347"/>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51"/>
      <c r="BE346" s="5"/>
      <c r="BF346" s="14"/>
      <c r="BG346" s="13"/>
      <c r="BH346" s="13"/>
      <c r="BI346" s="5"/>
      <c r="BJ346" s="136">
        <f>IF(SnapshotTable[[#This Row],[LP Qty]] &gt; 0, SnapshotTable[[#This Row],[LP Qty]] * SnapshotTable[[#This Row],[LP Book Price]] * 100,0)</f>
        <v>0</v>
      </c>
      <c r="BK346" s="136">
        <f>IF(SnapshotTable[[#This Row],[LP Premium]] &gt; 0, SnapshotTable[[#This Row],[LP Qty]] * SnapshotTable[[#This Row],[LP Strike Price]] * 100,0)</f>
        <v>0</v>
      </c>
      <c r="BL346" s="154"/>
      <c r="BM346" s="385" t="str">
        <f>IF(SnapshotTable[[#This Row],[LP Premium]] &gt; 0,SnapshotTable[[#This Row],[LP Exp Date]]-MAX(SnapshotTable[[#This Row],[LP Book Date]], SnapshotTable[[#This Row],[LP Fill Date]]),"")</f>
        <v/>
      </c>
      <c r="BN346" s="385" t="str">
        <f>IF(ISNUMBER( SnapshotTable[[#This Row],[LP Term]]), SnapshotTable[[#This Row],[LP Exp Date]] - MockToday,"")</f>
        <v/>
      </c>
      <c r="BO346" s="163"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7"/>
      <c r="BU346" s="13"/>
      <c r="BV346" s="5"/>
      <c r="BW346" s="419" t="b">
        <f>AND(ISNUMBER(SnapshotTable[[#This Row],[SP Exp Date]]), ISNUMBER(SnapshotTable[[#This Row],[SP Strike Price]]), ISNUMBER(SnapshotTable[[#This Row],[SP Qty]]), ISNUMBER(SnapshotTable[[#This Row],[SP Book Date]]), ISNUMBER(SnapshotTable[[#This Row],[SP Book Price]]))</f>
        <v>0</v>
      </c>
      <c r="BX346" s="419" t="b">
        <f>AND(SnapshotTable[[#This Row],[SP Is Booked]], NOT(ISBLANK(SnapshotTable[[#This Row],[SP Fill Date]])))</f>
        <v>0</v>
      </c>
      <c r="BY346" s="33">
        <f>IF(SnapshotTable[[#This Row],[SP Is Booked]], SnapshotTable[[#This Row],[SP Qty]] * SnapshotTable[[#This Row],[SP Book Price]] * 100, 0)</f>
        <v>0</v>
      </c>
      <c r="BZ346" s="369"/>
      <c r="CA346" s="368">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3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44"/>
      <c r="CK346" s="31">
        <f>IF(ISNUMBER(SnapshotTable[[#This Row],[SP Potential Spend]]),IF(ISNUMBER(SnapshotTable[[#This Row],[SP POW]]), SnapshotTable[[#This Row],[SP POW]] * SnapshotTable[[#This Row],[SP Potential Spend]], SnapshotTable[[#This Row],[SP Potential Spend]]), "")</f>
        <v>0</v>
      </c>
      <c r="CL346" s="164">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8"/>
      <c r="CO346" s="369"/>
      <c r="CP346" s="4" t="str">
        <f>IF(SnapshotTable[[#This Row],[SP Is Filled]], btc_max_buyback_amount(SnapshotTable[[#This Row],[SP Fill Date]],SnapshotTable[[#This Row],[SP Exp Date]], SnapshotTable[[#This Row],[SP Book Price]]),"")</f>
        <v/>
      </c>
      <c r="CQ346" s="78"/>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5" t="str">
        <f>IF(SnapshotTable[[#This Row],[SP Is Filled]], btc_next_cutoff_date(SnapshotTable[[#This Row],[SP Fill Date]],SnapshotTable[[#This Row],[SP Exp Date]]),"")</f>
        <v/>
      </c>
      <c r="CT346" s="23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3"/>
      <c r="CV346" s="235"/>
      <c r="CW346" s="378"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294" t="str">
        <f>IF(ISNUMBER((SnapshotTable[[#This Row],[SP Total Value]])), SnapshotTable[[#This Row],[SP Gain Loss]] / SnapshotTable[[#This Row],[SP Premium]], "")</f>
        <v/>
      </c>
      <c r="DI346" s="406"/>
      <c r="DJ346" s="138"/>
      <c r="DK346" s="148"/>
      <c r="DL346" s="13"/>
      <c r="DM346" s="13"/>
      <c r="DO346" s="31">
        <f>IF(SnapshotTable[[#This Row],[LC Symbol Count]]=1, SnapshotTable[[#This Row],[LC Qty]] * SnapshotTable[[#This Row],[LC Book Price]] * 100, 0)</f>
        <v>0</v>
      </c>
      <c r="DP346" s="163" t="str">
        <f>IF(AND(SnapshotTable[[#This Row],[LC Exp Date]]&gt;0, SnapshotTable[[#This Row],[LC Strike Price]]&gt;0,SnapshotTable[[#This Row],[LC Qty]]&gt;0,SnapshotTable[[#This Row],[LC Book Date]]&gt;0,SnapshotTable[[#This Row],[LC Book Price]]&gt;0,SnapshotTable[[#This Row],[LC Fill Date]]=0),"Y","")</f>
        <v/>
      </c>
      <c r="DQ346" s="386" t="str">
        <f>IF(SnapshotTable[[#This Row],[LC Premium]] &gt; 0,SnapshotTable[[#This Row],[LC Exp Date]]-MAX(SnapshotTable[[#This Row],[LC Book Date]], SnapshotTable[[#This Row],[LC Fill Date]]),"")</f>
        <v/>
      </c>
      <c r="DR346" s="386" t="str">
        <f>IF(ISNUMBER(SnapshotTable[[#This Row],[LC Term]]), SnapshotTable[[#This Row],[LC Exp Date]] - MockToday, "")</f>
        <v/>
      </c>
      <c r="DS346" s="23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40" t="str">
        <f>IF(ISNUMBER(SnapshotTable[[#This Row],[LC Actual Gain Loss]]), SnapshotTable[[#This Row],[LC Actual Gain Loss]] / SnapshotTable[[#This Row],[LC Premium]],"")</f>
        <v/>
      </c>
      <c r="DX346" s="284" t="str">
        <f>IF(ISNUMBER(SnapshotTable[[#This Row],[LC Book Price]]),SnapshotTable[[#This Row],[LC Book Price]] * 1.5,"")</f>
        <v/>
      </c>
      <c r="DY346" s="265" t="str">
        <f>IF(SnapshotTable[[#This Row],[LC Premium]]&gt;0, SnapshotTable[[#This Row],[LC Next Target]] * SnapshotTable[[#This Row],[LC Qty]] * 100,"")</f>
        <v/>
      </c>
      <c r="DZ346" s="265" t="str">
        <f>IF(ISNUMBER(SnapshotTable[[#This Row],[LC Target Gross]]), SnapshotTable[[#This Row],[LC Target Gross]] - SnapshotTable[[#This Row],[LC Premium]], "")</f>
        <v/>
      </c>
      <c r="EA346" s="305" t="str">
        <f>IF(ISNUMBER(SnapshotTable[[#This Row],[LC Target Gain Loss]]), SnapshotTable[[#This Row],[LC Target Gain Loss]]/SnapshotTable[[#This Row],[LC Premium]], "")</f>
        <v/>
      </c>
      <c r="EB346" s="262"/>
      <c r="EC346" s="283" t="str">
        <f>IF(SnapshotTable[[#This Row],[LC Premium]]&gt;0, SnapshotTable[[#This Row],[LC Book Price]] * (1 - LC_StopLoss_Pct),"")</f>
        <v/>
      </c>
      <c r="ED346" s="284"/>
      <c r="EE346" s="28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4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0</v>
      </c>
      <c r="EK346" s="147"/>
      <c r="EL346" s="138"/>
      <c r="EM346" s="148"/>
      <c r="EN346" s="147"/>
      <c r="EO346" s="147"/>
      <c r="EP346" s="138"/>
      <c r="EQ346" s="419" t="b">
        <f>AND(ISNUMBER(SnapshotTable[[#This Row],[SC Exp Date]]), ISNUMBER(SnapshotTable[[#This Row],[SC Strike Price]]), ISNUMBER(SnapshotTable[[#This Row],[SC Qty]]), ISNUMBER(SnapshotTable[[#This Row],[SC Book Date]]), ISNUMBER(SnapshotTable[[#This Row],[SC Book Price]]))</f>
        <v>0</v>
      </c>
      <c r="ER346" s="419" t="b">
        <f>AND(SnapshotTable[[#This Row],[SC Is Booked]], NOT(ISBLANK(SnapshotTable[[#This Row],[SC Fill Date]])))</f>
        <v>0</v>
      </c>
      <c r="ES346" s="370"/>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3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283"/>
      <c r="FA346" s="218"/>
      <c r="FB346" s="370"/>
      <c r="FC346" s="4">
        <f>IF(SnapshotTable[[#This Row],[SC Is Filled]], btc_max_buyback_amount(SnapshotTable[[#This Row],[SC Fill Date]],SnapshotTable[[#This Row],[SC Exp Date]], SnapshotTable[[#This Row],[SC Book Price]]),0)</f>
        <v>0</v>
      </c>
      <c r="FD346" s="5"/>
      <c r="FE346" s="144"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382">
        <f>IF(SnapshotTable[[#This Row],[SC Is Filled]], IF(ISNUMBER(SnapshotTable[[#This Row],[SC Current Ask]]), SnapshotTable[[#This Row],[SC Current Ask]], SnapshotTable[[#This Row],[SC Book Price]]) - SnapshotTable[[#This Row],[SC Intrinsic Value]], 0)</f>
        <v>0</v>
      </c>
      <c r="FI346" s="143"/>
      <c r="FJ346" s="32" t="str">
        <f>IF(SnapshotTable[[#This Row],[SC Is Filled]],100 * SnapshotTable[[#This Row],[SC Qty]] * IF(ISNUMBER(SnapshotTable[[#This Row],[SC Buyback Override]]), SnapshotTable[[#This Row],[SC Buyback Override]], SnapshotTable[[#This Row],[SC Current Ask]]), "")</f>
        <v/>
      </c>
      <c r="FK346" s="250" t="str">
        <f>IF(SnapshotTable[[#This Row],[SC Time Val]]&gt;0, SnapshotTable[[#This Row],[SC Time Val]] / SnapshotTable[[#This Row],[Last Price]],"")</f>
        <v/>
      </c>
      <c r="FL346" s="302" t="str">
        <f>IF(SnapshotTable[[#This Row],[SC Is Booked]], ((SnapshotTable[[#This Row],[Last Price]] -SnapshotTable[[#This Row],[SC Strike Price]]) / SnapshotTable[[#This Row],[Last Price]]) * -1, "")</f>
        <v/>
      </c>
      <c r="FM346" s="157"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33"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36" t="str">
        <f>IF(AND(ISNUMBER(SnapshotTable[[#This Row],[SC Simple ROO]]),SnapshotTable[[#This Row],[SC Simple ROO]] &gt; 0), SnapshotTable[[#This Row],[SC Premium]] + (SnapshotTable[[#This Row],[SC Qty]] * SnapshotTable[[#This Row],[SC Upside Potential]]), "")</f>
        <v/>
      </c>
      <c r="FX346" s="302" t="str" cm="1">
        <f t="array" ref="FX346">IF(ISNUMBER(SnapshotTable[[#This Row],[SC Max Dollars]]), annualize(SnapshotTable[[#This Row],[SC Term]],(SnapshotTable[[#This Row],[SC Max Dollars]]/SnapshotTable[[#This Row],[SC Basis]])),"")</f>
        <v/>
      </c>
      <c r="FY346" s="23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294" t="str">
        <f>IFERROR( IF(ISNUMBER((SnapshotTable[[#This Row],[SC Current Value]])), SnapshotTable[[#This Row],[SC Gain Loss]] / SnapshotTable[[#This Row],[SC Premium]], ""), "")</f>
        <v/>
      </c>
      <c r="GB346" s="42">
        <f>SnapshotTable[[#This Row],[Equity Shares]] * SaleSharesToConsiderPercentage</f>
        <v>0</v>
      </c>
      <c r="GC346" s="40">
        <f>SnapshotTable[[#This Row],[Long Term Target]] * SellingPriceToConsiderBasedOnTargetPercentage</f>
        <v>0</v>
      </c>
      <c r="GD346" s="40">
        <f>SnapshotTable[[#This Row],[Last Price]] * (1+ SellingPriceToConsiderBasedOnTargetPercentage)</f>
        <v>16.1265</v>
      </c>
      <c r="GE346" s="41"/>
      <c r="GF346" s="40"/>
      <c r="GG346" s="31">
        <f>SnapshotTable[[#This Row],[Booked Sale Shares]] * SnapshotTable[[#This Row],[Booked Sale Price]]</f>
        <v>0</v>
      </c>
      <c r="GH346" s="31" t="str">
        <f>IF(SnapshotTable[[#This Row],[Equity Basis Total]] &gt; 0, SnapshotTable[[#This Row],[Equity Basis Per Share]] * SnapshotTable[[#This Row],[Booked Sale Shares]], "")</f>
        <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6" s="231">
        <f>MAX(SnapshotTable[[#This Row],[Equity Basis Total]],SnapshotTable[[#This Row],[Equity Value]]) + (SnapshotTable[[#This Row],[SP Potential Spend]]- SnapshotTable[[#This Row],[SP Premium]] + SnapshotTable[[#This Row],[LP Premium]])+ (SnapshotTable[[#This Row],[LC Premium]] - SnapshotTable[[#This Row],[SC Premium]])</f>
        <v>0</v>
      </c>
      <c r="GW346" s="139" t="str">
        <f>IF(AND(SnapshotTable[[#This Row],[Exposure]] &lt;&gt; 0),SnapshotTable[[#This Row],[Exposure]] / SnapshotTable[[#Totals],[Exposure]], "")</f>
        <v/>
      </c>
      <c r="HK346" s="1"/>
      <c r="HL346" s="1"/>
      <c r="HM346" s="1"/>
      <c r="HN346" s="1"/>
      <c r="HO346" s="1"/>
      <c r="HP346" s="1"/>
    </row>
    <row r="347" spans="2:224" ht="12.75" hidden="1" customHeight="1" x14ac:dyDescent="0.25">
      <c r="B347" s="12" t="s">
        <v>971</v>
      </c>
      <c r="C347" s="422">
        <v>21.55</v>
      </c>
      <c r="D347" s="208" t="s">
        <v>972</v>
      </c>
      <c r="E347" s="39">
        <f>SnapshotTable[[#This Row],[Last Price]]*(1 -CrashDiscount)</f>
        <v>18.317499999999999</v>
      </c>
      <c r="F347" s="26" t="s">
        <v>5</v>
      </c>
      <c r="G347" s="325" t="s">
        <v>4</v>
      </c>
      <c r="H347" s="149"/>
      <c r="I347" s="194">
        <v>44777.208333333336</v>
      </c>
      <c r="J347" s="195">
        <v>44777.208333333336</v>
      </c>
      <c r="K347" s="196"/>
      <c r="L347" s="326"/>
      <c r="M347" s="140"/>
      <c r="N347" s="140"/>
      <c r="O347" s="140"/>
      <c r="P347" s="22"/>
      <c r="Q347" s="25"/>
      <c r="R347" s="4" t="str">
        <f>IF(SnapshotTable[[#This Row],[Equity Basis Total]] &gt; 0, SnapshotTable[[#This Row],[Equity Basis Total]] / SnapshotTable[[#This Row],[Equity Shares]], "")</f>
        <v/>
      </c>
      <c r="S347" s="269">
        <f>SnapshotTable[[#This Row],[Last Price]] * SnapshotTable[[#This Row],[Equity Shares]]</f>
        <v>0</v>
      </c>
      <c r="T347" s="269">
        <f>SnapshotTable[[#This Row],[Equity Value]] - SnapshotTable[[#This Row],[Equity Basis Total]]</f>
        <v>0</v>
      </c>
      <c r="U347" s="270" t="str">
        <f>IF(SnapshotTable[[#This Row],[Equity Basis Total]] &gt; 0, SnapshotTable[[#This Row],[Equity G/L]] / SnapshotTable[[#This Row],[Equity Basis Total]], "")</f>
        <v/>
      </c>
      <c r="V347" s="268"/>
      <c r="W347" s="26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7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0"/>
      <c r="AD347" s="151"/>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1"/>
      <c r="AI347" s="5"/>
      <c r="AJ347" s="138" t="s">
        <v>164</v>
      </c>
      <c r="AK347" s="152" t="str">
        <f>IF(ISNUMBER( SnapshotTable[[#This Row],[EBF Target]]),(SnapshotTable[[#This Row],[EBF Target]] - SnapshotTable[[#This Row],[Last Price]]) / SnapshotTable[[#This Row],[Last Price]], "")</f>
        <v/>
      </c>
      <c r="AL347" s="152"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2" t="str">
        <f>IF(AND(ISNUMBER( SnapshotTable[[#This Row],[Long Term Target]]), ISNUMBER(SnapshotTable[[#This Row],[Last Price]])),(SnapshotTable[[#This Row],[Long Term Target]] - SnapshotTable[[#This Row],[Last Price]]) / SnapshotTable[[#This Row],[Last Price]], "")</f>
        <v/>
      </c>
      <c r="AP347" s="5">
        <v>23.5</v>
      </c>
      <c r="AQ347" s="38" t="s">
        <v>89</v>
      </c>
      <c r="AR347" s="5">
        <v>19.2</v>
      </c>
      <c r="AS347" s="38" t="s">
        <v>32</v>
      </c>
      <c r="AT347" s="146" t="s">
        <v>1132</v>
      </c>
      <c r="AU347" s="187" t="str">
        <f>IF(OR(SnapshotTable[[#This Row],[LP No Fill]]="Y",SnapshotTable[[#This Row],[SP Is Filled]],SnapshotTable[[#This Row],[LC Not Filled]]="Y",SnapshotTable[[#This Row],[SC Is Filled]]),"Y","")</f>
        <v/>
      </c>
      <c r="AV347" s="219"/>
      <c r="AW347" s="225"/>
      <c r="AX347" s="220"/>
      <c r="AY347" s="219" t="str">
        <f>IF(SnapshotTable[[#This Row],[Implied Move]]&gt;0, SnapshotTable[[#This Row],[Last Price]]-SnapshotTable[[#This Row],[Implied Move]],"")</f>
        <v/>
      </c>
      <c r="AZ347" s="219" t="str">
        <f>IF(SnapshotTable[[#This Row],[Implied Move]]&gt;0, SnapshotTable[[#This Row],[Last Price]] + SnapshotTable[[#This Row],[Implied Move]],"")</f>
        <v/>
      </c>
      <c r="BA347" s="331">
        <v>20.11</v>
      </c>
      <c r="BB347" s="347"/>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51"/>
      <c r="BE347" s="5"/>
      <c r="BF347" s="14"/>
      <c r="BG347" s="13"/>
      <c r="BH347" s="13"/>
      <c r="BI347" s="5"/>
      <c r="BJ347" s="136">
        <f>IF(SnapshotTable[[#This Row],[LP Qty]] &gt; 0, SnapshotTable[[#This Row],[LP Qty]] * SnapshotTable[[#This Row],[LP Book Price]] * 100,0)</f>
        <v>0</v>
      </c>
      <c r="BK347" s="136">
        <f>IF(SnapshotTable[[#This Row],[LP Premium]] &gt; 0, SnapshotTable[[#This Row],[LP Qty]] * SnapshotTable[[#This Row],[LP Strike Price]] * 100,0)</f>
        <v>0</v>
      </c>
      <c r="BL347" s="154"/>
      <c r="BM347" s="385" t="str">
        <f>IF(SnapshotTable[[#This Row],[LP Premium]] &gt; 0,SnapshotTable[[#This Row],[LP Exp Date]]-MAX(SnapshotTable[[#This Row],[LP Book Date]], SnapshotTable[[#This Row],[LP Fill Date]]),"")</f>
        <v/>
      </c>
      <c r="BN347" s="385" t="str">
        <f>IF(ISNUMBER( SnapshotTable[[#This Row],[LP Term]]), SnapshotTable[[#This Row],[LP Exp Date]] - MockToday,"")</f>
        <v/>
      </c>
      <c r="BO347" s="163"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7"/>
      <c r="BU347" s="13"/>
      <c r="BV347" s="5"/>
      <c r="BW347" s="419" t="b">
        <f>AND(ISNUMBER(SnapshotTable[[#This Row],[SP Exp Date]]), ISNUMBER(SnapshotTable[[#This Row],[SP Strike Price]]), ISNUMBER(SnapshotTable[[#This Row],[SP Qty]]), ISNUMBER(SnapshotTable[[#This Row],[SP Book Date]]), ISNUMBER(SnapshotTable[[#This Row],[SP Book Price]]))</f>
        <v>0</v>
      </c>
      <c r="BX347" s="419" t="b">
        <f>AND(SnapshotTable[[#This Row],[SP Is Booked]], NOT(ISBLANK(SnapshotTable[[#This Row],[SP Fill Date]])))</f>
        <v>0</v>
      </c>
      <c r="BY347" s="33">
        <f>IF(SnapshotTable[[#This Row],[SP Is Booked]], SnapshotTable[[#This Row],[SP Qty]] * SnapshotTable[[#This Row],[SP Book Price]] * 100, 0)</f>
        <v>0</v>
      </c>
      <c r="BZ347" s="369"/>
      <c r="CA347" s="368">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3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44"/>
      <c r="CK347" s="31">
        <f>IF(ISNUMBER(SnapshotTable[[#This Row],[SP Potential Spend]]),IF(ISNUMBER(SnapshotTable[[#This Row],[SP POW]]), SnapshotTable[[#This Row],[SP POW]] * SnapshotTable[[#This Row],[SP Potential Spend]], SnapshotTable[[#This Row],[SP Potential Spend]]), "")</f>
        <v>0</v>
      </c>
      <c r="CL347" s="164">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218"/>
      <c r="CO347" s="369"/>
      <c r="CP347" s="4" t="str">
        <f>IF(SnapshotTable[[#This Row],[SP Is Filled]], btc_max_buyback_amount(SnapshotTable[[#This Row],[SP Fill Date]],SnapshotTable[[#This Row],[SP Exp Date]], SnapshotTable[[#This Row],[SP Book Price]]),"")</f>
        <v/>
      </c>
      <c r="CQ347" s="78"/>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5" t="str">
        <f>IF(SnapshotTable[[#This Row],[SP Is Filled]], btc_next_cutoff_date(SnapshotTable[[#This Row],[SP Fill Date]],SnapshotTable[[#This Row],[SP Exp Date]]),"")</f>
        <v/>
      </c>
      <c r="CT347" s="23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3"/>
      <c r="CV347" s="235"/>
      <c r="CW347" s="378"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294" t="str">
        <f>IF(ISNUMBER((SnapshotTable[[#This Row],[SP Total Value]])), SnapshotTable[[#This Row],[SP Gain Loss]] / SnapshotTable[[#This Row],[SP Premium]], "")</f>
        <v/>
      </c>
      <c r="DI347" s="406"/>
      <c r="DJ347" s="138"/>
      <c r="DK347" s="148"/>
      <c r="DL347" s="13"/>
      <c r="DM347" s="13"/>
      <c r="DO347" s="31">
        <f>IF(SnapshotTable[[#This Row],[LC Symbol Count]]=1, SnapshotTable[[#This Row],[LC Qty]] * SnapshotTable[[#This Row],[LC Book Price]] * 100, 0)</f>
        <v>0</v>
      </c>
      <c r="DP347" s="163" t="str">
        <f>IF(AND(SnapshotTable[[#This Row],[LC Exp Date]]&gt;0, SnapshotTable[[#This Row],[LC Strike Price]]&gt;0,SnapshotTable[[#This Row],[LC Qty]]&gt;0,SnapshotTable[[#This Row],[LC Book Date]]&gt;0,SnapshotTable[[#This Row],[LC Book Price]]&gt;0,SnapshotTable[[#This Row],[LC Fill Date]]=0),"Y","")</f>
        <v/>
      </c>
      <c r="DQ347" s="386" t="str">
        <f>IF(SnapshotTable[[#This Row],[LC Premium]] &gt; 0,SnapshotTable[[#This Row],[LC Exp Date]]-MAX(SnapshotTable[[#This Row],[LC Book Date]], SnapshotTable[[#This Row],[LC Fill Date]]),"")</f>
        <v/>
      </c>
      <c r="DR347" s="386" t="str">
        <f>IF(ISNUMBER(SnapshotTable[[#This Row],[LC Term]]), SnapshotTable[[#This Row],[LC Exp Date]] - MockToday, "")</f>
        <v/>
      </c>
      <c r="DS347" s="23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40" t="str">
        <f>IF(ISNUMBER(SnapshotTable[[#This Row],[LC Actual Gain Loss]]), SnapshotTable[[#This Row],[LC Actual Gain Loss]] / SnapshotTable[[#This Row],[LC Premium]],"")</f>
        <v/>
      </c>
      <c r="DX347" s="284" t="str">
        <f>IF(ISNUMBER(SnapshotTable[[#This Row],[LC Book Price]]),SnapshotTable[[#This Row],[LC Book Price]] * 1.5,"")</f>
        <v/>
      </c>
      <c r="DY347" s="265" t="str">
        <f>IF(SnapshotTable[[#This Row],[LC Premium]]&gt;0, SnapshotTable[[#This Row],[LC Next Target]] * SnapshotTable[[#This Row],[LC Qty]] * 100,"")</f>
        <v/>
      </c>
      <c r="DZ347" s="265" t="str">
        <f>IF(ISNUMBER(SnapshotTable[[#This Row],[LC Target Gross]]), SnapshotTable[[#This Row],[LC Target Gross]] - SnapshotTable[[#This Row],[LC Premium]], "")</f>
        <v/>
      </c>
      <c r="EA347" s="305" t="str">
        <f>IF(ISNUMBER(SnapshotTable[[#This Row],[LC Target Gain Loss]]), SnapshotTable[[#This Row],[LC Target Gain Loss]]/SnapshotTable[[#This Row],[LC Premium]], "")</f>
        <v/>
      </c>
      <c r="EB347" s="262"/>
      <c r="EC347" s="283" t="str">
        <f>IF(SnapshotTable[[#This Row],[LC Premium]]&gt;0, SnapshotTable[[#This Row],[LC Book Price]] * (1 - LC_StopLoss_Pct),"")</f>
        <v/>
      </c>
      <c r="ED347" s="284"/>
      <c r="EE347" s="28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4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7"/>
      <c r="EL347" s="138"/>
      <c r="EM347" s="148"/>
      <c r="EN347" s="147"/>
      <c r="EO347" s="147"/>
      <c r="EP347" s="138"/>
      <c r="EQ347" s="419" t="b">
        <f>AND(ISNUMBER(SnapshotTable[[#This Row],[SC Exp Date]]), ISNUMBER(SnapshotTable[[#This Row],[SC Strike Price]]), ISNUMBER(SnapshotTable[[#This Row],[SC Qty]]), ISNUMBER(SnapshotTable[[#This Row],[SC Book Date]]), ISNUMBER(SnapshotTable[[#This Row],[SC Book Price]]))</f>
        <v>0</v>
      </c>
      <c r="ER347" s="419" t="b">
        <f>AND(SnapshotTable[[#This Row],[SC Is Booked]], NOT(ISBLANK(SnapshotTable[[#This Row],[SC Fill Date]])))</f>
        <v>0</v>
      </c>
      <c r="ES347" s="370"/>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3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283"/>
      <c r="FA347" s="218"/>
      <c r="FB347" s="370"/>
      <c r="FC347" s="4">
        <f>IF(SnapshotTable[[#This Row],[SC Is Filled]], btc_max_buyback_amount(SnapshotTable[[#This Row],[SC Fill Date]],SnapshotTable[[#This Row],[SC Exp Date]], SnapshotTable[[#This Row],[SC Book Price]]),0)</f>
        <v>0</v>
      </c>
      <c r="FD347" s="5"/>
      <c r="FE347" s="144"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382">
        <f>IF(SnapshotTable[[#This Row],[SC Is Filled]], IF(ISNUMBER(SnapshotTable[[#This Row],[SC Current Ask]]), SnapshotTable[[#This Row],[SC Current Ask]], SnapshotTable[[#This Row],[SC Book Price]]) - SnapshotTable[[#This Row],[SC Intrinsic Value]], 0)</f>
        <v>0</v>
      </c>
      <c r="FI347" s="143"/>
      <c r="FJ347" s="32" t="str">
        <f>IF(SnapshotTable[[#This Row],[SC Is Filled]],100 * SnapshotTable[[#This Row],[SC Qty]] * IF(ISNUMBER(SnapshotTable[[#This Row],[SC Buyback Override]]), SnapshotTable[[#This Row],[SC Buyback Override]], SnapshotTable[[#This Row],[SC Current Ask]]), "")</f>
        <v/>
      </c>
      <c r="FK347" s="250" t="str">
        <f>IF(SnapshotTable[[#This Row],[SC Time Val]]&gt;0, SnapshotTable[[#This Row],[SC Time Val]] / SnapshotTable[[#This Row],[Last Price]],"")</f>
        <v/>
      </c>
      <c r="FL347" s="302" t="str">
        <f>IF(SnapshotTable[[#This Row],[SC Is Booked]], ((SnapshotTable[[#This Row],[Last Price]] -SnapshotTable[[#This Row],[SC Strike Price]]) / SnapshotTable[[#This Row],[Last Price]]) * -1, "")</f>
        <v/>
      </c>
      <c r="FM347" s="157"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33"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36" t="str">
        <f>IF(AND(ISNUMBER(SnapshotTable[[#This Row],[SC Simple ROO]]),SnapshotTable[[#This Row],[SC Simple ROO]] &gt; 0), SnapshotTable[[#This Row],[SC Premium]] + (SnapshotTable[[#This Row],[SC Qty]] * SnapshotTable[[#This Row],[SC Upside Potential]]), "")</f>
        <v/>
      </c>
      <c r="FX347" s="302" t="str" cm="1">
        <f t="array" ref="FX347">IF(ISNUMBER(SnapshotTable[[#This Row],[SC Max Dollars]]), annualize(SnapshotTable[[#This Row],[SC Term]],(SnapshotTable[[#This Row],[SC Max Dollars]]/SnapshotTable[[#This Row],[SC Basis]])),"")</f>
        <v/>
      </c>
      <c r="FY347" s="23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29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42.022500000000001</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31">
        <f>MAX(SnapshotTable[[#This Row],[Equity Basis Total]],SnapshotTable[[#This Row],[Equity Value]]) + (SnapshotTable[[#This Row],[SP Potential Spend]]- SnapshotTable[[#This Row],[SP Premium]] + SnapshotTable[[#This Row],[LP Premium]])+ (SnapshotTable[[#This Row],[LC Premium]] - SnapshotTable[[#This Row],[SC Premium]])</f>
        <v>0</v>
      </c>
      <c r="GW347" s="139" t="str">
        <f>IF(AND(SnapshotTable[[#This Row],[Exposure]] &lt;&gt; 0),SnapshotTable[[#This Row],[Exposure]] / SnapshotTable[[#Totals],[Exposure]], "")</f>
        <v/>
      </c>
      <c r="HK347" s="1"/>
      <c r="HL347" s="1"/>
      <c r="HM347" s="1"/>
      <c r="HN347" s="1"/>
      <c r="HO347" s="1"/>
      <c r="HP347" s="1"/>
    </row>
    <row r="348" spans="2:224" ht="12.75" hidden="1" customHeight="1" x14ac:dyDescent="0.25">
      <c r="B348" s="12" t="s">
        <v>37</v>
      </c>
      <c r="C348" s="422">
        <v>44.29</v>
      </c>
      <c r="D348" s="208"/>
      <c r="E348" s="39">
        <f>SnapshotTable[[#This Row],[Last Price]]*(1 -CrashDiscount)</f>
        <v>37.646499999999996</v>
      </c>
      <c r="F348" s="26" t="s">
        <v>36</v>
      </c>
      <c r="G348" s="26" t="s">
        <v>9</v>
      </c>
      <c r="H348" s="149"/>
      <c r="I348" s="194">
        <v>44764.3125</v>
      </c>
      <c r="J348" s="195">
        <v>44764.3125</v>
      </c>
      <c r="K348" s="196"/>
      <c r="L348" s="326"/>
      <c r="M348" s="140"/>
      <c r="N348" s="140"/>
      <c r="O348" s="140">
        <v>6</v>
      </c>
      <c r="P348" s="22"/>
      <c r="Q348" s="25"/>
      <c r="R348" s="4" t="str">
        <f>IF(SnapshotTable[[#This Row],[Equity Basis Total]] &gt; 0, SnapshotTable[[#This Row],[Equity Basis Total]] / SnapshotTable[[#This Row],[Equity Shares]], "")</f>
        <v/>
      </c>
      <c r="S348" s="269">
        <f>SnapshotTable[[#This Row],[Last Price]] * SnapshotTable[[#This Row],[Equity Shares]]</f>
        <v>0</v>
      </c>
      <c r="T348" s="269">
        <f>SnapshotTable[[#This Row],[Equity Value]] - SnapshotTable[[#This Row],[Equity Basis Total]]</f>
        <v>0</v>
      </c>
      <c r="U348" s="270" t="str">
        <f>IF(SnapshotTable[[#This Row],[Equity Basis Total]] &gt; 0, SnapshotTable[[#This Row],[Equity G/L]] / SnapshotTable[[#This Row],[Equity Basis Total]], "")</f>
        <v/>
      </c>
      <c r="V348" s="268"/>
      <c r="W348" s="26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7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0">
        <v>0.2</v>
      </c>
      <c r="AD348" s="151" t="s">
        <v>2</v>
      </c>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4.5156920298035676E-3</v>
      </c>
      <c r="AH348" s="151" t="s">
        <v>2</v>
      </c>
      <c r="AI348" s="5"/>
      <c r="AJ348" s="138">
        <v>59.96</v>
      </c>
      <c r="AK348" s="152" t="str">
        <f>IF(ISNUMBER( SnapshotTable[[#This Row],[EBF Target]]),(SnapshotTable[[#This Row],[EBF Target]] - SnapshotTable[[#This Row],[Last Price]]) / SnapshotTable[[#This Row],[Last Price]], "")</f>
        <v/>
      </c>
      <c r="AL348" s="152"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2">
        <f>IF(AND(ISNUMBER( SnapshotTable[[#This Row],[Long Term Target]]), ISNUMBER(SnapshotTable[[#This Row],[Last Price]])),(SnapshotTable[[#This Row],[Long Term Target]] - SnapshotTable[[#This Row],[Last Price]]) / SnapshotTable[[#This Row],[Last Price]], "")</f>
        <v>0.35380447053510955</v>
      </c>
      <c r="AP348" s="5"/>
      <c r="AQ348" s="38"/>
      <c r="AR348" s="5"/>
      <c r="AS348" s="38"/>
      <c r="AT348" s="146"/>
      <c r="AU348" s="187" t="str">
        <f>IF(OR(SnapshotTable[[#This Row],[LP No Fill]]="Y",SnapshotTable[[#This Row],[SP Is Filled]],SnapshotTable[[#This Row],[LC Not Filled]]="Y",SnapshotTable[[#This Row],[SC Is Filled]]),"Y","")</f>
        <v/>
      </c>
      <c r="AV348" s="219"/>
      <c r="AW348" s="225"/>
      <c r="AX348" s="220"/>
      <c r="AY348" s="219" t="str">
        <f>IF(SnapshotTable[[#This Row],[Implied Move]]&gt;0, SnapshotTable[[#This Row],[Last Price]]-SnapshotTable[[#This Row],[Implied Move]],"")</f>
        <v/>
      </c>
      <c r="AZ348" s="219" t="str">
        <f>IF(SnapshotTable[[#This Row],[Implied Move]]&gt;0, SnapshotTable[[#This Row],[Last Price]] + SnapshotTable[[#This Row],[Implied Move]],"")</f>
        <v/>
      </c>
      <c r="BA348" s="331"/>
      <c r="BB348" s="347"/>
      <c r="BC3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8" s="351"/>
      <c r="BE348" s="5"/>
      <c r="BF348" s="14"/>
      <c r="BG348" s="13"/>
      <c r="BH348" s="13"/>
      <c r="BI348" s="5"/>
      <c r="BJ348" s="136">
        <f>IF(SnapshotTable[[#This Row],[LP Qty]] &gt; 0, SnapshotTable[[#This Row],[LP Qty]] * SnapshotTable[[#This Row],[LP Book Price]] * 100,0)</f>
        <v>0</v>
      </c>
      <c r="BK348" s="136">
        <f>IF(SnapshotTable[[#This Row],[LP Premium]] &gt; 0, SnapshotTable[[#This Row],[LP Qty]] * SnapshotTable[[#This Row],[LP Strike Price]] * 100,0)</f>
        <v>0</v>
      </c>
      <c r="BL348" s="154"/>
      <c r="BM348" s="385" t="str">
        <f>IF(SnapshotTable[[#This Row],[LP Premium]] &gt; 0,SnapshotTable[[#This Row],[LP Exp Date]]-MAX(SnapshotTable[[#This Row],[LP Book Date]], SnapshotTable[[#This Row],[LP Fill Date]]),"")</f>
        <v/>
      </c>
      <c r="BN348" s="385" t="str">
        <f>IF(ISNUMBER( SnapshotTable[[#This Row],[LP Term]]), SnapshotTable[[#This Row],[LP Exp Date]] - MockToday,"")</f>
        <v/>
      </c>
      <c r="BO348" s="163"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7"/>
      <c r="BU348" s="13"/>
      <c r="BV348" s="5"/>
      <c r="BW348" s="419" t="b">
        <f>AND(ISNUMBER(SnapshotTable[[#This Row],[SP Exp Date]]), ISNUMBER(SnapshotTable[[#This Row],[SP Strike Price]]), ISNUMBER(SnapshotTable[[#This Row],[SP Qty]]), ISNUMBER(SnapshotTable[[#This Row],[SP Book Date]]), ISNUMBER(SnapshotTable[[#This Row],[SP Book Price]]))</f>
        <v>0</v>
      </c>
      <c r="BX348" s="419" t="b">
        <f>AND(SnapshotTable[[#This Row],[SP Is Booked]], NOT(ISBLANK(SnapshotTable[[#This Row],[SP Fill Date]])))</f>
        <v>0</v>
      </c>
      <c r="BY348" s="33">
        <f>IF(SnapshotTable[[#This Row],[SP Is Booked]], SnapshotTable[[#This Row],[SP Qty]] * SnapshotTable[[#This Row],[SP Book Price]] * 100, 0)</f>
        <v>0</v>
      </c>
      <c r="BZ348" s="369"/>
      <c r="CA348" s="368">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3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44"/>
      <c r="CK348" s="31">
        <f>IF(ISNUMBER(SnapshotTable[[#This Row],[SP Potential Spend]]),IF(ISNUMBER(SnapshotTable[[#This Row],[SP POW]]), SnapshotTable[[#This Row],[SP POW]] * SnapshotTable[[#This Row],[SP Potential Spend]], SnapshotTable[[#This Row],[SP Potential Spend]]), "")</f>
        <v>0</v>
      </c>
      <c r="CL348" s="164">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78"/>
      <c r="CO348" s="369"/>
      <c r="CP348" s="4" t="str">
        <f>IF(SnapshotTable[[#This Row],[SP Is Filled]], btc_max_buyback_amount(SnapshotTable[[#This Row],[SP Fill Date]],SnapshotTable[[#This Row],[SP Exp Date]], SnapshotTable[[#This Row],[SP Book Price]]),"")</f>
        <v/>
      </c>
      <c r="CQ348" s="78"/>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5" t="str">
        <f>IF(SnapshotTable[[#This Row],[SP Is Filled]], btc_next_cutoff_date(SnapshotTable[[#This Row],[SP Fill Date]],SnapshotTable[[#This Row],[SP Exp Date]]),"")</f>
        <v/>
      </c>
      <c r="CT348" s="23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43"/>
      <c r="CV348" s="235"/>
      <c r="CW348" s="378"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294" t="str">
        <f>IF(ISNUMBER((SnapshotTable[[#This Row],[SP Total Value]])), SnapshotTable[[#This Row],[SP Gain Loss]] / SnapshotTable[[#This Row],[SP Premium]], "")</f>
        <v/>
      </c>
      <c r="DI348" s="406"/>
      <c r="DJ348" s="138"/>
      <c r="DK348" s="148"/>
      <c r="DL348" s="13"/>
      <c r="DM348" s="13"/>
      <c r="DO348" s="31">
        <f>IF(SnapshotTable[[#This Row],[LC Symbol Count]]=1, SnapshotTable[[#This Row],[LC Qty]] * SnapshotTable[[#This Row],[LC Book Price]] * 100, 0)</f>
        <v>0</v>
      </c>
      <c r="DP348" s="163" t="str">
        <f>IF(AND(SnapshotTable[[#This Row],[LC Exp Date]]&gt;0, SnapshotTable[[#This Row],[LC Strike Price]]&gt;0,SnapshotTable[[#This Row],[LC Qty]]&gt;0,SnapshotTable[[#This Row],[LC Book Date]]&gt;0,SnapshotTable[[#This Row],[LC Book Price]]&gt;0,SnapshotTable[[#This Row],[LC Fill Date]]=0),"Y","")</f>
        <v/>
      </c>
      <c r="DQ348" s="386" t="str">
        <f>IF(SnapshotTable[[#This Row],[LC Premium]] &gt; 0,SnapshotTable[[#This Row],[LC Exp Date]]-MAX(SnapshotTable[[#This Row],[LC Book Date]], SnapshotTable[[#This Row],[LC Fill Date]]),"")</f>
        <v/>
      </c>
      <c r="DR348" s="386" t="str">
        <f>IF(ISNUMBER(SnapshotTable[[#This Row],[LC Term]]), SnapshotTable[[#This Row],[LC Exp Date]] - MockToday, "")</f>
        <v/>
      </c>
      <c r="DS348" s="234" t="str">
        <f>IF(SnapshotTable[[#This Row],[LC Premium]]&gt;0,SnapshotTable[[#This Row],[LC Strike Price]] + SnapshotTable[[#This Row],[LC Book Price]],"")</f>
        <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40" t="str">
        <f>IF(ISNUMBER(SnapshotTable[[#This Row],[LC Actual Gain Loss]]), SnapshotTable[[#This Row],[LC Actual Gain Loss]] / SnapshotTable[[#This Row],[LC Premium]],"")</f>
        <v/>
      </c>
      <c r="DX348" s="284" t="str">
        <f>IF(ISNUMBER(SnapshotTable[[#This Row],[LC Book Price]]),SnapshotTable[[#This Row],[LC Book Price]] * 1.5,"")</f>
        <v/>
      </c>
      <c r="DY348" s="265" t="str">
        <f>IF(SnapshotTable[[#This Row],[LC Premium]]&gt;0, SnapshotTable[[#This Row],[LC Next Target]] * SnapshotTable[[#This Row],[LC Qty]] * 100,"")</f>
        <v/>
      </c>
      <c r="DZ348" s="265" t="str">
        <f>IF(ISNUMBER(SnapshotTable[[#This Row],[LC Target Gross]]), SnapshotTable[[#This Row],[LC Target Gross]] - SnapshotTable[[#This Row],[LC Premium]], "")</f>
        <v/>
      </c>
      <c r="EA348" s="305" t="str">
        <f>IF(ISNUMBER(SnapshotTable[[#This Row],[LC Target Gain Loss]]), SnapshotTable[[#This Row],[LC Target Gain Loss]]/SnapshotTable[[#This Row],[LC Premium]], "")</f>
        <v/>
      </c>
      <c r="EB348" s="262"/>
      <c r="EC348" s="283" t="str">
        <f>IF(SnapshotTable[[#This Row],[LC Premium]]&gt;0, SnapshotTable[[#This Row],[LC Book Price]] * (1 - LC_StopLoss_Pct),"")</f>
        <v/>
      </c>
      <c r="ED348" s="284"/>
      <c r="EE348" s="28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0</v>
      </c>
      <c r="EI348" s="24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0</v>
      </c>
      <c r="EK348" s="147"/>
      <c r="EL348" s="138"/>
      <c r="EM348" s="148"/>
      <c r="EN348" s="147"/>
      <c r="EO348" s="147"/>
      <c r="EP348" s="138"/>
      <c r="EQ348" s="419" t="b">
        <f>AND(ISNUMBER(SnapshotTable[[#This Row],[SC Exp Date]]), ISNUMBER(SnapshotTable[[#This Row],[SC Strike Price]]), ISNUMBER(SnapshotTable[[#This Row],[SC Qty]]), ISNUMBER(SnapshotTable[[#This Row],[SC Book Date]]), ISNUMBER(SnapshotTable[[#This Row],[SC Book Price]]))</f>
        <v>0</v>
      </c>
      <c r="ER348" s="419" t="b">
        <f>AND(SnapshotTable[[#This Row],[SC Is Booked]], NOT(ISBLANK(SnapshotTable[[#This Row],[SC Fill Date]])))</f>
        <v>0</v>
      </c>
      <c r="ES348" s="370"/>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3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283"/>
      <c r="FA348" s="218"/>
      <c r="FB348" s="370"/>
      <c r="FC348" s="4">
        <f>IF(SnapshotTable[[#This Row],[SC Is Filled]], btc_max_buyback_amount(SnapshotTable[[#This Row],[SC Fill Date]],SnapshotTable[[#This Row],[SC Exp Date]], SnapshotTable[[#This Row],[SC Book Price]]),0)</f>
        <v>0</v>
      </c>
      <c r="FD348" s="5"/>
      <c r="FE348" s="144"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382">
        <f>IF(SnapshotTable[[#This Row],[SC Is Filled]], IF(ISNUMBER(SnapshotTable[[#This Row],[SC Current Ask]]), SnapshotTable[[#This Row],[SC Current Ask]], SnapshotTable[[#This Row],[SC Book Price]]) - SnapshotTable[[#This Row],[SC Intrinsic Value]], 0)</f>
        <v>0</v>
      </c>
      <c r="FI348" s="143"/>
      <c r="FJ348" s="32" t="str">
        <f>IF(SnapshotTable[[#This Row],[SC Is Filled]],100 * SnapshotTable[[#This Row],[SC Qty]] * IF(ISNUMBER(SnapshotTable[[#This Row],[SC Buyback Override]]), SnapshotTable[[#This Row],[SC Buyback Override]], SnapshotTable[[#This Row],[SC Current Ask]]), "")</f>
        <v/>
      </c>
      <c r="FK348" s="250" t="str">
        <f>IF(SnapshotTable[[#This Row],[SC Time Val]]&gt;0, SnapshotTable[[#This Row],[SC Time Val]] / SnapshotTable[[#This Row],[Last Price]],"")</f>
        <v/>
      </c>
      <c r="FL348" s="302" t="str">
        <f>IF(SnapshotTable[[#This Row],[SC Is Booked]], ((SnapshotTable[[#This Row],[Last Price]] -SnapshotTable[[#This Row],[SC Strike Price]]) / SnapshotTable[[#This Row],[Last Price]]) * -1, "")</f>
        <v/>
      </c>
      <c r="FM348" s="157"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33"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36" t="str">
        <f>IF(AND(ISNUMBER(SnapshotTable[[#This Row],[SC Simple ROO]]),SnapshotTable[[#This Row],[SC Simple ROO]] &gt; 0), SnapshotTable[[#This Row],[SC Premium]] + (SnapshotTable[[#This Row],[SC Qty]] * SnapshotTable[[#This Row],[SC Upside Potential]]), "")</f>
        <v/>
      </c>
      <c r="FX348" s="302" t="str" cm="1">
        <f t="array" ref="FX348">IF(ISNUMBER(SnapshotTable[[#This Row],[SC Max Dollars]]), annualize(SnapshotTable[[#This Row],[SC Term]],(SnapshotTable[[#This Row],[SC Max Dollars]]/SnapshotTable[[#This Row],[SC Basis]])),"")</f>
        <v/>
      </c>
      <c r="FY348" s="23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29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56.961999999999996</v>
      </c>
      <c r="GD348" s="40">
        <f>SnapshotTable[[#This Row],[Last Price]] * (1+ SellingPriceToConsiderBasedOnTargetPercentage)</f>
        <v>86.365499999999997</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t="s">
        <v>792</v>
      </c>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
      </c>
      <c r="GQ348" s="30" t="str">
        <f>IF(LEN(SnapshotTable[[#This Row],[LC Symbol]])&gt;0, 1, "")</f>
        <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8" s="231">
        <f>MAX(SnapshotTable[[#This Row],[Equity Basis Total]],SnapshotTable[[#This Row],[Equity Value]]) + (SnapshotTable[[#This Row],[SP Potential Spend]]- SnapshotTable[[#This Row],[SP Premium]] + SnapshotTable[[#This Row],[LP Premium]])+ (SnapshotTable[[#This Row],[LC Premium]] - SnapshotTable[[#This Row],[SC Premium]])</f>
        <v>0</v>
      </c>
      <c r="GW348" s="139" t="str">
        <f>IF(AND(SnapshotTable[[#This Row],[Exposure]] &lt;&gt; 0),SnapshotTable[[#This Row],[Exposure]] / SnapshotTable[[#Totals],[Exposure]], "")</f>
        <v/>
      </c>
      <c r="HK348" s="1"/>
      <c r="HL348" s="1"/>
      <c r="HM348" s="1"/>
      <c r="HN348" s="1"/>
      <c r="HO348" s="1"/>
      <c r="HP348" s="1"/>
    </row>
    <row r="349" spans="2:224" ht="12.75" hidden="1" customHeight="1" x14ac:dyDescent="0.25">
      <c r="B349" s="12" t="s">
        <v>185</v>
      </c>
      <c r="C349" s="422">
        <v>52.79</v>
      </c>
      <c r="D349" s="208"/>
      <c r="E349" s="39">
        <f>SnapshotTable[[#This Row],[Last Price]]*(1 -CrashDiscount)</f>
        <v>44.871499999999997</v>
      </c>
      <c r="F349" s="26" t="s">
        <v>184</v>
      </c>
      <c r="G349" s="26" t="s">
        <v>14</v>
      </c>
      <c r="H349" s="149"/>
      <c r="I349" s="194">
        <v>44742.291666666664</v>
      </c>
      <c r="J349" s="195">
        <v>44742.291666666664</v>
      </c>
      <c r="K349" s="196" t="s">
        <v>3</v>
      </c>
      <c r="L349" s="326"/>
      <c r="M349" s="140"/>
      <c r="N349" s="140"/>
      <c r="O349" s="140">
        <v>1</v>
      </c>
      <c r="P349" s="22"/>
      <c r="Q349" s="25"/>
      <c r="R349" s="4" t="str">
        <f>IF(SnapshotTable[[#This Row],[Equity Basis Total]] &gt; 0, SnapshotTable[[#This Row],[Equity Basis Total]] / SnapshotTable[[#This Row],[Equity Shares]], "")</f>
        <v/>
      </c>
      <c r="S349" s="269">
        <f>SnapshotTable[[#This Row],[Last Price]] * SnapshotTable[[#This Row],[Equity Shares]]</f>
        <v>0</v>
      </c>
      <c r="T349" s="269">
        <f>SnapshotTable[[#This Row],[Equity Value]] - SnapshotTable[[#This Row],[Equity Basis Total]]</f>
        <v>0</v>
      </c>
      <c r="U349" s="270" t="str">
        <f>IF(SnapshotTable[[#This Row],[Equity Basis Total]] &gt; 0, SnapshotTable[[#This Row],[Equity G/L]] / SnapshotTable[[#This Row],[Equity Basis Total]], "")</f>
        <v/>
      </c>
      <c r="V349" s="268"/>
      <c r="W349" s="26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7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0">
        <v>0.2</v>
      </c>
      <c r="AD349" s="151" t="s">
        <v>2</v>
      </c>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3.7885963250615649E-3</v>
      </c>
      <c r="AH349" s="151" t="s">
        <v>2</v>
      </c>
      <c r="AI349" s="5"/>
      <c r="AJ349" s="138">
        <v>47.28</v>
      </c>
      <c r="AK349" s="152" t="str">
        <f>IF(ISNUMBER( SnapshotTable[[#This Row],[EBF Target]]),(SnapshotTable[[#This Row],[EBF Target]] - SnapshotTable[[#This Row],[Last Price]]) / SnapshotTable[[#This Row],[Last Price]], "")</f>
        <v/>
      </c>
      <c r="AL349" s="152"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2">
        <f>IF(AND(ISNUMBER( SnapshotTable[[#This Row],[Long Term Target]]), ISNUMBER(SnapshotTable[[#This Row],[Last Price]])),(SnapshotTable[[#This Row],[Long Term Target]] - SnapshotTable[[#This Row],[Last Price]]) / SnapshotTable[[#This Row],[Last Price]], "")</f>
        <v>-0.10437582875544607</v>
      </c>
      <c r="AP349" s="5"/>
      <c r="AQ349" s="38"/>
      <c r="AR349" s="5"/>
      <c r="AS349" s="38"/>
      <c r="AT349" s="146"/>
      <c r="AU349" s="187" t="str">
        <f>IF(OR(SnapshotTable[[#This Row],[LP No Fill]]="Y",SnapshotTable[[#This Row],[SP Is Filled]],SnapshotTable[[#This Row],[LC Not Filled]]="Y",SnapshotTable[[#This Row],[SC Is Filled]]),"Y","")</f>
        <v/>
      </c>
      <c r="AV349" s="219"/>
      <c r="AW349" s="225"/>
      <c r="AX349" s="220"/>
      <c r="AY349" s="219" t="str">
        <f>IF(SnapshotTable[[#This Row],[Implied Move]]&gt;0, SnapshotTable[[#This Row],[Last Price]]-SnapshotTable[[#This Row],[Implied Move]],"")</f>
        <v/>
      </c>
      <c r="AZ349" s="219" t="str">
        <f>IF(SnapshotTable[[#This Row],[Implied Move]]&gt;0, SnapshotTable[[#This Row],[Last Price]] + SnapshotTable[[#This Row],[Implied Move]],"")</f>
        <v/>
      </c>
      <c r="BA349" s="331"/>
      <c r="BB349" s="347"/>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51"/>
      <c r="BE349" s="5"/>
      <c r="BF349" s="14"/>
      <c r="BG349" s="13"/>
      <c r="BH349" s="13"/>
      <c r="BI349" s="5"/>
      <c r="BJ349" s="136">
        <f>IF(SnapshotTable[[#This Row],[LP Qty]] &gt; 0, SnapshotTable[[#This Row],[LP Qty]] * SnapshotTable[[#This Row],[LP Book Price]] * 100,0)</f>
        <v>0</v>
      </c>
      <c r="BK349" s="136">
        <f>IF(SnapshotTable[[#This Row],[LP Premium]] &gt; 0, SnapshotTable[[#This Row],[LP Qty]] * SnapshotTable[[#This Row],[LP Strike Price]] * 100,0)</f>
        <v>0</v>
      </c>
      <c r="BL349" s="154"/>
      <c r="BM349" s="385" t="str">
        <f>IF(SnapshotTable[[#This Row],[LP Premium]] &gt; 0,SnapshotTable[[#This Row],[LP Exp Date]]-MAX(SnapshotTable[[#This Row],[LP Book Date]], SnapshotTable[[#This Row],[LP Fill Date]]),"")</f>
        <v/>
      </c>
      <c r="BN349" s="385" t="str">
        <f>IF(ISNUMBER( SnapshotTable[[#This Row],[LP Term]]), SnapshotTable[[#This Row],[LP Exp Date]] - MockToday,"")</f>
        <v/>
      </c>
      <c r="BO349" s="163"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7"/>
      <c r="BU349" s="13"/>
      <c r="BV349" s="5"/>
      <c r="BW349" s="419" t="b">
        <f>AND(ISNUMBER(SnapshotTable[[#This Row],[SP Exp Date]]), ISNUMBER(SnapshotTable[[#This Row],[SP Strike Price]]), ISNUMBER(SnapshotTable[[#This Row],[SP Qty]]), ISNUMBER(SnapshotTable[[#This Row],[SP Book Date]]), ISNUMBER(SnapshotTable[[#This Row],[SP Book Price]]))</f>
        <v>0</v>
      </c>
      <c r="BX349" s="419" t="b">
        <f>AND(SnapshotTable[[#This Row],[SP Is Booked]], NOT(ISBLANK(SnapshotTable[[#This Row],[SP Fill Date]])))</f>
        <v>0</v>
      </c>
      <c r="BY349" s="33">
        <f>IF(SnapshotTable[[#This Row],[SP Is Booked]], SnapshotTable[[#This Row],[SP Qty]] * SnapshotTable[[#This Row],[SP Book Price]] * 100, 0)</f>
        <v>0</v>
      </c>
      <c r="BZ349" s="369"/>
      <c r="CA349" s="368">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3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44"/>
      <c r="CK349" s="31">
        <f>IF(ISNUMBER(SnapshotTable[[#This Row],[SP Potential Spend]]),IF(ISNUMBER(SnapshotTable[[#This Row],[SP POW]]), SnapshotTable[[#This Row],[SP POW]] * SnapshotTable[[#This Row],[SP Potential Spend]], SnapshotTable[[#This Row],[SP Potential Spend]]), "")</f>
        <v>0</v>
      </c>
      <c r="CL349" s="164">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78"/>
      <c r="CO349" s="369"/>
      <c r="CP349" s="4" t="str">
        <f>IF(SnapshotTable[[#This Row],[SP Is Filled]], btc_max_buyback_amount(SnapshotTable[[#This Row],[SP Fill Date]],SnapshotTable[[#This Row],[SP Exp Date]], SnapshotTable[[#This Row],[SP Book Price]]),"")</f>
        <v/>
      </c>
      <c r="CQ349" s="78"/>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5" t="str">
        <f>IF(SnapshotTable[[#This Row],[SP Is Filled]], btc_next_cutoff_date(SnapshotTable[[#This Row],[SP Fill Date]],SnapshotTable[[#This Row],[SP Exp Date]]),"")</f>
        <v/>
      </c>
      <c r="CT349" s="23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43"/>
      <c r="CV349" s="235"/>
      <c r="CW349" s="378"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294" t="str">
        <f>IF(ISNUMBER((SnapshotTable[[#This Row],[SP Total Value]])), SnapshotTable[[#This Row],[SP Gain Loss]] / SnapshotTable[[#This Row],[SP Premium]], "")</f>
        <v/>
      </c>
      <c r="DI349" s="406"/>
      <c r="DJ349" s="138"/>
      <c r="DK349" s="148"/>
      <c r="DL349" s="13"/>
      <c r="DM349" s="13"/>
      <c r="DO349" s="31">
        <f>IF(SnapshotTable[[#This Row],[LC Symbol Count]]=1, SnapshotTable[[#This Row],[LC Qty]] * SnapshotTable[[#This Row],[LC Book Price]] * 100, 0)</f>
        <v>0</v>
      </c>
      <c r="DP349" s="163" t="str">
        <f>IF(AND(SnapshotTable[[#This Row],[LC Exp Date]]&gt;0, SnapshotTable[[#This Row],[LC Strike Price]]&gt;0,SnapshotTable[[#This Row],[LC Qty]]&gt;0,SnapshotTable[[#This Row],[LC Book Date]]&gt;0,SnapshotTable[[#This Row],[LC Book Price]]&gt;0,SnapshotTable[[#This Row],[LC Fill Date]]=0),"Y","")</f>
        <v/>
      </c>
      <c r="DQ349" s="386" t="str">
        <f>IF(SnapshotTable[[#This Row],[LC Premium]] &gt; 0,SnapshotTable[[#This Row],[LC Exp Date]]-MAX(SnapshotTable[[#This Row],[LC Book Date]], SnapshotTable[[#This Row],[LC Fill Date]]),"")</f>
        <v/>
      </c>
      <c r="DR349" s="386" t="str">
        <f>IF(ISNUMBER(SnapshotTable[[#This Row],[LC Term]]), SnapshotTable[[#This Row],[LC Exp Date]] - MockToday, "")</f>
        <v/>
      </c>
      <c r="DS349" s="23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40" t="str">
        <f>IF(ISNUMBER(SnapshotTable[[#This Row],[LC Actual Gain Loss]]), SnapshotTable[[#This Row],[LC Actual Gain Loss]] / SnapshotTable[[#This Row],[LC Premium]],"")</f>
        <v/>
      </c>
      <c r="DX349" s="284" t="str">
        <f>IF(ISNUMBER(SnapshotTable[[#This Row],[LC Book Price]]),SnapshotTable[[#This Row],[LC Book Price]] * 1.5,"")</f>
        <v/>
      </c>
      <c r="DY349" s="265" t="str">
        <f>IF(SnapshotTable[[#This Row],[LC Premium]]&gt;0, SnapshotTable[[#This Row],[LC Next Target]] * SnapshotTable[[#This Row],[LC Qty]] * 100,"")</f>
        <v/>
      </c>
      <c r="DZ349" s="265" t="str">
        <f>IF(ISNUMBER(SnapshotTable[[#This Row],[LC Target Gross]]), SnapshotTable[[#This Row],[LC Target Gross]] - SnapshotTable[[#This Row],[LC Premium]], "")</f>
        <v/>
      </c>
      <c r="EA349" s="305" t="str">
        <f>IF(ISNUMBER(SnapshotTable[[#This Row],[LC Target Gain Loss]]), SnapshotTable[[#This Row],[LC Target Gain Loss]]/SnapshotTable[[#This Row],[LC Premium]], "")</f>
        <v/>
      </c>
      <c r="EB349" s="262"/>
      <c r="EC349" s="283" t="str">
        <f>IF(SnapshotTable[[#This Row],[LC Premium]]&gt;0, SnapshotTable[[#This Row],[LC Book Price]] * (1 - LC_StopLoss_Pct),"")</f>
        <v/>
      </c>
      <c r="ED349" s="284"/>
      <c r="EE349" s="28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4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7"/>
      <c r="EL349" s="138"/>
      <c r="EM349" s="148"/>
      <c r="EN349" s="147"/>
      <c r="EO349" s="147"/>
      <c r="EP349" s="138"/>
      <c r="EQ349" s="419" t="b">
        <f>AND(ISNUMBER(SnapshotTable[[#This Row],[SC Exp Date]]), ISNUMBER(SnapshotTable[[#This Row],[SC Strike Price]]), ISNUMBER(SnapshotTable[[#This Row],[SC Qty]]), ISNUMBER(SnapshotTable[[#This Row],[SC Book Date]]), ISNUMBER(SnapshotTable[[#This Row],[SC Book Price]]))</f>
        <v>0</v>
      </c>
      <c r="ER349" s="419" t="b">
        <f>AND(SnapshotTable[[#This Row],[SC Is Booked]], NOT(ISBLANK(SnapshotTable[[#This Row],[SC Fill Date]])))</f>
        <v>0</v>
      </c>
      <c r="ES349" s="370"/>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3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283"/>
      <c r="FA349" s="218"/>
      <c r="FB349" s="370"/>
      <c r="FC349" s="4">
        <f>IF(SnapshotTable[[#This Row],[SC Is Filled]], btc_max_buyback_amount(SnapshotTable[[#This Row],[SC Fill Date]],SnapshotTable[[#This Row],[SC Exp Date]], SnapshotTable[[#This Row],[SC Book Price]]),0)</f>
        <v>0</v>
      </c>
      <c r="FD349" s="5"/>
      <c r="FE349" s="144"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382">
        <f>IF(SnapshotTable[[#This Row],[SC Is Filled]], IF(ISNUMBER(SnapshotTable[[#This Row],[SC Current Ask]]), SnapshotTable[[#This Row],[SC Current Ask]], SnapshotTable[[#This Row],[SC Book Price]]) - SnapshotTable[[#This Row],[SC Intrinsic Value]], 0)</f>
        <v>0</v>
      </c>
      <c r="FI349" s="143"/>
      <c r="FJ349" s="32" t="str">
        <f>IF(SnapshotTable[[#This Row],[SC Is Filled]],100 * SnapshotTable[[#This Row],[SC Qty]] * IF(ISNUMBER(SnapshotTable[[#This Row],[SC Buyback Override]]), SnapshotTable[[#This Row],[SC Buyback Override]], SnapshotTable[[#This Row],[SC Current Ask]]), "")</f>
        <v/>
      </c>
      <c r="FK349" s="250" t="str">
        <f>IF(SnapshotTable[[#This Row],[SC Time Val]]&gt;0, SnapshotTable[[#This Row],[SC Time Val]] / SnapshotTable[[#This Row],[Last Price]],"")</f>
        <v/>
      </c>
      <c r="FL349" s="302" t="str">
        <f>IF(SnapshotTable[[#This Row],[SC Is Booked]], ((SnapshotTable[[#This Row],[Last Price]] -SnapshotTable[[#This Row],[SC Strike Price]]) / SnapshotTable[[#This Row],[Last Price]]) * -1, "")</f>
        <v/>
      </c>
      <c r="FM349" s="157"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33"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36" t="str">
        <f>IF(AND(ISNUMBER(SnapshotTable[[#This Row],[SC Simple ROO]]),SnapshotTable[[#This Row],[SC Simple ROO]] &gt; 0), SnapshotTable[[#This Row],[SC Premium]] + (SnapshotTable[[#This Row],[SC Qty]] * SnapshotTable[[#This Row],[SC Upside Potential]]), "")</f>
        <v/>
      </c>
      <c r="FX349" s="302" t="str" cm="1">
        <f t="array" ref="FX349">IF(ISNUMBER(SnapshotTable[[#This Row],[SC Max Dollars]]), annualize(SnapshotTable[[#This Row],[SC Term]],(SnapshotTable[[#This Row],[SC Max Dollars]]/SnapshotTable[[#This Row],[SC Basis]])),"")</f>
        <v/>
      </c>
      <c r="FY349" s="23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294" t="str">
        <f>IFERROR( IF(ISNUMBER((SnapshotTable[[#This Row],[SC Current Value]])), SnapshotTable[[#This Row],[SC Gain Loss]] / SnapshotTable[[#This Row],[SC Premium]], ""), "")</f>
        <v/>
      </c>
      <c r="GB349" s="42">
        <f>SnapshotTable[[#This Row],[Equity Shares]] * SaleSharesToConsiderPercentage</f>
        <v>0</v>
      </c>
      <c r="GC349" s="40">
        <f>SnapshotTable[[#This Row],[Long Term Target]] * SellingPriceToConsiderBasedOnTargetPercentage</f>
        <v>44.915999999999997</v>
      </c>
      <c r="GD349" s="40">
        <f>SnapshotTable[[#This Row],[Last Price]] * (1+ SellingPriceToConsiderBasedOnTargetPercentage)</f>
        <v>102.9405</v>
      </c>
      <c r="GE349" s="41"/>
      <c r="GF349" s="40"/>
      <c r="GG349" s="31">
        <f>SnapshotTable[[#This Row],[Booked Sale Shares]] * SnapshotTable[[#This Row],[Booked Sale Price]]</f>
        <v>0</v>
      </c>
      <c r="GH349" s="31" t="str">
        <f>IF(SnapshotTable[[#This Row],[Equity Basis Total]] &gt; 0, SnapshotTable[[#This Row],[Equity Basis Per Share]] * SnapshotTable[[#This Row],[Booked Sale Shares]], "")</f>
        <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t="s">
        <v>793</v>
      </c>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9" s="231">
        <f>MAX(SnapshotTable[[#This Row],[Equity Basis Total]],SnapshotTable[[#This Row],[Equity Value]]) + (SnapshotTable[[#This Row],[SP Potential Spend]]- SnapshotTable[[#This Row],[SP Premium]] + SnapshotTable[[#This Row],[LP Premium]])+ (SnapshotTable[[#This Row],[LC Premium]] - SnapshotTable[[#This Row],[SC Premium]])</f>
        <v>0</v>
      </c>
      <c r="GW349" s="139" t="str">
        <f>IF(AND(SnapshotTable[[#This Row],[Exposure]] &lt;&gt; 0),SnapshotTable[[#This Row],[Exposure]] / SnapshotTable[[#Totals],[Exposure]], "")</f>
        <v/>
      </c>
      <c r="HK349" s="1"/>
      <c r="HL349" s="1"/>
      <c r="HM349" s="1"/>
      <c r="HN349" s="1"/>
      <c r="HO349" s="1"/>
      <c r="HP349" s="1"/>
    </row>
    <row r="350" spans="2:224" ht="12.75" hidden="1" customHeight="1" x14ac:dyDescent="0.25">
      <c r="B350" s="12" t="s">
        <v>1030</v>
      </c>
      <c r="C350" s="422">
        <v>25.85</v>
      </c>
      <c r="D350" s="208"/>
      <c r="E350" s="39">
        <f>SnapshotTable[[#This Row],[Last Price]]*(1 -CrashDiscount)</f>
        <v>21.9725</v>
      </c>
      <c r="F350" s="26" t="s">
        <v>945</v>
      </c>
      <c r="G350" s="26" t="s">
        <v>606</v>
      </c>
      <c r="H350" s="149"/>
      <c r="I350" s="194">
        <v>44768.291666666664</v>
      </c>
      <c r="J350" s="195">
        <v>44768.291666666664</v>
      </c>
      <c r="K350" s="196"/>
      <c r="L350" s="326"/>
      <c r="M350" s="140"/>
      <c r="N350" s="140"/>
      <c r="O350" s="140"/>
      <c r="P350" s="22"/>
      <c r="Q350" s="25"/>
      <c r="R350" s="4" t="str">
        <f>IF(SnapshotTable[[#This Row],[Equity Basis Total]] &gt; 0, SnapshotTable[[#This Row],[Equity Basis Total]] / SnapshotTable[[#This Row],[Equity Shares]], "")</f>
        <v/>
      </c>
      <c r="S350" s="269">
        <f>SnapshotTable[[#This Row],[Last Price]] * SnapshotTable[[#This Row],[Equity Shares]]</f>
        <v>0</v>
      </c>
      <c r="T350" s="269">
        <f>SnapshotTable[[#This Row],[Equity Value]] - SnapshotTable[[#This Row],[Equity Basis Total]]</f>
        <v>0</v>
      </c>
      <c r="U350" s="270" t="str">
        <f>IF(SnapshotTable[[#This Row],[Equity Basis Total]] &gt; 0, SnapshotTable[[#This Row],[Equity G/L]] / SnapshotTable[[#This Row],[Equity Basis Total]], "")</f>
        <v/>
      </c>
      <c r="V350" s="268"/>
      <c r="W350" s="334"/>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7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0"/>
      <c r="AD350" s="151"/>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1"/>
      <c r="AI350" s="5"/>
      <c r="AJ350" s="138">
        <v>37.159999999999997</v>
      </c>
      <c r="AK350" s="152" t="str">
        <f>IF(ISNUMBER( SnapshotTable[[#This Row],[EBF Target]]),(SnapshotTable[[#This Row],[EBF Target]] - SnapshotTable[[#This Row],[Last Price]]) / SnapshotTable[[#This Row],[Last Price]], "")</f>
        <v/>
      </c>
      <c r="AL350" s="152"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2">
        <f>IF(AND(ISNUMBER( SnapshotTable[[#This Row],[Long Term Target]]), ISNUMBER(SnapshotTable[[#This Row],[Last Price]])),(SnapshotTable[[#This Row],[Long Term Target]] - SnapshotTable[[#This Row],[Last Price]]) / SnapshotTable[[#This Row],[Last Price]], "")</f>
        <v>0.43752417794970966</v>
      </c>
      <c r="AP350" s="5"/>
      <c r="AQ350" s="38"/>
      <c r="AR350" s="5"/>
      <c r="AS350" s="38"/>
      <c r="AT350" s="146"/>
      <c r="AU350" s="187" t="str">
        <f>IF(OR(SnapshotTable[[#This Row],[LP No Fill]]="Y",SnapshotTable[[#This Row],[SP Is Filled]],SnapshotTable[[#This Row],[LC Not Filled]]="Y",SnapshotTable[[#This Row],[SC Is Filled]]),"Y","")</f>
        <v/>
      </c>
      <c r="AV350" s="219"/>
      <c r="AW350" s="225"/>
      <c r="AX350" s="220"/>
      <c r="AY350" s="219" t="str">
        <f>IF(SnapshotTable[[#This Row],[Implied Move]]&gt;0, SnapshotTable[[#This Row],[Last Price]]-SnapshotTable[[#This Row],[Implied Move]],"")</f>
        <v/>
      </c>
      <c r="AZ350" s="219" t="str">
        <f>IF(SnapshotTable[[#This Row],[Implied Move]]&gt;0, SnapshotTable[[#This Row],[Last Price]] + SnapshotTable[[#This Row],[Implied Move]],"")</f>
        <v/>
      </c>
      <c r="BA350" s="331">
        <v>33.86</v>
      </c>
      <c r="BB350" s="347"/>
      <c r="BC3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0" s="351"/>
      <c r="BE350" s="138"/>
      <c r="BF350" s="166"/>
      <c r="BG350" s="167"/>
      <c r="BH350" s="167"/>
      <c r="BI350" s="221"/>
      <c r="BJ350" s="153">
        <f>IF(SnapshotTable[[#This Row],[LP Qty]] &gt; 0, SnapshotTable[[#This Row],[LP Qty]] * SnapshotTable[[#This Row],[LP Book Price]] * 100,0)</f>
        <v>0</v>
      </c>
      <c r="BK350" s="136">
        <f>IF(SnapshotTable[[#This Row],[LP Premium]] &gt; 0, SnapshotTable[[#This Row],[LP Qty]] * SnapshotTable[[#This Row],[LP Strike Price]] * 100,0)</f>
        <v>0</v>
      </c>
      <c r="BL350" s="154"/>
      <c r="BM350" s="385" t="str">
        <f>IF(SnapshotTable[[#This Row],[LP Premium]] &gt; 0,SnapshotTable[[#This Row],[LP Exp Date]]-MAX(SnapshotTable[[#This Row],[LP Book Date]], SnapshotTable[[#This Row],[LP Fill Date]]),"")</f>
        <v/>
      </c>
      <c r="BN350" s="385" t="str">
        <f>IF(ISNUMBER( SnapshotTable[[#This Row],[LP Term]]), SnapshotTable[[#This Row],[LP Exp Date]] - MockToday,"")</f>
        <v/>
      </c>
      <c r="BO350" s="163"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7"/>
      <c r="BU350" s="13"/>
      <c r="BV350" s="5"/>
      <c r="BW350" s="419" t="b">
        <f>AND(ISNUMBER(SnapshotTable[[#This Row],[SP Exp Date]]), ISNUMBER(SnapshotTable[[#This Row],[SP Strike Price]]), ISNUMBER(SnapshotTable[[#This Row],[SP Qty]]), ISNUMBER(SnapshotTable[[#This Row],[SP Book Date]]), ISNUMBER(SnapshotTable[[#This Row],[SP Book Price]]))</f>
        <v>0</v>
      </c>
      <c r="BX350" s="419" t="b">
        <f>AND(SnapshotTable[[#This Row],[SP Is Booked]], NOT(ISBLANK(SnapshotTable[[#This Row],[SP Fill Date]])))</f>
        <v>0</v>
      </c>
      <c r="BY350" s="33">
        <f>IF(SnapshotTable[[#This Row],[SP Is Booked]], SnapshotTable[[#This Row],[SP Qty]] * SnapshotTable[[#This Row],[SP Book Price]] * 100, 0)</f>
        <v>0</v>
      </c>
      <c r="BZ350" s="369"/>
      <c r="CA350" s="368">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3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44"/>
      <c r="CK350" s="31">
        <f>IF(ISNUMBER(SnapshotTable[[#This Row],[SP Potential Spend]]),IF(ISNUMBER(SnapshotTable[[#This Row],[SP POW]]), SnapshotTable[[#This Row],[SP POW]] * SnapshotTable[[#This Row],[SP Potential Spend]], SnapshotTable[[#This Row],[SP Potential Spend]]), "")</f>
        <v>0</v>
      </c>
      <c r="CL350" s="164">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154"/>
      <c r="CO350" s="369"/>
      <c r="CP350" s="4" t="str">
        <f>IF(SnapshotTable[[#This Row],[SP Is Filled]], btc_max_buyback_amount(SnapshotTable[[#This Row],[SP Fill Date]],SnapshotTable[[#This Row],[SP Exp Date]], SnapshotTable[[#This Row],[SP Book Price]]),"")</f>
        <v/>
      </c>
      <c r="CQ350" s="78"/>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5" t="str">
        <f>IF(SnapshotTable[[#This Row],[SP Is Filled]], btc_next_cutoff_date(SnapshotTable[[#This Row],[SP Fill Date]],SnapshotTable[[#This Row],[SP Exp Date]]),"")</f>
        <v/>
      </c>
      <c r="CT350" s="23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3"/>
      <c r="CV350" s="235"/>
      <c r="CW350" s="378"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294" t="str">
        <f>IF(ISNUMBER((SnapshotTable[[#This Row],[SP Total Value]])), SnapshotTable[[#This Row],[SP Gain Loss]] / SnapshotTable[[#This Row],[SP Premium]], "")</f>
        <v/>
      </c>
      <c r="DI350" s="406"/>
      <c r="DJ350" s="138"/>
      <c r="DK350" s="148"/>
      <c r="DL350" s="147"/>
      <c r="DM350" s="147"/>
      <c r="DO350" s="31">
        <f>IF(SnapshotTable[[#This Row],[LC Symbol Count]]=1, SnapshotTable[[#This Row],[LC Qty]] * SnapshotTable[[#This Row],[LC Book Price]] * 100, 0)</f>
        <v>0</v>
      </c>
      <c r="DP350" s="163" t="str">
        <f>IF(AND(SnapshotTable[[#This Row],[LC Exp Date]]&gt;0, SnapshotTable[[#This Row],[LC Strike Price]]&gt;0,SnapshotTable[[#This Row],[LC Qty]]&gt;0,SnapshotTable[[#This Row],[LC Book Date]]&gt;0,SnapshotTable[[#This Row],[LC Book Price]]&gt;0,SnapshotTable[[#This Row],[LC Fill Date]]=0),"Y","")</f>
        <v/>
      </c>
      <c r="DQ350" s="386" t="str">
        <f>IF(SnapshotTable[[#This Row],[LC Premium]] &gt; 0,SnapshotTable[[#This Row],[LC Exp Date]]-MAX(SnapshotTable[[#This Row],[LC Book Date]], SnapshotTable[[#This Row],[LC Fill Date]]),"")</f>
        <v/>
      </c>
      <c r="DR350" s="386" t="str">
        <f>IF(ISNUMBER(SnapshotTable[[#This Row],[LC Term]]), SnapshotTable[[#This Row],[LC Exp Date]] - MockToday, "")</f>
        <v/>
      </c>
      <c r="DS350" s="234" t="str">
        <f>IF(SnapshotTable[[#This Row],[LC Premium]]&gt;0,SnapshotTable[[#This Row],[LC Strike Price]] + SnapshotTable[[#This Row],[LC Book Price]],"")</f>
        <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40" t="str">
        <f>IF(ISNUMBER(SnapshotTable[[#This Row],[LC Actual Gain Loss]]), SnapshotTable[[#This Row],[LC Actual Gain Loss]] / SnapshotTable[[#This Row],[LC Premium]],"")</f>
        <v/>
      </c>
      <c r="DX350" s="284" t="str">
        <f>IF(ISNUMBER(SnapshotTable[[#This Row],[LC Book Price]]),SnapshotTable[[#This Row],[LC Book Price]] * 1.5,"")</f>
        <v/>
      </c>
      <c r="DY350" s="265" t="str">
        <f>IF(SnapshotTable[[#This Row],[LC Premium]]&gt;0, SnapshotTable[[#This Row],[LC Next Target]] * SnapshotTable[[#This Row],[LC Qty]] * 100,"")</f>
        <v/>
      </c>
      <c r="DZ350" s="265" t="str">
        <f>IF(ISNUMBER(SnapshotTable[[#This Row],[LC Target Gross]]), SnapshotTable[[#This Row],[LC Target Gross]] - SnapshotTable[[#This Row],[LC Premium]], "")</f>
        <v/>
      </c>
      <c r="EA350" s="305" t="str">
        <f>IF(ISNUMBER(SnapshotTable[[#This Row],[LC Target Gain Loss]]), SnapshotTable[[#This Row],[LC Target Gain Loss]]/SnapshotTable[[#This Row],[LC Premium]], "")</f>
        <v/>
      </c>
      <c r="EB350" s="262"/>
      <c r="EC350" s="283" t="str">
        <f>IF(SnapshotTable[[#This Row],[LC Premium]]&gt;0, SnapshotTable[[#This Row],[LC Book Price]] * (1 - LC_StopLoss_Pct),"")</f>
        <v/>
      </c>
      <c r="ED350" s="284"/>
      <c r="EE350" s="28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0</v>
      </c>
      <c r="EI350" s="24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0</v>
      </c>
      <c r="EK350" s="147"/>
      <c r="EL350" s="138"/>
      <c r="EM350" s="148"/>
      <c r="EN350" s="147"/>
      <c r="EO350" s="147"/>
      <c r="EP350" s="138"/>
      <c r="EQ350" s="419" t="b">
        <f>AND(ISNUMBER(SnapshotTable[[#This Row],[SC Exp Date]]), ISNUMBER(SnapshotTable[[#This Row],[SC Strike Price]]), ISNUMBER(SnapshotTable[[#This Row],[SC Qty]]), ISNUMBER(SnapshotTable[[#This Row],[SC Book Date]]), ISNUMBER(SnapshotTable[[#This Row],[SC Book Price]]))</f>
        <v>0</v>
      </c>
      <c r="ER350" s="419" t="b">
        <f>AND(SnapshotTable[[#This Row],[SC Is Booked]], NOT(ISBLANK(SnapshotTable[[#This Row],[SC Fill Date]])))</f>
        <v>0</v>
      </c>
      <c r="ES350" s="370"/>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3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283"/>
      <c r="FA350" s="218"/>
      <c r="FB350" s="370"/>
      <c r="FC350" s="4">
        <f>IF(SnapshotTable[[#This Row],[SC Is Filled]], btc_max_buyback_amount(SnapshotTable[[#This Row],[SC Fill Date]],SnapshotTable[[#This Row],[SC Exp Date]], SnapshotTable[[#This Row],[SC Book Price]]),0)</f>
        <v>0</v>
      </c>
      <c r="FD350" s="5"/>
      <c r="FE350" s="144"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382">
        <f>IF(SnapshotTable[[#This Row],[SC Is Filled]], IF(ISNUMBER(SnapshotTable[[#This Row],[SC Current Ask]]), SnapshotTable[[#This Row],[SC Current Ask]], SnapshotTable[[#This Row],[SC Book Price]]) - SnapshotTable[[#This Row],[SC Intrinsic Value]], 0)</f>
        <v>0</v>
      </c>
      <c r="FI350" s="143"/>
      <c r="FJ350" s="32" t="str">
        <f>IF(SnapshotTable[[#This Row],[SC Is Filled]],100 * SnapshotTable[[#This Row],[SC Qty]] * IF(ISNUMBER(SnapshotTable[[#This Row],[SC Buyback Override]]), SnapshotTable[[#This Row],[SC Buyback Override]], SnapshotTable[[#This Row],[SC Current Ask]]), "")</f>
        <v/>
      </c>
      <c r="FK350" s="250" t="str">
        <f>IF(SnapshotTable[[#This Row],[SC Time Val]]&gt;0, SnapshotTable[[#This Row],[SC Time Val]] / SnapshotTable[[#This Row],[Last Price]],"")</f>
        <v/>
      </c>
      <c r="FL350" s="302" t="str">
        <f>IF(SnapshotTable[[#This Row],[SC Is Booked]], ((SnapshotTable[[#This Row],[Last Price]] -SnapshotTable[[#This Row],[SC Strike Price]]) / SnapshotTable[[#This Row],[Last Price]]) * -1, "")</f>
        <v/>
      </c>
      <c r="FM350" s="157" t="str">
        <f>IF(SnapshotTable[[#This Row],[SC Is Booked]],  (SnapshotTable[[#This Row],[SC Qty]] * 100 * SnapshotTable[[#This Row],[SC Strike Price]]) - SnapshotTable[[#This Row],[SC Current Ask]], "")</f>
        <v/>
      </c>
      <c r="FN35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157"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33"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36" t="str">
        <f>IF(AND(ISNUMBER(SnapshotTable[[#This Row],[SC Simple ROO]]),SnapshotTable[[#This Row],[SC Simple ROO]] &gt; 0), SnapshotTable[[#This Row],[SC Premium]] + (SnapshotTable[[#This Row],[SC Qty]] * SnapshotTable[[#This Row],[SC Upside Potential]]), "")</f>
        <v/>
      </c>
      <c r="FX350" s="302" t="str" cm="1">
        <f t="array" ref="FX350">IF(ISNUMBER(SnapshotTable[[#This Row],[SC Max Dollars]]), annualize(SnapshotTable[[#This Row],[SC Term]],(SnapshotTable[[#This Row],[SC Max Dollars]]/SnapshotTable[[#This Row],[SC Basis]])),"")</f>
        <v/>
      </c>
      <c r="FY350" s="236" t="str">
        <f>IF(AND(SnapshotTable[[#This Row],[SC Qty]]&gt;0,SnapshotTable[[#This Row],[SC Current Ask]]&gt;0), SnapshotTable[[#This Row],[SC Qty]] * SnapshotTable[[#This Row],[SC Current Ask]] * -100, "")</f>
        <v/>
      </c>
      <c r="FZ350" s="235" t="str">
        <f>IF(ISNUMBER((SnapshotTable[[#This Row],[SC Current Value]])), SnapshotTable[[#This Row],[SC Premium]] + SnapshotTable[[#This Row],[SC Current Value]], "")</f>
        <v/>
      </c>
      <c r="GA350" s="29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35.301999999999992</v>
      </c>
      <c r="GD350" s="40">
        <f>SnapshotTable[[#This Row],[Last Price]] * (1+ SellingPriceToConsiderBasedOnTargetPercentage)</f>
        <v>50.407499999999999</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158" t="str">
        <f>IF(SnapshotTable[[#This Row],[Sale G/L]]&gt;0, SnapshotTable[[#This Row],[Sale G/L]] / SnapshotTable[[#This Row],[Sale Basis]], IF(ISNUMBER(SnapshotTable[[#This Row],[SC Exercise P&amp;L (TAX)]]), SnapshotTable[[#This Row],[SC Exercise P&amp;L (TAX)]] / SnapshotTable[[#This Row],[SC Basis]], ""))</f>
        <v/>
      </c>
      <c r="GK350" s="27"/>
      <c r="GL350" s="159"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159" t="str">
        <f>IF(AND(SnapshotTable[[#This Row],[LC Exp Date]]&gt;0,SnapshotTable[[#This Row],[LC Strike Price]]&gt;0), [1]!ToOptionSymbol(SnapshotTable[[#This Row],[Symbol]], SnapshotTable[[#This Row],[LC Strike Price]],SnapshotTable[[#This Row],[LC Exp Date]],0), "")</f>
        <v/>
      </c>
      <c r="GQ350" s="160" t="str">
        <f>IF(LEN(SnapshotTable[[#This Row],[LC Symbol]])&gt;0, 1, "")</f>
        <v/>
      </c>
      <c r="GR350" s="159" t="str">
        <f>IF(AND(SnapshotTable[[#This Row],[SC Exp Date]]&gt;0,SnapshotTable[[#This Row],[SC Strike Price]]&gt;0), [1]!ToOptionSymbol(SnapshotTable[[#This Row],[Symbol]], SnapshotTable[[#This Row],[SC Strike Price]],SnapshotTable[[#This Row],[SC Exp Date]],0), "")</f>
        <v/>
      </c>
      <c r="GS350" s="160" t="str">
        <f>IF(LEN(SnapshotTable[[#This Row],[SC Symbol]])&gt;0, 1, "")</f>
        <v/>
      </c>
      <c r="GT350" s="161" t="str">
        <f>IF(COUNT(SnapshotTable[[#This Row],[LP Symbol Count]],SnapshotTable[[#This Row],[SP Symbol Count]],SnapshotTable[[#This Row],[LC Symbol Count]],SnapshotTable[[#This Row],[SC Symbol Count]])&gt;0, "Y", "")</f>
        <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0" s="231">
        <f>MAX(SnapshotTable[[#This Row],[Equity Basis Total]],SnapshotTable[[#This Row],[Equity Value]]) + (SnapshotTable[[#This Row],[SP Potential Spend]]- SnapshotTable[[#This Row],[SP Premium]] + SnapshotTable[[#This Row],[LP Premium]])+ (SnapshotTable[[#This Row],[LC Premium]] - SnapshotTable[[#This Row],[SC Premium]])</f>
        <v>0</v>
      </c>
      <c r="GW350" s="139" t="str">
        <f>IF(AND(SnapshotTable[[#This Row],[Exposure]] &lt;&gt; 0),SnapshotTable[[#This Row],[Exposure]] / SnapshotTable[[#Totals],[Exposure]], "")</f>
        <v/>
      </c>
      <c r="HK350" s="1"/>
      <c r="HL350" s="1"/>
      <c r="HM350" s="1"/>
      <c r="HN350" s="1"/>
      <c r="HO350" s="1"/>
      <c r="HP350" s="1"/>
    </row>
    <row r="351" spans="2:224" ht="12.75" hidden="1" customHeight="1" x14ac:dyDescent="0.25">
      <c r="B351" s="12" t="s">
        <v>895</v>
      </c>
      <c r="C351" s="422">
        <v>132.41999999999999</v>
      </c>
      <c r="D351" s="208"/>
      <c r="E351" s="39">
        <f>SnapshotTable[[#This Row],[Last Price]]*(1 -CrashDiscount)</f>
        <v>112.55699999999999</v>
      </c>
      <c r="F351" s="26" t="s">
        <v>613</v>
      </c>
      <c r="G351" s="26" t="s">
        <v>9</v>
      </c>
      <c r="H351" s="149"/>
      <c r="I351" s="194">
        <v>44798.666666666664</v>
      </c>
      <c r="J351" s="195">
        <v>44798.666666666664</v>
      </c>
      <c r="K351" s="196"/>
      <c r="L351" s="326"/>
      <c r="M351" s="140"/>
      <c r="N351" s="140"/>
      <c r="O351" s="140"/>
      <c r="P351" s="22"/>
      <c r="Q351" s="25"/>
      <c r="R351" s="4" t="str">
        <f>IF(SnapshotTable[[#This Row],[Equity Basis Total]] &gt; 0, SnapshotTable[[#This Row],[Equity Basis Total]] / SnapshotTable[[#This Row],[Equity Shares]], "")</f>
        <v/>
      </c>
      <c r="S351" s="269">
        <f>SnapshotTable[[#This Row],[Last Price]] * SnapshotTable[[#This Row],[Equity Shares]]</f>
        <v>0</v>
      </c>
      <c r="T351" s="269">
        <f>SnapshotTable[[#This Row],[Equity Value]] - SnapshotTable[[#This Row],[Equity Basis Total]]</f>
        <v>0</v>
      </c>
      <c r="U351" s="270" t="str">
        <f>IF(SnapshotTable[[#This Row],[Equity Basis Total]] &gt; 0, SnapshotTable[[#This Row],[Equity G/L]] / SnapshotTable[[#This Row],[Equity Basis Total]], "")</f>
        <v/>
      </c>
      <c r="V351" s="268"/>
      <c r="W351" s="26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7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0"/>
      <c r="AD351" s="151"/>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1"/>
      <c r="AI351" s="5"/>
      <c r="AJ351" s="138">
        <v>191.81</v>
      </c>
      <c r="AK351" s="152" t="str">
        <f>IF(ISNUMBER( SnapshotTable[[#This Row],[EBF Target]]),(SnapshotTable[[#This Row],[EBF Target]] - SnapshotTable[[#This Row],[Last Price]]) / SnapshotTable[[#This Row],[Last Price]], "")</f>
        <v/>
      </c>
      <c r="AL351" s="152"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2">
        <f>IF(AND(ISNUMBER( SnapshotTable[[#This Row],[Long Term Target]]), ISNUMBER(SnapshotTable[[#This Row],[Last Price]])),(SnapshotTable[[#This Row],[Long Term Target]] - SnapshotTable[[#This Row],[Last Price]]) / SnapshotTable[[#This Row],[Last Price]], "")</f>
        <v>0.44849720586014213</v>
      </c>
      <c r="AP351" s="5"/>
      <c r="AQ351" s="38"/>
      <c r="AR351" s="5"/>
      <c r="AS351" s="38"/>
      <c r="AT351" s="146"/>
      <c r="AU351" s="187" t="str">
        <f>IF(OR(SnapshotTable[[#This Row],[LP No Fill]]="Y",SnapshotTable[[#This Row],[SP Is Filled]],SnapshotTable[[#This Row],[LC Not Filled]]="Y",SnapshotTable[[#This Row],[SC Is Filled]]),"Y","")</f>
        <v/>
      </c>
      <c r="AV351" s="219"/>
      <c r="AW351" s="225"/>
      <c r="AX351" s="220"/>
      <c r="AY351" s="219" t="str">
        <f>IF(SnapshotTable[[#This Row],[Implied Move]]&gt;0, SnapshotTable[[#This Row],[Last Price]]-SnapshotTable[[#This Row],[Implied Move]],"")</f>
        <v/>
      </c>
      <c r="AZ351" s="219" t="str">
        <f>IF(SnapshotTable[[#This Row],[Implied Move]]&gt;0, SnapshotTable[[#This Row],[Last Price]] + SnapshotTable[[#This Row],[Implied Move]],"")</f>
        <v/>
      </c>
      <c r="BA351" s="331"/>
      <c r="BB351" s="347"/>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351" s="351"/>
      <c r="BE351" s="138"/>
      <c r="BF351" s="166"/>
      <c r="BG351" s="167"/>
      <c r="BH351" s="167"/>
      <c r="BI351" s="221"/>
      <c r="BJ351" s="153">
        <f>IF(SnapshotTable[[#This Row],[LP Qty]] &gt; 0, SnapshotTable[[#This Row],[LP Qty]] * SnapshotTable[[#This Row],[LP Book Price]] * 100,0)</f>
        <v>0</v>
      </c>
      <c r="BK351" s="136">
        <f>IF(SnapshotTable[[#This Row],[LP Premium]] &gt; 0, SnapshotTable[[#This Row],[LP Qty]] * SnapshotTable[[#This Row],[LP Strike Price]] * 100,0)</f>
        <v>0</v>
      </c>
      <c r="BL351" s="154"/>
      <c r="BM351" s="385" t="str">
        <f>IF(SnapshotTable[[#This Row],[LP Premium]] &gt; 0,SnapshotTable[[#This Row],[LP Exp Date]]-MAX(SnapshotTable[[#This Row],[LP Book Date]], SnapshotTable[[#This Row],[LP Fill Date]]),"")</f>
        <v/>
      </c>
      <c r="BN351" s="385" t="str">
        <f>IF(ISNUMBER( SnapshotTable[[#This Row],[LP Term]]), SnapshotTable[[#This Row],[LP Exp Date]] - MockToday,"")</f>
        <v/>
      </c>
      <c r="BO351" s="163"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v>45142</v>
      </c>
      <c r="BR351" s="5"/>
      <c r="BS351" s="36"/>
      <c r="BT351" s="147"/>
      <c r="BU351" s="13"/>
      <c r="BV351" s="5">
        <v>2.2000000000000002</v>
      </c>
      <c r="BW351" s="419" t="b">
        <f>AND(ISNUMBER(SnapshotTable[[#This Row],[SP Exp Date]]), ISNUMBER(SnapshotTable[[#This Row],[SP Strike Price]]), ISNUMBER(SnapshotTable[[#This Row],[SP Qty]]), ISNUMBER(SnapshotTable[[#This Row],[SP Book Date]]), ISNUMBER(SnapshotTable[[#This Row],[SP Book Price]]))</f>
        <v>0</v>
      </c>
      <c r="BX351" s="419" t="b">
        <f>AND(SnapshotTable[[#This Row],[SP Is Booked]], NOT(ISBLANK(SnapshotTable[[#This Row],[SP Fill Date]])))</f>
        <v>0</v>
      </c>
      <c r="BY351" s="33">
        <f>IF(SnapshotTable[[#This Row],[SP Is Booked]], SnapshotTable[[#This Row],[SP Qty]] * SnapshotTable[[#This Row],[SP Book Price]] * 100, 0)</f>
        <v>0</v>
      </c>
      <c r="BZ351" s="369"/>
      <c r="CA351" s="368">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3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44"/>
      <c r="CK351" s="31">
        <f>IF(ISNUMBER(SnapshotTable[[#This Row],[SP Potential Spend]]),IF(ISNUMBER(SnapshotTable[[#This Row],[SP POW]]), SnapshotTable[[#This Row],[SP POW]] * SnapshotTable[[#This Row],[SP Potential Spend]], SnapshotTable[[#This Row],[SP Potential Spend]]), "")</f>
        <v>0</v>
      </c>
      <c r="CL351" s="164">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154"/>
      <c r="CO351" s="369"/>
      <c r="CP351" s="4" t="str">
        <f>IF(SnapshotTable[[#This Row],[SP Is Filled]], btc_max_buyback_amount(SnapshotTable[[#This Row],[SP Fill Date]],SnapshotTable[[#This Row],[SP Exp Date]], SnapshotTable[[#This Row],[SP Book Price]]),"")</f>
        <v/>
      </c>
      <c r="CQ351" s="78"/>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5" t="str">
        <f>IF(SnapshotTable[[#This Row],[SP Is Filled]], btc_next_cutoff_date(SnapshotTable[[#This Row],[SP Fill Date]],SnapshotTable[[#This Row],[SP Exp Date]]),"")</f>
        <v/>
      </c>
      <c r="CT351" s="23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56"/>
      <c r="CV351" s="235"/>
      <c r="CW351" s="378"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294" t="str">
        <f>IF(ISNUMBER((SnapshotTable[[#This Row],[SP Total Value]])), SnapshotTable[[#This Row],[SP Gain Loss]] / SnapshotTable[[#This Row],[SP Premium]], "")</f>
        <v/>
      </c>
      <c r="DI351" s="406"/>
      <c r="DJ351" s="138"/>
      <c r="DK351" s="148"/>
      <c r="DL351" s="147"/>
      <c r="DM351" s="147"/>
      <c r="DO351" s="31">
        <f>IF(SnapshotTable[[#This Row],[LC Symbol Count]]=1, SnapshotTable[[#This Row],[LC Qty]] * SnapshotTable[[#This Row],[LC Book Price]] * 100, 0)</f>
        <v>0</v>
      </c>
      <c r="DP351" s="289" t="str">
        <f>IF(AND(SnapshotTable[[#This Row],[LC Exp Date]]&gt;0, SnapshotTable[[#This Row],[LC Strike Price]]&gt;0,SnapshotTable[[#This Row],[LC Qty]]&gt;0,SnapshotTable[[#This Row],[LC Book Date]]&gt;0,SnapshotTable[[#This Row],[LC Book Price]]&gt;0,SnapshotTable[[#This Row],[LC Fill Date]]=0),"Y","")</f>
        <v/>
      </c>
      <c r="DQ351" s="386" t="str">
        <f>IF(SnapshotTable[[#This Row],[LC Premium]] &gt; 0,SnapshotTable[[#This Row],[LC Exp Date]]-MAX(SnapshotTable[[#This Row],[LC Book Date]], SnapshotTable[[#This Row],[LC Fill Date]]),"")</f>
        <v/>
      </c>
      <c r="DR351" s="386" t="str">
        <f>IF(ISNUMBER(SnapshotTable[[#This Row],[LC Term]]), SnapshotTable[[#This Row],[LC Exp Date]] - MockToday, "")</f>
        <v/>
      </c>
      <c r="DS351" s="234" t="str">
        <f>IF(SnapshotTable[[#This Row],[LC Premium]]&gt;0,SnapshotTable[[#This Row],[LC Strike Price]] + SnapshotTable[[#This Row],[LC Book Price]],"")</f>
        <v/>
      </c>
      <c r="DU351" s="9" t="str">
        <f>IF(AND(SnapshotTable[[#This Row],[LC Symbol Count]]&gt;0, SnapshotTable[[#This Row],[LC Contract Value]]&gt;0), SnapshotTable[[#This Row],[LC Contract Value]] * SnapshotTable[[#This Row],[LC Qty]] * 100, "")</f>
        <v/>
      </c>
      <c r="DV351" s="9" t="str">
        <f>IF(AND(ISNUMBER(SnapshotTable[[#This Row],[LC Total Value]]), SnapshotTable[[#This Row],[LC Not Filled]]&lt;&gt;"Y"), SnapshotTable[[#This Row],[LC Total Value]]-SnapshotTable[[#This Row],[LC Premium]],"")</f>
        <v/>
      </c>
      <c r="DW351" s="240" t="str">
        <f>IF(ISNUMBER(SnapshotTable[[#This Row],[LC Actual Gain Loss]]), SnapshotTable[[#This Row],[LC Actual Gain Loss]] / SnapshotTable[[#This Row],[LC Premium]],"")</f>
        <v/>
      </c>
      <c r="DX351" s="284" t="str">
        <f>IF(ISNUMBER(SnapshotTable[[#This Row],[LC Book Price]]),SnapshotTable[[#This Row],[LC Book Price]] * 1.5,"")</f>
        <v/>
      </c>
      <c r="DY351" s="265" t="str">
        <f>IF(SnapshotTable[[#This Row],[LC Premium]]&gt;0, SnapshotTable[[#This Row],[LC Next Target]] * SnapshotTable[[#This Row],[LC Qty]] * 100,"")</f>
        <v/>
      </c>
      <c r="DZ351" s="265" t="str">
        <f>IF(ISNUMBER(SnapshotTable[[#This Row],[LC Target Gross]]), SnapshotTable[[#This Row],[LC Target Gross]] - SnapshotTable[[#This Row],[LC Premium]], "")</f>
        <v/>
      </c>
      <c r="EA351" s="305" t="str">
        <f>IF(ISNUMBER(SnapshotTable[[#This Row],[LC Target Gain Loss]]), SnapshotTable[[#This Row],[LC Target Gain Loss]]/SnapshotTable[[#This Row],[LC Premium]], "")</f>
        <v/>
      </c>
      <c r="EB351" s="262"/>
      <c r="EC351" s="283" t="str">
        <f>IF(SnapshotTable[[#This Row],[LC Premium]]&gt;0, SnapshotTable[[#This Row],[LC Book Price]] * (1 - LC_StopLoss_Pct),"")</f>
        <v/>
      </c>
      <c r="ED351" s="284"/>
      <c r="EE351" s="283" t="str">
        <f>IF(ISNUMBER(SnapshotTable[[#This Row],[LC Contract Value]]),IF(ISNUMBER(SnapshotTable[[#This Row],[LC Stop Loss Override]]), SnapshotTable[[#This Row],[LC Stop Loss Override]],SnapshotTable[[#This Row],[LC Stop Loss Calc Target]]),"")</f>
        <v/>
      </c>
      <c r="EF351" s="31" t="str">
        <f>IF(ISNUMBER(SnapshotTable[[#This Row],[LC Stop  To Use]]), (SnapshotTable[[#This Row],[LC Stop  To Use]] * SnapshotTable[[#This Row],[LC Qty]] * 100),"")</f>
        <v/>
      </c>
      <c r="EG351" s="9" t="str">
        <f>IF(ISNUMBER(SnapshotTable[[#This Row],[LC Total Value]]),SnapshotTable[[#This Row],[LC Stop Loss Amount]] - SnapshotTable[[#This Row],[LC Premium]],"")</f>
        <v/>
      </c>
      <c r="EH351" s="9">
        <f>IF(ISNUMBER(SnapshotTable[[#This Row],[LC Premium]]), SnapshotTable[[#This Row],[LC Qty]] * 100 * SnapshotTable[[#This Row],[LC Strike Price]], "")</f>
        <v>0</v>
      </c>
      <c r="EI351" s="240" t="str">
        <f>IF(AND(ISNUMBER(SnapshotTable[[#This Row],[LC Total Value]]),SnapshotTable[[#This Row],[LC Total Value]]&gt;0),SnapshotTable[[#This Row],[LC Stop Gain Loss]]  / SnapshotTable[[#This Row],[LC Premium]],"")</f>
        <v/>
      </c>
      <c r="EJ351" s="35">
        <f>IF(ISNUMBER(SnapshotTable[[#This Row],[Equity Shares]]),TRUNC(SnapshotTable[[#This Row],[Equity Shares]] / 100),0) + SnapshotTable[[#This Row],[LC Qty]]</f>
        <v>0</v>
      </c>
      <c r="EK351" s="147"/>
      <c r="EL351" s="138"/>
      <c r="EM351" s="148"/>
      <c r="EN351" s="147"/>
      <c r="EO351" s="147"/>
      <c r="EP351" s="138"/>
      <c r="EQ351" s="419" t="b">
        <f>AND(ISNUMBER(SnapshotTable[[#This Row],[SC Exp Date]]), ISNUMBER(SnapshotTable[[#This Row],[SC Strike Price]]), ISNUMBER(SnapshotTable[[#This Row],[SC Qty]]), ISNUMBER(SnapshotTable[[#This Row],[SC Book Date]]), ISNUMBER(SnapshotTable[[#This Row],[SC Book Price]]))</f>
        <v>0</v>
      </c>
      <c r="ER351" s="419" t="b">
        <f>AND(SnapshotTable[[#This Row],[SC Is Booked]], NOT(ISBLANK(SnapshotTable[[#This Row],[SC Fill Date]])))</f>
        <v>0</v>
      </c>
      <c r="ES351" s="370"/>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t="str">
        <f>IF(AND(ISNUMBER(SnapshotTable[[#This Row],[Last Price]]), ISNUMBER( SnapshotTable[[#This Row],[SC Book Price]])), SnapshotTable[[#This Row],[Last Price]] - SnapshotTable[[#This Row],[SC Book Price]],"")</f>
        <v/>
      </c>
      <c r="EX351" s="23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283"/>
      <c r="FA351" s="218"/>
      <c r="FB351" s="370"/>
      <c r="FC351" s="4">
        <f>IF(SnapshotTable[[#This Row],[SC Is Filled]], btc_max_buyback_amount(SnapshotTable[[#This Row],[SC Fill Date]],SnapshotTable[[#This Row],[SC Exp Date]], SnapshotTable[[#This Row],[SC Book Price]]),0)</f>
        <v>0</v>
      </c>
      <c r="FD351" s="5"/>
      <c r="FE351" s="144"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382">
        <f>IF(SnapshotTable[[#This Row],[SC Is Filled]], IF(ISNUMBER(SnapshotTable[[#This Row],[SC Current Ask]]), SnapshotTable[[#This Row],[SC Current Ask]], SnapshotTable[[#This Row],[SC Book Price]]) - SnapshotTable[[#This Row],[SC Intrinsic Value]], 0)</f>
        <v>0</v>
      </c>
      <c r="FI351" s="143"/>
      <c r="FJ351" s="32" t="str">
        <f>IF(SnapshotTable[[#This Row],[SC Is Filled]],100 * SnapshotTable[[#This Row],[SC Qty]] * IF(ISNUMBER(SnapshotTable[[#This Row],[SC Buyback Override]]), SnapshotTable[[#This Row],[SC Buyback Override]], SnapshotTable[[#This Row],[SC Current Ask]]), "")</f>
        <v/>
      </c>
      <c r="FK351" s="250" t="str">
        <f>IF(SnapshotTable[[#This Row],[SC Time Val]]&gt;0, SnapshotTable[[#This Row],[SC Time Val]] / SnapshotTable[[#This Row],[Last Price]],"")</f>
        <v/>
      </c>
      <c r="FL351" s="302" t="str">
        <f>IF(SnapshotTable[[#This Row],[SC Is Booked]], ((SnapshotTable[[#This Row],[Last Price]] -SnapshotTable[[#This Row],[SC Strike Price]]) / SnapshotTable[[#This Row],[Last Price]]) * -1, "")</f>
        <v/>
      </c>
      <c r="FM351" s="157" t="str">
        <f>IF(SnapshotTable[[#This Row],[SC Is Booked]],  (SnapshotTable[[#This Row],[SC Qty]] * 100 * SnapshotTable[[#This Row],[SC Strike Price]]) - SnapshotTable[[#This Row],[SC Current Ask]], "")</f>
        <v/>
      </c>
      <c r="FN351"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157"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0</v>
      </c>
      <c r="FT351" s="27" t="str">
        <f>IF(AND(ISNUMBER(SnapshotTable[[#This Row],[SC Upside Potential]]), SnapshotTable[[#This Row],[SC Upside Potential]] &gt; 0),(SnapshotTable[[#This Row],[SC Upside Potential]]/ SnapshotTable[[#This Row],[ACB]]),"")</f>
        <v/>
      </c>
      <c r="FU351" s="333"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36" t="str">
        <f>IF(AND(ISNUMBER(SnapshotTable[[#This Row],[SC Simple ROO]]),SnapshotTable[[#This Row],[SC Simple ROO]] &gt; 0), SnapshotTable[[#This Row],[SC Premium]] + (SnapshotTable[[#This Row],[SC Qty]] * SnapshotTable[[#This Row],[SC Upside Potential]]), "")</f>
        <v/>
      </c>
      <c r="FX351" s="302" t="str" cm="1">
        <f t="array" ref="FX351">IF(ISNUMBER(SnapshotTable[[#This Row],[SC Max Dollars]]), annualize(SnapshotTable[[#This Row],[SC Term]],(SnapshotTable[[#This Row],[SC Max Dollars]]/SnapshotTable[[#This Row],[SC Basis]])),"")</f>
        <v/>
      </c>
      <c r="FY351" s="236" t="str">
        <f>IF(AND(SnapshotTable[[#This Row],[SC Qty]]&gt;0,SnapshotTable[[#This Row],[SC Current Ask]]&gt;0), SnapshotTable[[#This Row],[SC Qty]] * SnapshotTable[[#This Row],[SC Current Ask]] * -100, "")</f>
        <v/>
      </c>
      <c r="FZ351" s="235" t="str">
        <f>IF(ISNUMBER((SnapshotTable[[#This Row],[SC Current Value]])), SnapshotTable[[#This Row],[SC Premium]] + SnapshotTable[[#This Row],[SC Current Value]], "")</f>
        <v/>
      </c>
      <c r="GA351" s="29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182.21949999999998</v>
      </c>
      <c r="GD351" s="40">
        <f>SnapshotTable[[#This Row],[Last Price]] * (1+ SellingPriceToConsiderBasedOnTargetPercentage)</f>
        <v>258.21899999999999</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158" t="str">
        <f>IF(SnapshotTable[[#This Row],[Sale G/L]]&gt;0, SnapshotTable[[#This Row],[Sale G/L]] / SnapshotTable[[#This Row],[Sale Basis]], IF(ISNUMBER(SnapshotTable[[#This Row],[SC Exercise P&amp;L (TAX)]]), SnapshotTable[[#This Row],[SC Exercise P&amp;L (TAX)]] / SnapshotTable[[#This Row],[SC Basis]], ""))</f>
        <v/>
      </c>
      <c r="GK351" s="158"/>
      <c r="GL351" s="159"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159" t="str">
        <f>IF(AND(SnapshotTable[[#This Row],[LC Exp Date]]&gt;0,SnapshotTable[[#This Row],[LC Strike Price]]&gt;0), [1]!ToOptionSymbol(SnapshotTable[[#This Row],[Symbol]], SnapshotTable[[#This Row],[LC Strike Price]],SnapshotTable[[#This Row],[LC Exp Date]],0), "")</f>
        <v/>
      </c>
      <c r="GQ351" s="160" t="str">
        <f>IF(LEN(SnapshotTable[[#This Row],[LC Symbol]])&gt;0, 1, "")</f>
        <v/>
      </c>
      <c r="GR351" s="159" t="str">
        <f>IF(AND(SnapshotTable[[#This Row],[SC Exp Date]]&gt;0,SnapshotTable[[#This Row],[SC Strike Price]]&gt;0), [1]!ToOptionSymbol(SnapshotTable[[#This Row],[Symbol]], SnapshotTable[[#This Row],[SC Strike Price]],SnapshotTable[[#This Row],[SC Exp Date]],0), "")</f>
        <v/>
      </c>
      <c r="GS351" s="160" t="str">
        <f>IF(LEN(SnapshotTable[[#This Row],[SC Symbol]])&gt;0, 1, "")</f>
        <v/>
      </c>
      <c r="GT351" s="161" t="str">
        <f>IF(COUNT(SnapshotTable[[#This Row],[LP Symbol Count]],SnapshotTable[[#This Row],[SP Symbol Count]],SnapshotTable[[#This Row],[LC Symbol Count]],SnapshotTable[[#This Row],[SC Symbol Count]])&gt;0, "Y", "")</f>
        <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1" s="231">
        <f>MAX(SnapshotTable[[#This Row],[Equity Basis Total]],SnapshotTable[[#This Row],[Equity Value]]) + (SnapshotTable[[#This Row],[SP Potential Spend]]- SnapshotTable[[#This Row],[SP Premium]] + SnapshotTable[[#This Row],[LP Premium]])+ (SnapshotTable[[#This Row],[LC Premium]] - SnapshotTable[[#This Row],[SC Premium]])</f>
        <v>0</v>
      </c>
      <c r="GW351" s="139" t="str">
        <f>IF(AND(SnapshotTable[[#This Row],[Exposure]] &lt;&gt; 0),SnapshotTable[[#This Row],[Exposure]] / SnapshotTable[[#Totals],[Exposure]], "")</f>
        <v/>
      </c>
      <c r="HK351" s="1"/>
      <c r="HL351" s="1"/>
      <c r="HM351" s="1"/>
      <c r="HN351" s="1"/>
      <c r="HO351" s="1"/>
      <c r="HP351" s="1"/>
    </row>
    <row r="352" spans="2:224" ht="12.75" hidden="1" customHeight="1" x14ac:dyDescent="0.25">
      <c r="B352" s="12" t="s">
        <v>1035</v>
      </c>
      <c r="C352" s="422">
        <v>26</v>
      </c>
      <c r="D352" s="208"/>
      <c r="E352" s="39">
        <f>SnapshotTable[[#This Row],[Last Price]]*(1 -CrashDiscount)</f>
        <v>22.099999999999998</v>
      </c>
      <c r="F352" s="26" t="s">
        <v>5</v>
      </c>
      <c r="G352" s="26" t="s">
        <v>4</v>
      </c>
      <c r="H352" s="149"/>
      <c r="I352" s="194">
        <v>44770.25</v>
      </c>
      <c r="J352" s="195">
        <v>44770.25</v>
      </c>
      <c r="K352" s="196"/>
      <c r="L352" s="326"/>
      <c r="M352" s="140"/>
      <c r="N352" s="140"/>
      <c r="O352" s="140"/>
      <c r="P352" s="22"/>
      <c r="Q352" s="25"/>
      <c r="R352" s="4" t="str">
        <f>IF(SnapshotTable[[#This Row],[Equity Basis Total]] &gt; 0, SnapshotTable[[#This Row],[Equity Basis Total]] / SnapshotTable[[#This Row],[Equity Shares]], "")</f>
        <v/>
      </c>
      <c r="S352" s="269">
        <f>SnapshotTable[[#This Row],[Last Price]] * SnapshotTable[[#This Row],[Equity Shares]]</f>
        <v>0</v>
      </c>
      <c r="T352" s="269">
        <f>SnapshotTable[[#This Row],[Equity Value]] - SnapshotTable[[#This Row],[Equity Basis Total]]</f>
        <v>0</v>
      </c>
      <c r="U352" s="270" t="str">
        <f>IF(SnapshotTable[[#This Row],[Equity Basis Total]] &gt; 0, SnapshotTable[[#This Row],[Equity G/L]] / SnapshotTable[[#This Row],[Equity Basis Total]], "")</f>
        <v/>
      </c>
      <c r="V352" s="268"/>
      <c r="W352" s="26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7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0"/>
      <c r="AD352" s="151"/>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1"/>
      <c r="AI352" s="5"/>
      <c r="AJ352" s="138"/>
      <c r="AK352" s="152" t="str">
        <f>IF(ISNUMBER( SnapshotTable[[#This Row],[EBF Target]]),(SnapshotTable[[#This Row],[EBF Target]] - SnapshotTable[[#This Row],[Last Price]]) / SnapshotTable[[#This Row],[Last Price]], "")</f>
        <v/>
      </c>
      <c r="AL352" s="152"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2" t="str">
        <f>IF(AND(ISNUMBER( SnapshotTable[[#This Row],[Long Term Target]]), ISNUMBER(SnapshotTable[[#This Row],[Last Price]])),(SnapshotTable[[#This Row],[Long Term Target]] - SnapshotTable[[#This Row],[Last Price]]) / SnapshotTable[[#This Row],[Last Price]], "")</f>
        <v/>
      </c>
      <c r="AP352" s="5">
        <v>12</v>
      </c>
      <c r="AQ352" s="38" t="s">
        <v>27</v>
      </c>
      <c r="AR352" s="5">
        <v>12</v>
      </c>
      <c r="AS352" s="38" t="s">
        <v>38</v>
      </c>
      <c r="AT352" s="146" t="s">
        <v>542</v>
      </c>
      <c r="AU352" s="187" t="str">
        <f>IF(OR(SnapshotTable[[#This Row],[LP No Fill]]="Y",SnapshotTable[[#This Row],[SP Is Filled]],SnapshotTable[[#This Row],[LC Not Filled]]="Y",SnapshotTable[[#This Row],[SC Is Filled]]),"Y","")</f>
        <v/>
      </c>
      <c r="AV352" s="219"/>
      <c r="AW352" s="225"/>
      <c r="AX352" s="220"/>
      <c r="AY352" s="219" t="str">
        <f>IF(SnapshotTable[[#This Row],[Implied Move]]&gt;0, SnapshotTable[[#This Row],[Last Price]]-SnapshotTable[[#This Row],[Implied Move]],"")</f>
        <v/>
      </c>
      <c r="AZ352" s="219" t="str">
        <f>IF(SnapshotTable[[#This Row],[Implied Move]]&gt;0, SnapshotTable[[#This Row],[Last Price]] + SnapshotTable[[#This Row],[Implied Move]],"")</f>
        <v/>
      </c>
      <c r="BA352" s="331">
        <v>11.21</v>
      </c>
      <c r="BB352" s="347"/>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51"/>
      <c r="BE352" s="5"/>
      <c r="BF352" s="14"/>
      <c r="BG352" s="13"/>
      <c r="BH352" s="13"/>
      <c r="BI352" s="5"/>
      <c r="BJ352" s="136">
        <f>IF(SnapshotTable[[#This Row],[LP Qty]] &gt; 0, SnapshotTable[[#This Row],[LP Qty]] * SnapshotTable[[#This Row],[LP Book Price]] * 100,0)</f>
        <v>0</v>
      </c>
      <c r="BK352" s="136">
        <f>IF(SnapshotTable[[#This Row],[LP Premium]] &gt; 0, SnapshotTable[[#This Row],[LP Qty]] * SnapshotTable[[#This Row],[LP Strike Price]] * 100,0)</f>
        <v>0</v>
      </c>
      <c r="BL352" s="154"/>
      <c r="BM352" s="385" t="str">
        <f>IF(SnapshotTable[[#This Row],[LP Premium]] &gt; 0,SnapshotTable[[#This Row],[LP Exp Date]]-MAX(SnapshotTable[[#This Row],[LP Book Date]], SnapshotTable[[#This Row],[LP Fill Date]]),"")</f>
        <v/>
      </c>
      <c r="BN352" s="385" t="str">
        <f>IF(ISNUMBER( SnapshotTable[[#This Row],[LP Term]]), SnapshotTable[[#This Row],[LP Exp Date]] - MockToday,"")</f>
        <v/>
      </c>
      <c r="BO352" s="163"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7"/>
      <c r="BU352" s="13"/>
      <c r="BV352" s="5"/>
      <c r="BW352" s="419" t="b">
        <f>AND(ISNUMBER(SnapshotTable[[#This Row],[SP Exp Date]]), ISNUMBER(SnapshotTable[[#This Row],[SP Strike Price]]), ISNUMBER(SnapshotTable[[#This Row],[SP Qty]]), ISNUMBER(SnapshotTable[[#This Row],[SP Book Date]]), ISNUMBER(SnapshotTable[[#This Row],[SP Book Price]]))</f>
        <v>0</v>
      </c>
      <c r="BX352" s="419" t="b">
        <f>AND(SnapshotTable[[#This Row],[SP Is Booked]], NOT(ISBLANK(SnapshotTable[[#This Row],[SP Fill Date]])))</f>
        <v>0</v>
      </c>
      <c r="BY352" s="33">
        <f>IF(SnapshotTable[[#This Row],[SP Is Booked]], SnapshotTable[[#This Row],[SP Qty]] * SnapshotTable[[#This Row],[SP Book Price]] * 100, 0)</f>
        <v>0</v>
      </c>
      <c r="BZ352" s="369"/>
      <c r="CA352" s="368">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3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44"/>
      <c r="CK352" s="31">
        <f>IF(ISNUMBER(SnapshotTable[[#This Row],[SP Potential Spend]]),IF(ISNUMBER(SnapshotTable[[#This Row],[SP POW]]), SnapshotTable[[#This Row],[SP POW]] * SnapshotTable[[#This Row],[SP Potential Spend]], SnapshotTable[[#This Row],[SP Potential Spend]]), "")</f>
        <v>0</v>
      </c>
      <c r="CL352" s="164">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18"/>
      <c r="CO352" s="369"/>
      <c r="CP352" s="4" t="str">
        <f>IF(SnapshotTable[[#This Row],[SP Is Filled]], btc_max_buyback_amount(SnapshotTable[[#This Row],[SP Fill Date]],SnapshotTable[[#This Row],[SP Exp Date]], SnapshotTable[[#This Row],[SP Book Price]]),"")</f>
        <v/>
      </c>
      <c r="CQ352" s="78"/>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5" t="str">
        <f>IF(SnapshotTable[[#This Row],[SP Is Filled]], btc_next_cutoff_date(SnapshotTable[[#This Row],[SP Fill Date]],SnapshotTable[[#This Row],[SP Exp Date]]),"")</f>
        <v/>
      </c>
      <c r="CT352" s="23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3"/>
      <c r="CV352" s="235"/>
      <c r="CW352" s="378"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294" t="str">
        <f>IF(ISNUMBER((SnapshotTable[[#This Row],[SP Total Value]])), SnapshotTable[[#This Row],[SP Gain Loss]] / SnapshotTable[[#This Row],[SP Premium]], "")</f>
        <v/>
      </c>
      <c r="DI352" s="406"/>
      <c r="DJ352" s="138"/>
      <c r="DK352" s="148"/>
      <c r="DL352" s="13"/>
      <c r="DM352" s="13"/>
      <c r="DO352" s="31">
        <f>IF(SnapshotTable[[#This Row],[LC Symbol Count]]=1, SnapshotTable[[#This Row],[LC Qty]] * SnapshotTable[[#This Row],[LC Book Price]] * 100, 0)</f>
        <v>0</v>
      </c>
      <c r="DP352" s="163" t="str">
        <f>IF(AND(SnapshotTable[[#This Row],[LC Exp Date]]&gt;0, SnapshotTable[[#This Row],[LC Strike Price]]&gt;0,SnapshotTable[[#This Row],[LC Qty]]&gt;0,SnapshotTable[[#This Row],[LC Book Date]]&gt;0,SnapshotTable[[#This Row],[LC Book Price]]&gt;0,SnapshotTable[[#This Row],[LC Fill Date]]=0),"Y","")</f>
        <v/>
      </c>
      <c r="DQ352" s="386" t="str">
        <f>IF(SnapshotTable[[#This Row],[LC Premium]] &gt; 0,SnapshotTable[[#This Row],[LC Exp Date]]-MAX(SnapshotTable[[#This Row],[LC Book Date]], SnapshotTable[[#This Row],[LC Fill Date]]),"")</f>
        <v/>
      </c>
      <c r="DR352" s="386" t="str">
        <f>IF(ISNUMBER(SnapshotTable[[#This Row],[LC Term]]), SnapshotTable[[#This Row],[LC Exp Date]] - MockToday, "")</f>
        <v/>
      </c>
      <c r="DS352" s="23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40" t="str">
        <f>IF(ISNUMBER(SnapshotTable[[#This Row],[LC Actual Gain Loss]]), SnapshotTable[[#This Row],[LC Actual Gain Loss]] / SnapshotTable[[#This Row],[LC Premium]],"")</f>
        <v/>
      </c>
      <c r="DX352" s="284" t="str">
        <f>IF(ISNUMBER(SnapshotTable[[#This Row],[LC Book Price]]),SnapshotTable[[#This Row],[LC Book Price]] * 1.5,"")</f>
        <v/>
      </c>
      <c r="DY352" s="265" t="str">
        <f>IF(SnapshotTable[[#This Row],[LC Premium]]&gt;0, SnapshotTable[[#This Row],[LC Next Target]] * SnapshotTable[[#This Row],[LC Qty]] * 100,"")</f>
        <v/>
      </c>
      <c r="DZ352" s="265" t="str">
        <f>IF(ISNUMBER(SnapshotTable[[#This Row],[LC Target Gross]]), SnapshotTable[[#This Row],[LC Target Gross]] - SnapshotTable[[#This Row],[LC Premium]], "")</f>
        <v/>
      </c>
      <c r="EA352" s="305" t="str">
        <f>IF(ISNUMBER(SnapshotTable[[#This Row],[LC Target Gain Loss]]), SnapshotTable[[#This Row],[LC Target Gain Loss]]/SnapshotTable[[#This Row],[LC Premium]], "")</f>
        <v/>
      </c>
      <c r="EB352" s="262"/>
      <c r="EC352" s="283" t="str">
        <f>IF(SnapshotTable[[#This Row],[LC Premium]]&gt;0, SnapshotTable[[#This Row],[LC Book Price]] * (1 - LC_StopLoss_Pct),"")</f>
        <v/>
      </c>
      <c r="ED352" s="284"/>
      <c r="EE352" s="28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4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7"/>
      <c r="EL352" s="138"/>
      <c r="EM352" s="148"/>
      <c r="EN352" s="147"/>
      <c r="EO352" s="147"/>
      <c r="EP352" s="138"/>
      <c r="EQ352" s="419" t="b">
        <f>AND(ISNUMBER(SnapshotTable[[#This Row],[SC Exp Date]]), ISNUMBER(SnapshotTable[[#This Row],[SC Strike Price]]), ISNUMBER(SnapshotTable[[#This Row],[SC Qty]]), ISNUMBER(SnapshotTable[[#This Row],[SC Book Date]]), ISNUMBER(SnapshotTable[[#This Row],[SC Book Price]]))</f>
        <v>0</v>
      </c>
      <c r="ER352" s="419" t="b">
        <f>AND(SnapshotTable[[#This Row],[SC Is Booked]], NOT(ISBLANK(SnapshotTable[[#This Row],[SC Fill Date]])))</f>
        <v>0</v>
      </c>
      <c r="ES352" s="370"/>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3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283"/>
      <c r="FA352" s="218"/>
      <c r="FB352" s="370"/>
      <c r="FC352" s="4">
        <f>IF(SnapshotTable[[#This Row],[SC Is Filled]], btc_max_buyback_amount(SnapshotTable[[#This Row],[SC Fill Date]],SnapshotTable[[#This Row],[SC Exp Date]], SnapshotTable[[#This Row],[SC Book Price]]),0)</f>
        <v>0</v>
      </c>
      <c r="FD352" s="5"/>
      <c r="FE352" s="144"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382">
        <f>IF(SnapshotTable[[#This Row],[SC Is Filled]], IF(ISNUMBER(SnapshotTable[[#This Row],[SC Current Ask]]), SnapshotTable[[#This Row],[SC Current Ask]], SnapshotTable[[#This Row],[SC Book Price]]) - SnapshotTable[[#This Row],[SC Intrinsic Value]], 0)</f>
        <v>0</v>
      </c>
      <c r="FI352" s="143"/>
      <c r="FJ352" s="32" t="str">
        <f>IF(SnapshotTable[[#This Row],[SC Is Filled]],100 * SnapshotTable[[#This Row],[SC Qty]] * IF(ISNUMBER(SnapshotTable[[#This Row],[SC Buyback Override]]), SnapshotTable[[#This Row],[SC Buyback Override]], SnapshotTable[[#This Row],[SC Current Ask]]), "")</f>
        <v/>
      </c>
      <c r="FK352" s="250" t="str">
        <f>IF(SnapshotTable[[#This Row],[SC Time Val]]&gt;0, SnapshotTable[[#This Row],[SC Time Val]] / SnapshotTable[[#This Row],[Last Price]],"")</f>
        <v/>
      </c>
      <c r="FL352" s="302" t="str">
        <f>IF(SnapshotTable[[#This Row],[SC Is Booked]], ((SnapshotTable[[#This Row],[Last Price]] -SnapshotTable[[#This Row],[SC Strike Price]]) / SnapshotTable[[#This Row],[Last Price]]) * -1, "")</f>
        <v/>
      </c>
      <c r="FM352" s="157"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33"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36" t="str">
        <f>IF(AND(ISNUMBER(SnapshotTable[[#This Row],[SC Simple ROO]]),SnapshotTable[[#This Row],[SC Simple ROO]] &gt; 0), SnapshotTable[[#This Row],[SC Premium]] + (SnapshotTable[[#This Row],[SC Qty]] * SnapshotTable[[#This Row],[SC Upside Potential]]), "")</f>
        <v/>
      </c>
      <c r="FX352" s="302" t="str" cm="1">
        <f t="array" ref="FX352">IF(ISNUMBER(SnapshotTable[[#This Row],[SC Max Dollars]]), annualize(SnapshotTable[[#This Row],[SC Term]],(SnapshotTable[[#This Row],[SC Max Dollars]]/SnapshotTable[[#This Row],[SC Basis]])),"")</f>
        <v/>
      </c>
      <c r="FY352" s="23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29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50.699999999999996</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31">
        <f>MAX(SnapshotTable[[#This Row],[Equity Basis Total]],SnapshotTable[[#This Row],[Equity Value]]) + (SnapshotTable[[#This Row],[SP Potential Spend]]- SnapshotTable[[#This Row],[SP Premium]] + SnapshotTable[[#This Row],[LP Premium]])+ (SnapshotTable[[#This Row],[LC Premium]] - SnapshotTable[[#This Row],[SC Premium]])</f>
        <v>0</v>
      </c>
      <c r="GW352" s="139" t="str">
        <f>IF(AND(SnapshotTable[[#This Row],[Exposure]] &lt;&gt; 0),SnapshotTable[[#This Row],[Exposure]] / SnapshotTable[[#Totals],[Exposure]], "")</f>
        <v/>
      </c>
      <c r="HK352" s="1"/>
      <c r="HL352" s="1"/>
      <c r="HM352" s="1"/>
      <c r="HN352" s="1"/>
      <c r="HO352" s="1"/>
      <c r="HP352" s="1"/>
    </row>
    <row r="353" spans="2:224" ht="12.75" hidden="1" customHeight="1" x14ac:dyDescent="0.25">
      <c r="B353" s="12" t="s">
        <v>101</v>
      </c>
      <c r="C353" s="422">
        <v>86.42</v>
      </c>
      <c r="D353" s="208"/>
      <c r="E353" s="39">
        <f>SnapshotTable[[#This Row],[Last Price]]*(1 -CrashDiscount)</f>
        <v>73.456999999999994</v>
      </c>
      <c r="F353" s="26" t="s">
        <v>24</v>
      </c>
      <c r="G353" s="26" t="s">
        <v>4</v>
      </c>
      <c r="H353" s="149"/>
      <c r="I353" s="194">
        <v>44756.298611111109</v>
      </c>
      <c r="J353" s="195">
        <v>44756.298611111109</v>
      </c>
      <c r="K353" s="196"/>
      <c r="L353" s="326"/>
      <c r="M353" s="140"/>
      <c r="N353" s="140"/>
      <c r="O353" s="140"/>
      <c r="P353" s="22"/>
      <c r="Q353" s="25"/>
      <c r="R353" s="4" t="str">
        <f>IF(SnapshotTable[[#This Row],[Equity Basis Total]] &gt; 0, SnapshotTable[[#This Row],[Equity Basis Total]] / SnapshotTable[[#This Row],[Equity Shares]], "")</f>
        <v/>
      </c>
      <c r="S353" s="269">
        <f>SnapshotTable[[#This Row],[Last Price]] * SnapshotTable[[#This Row],[Equity Shares]]</f>
        <v>0</v>
      </c>
      <c r="T353" s="269">
        <f>SnapshotTable[[#This Row],[Equity Value]] - SnapshotTable[[#This Row],[Equity Basis Total]]</f>
        <v>0</v>
      </c>
      <c r="U353" s="270" t="str">
        <f>IF(SnapshotTable[[#This Row],[Equity Basis Total]] &gt; 0, SnapshotTable[[#This Row],[Equity G/L]] / SnapshotTable[[#This Row],[Equity Basis Total]], "")</f>
        <v/>
      </c>
      <c r="V353" s="268"/>
      <c r="W353" s="26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7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0">
        <v>0.2</v>
      </c>
      <c r="AD353" s="151" t="s">
        <v>2</v>
      </c>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2.3142791020597086E-3</v>
      </c>
      <c r="AH353" s="151" t="s">
        <v>2</v>
      </c>
      <c r="AI353" s="5"/>
      <c r="AJ353" s="138">
        <v>38.090000000000003</v>
      </c>
      <c r="AK353" s="152" t="str">
        <f>IF(ISNUMBER( SnapshotTable[[#This Row],[EBF Target]]),(SnapshotTable[[#This Row],[EBF Target]] - SnapshotTable[[#This Row],[Last Price]]) / SnapshotTable[[#This Row],[Last Price]], "")</f>
        <v/>
      </c>
      <c r="AL353" s="152"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2">
        <f>IF(AND(ISNUMBER( SnapshotTable[[#This Row],[Long Term Target]]), ISNUMBER(SnapshotTable[[#This Row],[Last Price]])),(SnapshotTable[[#This Row],[Long Term Target]] - SnapshotTable[[#This Row],[Last Price]]) / SnapshotTable[[#This Row],[Last Price]], "")</f>
        <v>-0.5592455450127285</v>
      </c>
      <c r="AP353" s="5">
        <v>1.52</v>
      </c>
      <c r="AQ353" s="38" t="s">
        <v>27</v>
      </c>
      <c r="AR353" s="5">
        <v>1.52</v>
      </c>
      <c r="AS353" s="38" t="s">
        <v>26</v>
      </c>
      <c r="AT353" s="146" t="s">
        <v>538</v>
      </c>
      <c r="AU353" s="187" t="str">
        <f>IF(OR(SnapshotTable[[#This Row],[LP No Fill]]="Y",SnapshotTable[[#This Row],[SP Is Filled]],SnapshotTable[[#This Row],[LC Not Filled]]="Y",SnapshotTable[[#This Row],[SC Is Filled]]),"Y","")</f>
        <v/>
      </c>
      <c r="AV353" s="219"/>
      <c r="AW353" s="225"/>
      <c r="AX353" s="220"/>
      <c r="AY353" s="219" t="str">
        <f>IF(SnapshotTable[[#This Row],[Implied Move]]&gt;0, SnapshotTable[[#This Row],[Last Price]]-SnapshotTable[[#This Row],[Implied Move]],"")</f>
        <v/>
      </c>
      <c r="AZ353" s="219" t="str">
        <f>IF(SnapshotTable[[#This Row],[Implied Move]]&gt;0, SnapshotTable[[#This Row],[Last Price]] + SnapshotTable[[#This Row],[Implied Move]],"")</f>
        <v/>
      </c>
      <c r="BA353" s="331"/>
      <c r="BB353" s="347"/>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51"/>
      <c r="BE353" s="5"/>
      <c r="BF353" s="14"/>
      <c r="BG353" s="13"/>
      <c r="BH353" s="13"/>
      <c r="BI353" s="5"/>
      <c r="BJ353" s="136">
        <f>IF(SnapshotTable[[#This Row],[LP Qty]] &gt; 0, SnapshotTable[[#This Row],[LP Qty]] * SnapshotTable[[#This Row],[LP Book Price]] * 100,0)</f>
        <v>0</v>
      </c>
      <c r="BK353" s="136">
        <f>IF(SnapshotTable[[#This Row],[LP Premium]] &gt; 0, SnapshotTable[[#This Row],[LP Qty]] * SnapshotTable[[#This Row],[LP Strike Price]] * 100,0)</f>
        <v>0</v>
      </c>
      <c r="BL353" s="154"/>
      <c r="BM353" s="385" t="str">
        <f>IF(SnapshotTable[[#This Row],[LP Premium]] &gt; 0,SnapshotTable[[#This Row],[LP Exp Date]]-MAX(SnapshotTable[[#This Row],[LP Book Date]], SnapshotTable[[#This Row],[LP Fill Date]]),"")</f>
        <v/>
      </c>
      <c r="BN353" s="385" t="str">
        <f>IF(ISNUMBER( SnapshotTable[[#This Row],[LP Term]]), SnapshotTable[[#This Row],[LP Exp Date]] - MockToday,"")</f>
        <v/>
      </c>
      <c r="BO353" s="163"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7"/>
      <c r="BU353" s="13"/>
      <c r="BV353" s="5"/>
      <c r="BW353" s="419" t="b">
        <f>AND(ISNUMBER(SnapshotTable[[#This Row],[SP Exp Date]]), ISNUMBER(SnapshotTable[[#This Row],[SP Strike Price]]), ISNUMBER(SnapshotTable[[#This Row],[SP Qty]]), ISNUMBER(SnapshotTable[[#This Row],[SP Book Date]]), ISNUMBER(SnapshotTable[[#This Row],[SP Book Price]]))</f>
        <v>0</v>
      </c>
      <c r="BX353" s="419" t="b">
        <f>AND(SnapshotTable[[#This Row],[SP Is Booked]], NOT(ISBLANK(SnapshotTable[[#This Row],[SP Fill Date]])))</f>
        <v>0</v>
      </c>
      <c r="BY353" s="33">
        <f>IF(SnapshotTable[[#This Row],[SP Is Booked]], SnapshotTable[[#This Row],[SP Qty]] * SnapshotTable[[#This Row],[SP Book Price]] * 100, 0)</f>
        <v>0</v>
      </c>
      <c r="BZ353" s="369"/>
      <c r="CA353" s="368">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3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44"/>
      <c r="CK353" s="31">
        <f>IF(ISNUMBER(SnapshotTable[[#This Row],[SP Potential Spend]]),IF(ISNUMBER(SnapshotTable[[#This Row],[SP POW]]), SnapshotTable[[#This Row],[SP POW]] * SnapshotTable[[#This Row],[SP Potential Spend]], SnapshotTable[[#This Row],[SP Potential Spend]]), "")</f>
        <v>0</v>
      </c>
      <c r="CL353" s="164">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78"/>
      <c r="CO353" s="369"/>
      <c r="CP353" s="4" t="str">
        <f>IF(SnapshotTable[[#This Row],[SP Is Filled]], btc_max_buyback_amount(SnapshotTable[[#This Row],[SP Fill Date]],SnapshotTable[[#This Row],[SP Exp Date]], SnapshotTable[[#This Row],[SP Book Price]]),"")</f>
        <v/>
      </c>
      <c r="CQ353" s="78"/>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5" t="str">
        <f>IF(SnapshotTable[[#This Row],[SP Is Filled]], btc_next_cutoff_date(SnapshotTable[[#This Row],[SP Fill Date]],SnapshotTable[[#This Row],[SP Exp Date]]),"")</f>
        <v/>
      </c>
      <c r="CT353" s="23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43"/>
      <c r="CV353" s="235"/>
      <c r="CW353" s="378"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294" t="str">
        <f>IF(ISNUMBER((SnapshotTable[[#This Row],[SP Total Value]])), SnapshotTable[[#This Row],[SP Gain Loss]] / SnapshotTable[[#This Row],[SP Premium]], "")</f>
        <v/>
      </c>
      <c r="DI353" s="406"/>
      <c r="DJ353" s="138"/>
      <c r="DK353" s="148"/>
      <c r="DL353" s="13"/>
      <c r="DM353" s="13"/>
      <c r="DO353" s="31">
        <f>IF(SnapshotTable[[#This Row],[LC Symbol Count]]=1, SnapshotTable[[#This Row],[LC Qty]] * SnapshotTable[[#This Row],[LC Book Price]] * 100, 0)</f>
        <v>0</v>
      </c>
      <c r="DP353" s="163" t="str">
        <f>IF(AND(SnapshotTable[[#This Row],[LC Exp Date]]&gt;0, SnapshotTable[[#This Row],[LC Strike Price]]&gt;0,SnapshotTable[[#This Row],[LC Qty]]&gt;0,SnapshotTable[[#This Row],[LC Book Date]]&gt;0,SnapshotTable[[#This Row],[LC Book Price]]&gt;0,SnapshotTable[[#This Row],[LC Fill Date]]=0),"Y","")</f>
        <v/>
      </c>
      <c r="DQ353" s="386" t="str">
        <f>IF(SnapshotTable[[#This Row],[LC Premium]] &gt; 0,SnapshotTable[[#This Row],[LC Exp Date]]-MAX(SnapshotTable[[#This Row],[LC Book Date]], SnapshotTable[[#This Row],[LC Fill Date]]),"")</f>
        <v/>
      </c>
      <c r="DR353" s="386" t="str">
        <f>IF(ISNUMBER(SnapshotTable[[#This Row],[LC Term]]), SnapshotTable[[#This Row],[LC Exp Date]] - MockToday, "")</f>
        <v/>
      </c>
      <c r="DS353" s="23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40" t="str">
        <f>IF(ISNUMBER(SnapshotTable[[#This Row],[LC Actual Gain Loss]]), SnapshotTable[[#This Row],[LC Actual Gain Loss]] / SnapshotTable[[#This Row],[LC Premium]],"")</f>
        <v/>
      </c>
      <c r="DX353" s="284" t="str">
        <f>IF(ISNUMBER(SnapshotTable[[#This Row],[LC Book Price]]),SnapshotTable[[#This Row],[LC Book Price]] * 1.5,"")</f>
        <v/>
      </c>
      <c r="DY353" s="265" t="str">
        <f>IF(SnapshotTable[[#This Row],[LC Premium]]&gt;0, SnapshotTable[[#This Row],[LC Next Target]] * SnapshotTable[[#This Row],[LC Qty]] * 100,"")</f>
        <v/>
      </c>
      <c r="DZ353" s="265" t="str">
        <f>IF(ISNUMBER(SnapshotTable[[#This Row],[LC Target Gross]]), SnapshotTable[[#This Row],[LC Target Gross]] - SnapshotTable[[#This Row],[LC Premium]], "")</f>
        <v/>
      </c>
      <c r="EA353" s="305" t="str">
        <f>IF(ISNUMBER(SnapshotTable[[#This Row],[LC Target Gain Loss]]), SnapshotTable[[#This Row],[LC Target Gain Loss]]/SnapshotTable[[#This Row],[LC Premium]], "")</f>
        <v/>
      </c>
      <c r="EB353" s="262"/>
      <c r="EC353" s="283" t="str">
        <f>IF(SnapshotTable[[#This Row],[LC Premium]]&gt;0, SnapshotTable[[#This Row],[LC Book Price]] * (1 - LC_StopLoss_Pct),"")</f>
        <v/>
      </c>
      <c r="ED353" s="284"/>
      <c r="EE353" s="28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4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7"/>
      <c r="EL353" s="138"/>
      <c r="EM353" s="148"/>
      <c r="EN353" s="147"/>
      <c r="EO353" s="147"/>
      <c r="EP353" s="138"/>
      <c r="EQ353" s="419" t="b">
        <f>AND(ISNUMBER(SnapshotTable[[#This Row],[SC Exp Date]]), ISNUMBER(SnapshotTable[[#This Row],[SC Strike Price]]), ISNUMBER(SnapshotTable[[#This Row],[SC Qty]]), ISNUMBER(SnapshotTable[[#This Row],[SC Book Date]]), ISNUMBER(SnapshotTable[[#This Row],[SC Book Price]]))</f>
        <v>0</v>
      </c>
      <c r="ER353" s="419" t="b">
        <f>AND(SnapshotTable[[#This Row],[SC Is Booked]], NOT(ISBLANK(SnapshotTable[[#This Row],[SC Fill Date]])))</f>
        <v>0</v>
      </c>
      <c r="ES353" s="370"/>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3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283"/>
      <c r="FA353" s="218"/>
      <c r="FB353" s="370"/>
      <c r="FC353" s="4">
        <f>IF(SnapshotTable[[#This Row],[SC Is Filled]], btc_max_buyback_amount(SnapshotTable[[#This Row],[SC Fill Date]],SnapshotTable[[#This Row],[SC Exp Date]], SnapshotTable[[#This Row],[SC Book Price]]),0)</f>
        <v>0</v>
      </c>
      <c r="FD353" s="5"/>
      <c r="FE353" s="144"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382">
        <f>IF(SnapshotTable[[#This Row],[SC Is Filled]], IF(ISNUMBER(SnapshotTable[[#This Row],[SC Current Ask]]), SnapshotTable[[#This Row],[SC Current Ask]], SnapshotTable[[#This Row],[SC Book Price]]) - SnapshotTable[[#This Row],[SC Intrinsic Value]], 0)</f>
        <v>0</v>
      </c>
      <c r="FI353" s="143"/>
      <c r="FJ353" s="32" t="str">
        <f>IF(SnapshotTable[[#This Row],[SC Is Filled]],100 * SnapshotTable[[#This Row],[SC Qty]] * IF(ISNUMBER(SnapshotTable[[#This Row],[SC Buyback Override]]), SnapshotTable[[#This Row],[SC Buyback Override]], SnapshotTable[[#This Row],[SC Current Ask]]), "")</f>
        <v/>
      </c>
      <c r="FK353" s="250" t="str">
        <f>IF(SnapshotTable[[#This Row],[SC Time Val]]&gt;0, SnapshotTable[[#This Row],[SC Time Val]] / SnapshotTable[[#This Row],[Last Price]],"")</f>
        <v/>
      </c>
      <c r="FL353" s="302" t="str">
        <f>IF(SnapshotTable[[#This Row],[SC Is Booked]], ((SnapshotTable[[#This Row],[Last Price]] -SnapshotTable[[#This Row],[SC Strike Price]]) / SnapshotTable[[#This Row],[Last Price]]) * -1, "")</f>
        <v/>
      </c>
      <c r="FM353" s="157" t="str">
        <f>IF(SnapshotTable[[#This Row],[SC Is Booked]],  (SnapshotTable[[#This Row],[SC Qty]] * 100 * SnapshotTable[[#This Row],[SC Strike Price]]) - SnapshotTable[[#This Row],[SC Current Ask]], "")</f>
        <v/>
      </c>
      <c r="FN3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31"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33"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36" t="str">
        <f>IF(AND(ISNUMBER(SnapshotTable[[#This Row],[SC Simple ROO]]),SnapshotTable[[#This Row],[SC Simple ROO]] &gt; 0), SnapshotTable[[#This Row],[SC Premium]] + (SnapshotTable[[#This Row],[SC Qty]] * SnapshotTable[[#This Row],[SC Upside Potential]]), "")</f>
        <v/>
      </c>
      <c r="FX353" s="302" t="str" cm="1">
        <f t="array" ref="FX353">IF(ISNUMBER(SnapshotTable[[#This Row],[SC Max Dollars]]), annualize(SnapshotTable[[#This Row],[SC Term]],(SnapshotTable[[#This Row],[SC Max Dollars]]/SnapshotTable[[#This Row],[SC Basis]])),"")</f>
        <v/>
      </c>
      <c r="FY353" s="236" t="str">
        <f>IF(AND(SnapshotTable[[#This Row],[SC Qty]]&gt;0,SnapshotTable[[#This Row],[SC Current Ask]]&gt;0), SnapshotTable[[#This Row],[SC Qty]] * SnapshotTable[[#This Row],[SC Current Ask]] * -100, "")</f>
        <v/>
      </c>
      <c r="FZ353" s="31" t="str">
        <f>IF(ISNUMBER((SnapshotTable[[#This Row],[SC Current Value]])), SnapshotTable[[#This Row],[SC Premium]] + SnapshotTable[[#This Row],[SC Current Value]], "")</f>
        <v/>
      </c>
      <c r="GA353" s="294" t="str">
        <f>IFERROR( IF(ISNUMBER((SnapshotTable[[#This Row],[SC Current Value]])), SnapshotTable[[#This Row],[SC Gain Loss]] / SnapshotTable[[#This Row],[SC Premium]], ""), "")</f>
        <v/>
      </c>
      <c r="GB353" s="42">
        <f>SnapshotTable[[#This Row],[Equity Shares]] * SaleSharesToConsiderPercentage</f>
        <v>0</v>
      </c>
      <c r="GC353" s="40">
        <f>SnapshotTable[[#This Row],[Long Term Target]] * SellingPriceToConsiderBasedOnTargetPercentage</f>
        <v>36.185500000000005</v>
      </c>
      <c r="GD353" s="40">
        <f>SnapshotTable[[#This Row],[Last Price]] * (1+ SellingPriceToConsiderBasedOnTargetPercentage)</f>
        <v>168.51900000000001</v>
      </c>
      <c r="GE353" s="41"/>
      <c r="GF353" s="40"/>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27" t="str">
        <f>IF(SnapshotTable[[#This Row],[Sale G/L]]&gt;0, SnapshotTable[[#This Row],[Sale G/L]] / SnapshotTable[[#This Row],[Sale Basis]], IF(ISNUMBER(SnapshotTable[[#This Row],[SC Exercise P&amp;L (TAX)]]), SnapshotTable[[#This Row],[SC Exercise P&amp;L (TAX)]] / SnapshotTable[[#This Row],[SC Basis]], ""))</f>
        <v/>
      </c>
      <c r="GK353" s="27" t="s">
        <v>794</v>
      </c>
      <c r="GL353" s="43"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43" t="str">
        <f>IF(AND(SnapshotTable[[#This Row],[LC Exp Date]]&gt;0,SnapshotTable[[#This Row],[LC Strike Price]]&gt;0), [1]!ToOptionSymbol(SnapshotTable[[#This Row],[Symbol]], SnapshotTable[[#This Row],[LC Strike Price]],SnapshotTable[[#This Row],[LC Exp Date]],0), "")</f>
        <v/>
      </c>
      <c r="GQ353" s="30" t="str">
        <f>IF(LEN(SnapshotTable[[#This Row],[LC Symbol]])&gt;0, 1, "")</f>
        <v/>
      </c>
      <c r="GR353" s="43" t="str">
        <f>IF(AND(SnapshotTable[[#This Row],[SC Exp Date]]&gt;0,SnapshotTable[[#This Row],[SC Strike Price]]&gt;0), [1]!ToOptionSymbol(SnapshotTable[[#This Row],[Symbol]], SnapshotTable[[#This Row],[SC Strike Price]],SnapshotTable[[#This Row],[SC Exp Date]],0), "")</f>
        <v/>
      </c>
      <c r="GS353" s="30" t="str">
        <f>IF(LEN(SnapshotTable[[#This Row],[SC Symbol]])&gt;0, 1, "")</f>
        <v/>
      </c>
      <c r="GT353" s="29"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31">
        <f>MAX(SnapshotTable[[#This Row],[Equity Basis Total]],SnapshotTable[[#This Row],[Equity Value]]) + (SnapshotTable[[#This Row],[SP Potential Spend]]- SnapshotTable[[#This Row],[SP Premium]] + SnapshotTable[[#This Row],[LP Premium]])+ (SnapshotTable[[#This Row],[LC Premium]] - SnapshotTable[[#This Row],[SC Premium]])</f>
        <v>0</v>
      </c>
      <c r="GW353" s="139" t="str">
        <f>IF(AND(SnapshotTable[[#This Row],[Exposure]] &lt;&gt; 0),SnapshotTable[[#This Row],[Exposure]] / SnapshotTable[[#Totals],[Exposure]], "")</f>
        <v/>
      </c>
      <c r="HK353" s="1"/>
      <c r="HL353" s="1"/>
      <c r="HM353" s="1"/>
      <c r="HN353" s="1"/>
      <c r="HO353" s="1"/>
      <c r="HP353" s="1"/>
    </row>
    <row r="354" spans="2:224" ht="12.75" hidden="1" customHeight="1" x14ac:dyDescent="0.25">
      <c r="B354" s="12" t="s">
        <v>1130</v>
      </c>
      <c r="C354" s="422">
        <v>87.11</v>
      </c>
      <c r="D354" s="208"/>
      <c r="E354" s="39">
        <f>SnapshotTable[[#This Row],[Last Price]]*(1 -CrashDiscount)</f>
        <v>74.043499999999995</v>
      </c>
      <c r="F354" s="26" t="s">
        <v>42</v>
      </c>
      <c r="G354" s="26" t="s">
        <v>822</v>
      </c>
      <c r="H354" s="149"/>
      <c r="I354" s="194">
        <v>45222</v>
      </c>
      <c r="J354" s="195"/>
      <c r="K354" s="196"/>
      <c r="L354" s="326"/>
      <c r="M354" s="140"/>
      <c r="N354" s="140"/>
      <c r="O354" s="140"/>
      <c r="P354" s="22"/>
      <c r="Q354" s="25"/>
      <c r="R354" s="4" t="str">
        <f>IF(SnapshotTable[[#This Row],[Equity Basis Total]] &gt; 0, SnapshotTable[[#This Row],[Equity Basis Total]] / SnapshotTable[[#This Row],[Equity Shares]], "")</f>
        <v/>
      </c>
      <c r="S354" s="269">
        <f>SnapshotTable[[#This Row],[Last Price]] * SnapshotTable[[#This Row],[Equity Shares]]</f>
        <v>0</v>
      </c>
      <c r="T354" s="269">
        <f>SnapshotTable[[#This Row],[Equity Value]] - SnapshotTable[[#This Row],[Equity Basis Total]]</f>
        <v>0</v>
      </c>
      <c r="U354" s="270" t="str">
        <f>IF(SnapshotTable[[#This Row],[Equity Basis Total]] &gt; 0, SnapshotTable[[#This Row],[Equity G/L]] / SnapshotTable[[#This Row],[Equity Basis Total]], "")</f>
        <v/>
      </c>
      <c r="V354" s="268"/>
      <c r="W354" s="268">
        <v>86.35</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7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0"/>
      <c r="AD354" s="151"/>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1"/>
      <c r="AI354" s="5"/>
      <c r="AJ354" s="138">
        <v>107.33</v>
      </c>
      <c r="AK354" s="152" t="str">
        <f>IF(ISNUMBER( SnapshotTable[[#This Row],[EBF Target]]),(SnapshotTable[[#This Row],[EBF Target]] - SnapshotTable[[#This Row],[Last Price]]) / SnapshotTable[[#This Row],[Last Price]], "")</f>
        <v/>
      </c>
      <c r="AL354" s="152"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2">
        <f>IF(AND(ISNUMBER( SnapshotTable[[#This Row],[Long Term Target]]), ISNUMBER(SnapshotTable[[#This Row],[Last Price]])),(SnapshotTable[[#This Row],[Long Term Target]] - SnapshotTable[[#This Row],[Last Price]]) / SnapshotTable[[#This Row],[Last Price]], "")</f>
        <v>0.23212030765698541</v>
      </c>
      <c r="AP354" s="5">
        <v>104</v>
      </c>
      <c r="AQ354" s="38" t="s">
        <v>89</v>
      </c>
      <c r="AR354" s="5">
        <v>90</v>
      </c>
      <c r="AS354" s="38" t="s">
        <v>32</v>
      </c>
      <c r="AT354" s="146" t="s">
        <v>1132</v>
      </c>
      <c r="AU354" s="187" t="str">
        <f>IF(OR(SnapshotTable[[#This Row],[LP No Fill]]="Y",SnapshotTable[[#This Row],[SP Is Filled]],SnapshotTable[[#This Row],[LC Not Filled]]="Y",SnapshotTable[[#This Row],[SC Is Filled]]),"Y","")</f>
        <v/>
      </c>
      <c r="AV354" s="219"/>
      <c r="AW354" s="225"/>
      <c r="AX354" s="220"/>
      <c r="AY354" s="219" t="str">
        <f>IF(SnapshotTable[[#This Row],[Implied Move]]&gt;0, SnapshotTable[[#This Row],[Last Price]]-SnapshotTable[[#This Row],[Implied Move]],"")</f>
        <v/>
      </c>
      <c r="AZ354" s="219" t="str">
        <f>IF(SnapshotTable[[#This Row],[Implied Move]]&gt;0, SnapshotTable[[#This Row],[Last Price]] + SnapshotTable[[#This Row],[Implied Move]],"")</f>
        <v/>
      </c>
      <c r="BA354" s="331">
        <v>93.03</v>
      </c>
      <c r="BB354" s="347"/>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51"/>
      <c r="BE354" s="138"/>
      <c r="BF354" s="166"/>
      <c r="BG354" s="167"/>
      <c r="BH354" s="167"/>
      <c r="BI354" s="221"/>
      <c r="BJ354" s="153">
        <f>IF(SnapshotTable[[#This Row],[LP Qty]] &gt; 0, SnapshotTable[[#This Row],[LP Qty]] * SnapshotTable[[#This Row],[LP Book Price]] * 100,0)</f>
        <v>0</v>
      </c>
      <c r="BK354" s="136">
        <f>IF(SnapshotTable[[#This Row],[LP Premium]] &gt; 0, SnapshotTable[[#This Row],[LP Qty]] * SnapshotTable[[#This Row],[LP Strike Price]] * 100,0)</f>
        <v>0</v>
      </c>
      <c r="BL354" s="154"/>
      <c r="BM354" s="385" t="str">
        <f>IF(SnapshotTable[[#This Row],[LP Premium]] &gt; 0,SnapshotTable[[#This Row],[LP Exp Date]]-MAX(SnapshotTable[[#This Row],[LP Book Date]], SnapshotTable[[#This Row],[LP Fill Date]]),"")</f>
        <v/>
      </c>
      <c r="BN354" s="385" t="str">
        <f>IF(ISNUMBER( SnapshotTable[[#This Row],[LP Term]]), SnapshotTable[[#This Row],[LP Exp Date]] - MockToday,"")</f>
        <v/>
      </c>
      <c r="BO354" s="163"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7"/>
      <c r="BU354" s="13"/>
      <c r="BV354" s="5"/>
      <c r="BW354" s="419" t="b">
        <f>AND(ISNUMBER(SnapshotTable[[#This Row],[SP Exp Date]]), ISNUMBER(SnapshotTable[[#This Row],[SP Strike Price]]), ISNUMBER(SnapshotTable[[#This Row],[SP Qty]]), ISNUMBER(SnapshotTable[[#This Row],[SP Book Date]]), ISNUMBER(SnapshotTable[[#This Row],[SP Book Price]]))</f>
        <v>0</v>
      </c>
      <c r="BX354" s="419" t="b">
        <f>AND(SnapshotTable[[#This Row],[SP Is Booked]], NOT(ISBLANK(SnapshotTable[[#This Row],[SP Fill Date]])))</f>
        <v>0</v>
      </c>
      <c r="BY354" s="33">
        <f>IF(SnapshotTable[[#This Row],[SP Is Booked]], SnapshotTable[[#This Row],[SP Qty]] * SnapshotTable[[#This Row],[SP Book Price]] * 100, 0)</f>
        <v>0</v>
      </c>
      <c r="BZ354" s="369"/>
      <c r="CA354" s="368">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3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44"/>
      <c r="CK354" s="31">
        <f>IF(ISNUMBER(SnapshotTable[[#This Row],[SP Potential Spend]]),IF(ISNUMBER(SnapshotTable[[#This Row],[SP POW]]), SnapshotTable[[#This Row],[SP POW]] * SnapshotTable[[#This Row],[SP Potential Spend]], SnapshotTable[[#This Row],[SP Potential Spend]]), "")</f>
        <v>0</v>
      </c>
      <c r="CL354" s="164">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27"/>
      <c r="CO354" s="369"/>
      <c r="CP354" s="4" t="str">
        <f>IF(SnapshotTable[[#This Row],[SP Is Filled]], btc_max_buyback_amount(SnapshotTable[[#This Row],[SP Fill Date]],SnapshotTable[[#This Row],[SP Exp Date]], SnapshotTable[[#This Row],[SP Book Price]]),"")</f>
        <v/>
      </c>
      <c r="CQ354" s="78"/>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5" t="str">
        <f>IF(SnapshotTable[[#This Row],[SP Is Filled]], btc_next_cutoff_date(SnapshotTable[[#This Row],[SP Fill Date]],SnapshotTable[[#This Row],[SP Exp Date]]),"")</f>
        <v/>
      </c>
      <c r="CT354" s="23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6"/>
      <c r="CV354" s="235"/>
      <c r="CW354" s="378"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294" t="str">
        <f>IF(ISNUMBER((SnapshotTable[[#This Row],[SP Total Value]])), SnapshotTable[[#This Row],[SP Gain Loss]] / SnapshotTable[[#This Row],[SP Premium]], "")</f>
        <v/>
      </c>
      <c r="DI354" s="406"/>
      <c r="DJ354" s="138"/>
      <c r="DK354" s="148"/>
      <c r="DL354" s="147"/>
      <c r="DM354" s="147"/>
      <c r="DO354" s="31">
        <f>IF(SnapshotTable[[#This Row],[LC Symbol Count]]=1, SnapshotTable[[#This Row],[LC Qty]] * SnapshotTable[[#This Row],[LC Book Price]] * 100, 0)</f>
        <v>0</v>
      </c>
      <c r="DP354" s="163" t="str">
        <f>IF(AND(SnapshotTable[[#This Row],[LC Exp Date]]&gt;0, SnapshotTable[[#This Row],[LC Strike Price]]&gt;0,SnapshotTable[[#This Row],[LC Qty]]&gt;0,SnapshotTable[[#This Row],[LC Book Date]]&gt;0,SnapshotTable[[#This Row],[LC Book Price]]&gt;0,SnapshotTable[[#This Row],[LC Fill Date]]=0),"Y","")</f>
        <v/>
      </c>
      <c r="DQ354" s="386" t="str">
        <f>IF(SnapshotTable[[#This Row],[LC Premium]] &gt; 0,SnapshotTable[[#This Row],[LC Exp Date]]-MAX(SnapshotTable[[#This Row],[LC Book Date]], SnapshotTable[[#This Row],[LC Fill Date]]),"")</f>
        <v/>
      </c>
      <c r="DR354" s="386" t="str">
        <f>IF(ISNUMBER(SnapshotTable[[#This Row],[LC Term]]), SnapshotTable[[#This Row],[LC Exp Date]] - MockToday, "")</f>
        <v/>
      </c>
      <c r="DS354" s="23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40" t="str">
        <f>IF(ISNUMBER(SnapshotTable[[#This Row],[LC Actual Gain Loss]]), SnapshotTable[[#This Row],[LC Actual Gain Loss]] / SnapshotTable[[#This Row],[LC Premium]],"")</f>
        <v/>
      </c>
      <c r="DX354" s="284" t="str">
        <f>IF(ISNUMBER(SnapshotTable[[#This Row],[LC Book Price]]),SnapshotTable[[#This Row],[LC Book Price]] * 1.5,"")</f>
        <v/>
      </c>
      <c r="DY354" s="265" t="str">
        <f>IF(SnapshotTable[[#This Row],[LC Premium]]&gt;0, SnapshotTable[[#This Row],[LC Next Target]] * SnapshotTable[[#This Row],[LC Qty]] * 100,"")</f>
        <v/>
      </c>
      <c r="DZ354" s="265" t="str">
        <f>IF(ISNUMBER(SnapshotTable[[#This Row],[LC Target Gross]]), SnapshotTable[[#This Row],[LC Target Gross]] - SnapshotTable[[#This Row],[LC Premium]], "")</f>
        <v/>
      </c>
      <c r="EA354" s="305" t="str">
        <f>IF(ISNUMBER(SnapshotTable[[#This Row],[LC Target Gain Loss]]), SnapshotTable[[#This Row],[LC Target Gain Loss]]/SnapshotTable[[#This Row],[LC Premium]], "")</f>
        <v/>
      </c>
      <c r="EB354" s="262"/>
      <c r="EC354" s="283" t="str">
        <f>IF(SnapshotTable[[#This Row],[LC Premium]]&gt;0, SnapshotTable[[#This Row],[LC Book Price]] * (1 - LC_StopLoss_Pct),"")</f>
        <v/>
      </c>
      <c r="ED354" s="284"/>
      <c r="EE354" s="28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4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7"/>
      <c r="EL354" s="138"/>
      <c r="EM354" s="148"/>
      <c r="EN354" s="147"/>
      <c r="EO354" s="147"/>
      <c r="EP354" s="138"/>
      <c r="EQ354" s="419" t="b">
        <f>AND(ISNUMBER(SnapshotTable[[#This Row],[SC Exp Date]]), ISNUMBER(SnapshotTable[[#This Row],[SC Strike Price]]), ISNUMBER(SnapshotTable[[#This Row],[SC Qty]]), ISNUMBER(SnapshotTable[[#This Row],[SC Book Date]]), ISNUMBER(SnapshotTable[[#This Row],[SC Book Price]]))</f>
        <v>0</v>
      </c>
      <c r="ER354" s="419" t="b">
        <f>AND(SnapshotTable[[#This Row],[SC Is Booked]], NOT(ISBLANK(SnapshotTable[[#This Row],[SC Fill Date]])))</f>
        <v>0</v>
      </c>
      <c r="ES354" s="370"/>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3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283"/>
      <c r="FA354" s="218"/>
      <c r="FB354" s="370"/>
      <c r="FC354" s="4">
        <f>IF(SnapshotTable[[#This Row],[SC Is Filled]], btc_max_buyback_amount(SnapshotTable[[#This Row],[SC Fill Date]],SnapshotTable[[#This Row],[SC Exp Date]], SnapshotTable[[#This Row],[SC Book Price]]),0)</f>
        <v>0</v>
      </c>
      <c r="FD354" s="5"/>
      <c r="FE354" s="144"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382">
        <f>IF(SnapshotTable[[#This Row],[SC Is Filled]], IF(ISNUMBER(SnapshotTable[[#This Row],[SC Current Ask]]), SnapshotTable[[#This Row],[SC Current Ask]], SnapshotTable[[#This Row],[SC Book Price]]) - SnapshotTable[[#This Row],[SC Intrinsic Value]], 0)</f>
        <v>0</v>
      </c>
      <c r="FI354" s="143"/>
      <c r="FJ354" s="32" t="str">
        <f>IF(SnapshotTable[[#This Row],[SC Is Filled]],100 * SnapshotTable[[#This Row],[SC Qty]] * IF(ISNUMBER(SnapshotTable[[#This Row],[SC Buyback Override]]), SnapshotTable[[#This Row],[SC Buyback Override]], SnapshotTable[[#This Row],[SC Current Ask]]), "")</f>
        <v/>
      </c>
      <c r="FK354" s="250" t="str">
        <f>IF(SnapshotTable[[#This Row],[SC Time Val]]&gt;0, SnapshotTable[[#This Row],[SC Time Val]] / SnapshotTable[[#This Row],[Last Price]],"")</f>
        <v/>
      </c>
      <c r="FL354" s="302" t="str">
        <f>IF(SnapshotTable[[#This Row],[SC Is Booked]], ((SnapshotTable[[#This Row],[Last Price]] -SnapshotTable[[#This Row],[SC Strike Price]]) / SnapshotTable[[#This Row],[Last Price]]) * -1, "")</f>
        <v/>
      </c>
      <c r="FM354" s="157" t="str">
        <f>IF(SnapshotTable[[#This Row],[SC Is Booked]],  (SnapshotTable[[#This Row],[SC Qty]] * 100 * SnapshotTable[[#This Row],[SC Strike Price]]) - SnapshotTable[[#This Row],[SC Current Ask]], "")</f>
        <v/>
      </c>
      <c r="FN35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157"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33"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36" t="str">
        <f>IF(AND(ISNUMBER(SnapshotTable[[#This Row],[SC Simple ROO]]),SnapshotTable[[#This Row],[SC Simple ROO]] &gt; 0), SnapshotTable[[#This Row],[SC Premium]] + (SnapshotTable[[#This Row],[SC Qty]] * SnapshotTable[[#This Row],[SC Upside Potential]]), "")</f>
        <v/>
      </c>
      <c r="FX354" s="302" t="str" cm="1">
        <f t="array" ref="FX354">IF(ISNUMBER(SnapshotTable[[#This Row],[SC Max Dollars]]), annualize(SnapshotTable[[#This Row],[SC Term]],(SnapshotTable[[#This Row],[SC Max Dollars]]/SnapshotTable[[#This Row],[SC Basis]])),"")</f>
        <v/>
      </c>
      <c r="FY354" s="23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29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101.9635</v>
      </c>
      <c r="GD354" s="40">
        <f>SnapshotTable[[#This Row],[Last Price]] * (1+ SellingPriceToConsiderBasedOnTargetPercentage)</f>
        <v>169.86449999999999</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158" t="str">
        <f>IF(SnapshotTable[[#This Row],[Sale G/L]]&gt;0, SnapshotTable[[#This Row],[Sale G/L]] / SnapshotTable[[#This Row],[Sale Basis]], IF(ISNUMBER(SnapshotTable[[#This Row],[SC Exercise P&amp;L (TAX)]]), SnapshotTable[[#This Row],[SC Exercise P&amp;L (TAX)]] / SnapshotTable[[#This Row],[SC Basis]], ""))</f>
        <v/>
      </c>
      <c r="GK354" s="158"/>
      <c r="GL354" s="159"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159" t="str">
        <f>IF(AND(SnapshotTable[[#This Row],[LC Exp Date]]&gt;0,SnapshotTable[[#This Row],[LC Strike Price]]&gt;0), [1]!ToOptionSymbol(SnapshotTable[[#This Row],[Symbol]], SnapshotTable[[#This Row],[LC Strike Price]],SnapshotTable[[#This Row],[LC Exp Date]],0), "")</f>
        <v/>
      </c>
      <c r="GQ354" s="160" t="str">
        <f>IF(LEN(SnapshotTable[[#This Row],[LC Symbol]])&gt;0, 1, "")</f>
        <v/>
      </c>
      <c r="GR354" s="159" t="str">
        <f>IF(AND(SnapshotTable[[#This Row],[SC Exp Date]]&gt;0,SnapshotTable[[#This Row],[SC Strike Price]]&gt;0), [1]!ToOptionSymbol(SnapshotTable[[#This Row],[Symbol]], SnapshotTable[[#This Row],[SC Strike Price]],SnapshotTable[[#This Row],[SC Exp Date]],0), "")</f>
        <v/>
      </c>
      <c r="GS354" s="160" t="str">
        <f>IF(LEN(SnapshotTable[[#This Row],[SC Symbol]])&gt;0, 1, "")</f>
        <v/>
      </c>
      <c r="GT354" s="161"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31">
        <f>MAX(SnapshotTable[[#This Row],[Equity Basis Total]],SnapshotTable[[#This Row],[Equity Value]]) + (SnapshotTable[[#This Row],[SP Potential Spend]]- SnapshotTable[[#This Row],[SP Premium]] + SnapshotTable[[#This Row],[LP Premium]])+ (SnapshotTable[[#This Row],[LC Premium]] - SnapshotTable[[#This Row],[SC Premium]])</f>
        <v>0</v>
      </c>
      <c r="GW354" s="139" t="str">
        <f>IF(AND(SnapshotTable[[#This Row],[Exposure]] &lt;&gt; 0),SnapshotTable[[#This Row],[Exposure]] / SnapshotTable[[#Totals],[Exposure]], "")</f>
        <v/>
      </c>
      <c r="HK354" s="1"/>
      <c r="HL354" s="1"/>
      <c r="HM354" s="1"/>
      <c r="HN354" s="1"/>
      <c r="HO354" s="1"/>
      <c r="HP354" s="1"/>
    </row>
    <row r="355" spans="2:224" ht="12.75" hidden="1" customHeight="1" x14ac:dyDescent="0.25">
      <c r="B355" s="12" t="s">
        <v>914</v>
      </c>
      <c r="C355" s="422">
        <v>2.79</v>
      </c>
      <c r="D355" s="208" t="s">
        <v>578</v>
      </c>
      <c r="E355" s="39">
        <f>SnapshotTable[[#This Row],[Last Price]]*(1 -CrashDiscount)</f>
        <v>2.3715000000000002</v>
      </c>
      <c r="F355" s="26" t="s">
        <v>905</v>
      </c>
      <c r="G355" s="26" t="s">
        <v>610</v>
      </c>
      <c r="H355" s="149"/>
      <c r="I355" s="194">
        <v>44782</v>
      </c>
      <c r="J355" s="195">
        <v>44782</v>
      </c>
      <c r="K355" s="196"/>
      <c r="L355" s="326"/>
      <c r="M355" s="140"/>
      <c r="N355" s="140"/>
      <c r="O355" s="140"/>
      <c r="P355" s="22"/>
      <c r="Q355" s="25"/>
      <c r="R355" s="4" t="str">
        <f>IF(SnapshotTable[[#This Row],[Equity Basis Total]] &gt; 0, SnapshotTable[[#This Row],[Equity Basis Total]] / SnapshotTable[[#This Row],[Equity Shares]], "")</f>
        <v/>
      </c>
      <c r="S355" s="269">
        <f>SnapshotTable[[#This Row],[Last Price]] * SnapshotTable[[#This Row],[Equity Shares]]</f>
        <v>0</v>
      </c>
      <c r="T355" s="269">
        <f>SnapshotTable[[#This Row],[Equity Value]] - SnapshotTable[[#This Row],[Equity Basis Total]]</f>
        <v>0</v>
      </c>
      <c r="U355" s="270" t="str">
        <f>IF(SnapshotTable[[#This Row],[Equity Basis Total]] &gt; 0, SnapshotTable[[#This Row],[Equity G/L]] / SnapshotTable[[#This Row],[Equity Basis Total]], "")</f>
        <v/>
      </c>
      <c r="V355" s="268"/>
      <c r="W355" s="26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7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0"/>
      <c r="AD355" s="151"/>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1"/>
      <c r="AI355" s="5"/>
      <c r="AJ355" s="138">
        <v>25.5</v>
      </c>
      <c r="AK355" s="152" t="str">
        <f>IF(ISNUMBER( SnapshotTable[[#This Row],[EBF Target]]),(SnapshotTable[[#This Row],[EBF Target]] - SnapshotTable[[#This Row],[Last Price]]) / SnapshotTable[[#This Row],[Last Price]], "")</f>
        <v/>
      </c>
      <c r="AL355" s="152"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2">
        <f>IF(AND(ISNUMBER( SnapshotTable[[#This Row],[Long Term Target]]), ISNUMBER(SnapshotTable[[#This Row],[Last Price]])),(SnapshotTable[[#This Row],[Long Term Target]] - SnapshotTable[[#This Row],[Last Price]]) / SnapshotTable[[#This Row],[Last Price]], "")</f>
        <v>8.1397849462365599</v>
      </c>
      <c r="AP355" s="5">
        <v>30</v>
      </c>
      <c r="AQ355" s="38" t="s">
        <v>110</v>
      </c>
      <c r="AR355" s="5">
        <v>24</v>
      </c>
      <c r="AS355" s="38" t="s">
        <v>45</v>
      </c>
      <c r="AT355" s="146" t="s">
        <v>533</v>
      </c>
      <c r="AU355" s="187" t="str">
        <f>IF(OR(SnapshotTable[[#This Row],[LP No Fill]]="Y",SnapshotTable[[#This Row],[SP Is Filled]],SnapshotTable[[#This Row],[LC Not Filled]]="Y",SnapshotTable[[#This Row],[SC Is Filled]]),"Y","")</f>
        <v/>
      </c>
      <c r="AV355" s="219"/>
      <c r="AW355" s="225"/>
      <c r="AX355" s="220"/>
      <c r="AY355" s="219" t="str">
        <f>IF(SnapshotTable[[#This Row],[Implied Move]]&gt;0, SnapshotTable[[#This Row],[Last Price]]-SnapshotTable[[#This Row],[Implied Move]],"")</f>
        <v/>
      </c>
      <c r="AZ355" s="219" t="str">
        <f>IF(SnapshotTable[[#This Row],[Implied Move]]&gt;0, SnapshotTable[[#This Row],[Last Price]] + SnapshotTable[[#This Row],[Implied Move]],"")</f>
        <v/>
      </c>
      <c r="BA355" s="331"/>
      <c r="BB355" s="347"/>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51"/>
      <c r="BE355" s="138"/>
      <c r="BF355" s="166"/>
      <c r="BG355" s="167"/>
      <c r="BH355" s="167"/>
      <c r="BI355" s="221"/>
      <c r="BJ355" s="153">
        <f>IF(SnapshotTable[[#This Row],[LP Qty]] &gt; 0, SnapshotTable[[#This Row],[LP Qty]] * SnapshotTable[[#This Row],[LP Book Price]] * 100,0)</f>
        <v>0</v>
      </c>
      <c r="BK355" s="136">
        <f>IF(SnapshotTable[[#This Row],[LP Premium]] &gt; 0, SnapshotTable[[#This Row],[LP Qty]] * SnapshotTable[[#This Row],[LP Strike Price]] * 100,0)</f>
        <v>0</v>
      </c>
      <c r="BL355" s="154"/>
      <c r="BM355" s="385" t="str">
        <f>IF(SnapshotTable[[#This Row],[LP Premium]] &gt; 0,SnapshotTable[[#This Row],[LP Exp Date]]-MAX(SnapshotTable[[#This Row],[LP Book Date]], SnapshotTable[[#This Row],[LP Fill Date]]),"")</f>
        <v/>
      </c>
      <c r="BN355" s="385" t="str">
        <f>IF(ISNUMBER( SnapshotTable[[#This Row],[LP Term]]), SnapshotTable[[#This Row],[LP Exp Date]] - MockToday,"")</f>
        <v/>
      </c>
      <c r="BO355" s="163"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7"/>
      <c r="BU355" s="13"/>
      <c r="BV355" s="5"/>
      <c r="BW355" s="419" t="b">
        <f>AND(ISNUMBER(SnapshotTable[[#This Row],[SP Exp Date]]), ISNUMBER(SnapshotTable[[#This Row],[SP Strike Price]]), ISNUMBER(SnapshotTable[[#This Row],[SP Qty]]), ISNUMBER(SnapshotTable[[#This Row],[SP Book Date]]), ISNUMBER(SnapshotTable[[#This Row],[SP Book Price]]))</f>
        <v>0</v>
      </c>
      <c r="BX355" s="419" t="b">
        <f>AND(SnapshotTable[[#This Row],[SP Is Booked]], NOT(ISBLANK(SnapshotTable[[#This Row],[SP Fill Date]])))</f>
        <v>0</v>
      </c>
      <c r="BY355" s="33">
        <f>IF(SnapshotTable[[#This Row],[SP Is Booked]], SnapshotTable[[#This Row],[SP Qty]] * SnapshotTable[[#This Row],[SP Book Price]] * 100, 0)</f>
        <v>0</v>
      </c>
      <c r="BZ355" s="369"/>
      <c r="CA355" s="368">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3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44"/>
      <c r="CK355" s="31">
        <f>IF(ISNUMBER(SnapshotTable[[#This Row],[SP Potential Spend]]),IF(ISNUMBER(SnapshotTable[[#This Row],[SP POW]]), SnapshotTable[[#This Row],[SP POW]] * SnapshotTable[[#This Row],[SP Potential Spend]], SnapshotTable[[#This Row],[SP Potential Spend]]), "")</f>
        <v>0</v>
      </c>
      <c r="CL355" s="164">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154"/>
      <c r="CO355" s="369"/>
      <c r="CP355" s="4" t="str">
        <f>IF(SnapshotTable[[#This Row],[SP Is Filled]], btc_max_buyback_amount(SnapshotTable[[#This Row],[SP Fill Date]],SnapshotTable[[#This Row],[SP Exp Date]], SnapshotTable[[#This Row],[SP Book Price]]),"")</f>
        <v/>
      </c>
      <c r="CQ355" s="78"/>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5" t="str">
        <f>IF(SnapshotTable[[#This Row],[SP Is Filled]], btc_next_cutoff_date(SnapshotTable[[#This Row],[SP Fill Date]],SnapshotTable[[#This Row],[SP Exp Date]]),"")</f>
        <v/>
      </c>
      <c r="CT355" s="23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56"/>
      <c r="CV355" s="235"/>
      <c r="CW355" s="378"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294" t="str">
        <f>IF(ISNUMBER((SnapshotTable[[#This Row],[SP Total Value]])), SnapshotTable[[#This Row],[SP Gain Loss]] / SnapshotTable[[#This Row],[SP Premium]], "")</f>
        <v/>
      </c>
      <c r="DI355" s="406"/>
      <c r="DJ355" s="138"/>
      <c r="DK355" s="148"/>
      <c r="DL355" s="147"/>
      <c r="DM355" s="147"/>
      <c r="DO355" s="31">
        <f>IF(SnapshotTable[[#This Row],[LC Symbol Count]]=1, SnapshotTable[[#This Row],[LC Qty]] * SnapshotTable[[#This Row],[LC Book Price]] * 100, 0)</f>
        <v>0</v>
      </c>
      <c r="DP355" s="289" t="str">
        <f>IF(AND(SnapshotTable[[#This Row],[LC Exp Date]]&gt;0, SnapshotTable[[#This Row],[LC Strike Price]]&gt;0,SnapshotTable[[#This Row],[LC Qty]]&gt;0,SnapshotTable[[#This Row],[LC Book Date]]&gt;0,SnapshotTable[[#This Row],[LC Book Price]]&gt;0,SnapshotTable[[#This Row],[LC Fill Date]]=0),"Y","")</f>
        <v/>
      </c>
      <c r="DQ355" s="386" t="str">
        <f>IF(SnapshotTable[[#This Row],[LC Premium]] &gt; 0,SnapshotTable[[#This Row],[LC Exp Date]]-MAX(SnapshotTable[[#This Row],[LC Book Date]], SnapshotTable[[#This Row],[LC Fill Date]]),"")</f>
        <v/>
      </c>
      <c r="DR355" s="386" t="str">
        <f>IF(ISNUMBER(SnapshotTable[[#This Row],[LC Term]]), SnapshotTable[[#This Row],[LC Exp Date]] - MockToday, "")</f>
        <v/>
      </c>
      <c r="DS355" s="23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40" t="str">
        <f>IF(ISNUMBER(SnapshotTable[[#This Row],[LC Actual Gain Loss]]), SnapshotTable[[#This Row],[LC Actual Gain Loss]] / SnapshotTable[[#This Row],[LC Premium]],"")</f>
        <v/>
      </c>
      <c r="DX355" s="284" t="str">
        <f>IF(ISNUMBER(SnapshotTable[[#This Row],[LC Book Price]]),SnapshotTable[[#This Row],[LC Book Price]] * 1.5,"")</f>
        <v/>
      </c>
      <c r="DY355" s="265" t="str">
        <f>IF(SnapshotTable[[#This Row],[LC Premium]]&gt;0, SnapshotTable[[#This Row],[LC Next Target]] * SnapshotTable[[#This Row],[LC Qty]] * 100,"")</f>
        <v/>
      </c>
      <c r="DZ355" s="265" t="str">
        <f>IF(ISNUMBER(SnapshotTable[[#This Row],[LC Target Gross]]), SnapshotTable[[#This Row],[LC Target Gross]] - SnapshotTable[[#This Row],[LC Premium]], "")</f>
        <v/>
      </c>
      <c r="EA355" s="305" t="str">
        <f>IF(ISNUMBER(SnapshotTable[[#This Row],[LC Target Gain Loss]]), SnapshotTable[[#This Row],[LC Target Gain Loss]]/SnapshotTable[[#This Row],[LC Premium]], "")</f>
        <v/>
      </c>
      <c r="EB355" s="262"/>
      <c r="EC355" s="283" t="str">
        <f>IF(SnapshotTable[[#This Row],[LC Premium]]&gt;0, SnapshotTable[[#This Row],[LC Book Price]] * (1 - LC_StopLoss_Pct),"")</f>
        <v/>
      </c>
      <c r="ED355" s="284"/>
      <c r="EE355" s="28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4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7"/>
      <c r="EL355" s="138"/>
      <c r="EM355" s="148"/>
      <c r="EN355" s="147"/>
      <c r="EO355" s="147"/>
      <c r="EP355" s="138"/>
      <c r="EQ355" s="419" t="b">
        <f>AND(ISNUMBER(SnapshotTable[[#This Row],[SC Exp Date]]), ISNUMBER(SnapshotTable[[#This Row],[SC Strike Price]]), ISNUMBER(SnapshotTable[[#This Row],[SC Qty]]), ISNUMBER(SnapshotTable[[#This Row],[SC Book Date]]), ISNUMBER(SnapshotTable[[#This Row],[SC Book Price]]))</f>
        <v>0</v>
      </c>
      <c r="ER355" s="419" t="b">
        <f>AND(SnapshotTable[[#This Row],[SC Is Booked]], NOT(ISBLANK(SnapshotTable[[#This Row],[SC Fill Date]])))</f>
        <v>0</v>
      </c>
      <c r="ES355" s="370"/>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3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283"/>
      <c r="FA355" s="218"/>
      <c r="FB355" s="370"/>
      <c r="FC355" s="4">
        <f>IF(SnapshotTable[[#This Row],[SC Is Filled]], btc_max_buyback_amount(SnapshotTable[[#This Row],[SC Fill Date]],SnapshotTable[[#This Row],[SC Exp Date]], SnapshotTable[[#This Row],[SC Book Price]]),0)</f>
        <v>0</v>
      </c>
      <c r="FD355" s="5"/>
      <c r="FE355" s="144"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382">
        <f>IF(SnapshotTable[[#This Row],[SC Is Filled]], IF(ISNUMBER(SnapshotTable[[#This Row],[SC Current Ask]]), SnapshotTable[[#This Row],[SC Current Ask]], SnapshotTable[[#This Row],[SC Book Price]]) - SnapshotTable[[#This Row],[SC Intrinsic Value]], 0)</f>
        <v>0</v>
      </c>
      <c r="FI355" s="143"/>
      <c r="FJ355" s="32" t="str">
        <f>IF(SnapshotTable[[#This Row],[SC Is Filled]],100 * SnapshotTable[[#This Row],[SC Qty]] * IF(ISNUMBER(SnapshotTable[[#This Row],[SC Buyback Override]]), SnapshotTable[[#This Row],[SC Buyback Override]], SnapshotTable[[#This Row],[SC Current Ask]]), "")</f>
        <v/>
      </c>
      <c r="FK355" s="250" t="str">
        <f>IF(SnapshotTable[[#This Row],[SC Time Val]]&gt;0, SnapshotTable[[#This Row],[SC Time Val]] / SnapshotTable[[#This Row],[Last Price]],"")</f>
        <v/>
      </c>
      <c r="FL355" s="302" t="str">
        <f>IF(SnapshotTable[[#This Row],[SC Is Booked]], ((SnapshotTable[[#This Row],[Last Price]] -SnapshotTable[[#This Row],[SC Strike Price]]) / SnapshotTable[[#This Row],[Last Price]]) * -1, "")</f>
        <v/>
      </c>
      <c r="FM355" s="157" t="str">
        <f>IF(SnapshotTable[[#This Row],[SC Is Booked]],  (SnapshotTable[[#This Row],[SC Qty]] * 100 * SnapshotTable[[#This Row],[SC Strike Price]]) - SnapshotTable[[#This Row],[SC Current Ask]], "")</f>
        <v/>
      </c>
      <c r="FN35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157"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33"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36" t="str">
        <f>IF(AND(ISNUMBER(SnapshotTable[[#This Row],[SC Simple ROO]]),SnapshotTable[[#This Row],[SC Simple ROO]] &gt; 0), SnapshotTable[[#This Row],[SC Premium]] + (SnapshotTable[[#This Row],[SC Qty]] * SnapshotTable[[#This Row],[SC Upside Potential]]), "")</f>
        <v/>
      </c>
      <c r="FX355" s="302" t="str" cm="1">
        <f t="array" ref="FX355">IF(ISNUMBER(SnapshotTable[[#This Row],[SC Max Dollars]]), annualize(SnapshotTable[[#This Row],[SC Term]],(SnapshotTable[[#This Row],[SC Max Dollars]]/SnapshotTable[[#This Row],[SC Basis]])),"")</f>
        <v/>
      </c>
      <c r="FY355" s="236" t="str">
        <f>IF(AND(SnapshotTable[[#This Row],[SC Qty]]&gt;0,SnapshotTable[[#This Row],[SC Current Ask]]&gt;0), SnapshotTable[[#This Row],[SC Qty]] * SnapshotTable[[#This Row],[SC Current Ask]] * -100, "")</f>
        <v/>
      </c>
      <c r="FZ355" s="235" t="str">
        <f>IF(ISNUMBER((SnapshotTable[[#This Row],[SC Current Value]])), SnapshotTable[[#This Row],[SC Premium]] + SnapshotTable[[#This Row],[SC Current Value]], "")</f>
        <v/>
      </c>
      <c r="GA355" s="29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24.224999999999998</v>
      </c>
      <c r="GD355" s="40">
        <f>SnapshotTable[[#This Row],[Last Price]] * (1+ SellingPriceToConsiderBasedOnTargetPercentage)</f>
        <v>5.4405000000000001</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158" t="str">
        <f>IF(SnapshotTable[[#This Row],[Sale G/L]]&gt;0, SnapshotTable[[#This Row],[Sale G/L]] / SnapshotTable[[#This Row],[Sale Basis]], IF(ISNUMBER(SnapshotTable[[#This Row],[SC Exercise P&amp;L (TAX)]]), SnapshotTable[[#This Row],[SC Exercise P&amp;L (TAX)]] / SnapshotTable[[#This Row],[SC Basis]], ""))</f>
        <v/>
      </c>
      <c r="GK355" s="158"/>
      <c r="GL355" s="159"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159" t="str">
        <f>IF(AND(SnapshotTable[[#This Row],[LC Exp Date]]&gt;0,SnapshotTable[[#This Row],[LC Strike Price]]&gt;0), [1]!ToOptionSymbol(SnapshotTable[[#This Row],[Symbol]], SnapshotTable[[#This Row],[LC Strike Price]],SnapshotTable[[#This Row],[LC Exp Date]],0), "")</f>
        <v/>
      </c>
      <c r="GQ355" s="160" t="str">
        <f>IF(LEN(SnapshotTable[[#This Row],[LC Symbol]])&gt;0, 1, "")</f>
        <v/>
      </c>
      <c r="GR355" s="159" t="str">
        <f>IF(AND(SnapshotTable[[#This Row],[SC Exp Date]]&gt;0,SnapshotTable[[#This Row],[SC Strike Price]]&gt;0), [1]!ToOptionSymbol(SnapshotTable[[#This Row],[Symbol]], SnapshotTable[[#This Row],[SC Strike Price]],SnapshotTable[[#This Row],[SC Exp Date]],0), "")</f>
        <v/>
      </c>
      <c r="GS355" s="160" t="str">
        <f>IF(LEN(SnapshotTable[[#This Row],[SC Symbol]])&gt;0, 1, "")</f>
        <v/>
      </c>
      <c r="GT355" s="161"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31">
        <f>MAX(SnapshotTable[[#This Row],[Equity Basis Total]],SnapshotTable[[#This Row],[Equity Value]]) + (SnapshotTable[[#This Row],[SP Potential Spend]]- SnapshotTable[[#This Row],[SP Premium]] + SnapshotTable[[#This Row],[LP Premium]])+ (SnapshotTable[[#This Row],[LC Premium]] - SnapshotTable[[#This Row],[SC Premium]])</f>
        <v>0</v>
      </c>
      <c r="GW355" s="139" t="str">
        <f>IF(AND(SnapshotTable[[#This Row],[Exposure]] &lt;&gt; 0),SnapshotTable[[#This Row],[Exposure]] / SnapshotTable[[#Totals],[Exposure]], "")</f>
        <v/>
      </c>
      <c r="HK355" s="1"/>
      <c r="HL355" s="1"/>
      <c r="HM355" s="1"/>
      <c r="HN355" s="1"/>
      <c r="HO355" s="1"/>
      <c r="HP355" s="1"/>
    </row>
    <row r="356" spans="2:224" ht="12.75" hidden="1" customHeight="1" x14ac:dyDescent="0.25">
      <c r="B356" s="12" t="s">
        <v>190</v>
      </c>
      <c r="C356" s="422">
        <v>253.3</v>
      </c>
      <c r="D356" s="208" t="s">
        <v>850</v>
      </c>
      <c r="E356" s="39">
        <f>SnapshotTable[[#This Row],[Last Price]]*(1 -CrashDiscount)</f>
        <v>215.30500000000001</v>
      </c>
      <c r="F356" s="26" t="s">
        <v>941</v>
      </c>
      <c r="G356" s="26" t="s">
        <v>49</v>
      </c>
      <c r="H356" s="149"/>
      <c r="I356" s="194">
        <v>44771.322916666664</v>
      </c>
      <c r="J356" s="195">
        <v>44771.322916666664</v>
      </c>
      <c r="K356" s="196"/>
      <c r="L356" s="326"/>
      <c r="M356" s="140">
        <v>1</v>
      </c>
      <c r="N356" s="140" t="b">
        <v>1</v>
      </c>
      <c r="O356" s="140"/>
      <c r="P356" s="22"/>
      <c r="Q356" s="25"/>
      <c r="R356" s="4" t="str">
        <f>IF(SnapshotTable[[#This Row],[Equity Basis Total]] &gt; 0, SnapshotTable[[#This Row],[Equity Basis Total]] / SnapshotTable[[#This Row],[Equity Shares]], "")</f>
        <v/>
      </c>
      <c r="S356" s="269">
        <f>SnapshotTable[[#This Row],[Last Price]] * SnapshotTable[[#This Row],[Equity Shares]]</f>
        <v>0</v>
      </c>
      <c r="T356" s="269">
        <f>SnapshotTable[[#This Row],[Equity Value]] - SnapshotTable[[#This Row],[Equity Basis Total]]</f>
        <v>0</v>
      </c>
      <c r="U356" s="270" t="str">
        <f>IF(SnapshotTable[[#This Row],[Equity Basis Total]] &gt; 0, SnapshotTable[[#This Row],[Equity G/L]] / SnapshotTable[[#This Row],[Equity Basis Total]], "")</f>
        <v/>
      </c>
      <c r="V356" s="268"/>
      <c r="W356" s="26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7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0">
        <v>5.2</v>
      </c>
      <c r="AD356" s="151">
        <v>44424</v>
      </c>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2.0529016975917885E-2</v>
      </c>
      <c r="AH356" s="151">
        <v>44391</v>
      </c>
      <c r="AI356" s="5">
        <f>SnapshotTable[[#This Row],[Equity Target]]</f>
        <v>0</v>
      </c>
      <c r="AJ356" s="138">
        <v>167.88</v>
      </c>
      <c r="AK356" s="152">
        <f>IF(ISNUMBER( SnapshotTable[[#This Row],[EBF Target]]),(SnapshotTable[[#This Row],[EBF Target]] - SnapshotTable[[#This Row],[Last Price]]) / SnapshotTable[[#This Row],[Last Price]], "")</f>
        <v>-1</v>
      </c>
      <c r="AL356" s="152"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2">
        <f>IF(AND(ISNUMBER( SnapshotTable[[#This Row],[Long Term Target]]), ISNUMBER(SnapshotTable[[#This Row],[Last Price]])),(SnapshotTable[[#This Row],[Long Term Target]] - SnapshotTable[[#This Row],[Last Price]]) / SnapshotTable[[#This Row],[Last Price]], "")</f>
        <v>-0.33722858270825112</v>
      </c>
      <c r="AP356" s="5"/>
      <c r="AQ356" s="38"/>
      <c r="AR356" s="5"/>
      <c r="AS356" s="38"/>
      <c r="AT356" s="146"/>
      <c r="AU356" s="187" t="str">
        <f>IF(OR(SnapshotTable[[#This Row],[LP No Fill]]="Y",SnapshotTable[[#This Row],[SP Is Filled]],SnapshotTable[[#This Row],[LC Not Filled]]="Y",SnapshotTable[[#This Row],[SC Is Filled]]),"Y","")</f>
        <v/>
      </c>
      <c r="AV356" s="219" t="s">
        <v>1006</v>
      </c>
      <c r="AW356" s="225"/>
      <c r="AX356" s="220"/>
      <c r="AY356" s="219" t="str">
        <f>IF(SnapshotTable[[#This Row],[Implied Move]]&gt;0, SnapshotTable[[#This Row],[Last Price]]-SnapshotTable[[#This Row],[Implied Move]],"")</f>
        <v/>
      </c>
      <c r="AZ356" s="219" t="str">
        <f>IF(SnapshotTable[[#This Row],[Implied Move]]&gt;0, SnapshotTable[[#This Row],[Last Price]] + SnapshotTable[[#This Row],[Implied Move]],"")</f>
        <v/>
      </c>
      <c r="BA356" s="331">
        <v>74.31</v>
      </c>
      <c r="BB356" s="347"/>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51"/>
      <c r="BE356" s="5"/>
      <c r="BF356" s="14"/>
      <c r="BG356" s="13"/>
      <c r="BH356" s="13"/>
      <c r="BI356" s="5"/>
      <c r="BJ356" s="136">
        <f>IF(SnapshotTable[[#This Row],[LP Qty]] &gt; 0, SnapshotTable[[#This Row],[LP Qty]] * SnapshotTable[[#This Row],[LP Book Price]] * 100,0)</f>
        <v>0</v>
      </c>
      <c r="BK356" s="136">
        <f>IF(SnapshotTable[[#This Row],[LP Premium]] &gt; 0, SnapshotTable[[#This Row],[LP Qty]] * SnapshotTable[[#This Row],[LP Strike Price]] * 100,0)</f>
        <v>0</v>
      </c>
      <c r="BL356" s="154"/>
      <c r="BM356" s="385" t="str">
        <f>IF(SnapshotTable[[#This Row],[LP Premium]] &gt; 0,SnapshotTable[[#This Row],[LP Exp Date]]-MAX(SnapshotTable[[#This Row],[LP Book Date]], SnapshotTable[[#This Row],[LP Fill Date]]),"")</f>
        <v/>
      </c>
      <c r="BN356" s="385" t="str">
        <f>IF(ISNUMBER( SnapshotTable[[#This Row],[LP Term]]), SnapshotTable[[#This Row],[LP Exp Date]] - MockToday,"")</f>
        <v/>
      </c>
      <c r="BO356" s="163"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7"/>
      <c r="BU356" s="13"/>
      <c r="BV356" s="5"/>
      <c r="BW356" s="419" t="b">
        <f>AND(ISNUMBER(SnapshotTable[[#This Row],[SP Exp Date]]), ISNUMBER(SnapshotTable[[#This Row],[SP Strike Price]]), ISNUMBER(SnapshotTable[[#This Row],[SP Qty]]), ISNUMBER(SnapshotTable[[#This Row],[SP Book Date]]), ISNUMBER(SnapshotTable[[#This Row],[SP Book Price]]))</f>
        <v>0</v>
      </c>
      <c r="BX356" s="419" t="b">
        <f>AND(SnapshotTable[[#This Row],[SP Is Booked]], NOT(ISBLANK(SnapshotTable[[#This Row],[SP Fill Date]])))</f>
        <v>0</v>
      </c>
      <c r="BY356" s="33">
        <f>IF(SnapshotTable[[#This Row],[SP Is Booked]], SnapshotTable[[#This Row],[SP Qty]] * SnapshotTable[[#This Row],[SP Book Price]] * 100, 0)</f>
        <v>0</v>
      </c>
      <c r="BZ356" s="369"/>
      <c r="CA356" s="368">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3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44"/>
      <c r="CK356" s="31">
        <f>IF(ISNUMBER(SnapshotTable[[#This Row],[SP Potential Spend]]),IF(ISNUMBER(SnapshotTable[[#This Row],[SP POW]]), SnapshotTable[[#This Row],[SP POW]] * SnapshotTable[[#This Row],[SP Potential Spend]], SnapshotTable[[#This Row],[SP Potential Spend]]), "")</f>
        <v>0</v>
      </c>
      <c r="CL356" s="164">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154"/>
      <c r="CO356" s="369"/>
      <c r="CP356" s="4" t="str">
        <f>IF(SnapshotTable[[#This Row],[SP Is Filled]], btc_max_buyback_amount(SnapshotTable[[#This Row],[SP Fill Date]],SnapshotTable[[#This Row],[SP Exp Date]], SnapshotTable[[#This Row],[SP Book Price]]),"")</f>
        <v/>
      </c>
      <c r="CQ356" s="78"/>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5" t="str">
        <f>IF(SnapshotTable[[#This Row],[SP Is Filled]], btc_next_cutoff_date(SnapshotTable[[#This Row],[SP Fill Date]],SnapshotTable[[#This Row],[SP Exp Date]]),"")</f>
        <v/>
      </c>
      <c r="CT356" s="23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3"/>
      <c r="CV356" s="235"/>
      <c r="CW356" s="378"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294" t="str">
        <f>IF(ISNUMBER((SnapshotTable[[#This Row],[SP Total Value]])), SnapshotTable[[#This Row],[SP Gain Loss]] / SnapshotTable[[#This Row],[SP Premium]], "")</f>
        <v/>
      </c>
      <c r="DI356" s="406"/>
      <c r="DJ356" s="138"/>
      <c r="DK356" s="148"/>
      <c r="DL356" s="13"/>
      <c r="DM356" s="13"/>
      <c r="DO356" s="31">
        <f>IF(SnapshotTable[[#This Row],[LC Symbol Count]]=1, SnapshotTable[[#This Row],[LC Qty]] * SnapshotTable[[#This Row],[LC Book Price]] * 100, 0)</f>
        <v>0</v>
      </c>
      <c r="DP356" s="163" t="str">
        <f>IF(AND(SnapshotTable[[#This Row],[LC Exp Date]]&gt;0, SnapshotTable[[#This Row],[LC Strike Price]]&gt;0,SnapshotTable[[#This Row],[LC Qty]]&gt;0,SnapshotTable[[#This Row],[LC Book Date]]&gt;0,SnapshotTable[[#This Row],[LC Book Price]]&gt;0,SnapshotTable[[#This Row],[LC Fill Date]]=0),"Y","")</f>
        <v/>
      </c>
      <c r="DQ356" s="386" t="str">
        <f>IF(SnapshotTable[[#This Row],[LC Premium]] &gt; 0,SnapshotTable[[#This Row],[LC Exp Date]]-MAX(SnapshotTable[[#This Row],[LC Book Date]], SnapshotTable[[#This Row],[LC Fill Date]]),"")</f>
        <v/>
      </c>
      <c r="DR356" s="386" t="str">
        <f>IF(ISNUMBER(SnapshotTable[[#This Row],[LC Term]]), SnapshotTable[[#This Row],[LC Exp Date]] - MockToday, "")</f>
        <v/>
      </c>
      <c r="DS356" s="23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40" t="str">
        <f>IF(ISNUMBER(SnapshotTable[[#This Row],[LC Actual Gain Loss]]), SnapshotTable[[#This Row],[LC Actual Gain Loss]] / SnapshotTable[[#This Row],[LC Premium]],"")</f>
        <v/>
      </c>
      <c r="DX356" s="284" t="str">
        <f>IF(ISNUMBER(SnapshotTable[[#This Row],[LC Book Price]]),SnapshotTable[[#This Row],[LC Book Price]] * 1.5,"")</f>
        <v/>
      </c>
      <c r="DY356" s="265" t="str">
        <f>IF(SnapshotTable[[#This Row],[LC Premium]]&gt;0, SnapshotTable[[#This Row],[LC Next Target]] * SnapshotTable[[#This Row],[LC Qty]] * 100,"")</f>
        <v/>
      </c>
      <c r="DZ356" s="265" t="str">
        <f>IF(ISNUMBER(SnapshotTable[[#This Row],[LC Target Gross]]), SnapshotTable[[#This Row],[LC Target Gross]] - SnapshotTable[[#This Row],[LC Premium]], "")</f>
        <v/>
      </c>
      <c r="EA356" s="305" t="str">
        <f>IF(ISNUMBER(SnapshotTable[[#This Row],[LC Target Gain Loss]]), SnapshotTable[[#This Row],[LC Target Gain Loss]]/SnapshotTable[[#This Row],[LC Premium]], "")</f>
        <v/>
      </c>
      <c r="EB356" s="262"/>
      <c r="EC356" s="283" t="str">
        <f>IF(SnapshotTable[[#This Row],[LC Premium]]&gt;0, SnapshotTable[[#This Row],[LC Book Price]] * (1 - LC_StopLoss_Pct),"")</f>
        <v/>
      </c>
      <c r="ED356" s="284"/>
      <c r="EE356" s="28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4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7"/>
      <c r="EL356" s="138"/>
      <c r="EM356" s="148"/>
      <c r="EN356" s="147"/>
      <c r="EO356" s="147"/>
      <c r="EP356" s="138"/>
      <c r="EQ356" s="419" t="b">
        <f>AND(ISNUMBER(SnapshotTable[[#This Row],[SC Exp Date]]), ISNUMBER(SnapshotTable[[#This Row],[SC Strike Price]]), ISNUMBER(SnapshotTable[[#This Row],[SC Qty]]), ISNUMBER(SnapshotTable[[#This Row],[SC Book Date]]), ISNUMBER(SnapshotTable[[#This Row],[SC Book Price]]))</f>
        <v>0</v>
      </c>
      <c r="ER356" s="419" t="b">
        <f>AND(SnapshotTable[[#This Row],[SC Is Booked]], NOT(ISBLANK(SnapshotTable[[#This Row],[SC Fill Date]])))</f>
        <v>0</v>
      </c>
      <c r="ES356" s="370"/>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3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283"/>
      <c r="FA356" s="218"/>
      <c r="FB356" s="370"/>
      <c r="FC356" s="4">
        <f>IF(SnapshotTable[[#This Row],[SC Is Filled]], btc_max_buyback_amount(SnapshotTable[[#This Row],[SC Fill Date]],SnapshotTable[[#This Row],[SC Exp Date]], SnapshotTable[[#This Row],[SC Book Price]]),0)</f>
        <v>0</v>
      </c>
      <c r="FD356" s="5"/>
      <c r="FE356" s="144"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382">
        <f>IF(SnapshotTable[[#This Row],[SC Is Filled]], IF(ISNUMBER(SnapshotTable[[#This Row],[SC Current Ask]]), SnapshotTable[[#This Row],[SC Current Ask]], SnapshotTable[[#This Row],[SC Book Price]]) - SnapshotTable[[#This Row],[SC Intrinsic Value]], 0)</f>
        <v>0</v>
      </c>
      <c r="FI356" s="143"/>
      <c r="FJ356" s="32" t="str">
        <f>IF(SnapshotTable[[#This Row],[SC Is Filled]],100 * SnapshotTable[[#This Row],[SC Qty]] * IF(ISNUMBER(SnapshotTable[[#This Row],[SC Buyback Override]]), SnapshotTable[[#This Row],[SC Buyback Override]], SnapshotTable[[#This Row],[SC Current Ask]]), "")</f>
        <v/>
      </c>
      <c r="FK356" s="250" t="str">
        <f>IF(SnapshotTable[[#This Row],[SC Time Val]]&gt;0, SnapshotTable[[#This Row],[SC Time Val]] / SnapshotTable[[#This Row],[Last Price]],"")</f>
        <v/>
      </c>
      <c r="FL356" s="302" t="str">
        <f>IF(SnapshotTable[[#This Row],[SC Is Booked]], ((SnapshotTable[[#This Row],[Last Price]] -SnapshotTable[[#This Row],[SC Strike Price]]) / SnapshotTable[[#This Row],[Last Price]]) * -1, "")</f>
        <v/>
      </c>
      <c r="FM356" s="157"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33"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36" t="str">
        <f>IF(AND(ISNUMBER(SnapshotTable[[#This Row],[SC Simple ROO]]),SnapshotTable[[#This Row],[SC Simple ROO]] &gt; 0), SnapshotTable[[#This Row],[SC Premium]] + (SnapshotTable[[#This Row],[SC Qty]] * SnapshotTable[[#This Row],[SC Upside Potential]]), "")</f>
        <v/>
      </c>
      <c r="FX356" s="302" t="str" cm="1">
        <f t="array" ref="FX356">IF(ISNUMBER(SnapshotTable[[#This Row],[SC Max Dollars]]), annualize(SnapshotTable[[#This Row],[SC Term]],(SnapshotTable[[#This Row],[SC Max Dollars]]/SnapshotTable[[#This Row],[SC Basis]])),"")</f>
        <v/>
      </c>
      <c r="FY356" s="23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29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159.48599999999999</v>
      </c>
      <c r="GD356" s="40">
        <f>SnapshotTable[[#This Row],[Last Price]] * (1+ SellingPriceToConsiderBasedOnTargetPercentage)</f>
        <v>493.935</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t="s">
        <v>719</v>
      </c>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31">
        <f>MAX(SnapshotTable[[#This Row],[Equity Basis Total]],SnapshotTable[[#This Row],[Equity Value]]) + (SnapshotTable[[#This Row],[SP Potential Spend]]- SnapshotTable[[#This Row],[SP Premium]] + SnapshotTable[[#This Row],[LP Premium]])+ (SnapshotTable[[#This Row],[LC Premium]] - SnapshotTable[[#This Row],[SC Premium]])</f>
        <v>0</v>
      </c>
      <c r="GW356" s="139" t="str">
        <f>IF(AND(SnapshotTable[[#This Row],[Exposure]] &lt;&gt; 0),SnapshotTable[[#This Row],[Exposure]] / SnapshotTable[[#Totals],[Exposure]], "")</f>
        <v/>
      </c>
      <c r="HK356" s="1"/>
      <c r="HL356" s="1"/>
      <c r="HM356" s="1"/>
      <c r="HN356" s="1"/>
      <c r="HO356" s="1"/>
      <c r="HP356" s="1"/>
    </row>
    <row r="357" spans="2:224" ht="12.75" hidden="1" customHeight="1" x14ac:dyDescent="0.25">
      <c r="B357" s="12" t="s">
        <v>125</v>
      </c>
      <c r="C357" s="422">
        <v>109.33</v>
      </c>
      <c r="D357" s="208" t="s">
        <v>850</v>
      </c>
      <c r="E357" s="39">
        <f>SnapshotTable[[#This Row],[Last Price]]*(1 -CrashDiscount)</f>
        <v>92.930499999999995</v>
      </c>
      <c r="F357" s="26" t="s">
        <v>124</v>
      </c>
      <c r="G357" s="26" t="s">
        <v>14</v>
      </c>
      <c r="H357" s="149"/>
      <c r="I357" s="194">
        <v>44789.291666666664</v>
      </c>
      <c r="J357" s="195">
        <v>44789.291666666664</v>
      </c>
      <c r="K357" s="196"/>
      <c r="L357" s="326"/>
      <c r="M357" s="140"/>
      <c r="N357" s="140"/>
      <c r="O357" s="140"/>
      <c r="P357" s="22"/>
      <c r="Q357" s="25"/>
      <c r="R357" s="4" t="str">
        <f>IF(SnapshotTable[[#This Row],[Equity Basis Total]] &gt; 0, SnapshotTable[[#This Row],[Equity Basis Total]] / SnapshotTable[[#This Row],[Equity Shares]], "")</f>
        <v/>
      </c>
      <c r="S357" s="269">
        <f>SnapshotTable[[#This Row],[Last Price]] * SnapshotTable[[#This Row],[Equity Shares]]</f>
        <v>0</v>
      </c>
      <c r="T357" s="269">
        <f>SnapshotTable[[#This Row],[Equity Value]] - SnapshotTable[[#This Row],[Equity Basis Total]]</f>
        <v>0</v>
      </c>
      <c r="U357" s="270" t="str">
        <f>IF(SnapshotTable[[#This Row],[Equity Basis Total]] &gt; 0, SnapshotTable[[#This Row],[Equity G/L]] / SnapshotTable[[#This Row],[Equity Basis Total]], "")</f>
        <v/>
      </c>
      <c r="V357" s="268"/>
      <c r="W357" s="26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7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0">
        <v>2.2000000000000002</v>
      </c>
      <c r="AD357" s="151">
        <v>44446</v>
      </c>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2.0122564712338791E-2</v>
      </c>
      <c r="AH357" s="151">
        <v>44420</v>
      </c>
      <c r="AI357" s="5">
        <v>125</v>
      </c>
      <c r="AJ357" s="138">
        <v>163.24</v>
      </c>
      <c r="AK357" s="152">
        <f>IF(ISNUMBER( SnapshotTable[[#This Row],[EBF Target]]),(SnapshotTable[[#This Row],[EBF Target]] - SnapshotTable[[#This Row],[Last Price]]) / SnapshotTable[[#This Row],[Last Price]], "")</f>
        <v>0.14332754047379495</v>
      </c>
      <c r="AL357" s="152"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2">
        <f>IF(AND(ISNUMBER( SnapshotTable[[#This Row],[Long Term Target]]), ISNUMBER(SnapshotTable[[#This Row],[Last Price]])),(SnapshotTable[[#This Row],[Long Term Target]] - SnapshotTable[[#This Row],[Last Price]]) / SnapshotTable[[#This Row],[Last Price]], "")</f>
        <v>0.49309430165553836</v>
      </c>
      <c r="AP357" s="5">
        <v>145</v>
      </c>
      <c r="AQ357" s="38" t="s">
        <v>38</v>
      </c>
      <c r="AR357" s="5">
        <v>145</v>
      </c>
      <c r="AS357" s="38" t="s">
        <v>26</v>
      </c>
      <c r="AT357" s="146" t="s">
        <v>538</v>
      </c>
      <c r="AU357" s="187" t="str">
        <f>IF(OR(SnapshotTable[[#This Row],[LP No Fill]]="Y",SnapshotTable[[#This Row],[SP Is Filled]],SnapshotTable[[#This Row],[LC Not Filled]]="Y",SnapshotTable[[#This Row],[SC Is Filled]]),"Y","")</f>
        <v/>
      </c>
      <c r="AV357" s="219"/>
      <c r="AW357" s="225"/>
      <c r="AX357" s="220"/>
      <c r="AY357" s="219" t="str">
        <f>IF(SnapshotTable[[#This Row],[Implied Move]]&gt;0, SnapshotTable[[#This Row],[Last Price]]-SnapshotTable[[#This Row],[Implied Move]],"")</f>
        <v/>
      </c>
      <c r="AZ357" s="219" t="str">
        <f>IF(SnapshotTable[[#This Row],[Implied Move]]&gt;0, SnapshotTable[[#This Row],[Last Price]] + SnapshotTable[[#This Row],[Implied Move]],"")</f>
        <v/>
      </c>
      <c r="BA357" s="331">
        <v>140.53</v>
      </c>
      <c r="BB357" s="347"/>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51"/>
      <c r="BE357" s="5"/>
      <c r="BF357" s="14"/>
      <c r="BG357" s="13"/>
      <c r="BH357" s="13"/>
      <c r="BI357" s="5"/>
      <c r="BJ357" s="136">
        <f>IF(SnapshotTable[[#This Row],[LP Qty]] &gt; 0, SnapshotTable[[#This Row],[LP Qty]] * SnapshotTable[[#This Row],[LP Book Price]] * 100,0)</f>
        <v>0</v>
      </c>
      <c r="BK357" s="136">
        <f>IF(SnapshotTable[[#This Row],[LP Premium]] &gt; 0, SnapshotTable[[#This Row],[LP Qty]] * SnapshotTable[[#This Row],[LP Strike Price]] * 100,0)</f>
        <v>0</v>
      </c>
      <c r="BL357" s="154"/>
      <c r="BM357" s="385" t="str">
        <f>IF(SnapshotTable[[#This Row],[LP Premium]] &gt; 0,SnapshotTable[[#This Row],[LP Exp Date]]-MAX(SnapshotTable[[#This Row],[LP Book Date]], SnapshotTable[[#This Row],[LP Fill Date]]),"")</f>
        <v/>
      </c>
      <c r="BN357" s="385" t="str">
        <f>IF(ISNUMBER( SnapshotTable[[#This Row],[LP Term]]), SnapshotTable[[#This Row],[LP Exp Date]] - MockToday,"")</f>
        <v/>
      </c>
      <c r="BO357" s="163"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7"/>
      <c r="BU357" s="13"/>
      <c r="BV357" s="5"/>
      <c r="BW357" s="419" t="b">
        <f>AND(ISNUMBER(SnapshotTable[[#This Row],[SP Exp Date]]), ISNUMBER(SnapshotTable[[#This Row],[SP Strike Price]]), ISNUMBER(SnapshotTable[[#This Row],[SP Qty]]), ISNUMBER(SnapshotTable[[#This Row],[SP Book Date]]), ISNUMBER(SnapshotTable[[#This Row],[SP Book Price]]))</f>
        <v>0</v>
      </c>
      <c r="BX357" s="419" t="b">
        <f>AND(SnapshotTable[[#This Row],[SP Is Booked]], NOT(ISBLANK(SnapshotTable[[#This Row],[SP Fill Date]])))</f>
        <v>0</v>
      </c>
      <c r="BY357" s="33">
        <f>IF(SnapshotTable[[#This Row],[SP Is Booked]], SnapshotTable[[#This Row],[SP Qty]] * SnapshotTable[[#This Row],[SP Book Price]] * 100, 0)</f>
        <v>0</v>
      </c>
      <c r="BZ357" s="369"/>
      <c r="CA357" s="368">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3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44"/>
      <c r="CK357" s="31">
        <f>IF(ISNUMBER(SnapshotTable[[#This Row],[SP Potential Spend]]),IF(ISNUMBER(SnapshotTable[[#This Row],[SP POW]]), SnapshotTable[[#This Row],[SP POW]] * SnapshotTable[[#This Row],[SP Potential Spend]], SnapshotTable[[#This Row],[SP Potential Spend]]), "")</f>
        <v>0</v>
      </c>
      <c r="CL357" s="164">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78"/>
      <c r="CO357" s="369"/>
      <c r="CP357" s="4" t="str">
        <f>IF(SnapshotTable[[#This Row],[SP Is Filled]], btc_max_buyback_amount(SnapshotTable[[#This Row],[SP Fill Date]],SnapshotTable[[#This Row],[SP Exp Date]], SnapshotTable[[#This Row],[SP Book Price]]),"")</f>
        <v/>
      </c>
      <c r="CQ357" s="78"/>
      <c r="CR3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5" t="str">
        <f>IF(SnapshotTable[[#This Row],[SP Is Filled]], btc_next_cutoff_date(SnapshotTable[[#This Row],[SP Fill Date]],SnapshotTable[[#This Row],[SP Exp Date]]),"")</f>
        <v/>
      </c>
      <c r="CT357" s="23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43"/>
      <c r="CV357" s="235"/>
      <c r="CW357" s="378"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294" t="str">
        <f>IF(ISNUMBER((SnapshotTable[[#This Row],[SP Total Value]])), SnapshotTable[[#This Row],[SP Gain Loss]] / SnapshotTable[[#This Row],[SP Premium]], "")</f>
        <v/>
      </c>
      <c r="DI357" s="406"/>
      <c r="DJ357" s="138"/>
      <c r="DK357" s="148"/>
      <c r="DL357" s="13"/>
      <c r="DM357" s="13"/>
      <c r="DO357" s="31">
        <f>IF(SnapshotTable[[#This Row],[LC Symbol Count]]=1, SnapshotTable[[#This Row],[LC Qty]] * SnapshotTable[[#This Row],[LC Book Price]] * 100, 0)</f>
        <v>0</v>
      </c>
      <c r="DP357" s="163" t="str">
        <f>IF(AND(SnapshotTable[[#This Row],[LC Exp Date]]&gt;0, SnapshotTable[[#This Row],[LC Strike Price]]&gt;0,SnapshotTable[[#This Row],[LC Qty]]&gt;0,SnapshotTable[[#This Row],[LC Book Date]]&gt;0,SnapshotTable[[#This Row],[LC Book Price]]&gt;0,SnapshotTable[[#This Row],[LC Fill Date]]=0),"Y","")</f>
        <v/>
      </c>
      <c r="DQ357" s="386" t="str">
        <f>IF(SnapshotTable[[#This Row],[LC Premium]] &gt; 0,SnapshotTable[[#This Row],[LC Exp Date]]-MAX(SnapshotTable[[#This Row],[LC Book Date]], SnapshotTable[[#This Row],[LC Fill Date]]),"")</f>
        <v/>
      </c>
      <c r="DR357" s="386" t="str">
        <f>IF(ISNUMBER(SnapshotTable[[#This Row],[LC Term]]), SnapshotTable[[#This Row],[LC Exp Date]] - MockToday, "")</f>
        <v/>
      </c>
      <c r="DS357" s="23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40" t="str">
        <f>IF(ISNUMBER(SnapshotTable[[#This Row],[LC Actual Gain Loss]]), SnapshotTable[[#This Row],[LC Actual Gain Loss]] / SnapshotTable[[#This Row],[LC Premium]],"")</f>
        <v/>
      </c>
      <c r="DX357" s="284" t="str">
        <f>IF(ISNUMBER(SnapshotTable[[#This Row],[LC Book Price]]),SnapshotTable[[#This Row],[LC Book Price]] * 1.5,"")</f>
        <v/>
      </c>
      <c r="DY357" s="265" t="str">
        <f>IF(SnapshotTable[[#This Row],[LC Premium]]&gt;0, SnapshotTable[[#This Row],[LC Next Target]] * SnapshotTable[[#This Row],[LC Qty]] * 100,"")</f>
        <v/>
      </c>
      <c r="DZ357" s="265" t="str">
        <f>IF(ISNUMBER(SnapshotTable[[#This Row],[LC Target Gross]]), SnapshotTable[[#This Row],[LC Target Gross]] - SnapshotTable[[#This Row],[LC Premium]], "")</f>
        <v/>
      </c>
      <c r="EA357" s="305" t="str">
        <f>IF(ISNUMBER(SnapshotTable[[#This Row],[LC Target Gain Loss]]), SnapshotTable[[#This Row],[LC Target Gain Loss]]/SnapshotTable[[#This Row],[LC Premium]], "")</f>
        <v/>
      </c>
      <c r="EB357" s="262"/>
      <c r="EC357" s="283" t="str">
        <f>IF(SnapshotTable[[#This Row],[LC Premium]]&gt;0, SnapshotTable[[#This Row],[LC Book Price]] * (1 - LC_StopLoss_Pct),"")</f>
        <v/>
      </c>
      <c r="ED357" s="284"/>
      <c r="EE357" s="28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4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7"/>
      <c r="EL357" s="138"/>
      <c r="EM357" s="148"/>
      <c r="EN357" s="147"/>
      <c r="EO357" s="147"/>
      <c r="EP357" s="138"/>
      <c r="EQ357" s="419" t="b">
        <f>AND(ISNUMBER(SnapshotTable[[#This Row],[SC Exp Date]]), ISNUMBER(SnapshotTable[[#This Row],[SC Strike Price]]), ISNUMBER(SnapshotTable[[#This Row],[SC Qty]]), ISNUMBER(SnapshotTable[[#This Row],[SC Book Date]]), ISNUMBER(SnapshotTable[[#This Row],[SC Book Price]]))</f>
        <v>0</v>
      </c>
      <c r="ER357" s="419" t="b">
        <f>AND(SnapshotTable[[#This Row],[SC Is Booked]], NOT(ISBLANK(SnapshotTable[[#This Row],[SC Fill Date]])))</f>
        <v>0</v>
      </c>
      <c r="ES357" s="370"/>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3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283"/>
      <c r="FA357" s="218"/>
      <c r="FB357" s="370"/>
      <c r="FC357" s="4">
        <f>IF(SnapshotTable[[#This Row],[SC Is Filled]], btc_max_buyback_amount(SnapshotTable[[#This Row],[SC Fill Date]],SnapshotTable[[#This Row],[SC Exp Date]], SnapshotTable[[#This Row],[SC Book Price]]),0)</f>
        <v>0</v>
      </c>
      <c r="FD357" s="5"/>
      <c r="FE357" s="144"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382">
        <f>IF(SnapshotTable[[#This Row],[SC Is Filled]], IF(ISNUMBER(SnapshotTable[[#This Row],[SC Current Ask]]), SnapshotTable[[#This Row],[SC Current Ask]], SnapshotTable[[#This Row],[SC Book Price]]) - SnapshotTable[[#This Row],[SC Intrinsic Value]], 0)</f>
        <v>0</v>
      </c>
      <c r="FI357" s="143"/>
      <c r="FJ357" s="32" t="str">
        <f>IF(SnapshotTable[[#This Row],[SC Is Filled]],100 * SnapshotTable[[#This Row],[SC Qty]] * IF(ISNUMBER(SnapshotTable[[#This Row],[SC Buyback Override]]), SnapshotTable[[#This Row],[SC Buyback Override]], SnapshotTable[[#This Row],[SC Current Ask]]), "")</f>
        <v/>
      </c>
      <c r="FK357" s="250" t="str">
        <f>IF(SnapshotTable[[#This Row],[SC Time Val]]&gt;0, SnapshotTable[[#This Row],[SC Time Val]] / SnapshotTable[[#This Row],[Last Price]],"")</f>
        <v/>
      </c>
      <c r="FL357" s="302" t="str">
        <f>IF(SnapshotTable[[#This Row],[SC Is Booked]], ((SnapshotTable[[#This Row],[Last Price]] -SnapshotTable[[#This Row],[SC Strike Price]]) / SnapshotTable[[#This Row],[Last Price]]) * -1, "")</f>
        <v/>
      </c>
      <c r="FM357" s="157" t="str">
        <f>IF(SnapshotTable[[#This Row],[SC Is Booked]],  (SnapshotTable[[#This Row],[SC Qty]] * 100 * SnapshotTable[[#This Row],[SC Strike Price]]) - SnapshotTable[[#This Row],[SC Current Ask]], "")</f>
        <v/>
      </c>
      <c r="FN3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31"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33"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36" t="str">
        <f>IF(AND(ISNUMBER(SnapshotTable[[#This Row],[SC Simple ROO]]),SnapshotTable[[#This Row],[SC Simple ROO]] &gt; 0), SnapshotTable[[#This Row],[SC Premium]] + (SnapshotTable[[#This Row],[SC Qty]] * SnapshotTable[[#This Row],[SC Upside Potential]]), "")</f>
        <v/>
      </c>
      <c r="FX357" s="302" t="str" cm="1">
        <f t="array" ref="FX357">IF(ISNUMBER(SnapshotTable[[#This Row],[SC Max Dollars]]), annualize(SnapshotTable[[#This Row],[SC Term]],(SnapshotTable[[#This Row],[SC Max Dollars]]/SnapshotTable[[#This Row],[SC Basis]])),"")</f>
        <v/>
      </c>
      <c r="FY357" s="236" t="str">
        <f>IF(AND(SnapshotTable[[#This Row],[SC Qty]]&gt;0,SnapshotTable[[#This Row],[SC Current Ask]]&gt;0), SnapshotTable[[#This Row],[SC Qty]] * SnapshotTable[[#This Row],[SC Current Ask]] * -100, "")</f>
        <v/>
      </c>
      <c r="FZ357" s="31" t="str">
        <f>IF(ISNUMBER((SnapshotTable[[#This Row],[SC Current Value]])), SnapshotTable[[#This Row],[SC Premium]] + SnapshotTable[[#This Row],[SC Current Value]], "")</f>
        <v/>
      </c>
      <c r="GA357" s="29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155.078</v>
      </c>
      <c r="GD357" s="40">
        <f>SnapshotTable[[#This Row],[Last Price]] * (1+ SellingPriceToConsiderBasedOnTargetPercentage)</f>
        <v>213.1935</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27" t="str">
        <f>IF(SnapshotTable[[#This Row],[Sale G/L]]&gt;0, SnapshotTable[[#This Row],[Sale G/L]] / SnapshotTable[[#This Row],[Sale Basis]], IF(ISNUMBER(SnapshotTable[[#This Row],[SC Exercise P&amp;L (TAX)]]), SnapshotTable[[#This Row],[SC Exercise P&amp;L (TAX)]] / SnapshotTable[[#This Row],[SC Basis]], ""))</f>
        <v/>
      </c>
      <c r="GK357" s="27" t="s">
        <v>1022</v>
      </c>
      <c r="GL357" s="43"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43" t="str">
        <f>IF(AND(SnapshotTable[[#This Row],[LC Exp Date]]&gt;0,SnapshotTable[[#This Row],[LC Strike Price]]&gt;0), [1]!ToOptionSymbol(SnapshotTable[[#This Row],[Symbol]], SnapshotTable[[#This Row],[LC Strike Price]],SnapshotTable[[#This Row],[LC Exp Date]],0), "")</f>
        <v/>
      </c>
      <c r="GQ357" s="30" t="str">
        <f>IF(LEN(SnapshotTable[[#This Row],[LC Symbol]])&gt;0, 1, "")</f>
        <v/>
      </c>
      <c r="GR357" s="43" t="str">
        <f>IF(AND(SnapshotTable[[#This Row],[SC Exp Date]]&gt;0,SnapshotTable[[#This Row],[SC Strike Price]]&gt;0), [1]!ToOptionSymbol(SnapshotTable[[#This Row],[Symbol]], SnapshotTable[[#This Row],[SC Strike Price]],SnapshotTable[[#This Row],[SC Exp Date]],0), "")</f>
        <v/>
      </c>
      <c r="GS357" s="30" t="str">
        <f>IF(LEN(SnapshotTable[[#This Row],[SC Symbol]])&gt;0, 1, "")</f>
        <v/>
      </c>
      <c r="GT357" s="29"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31">
        <f>MAX(SnapshotTable[[#This Row],[Equity Basis Total]],SnapshotTable[[#This Row],[Equity Value]]) + (SnapshotTable[[#This Row],[SP Potential Spend]]- SnapshotTable[[#This Row],[SP Premium]] + SnapshotTable[[#This Row],[LP Premium]])+ (SnapshotTable[[#This Row],[LC Premium]] - SnapshotTable[[#This Row],[SC Premium]])</f>
        <v>0</v>
      </c>
      <c r="GW357" s="139" t="str">
        <f>IF(AND(SnapshotTable[[#This Row],[Exposure]] &lt;&gt; 0),SnapshotTable[[#This Row],[Exposure]] / SnapshotTable[[#Totals],[Exposure]], "")</f>
        <v/>
      </c>
      <c r="HB357" s="348"/>
      <c r="HK357" s="1"/>
      <c r="HL357" s="1"/>
      <c r="HM357" s="1"/>
      <c r="HN357" s="1"/>
      <c r="HO357" s="1"/>
      <c r="HP357" s="1"/>
    </row>
    <row r="358" spans="2:224" ht="12.75" hidden="1" customHeight="1" x14ac:dyDescent="0.25">
      <c r="B358" s="12" t="s">
        <v>593</v>
      </c>
      <c r="C358" s="422">
        <v>31.66</v>
      </c>
      <c r="D358" s="208" t="s">
        <v>594</v>
      </c>
      <c r="E358" s="39">
        <f>SnapshotTable[[#This Row],[Last Price]]*(1 -CrashDiscount)</f>
        <v>26.910999999999998</v>
      </c>
      <c r="F358" s="26" t="s">
        <v>230</v>
      </c>
      <c r="G358" s="26" t="s">
        <v>9</v>
      </c>
      <c r="H358" s="149"/>
      <c r="I358" s="194">
        <v>44789.291666666664</v>
      </c>
      <c r="J358" s="195">
        <v>44789.291666666664</v>
      </c>
      <c r="K358" s="196"/>
      <c r="L358" s="326"/>
      <c r="M358" s="140"/>
      <c r="N358" s="140"/>
      <c r="O358" s="140"/>
      <c r="P358" s="22"/>
      <c r="Q358" s="25"/>
      <c r="R358" s="4" t="str">
        <f>IF(SnapshotTable[[#This Row],[Equity Basis Total]] &gt; 0, SnapshotTable[[#This Row],[Equity Basis Total]] / SnapshotTable[[#This Row],[Equity Shares]], "")</f>
        <v/>
      </c>
      <c r="S358" s="269">
        <f>SnapshotTable[[#This Row],[Last Price]] * SnapshotTable[[#This Row],[Equity Shares]]</f>
        <v>0</v>
      </c>
      <c r="T358" s="269">
        <f>SnapshotTable[[#This Row],[Equity Value]] - SnapshotTable[[#This Row],[Equity Basis Total]]</f>
        <v>0</v>
      </c>
      <c r="U358" s="270" t="str">
        <f>IF(SnapshotTable[[#This Row],[Equity Basis Total]] &gt; 0, SnapshotTable[[#This Row],[Equity G/L]] / SnapshotTable[[#This Row],[Equity Basis Total]], "")</f>
        <v/>
      </c>
      <c r="V358" s="268"/>
      <c r="W358" s="26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7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0"/>
      <c r="AD358" s="151"/>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1"/>
      <c r="AI358" s="5"/>
      <c r="AJ358" s="138">
        <v>26.2</v>
      </c>
      <c r="AK358" s="152" t="str">
        <f>IF(ISNUMBER( SnapshotTable[[#This Row],[EBF Target]]),(SnapshotTable[[#This Row],[EBF Target]] - SnapshotTable[[#This Row],[Last Price]]) / SnapshotTable[[#This Row],[Last Price]], "")</f>
        <v/>
      </c>
      <c r="AL358" s="152"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2">
        <f>IF(AND(ISNUMBER( SnapshotTable[[#This Row],[Long Term Target]]), ISNUMBER(SnapshotTable[[#This Row],[Last Price]])),(SnapshotTable[[#This Row],[Long Term Target]] - SnapshotTable[[#This Row],[Last Price]]) / SnapshotTable[[#This Row],[Last Price]], "")</f>
        <v>-0.17245735944409352</v>
      </c>
      <c r="AP358" s="5">
        <v>30</v>
      </c>
      <c r="AQ358" s="38" t="s">
        <v>38</v>
      </c>
      <c r="AR358" s="5">
        <v>30</v>
      </c>
      <c r="AS358" s="38" t="s">
        <v>26</v>
      </c>
      <c r="AT358" s="146" t="s">
        <v>538</v>
      </c>
      <c r="AU358" s="187" t="str">
        <f>IF(OR(SnapshotTable[[#This Row],[LP No Fill]]="Y",SnapshotTable[[#This Row],[SP Is Filled]],SnapshotTable[[#This Row],[LC Not Filled]]="Y",SnapshotTable[[#This Row],[SC Is Filled]]),"Y","")</f>
        <v/>
      </c>
      <c r="AV358" s="219"/>
      <c r="AW358" s="225"/>
      <c r="AX358" s="220"/>
      <c r="AY358" s="219" t="str">
        <f>IF(SnapshotTable[[#This Row],[Implied Move]]&gt;0, SnapshotTable[[#This Row],[Last Price]]-SnapshotTable[[#This Row],[Implied Move]],"")</f>
        <v/>
      </c>
      <c r="AZ358" s="219" t="str">
        <f>IF(SnapshotTable[[#This Row],[Implied Move]]&gt;0, SnapshotTable[[#This Row],[Last Price]] + SnapshotTable[[#This Row],[Implied Move]],"")</f>
        <v/>
      </c>
      <c r="BA358" s="331"/>
      <c r="BB358" s="347"/>
      <c r="BC3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8" s="351"/>
      <c r="BE358" s="5"/>
      <c r="BF358" s="14"/>
      <c r="BG358" s="13"/>
      <c r="BH358" s="13"/>
      <c r="BI358" s="5"/>
      <c r="BJ358" s="136">
        <f>IF(SnapshotTable[[#This Row],[LP Qty]] &gt; 0, SnapshotTable[[#This Row],[LP Qty]] * SnapshotTable[[#This Row],[LP Book Price]] * 100,0)</f>
        <v>0</v>
      </c>
      <c r="BK358" s="136">
        <f>IF(SnapshotTable[[#This Row],[LP Premium]] &gt; 0, SnapshotTable[[#This Row],[LP Qty]] * SnapshotTable[[#This Row],[LP Strike Price]] * 100,0)</f>
        <v>0</v>
      </c>
      <c r="BL358" s="154"/>
      <c r="BM358" s="385" t="str">
        <f>IF(SnapshotTable[[#This Row],[LP Premium]] &gt; 0,SnapshotTable[[#This Row],[LP Exp Date]]-MAX(SnapshotTable[[#This Row],[LP Book Date]], SnapshotTable[[#This Row],[LP Fill Date]]),"")</f>
        <v/>
      </c>
      <c r="BN358" s="385" t="str">
        <f>IF(ISNUMBER( SnapshotTable[[#This Row],[LP Term]]), SnapshotTable[[#This Row],[LP Exp Date]] - MockToday,"")</f>
        <v/>
      </c>
      <c r="BO358" s="163"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7"/>
      <c r="BU358" s="13"/>
      <c r="BV358" s="5"/>
      <c r="BW358" s="419" t="b">
        <f>AND(ISNUMBER(SnapshotTable[[#This Row],[SP Exp Date]]), ISNUMBER(SnapshotTable[[#This Row],[SP Strike Price]]), ISNUMBER(SnapshotTable[[#This Row],[SP Qty]]), ISNUMBER(SnapshotTable[[#This Row],[SP Book Date]]), ISNUMBER(SnapshotTable[[#This Row],[SP Book Price]]))</f>
        <v>0</v>
      </c>
      <c r="BX358" s="419" t="b">
        <f>AND(SnapshotTable[[#This Row],[SP Is Booked]], NOT(ISBLANK(SnapshotTable[[#This Row],[SP Fill Date]])))</f>
        <v>0</v>
      </c>
      <c r="BY358" s="33">
        <f>IF(SnapshotTable[[#This Row],[SP Is Booked]], SnapshotTable[[#This Row],[SP Qty]] * SnapshotTable[[#This Row],[SP Book Price]] * 100, 0)</f>
        <v>0</v>
      </c>
      <c r="BZ358" s="369"/>
      <c r="CA358" s="368">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3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44"/>
      <c r="CK358" s="31">
        <f>IF(ISNUMBER(SnapshotTable[[#This Row],[SP Potential Spend]]),IF(ISNUMBER(SnapshotTable[[#This Row],[SP POW]]), SnapshotTable[[#This Row],[SP POW]] * SnapshotTable[[#This Row],[SP Potential Spend]], SnapshotTable[[#This Row],[SP Potential Spend]]), "")</f>
        <v>0</v>
      </c>
      <c r="CL358" s="164">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218"/>
      <c r="CO358" s="369"/>
      <c r="CP358" s="4" t="str">
        <f>IF(SnapshotTable[[#This Row],[SP Is Filled]], btc_max_buyback_amount(SnapshotTable[[#This Row],[SP Fill Date]],SnapshotTable[[#This Row],[SP Exp Date]], SnapshotTable[[#This Row],[SP Book Price]]),"")</f>
        <v/>
      </c>
      <c r="CQ358" s="78"/>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5" t="str">
        <f>IF(SnapshotTable[[#This Row],[SP Is Filled]], btc_next_cutoff_date(SnapshotTable[[#This Row],[SP Fill Date]],SnapshotTable[[#This Row],[SP Exp Date]]),"")</f>
        <v/>
      </c>
      <c r="CT358" s="23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43"/>
      <c r="CV358" s="235"/>
      <c r="CW358" s="378"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294" t="str">
        <f>IF(ISNUMBER((SnapshotTable[[#This Row],[SP Total Value]])), SnapshotTable[[#This Row],[SP Gain Loss]] / SnapshotTable[[#This Row],[SP Premium]], "")</f>
        <v/>
      </c>
      <c r="DI358" s="406"/>
      <c r="DJ358" s="138"/>
      <c r="DK358" s="148"/>
      <c r="DL358" s="13"/>
      <c r="DM358" s="13"/>
      <c r="DO358" s="31">
        <f>IF(SnapshotTable[[#This Row],[LC Symbol Count]]=1, SnapshotTable[[#This Row],[LC Qty]] * SnapshotTable[[#This Row],[LC Book Price]] * 100, 0)</f>
        <v>0</v>
      </c>
      <c r="DP358" s="163" t="str">
        <f>IF(AND(SnapshotTable[[#This Row],[LC Exp Date]]&gt;0, SnapshotTable[[#This Row],[LC Strike Price]]&gt;0,SnapshotTable[[#This Row],[LC Qty]]&gt;0,SnapshotTable[[#This Row],[LC Book Date]]&gt;0,SnapshotTable[[#This Row],[LC Book Price]]&gt;0,SnapshotTable[[#This Row],[LC Fill Date]]=0),"Y","")</f>
        <v/>
      </c>
      <c r="DQ358" s="386" t="str">
        <f>IF(SnapshotTable[[#This Row],[LC Premium]] &gt; 0,SnapshotTable[[#This Row],[LC Exp Date]]-MAX(SnapshotTable[[#This Row],[LC Book Date]], SnapshotTable[[#This Row],[LC Fill Date]]),"")</f>
        <v/>
      </c>
      <c r="DR358" s="386" t="str">
        <f>IF(ISNUMBER(SnapshotTable[[#This Row],[LC Term]]), SnapshotTable[[#This Row],[LC Exp Date]] - MockToday, "")</f>
        <v/>
      </c>
      <c r="DS358" s="23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40" t="str">
        <f>IF(ISNUMBER(SnapshotTable[[#This Row],[LC Actual Gain Loss]]), SnapshotTable[[#This Row],[LC Actual Gain Loss]] / SnapshotTable[[#This Row],[LC Premium]],"")</f>
        <v/>
      </c>
      <c r="DX358" s="284" t="str">
        <f>IF(ISNUMBER(SnapshotTable[[#This Row],[LC Book Price]]),SnapshotTable[[#This Row],[LC Book Price]] * 1.5,"")</f>
        <v/>
      </c>
      <c r="DY358" s="265" t="str">
        <f>IF(SnapshotTable[[#This Row],[LC Premium]]&gt;0, SnapshotTable[[#This Row],[LC Next Target]] * SnapshotTable[[#This Row],[LC Qty]] * 100,"")</f>
        <v/>
      </c>
      <c r="DZ358" s="265" t="str">
        <f>IF(ISNUMBER(SnapshotTable[[#This Row],[LC Target Gross]]), SnapshotTable[[#This Row],[LC Target Gross]] - SnapshotTable[[#This Row],[LC Premium]], "")</f>
        <v/>
      </c>
      <c r="EA358" s="305" t="str">
        <f>IF(ISNUMBER(SnapshotTable[[#This Row],[LC Target Gain Loss]]), SnapshotTable[[#This Row],[LC Target Gain Loss]]/SnapshotTable[[#This Row],[LC Premium]], "")</f>
        <v/>
      </c>
      <c r="EB358" s="262"/>
      <c r="EC358" s="283" t="str">
        <f>IF(SnapshotTable[[#This Row],[LC Premium]]&gt;0, SnapshotTable[[#This Row],[LC Book Price]] * (1 - LC_StopLoss_Pct),"")</f>
        <v/>
      </c>
      <c r="ED358" s="284"/>
      <c r="EE358" s="28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4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7"/>
      <c r="EL358" s="138"/>
      <c r="EM358" s="148"/>
      <c r="EN358" s="147"/>
      <c r="EO358" s="147"/>
      <c r="EP358" s="138"/>
      <c r="EQ358" s="419" t="b">
        <f>AND(ISNUMBER(SnapshotTable[[#This Row],[SC Exp Date]]), ISNUMBER(SnapshotTable[[#This Row],[SC Strike Price]]), ISNUMBER(SnapshotTable[[#This Row],[SC Qty]]), ISNUMBER(SnapshotTable[[#This Row],[SC Book Date]]), ISNUMBER(SnapshotTable[[#This Row],[SC Book Price]]))</f>
        <v>0</v>
      </c>
      <c r="ER358" s="419" t="b">
        <f>AND(SnapshotTable[[#This Row],[SC Is Booked]], NOT(ISBLANK(SnapshotTable[[#This Row],[SC Fill Date]])))</f>
        <v>0</v>
      </c>
      <c r="ES358" s="370"/>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3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283"/>
      <c r="FA358" s="218"/>
      <c r="FB358" s="370"/>
      <c r="FC358" s="4">
        <f>IF(SnapshotTable[[#This Row],[SC Is Filled]], btc_max_buyback_amount(SnapshotTable[[#This Row],[SC Fill Date]],SnapshotTable[[#This Row],[SC Exp Date]], SnapshotTable[[#This Row],[SC Book Price]]),0)</f>
        <v>0</v>
      </c>
      <c r="FD358" s="5"/>
      <c r="FE358" s="144"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382">
        <f>IF(SnapshotTable[[#This Row],[SC Is Filled]], IF(ISNUMBER(SnapshotTable[[#This Row],[SC Current Ask]]), SnapshotTable[[#This Row],[SC Current Ask]], SnapshotTable[[#This Row],[SC Book Price]]) - SnapshotTable[[#This Row],[SC Intrinsic Value]], 0)</f>
        <v>0</v>
      </c>
      <c r="FI358" s="143"/>
      <c r="FJ358" s="32" t="str">
        <f>IF(SnapshotTable[[#This Row],[SC Is Filled]],100 * SnapshotTable[[#This Row],[SC Qty]] * IF(ISNUMBER(SnapshotTable[[#This Row],[SC Buyback Override]]), SnapshotTable[[#This Row],[SC Buyback Override]], SnapshotTable[[#This Row],[SC Current Ask]]), "")</f>
        <v/>
      </c>
      <c r="FK358" s="250" t="str">
        <f>IF(SnapshotTable[[#This Row],[SC Time Val]]&gt;0, SnapshotTable[[#This Row],[SC Time Val]] / SnapshotTable[[#This Row],[Last Price]],"")</f>
        <v/>
      </c>
      <c r="FL358" s="302" t="str">
        <f>IF(SnapshotTable[[#This Row],[SC Is Booked]], ((SnapshotTable[[#This Row],[Last Price]] -SnapshotTable[[#This Row],[SC Strike Price]]) / SnapshotTable[[#This Row],[Last Price]]) * -1, "")</f>
        <v/>
      </c>
      <c r="FM358" s="157" t="str">
        <f>IF(SnapshotTable[[#This Row],[SC Is Booked]],  (SnapshotTable[[#This Row],[SC Qty]] * 100 * SnapshotTable[[#This Row],[SC Strike Price]]) - SnapshotTable[[#This Row],[SC Current Ask]], "")</f>
        <v/>
      </c>
      <c r="FN3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31"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33"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36" t="str">
        <f>IF(AND(ISNUMBER(SnapshotTable[[#This Row],[SC Simple ROO]]),SnapshotTable[[#This Row],[SC Simple ROO]] &gt; 0), SnapshotTable[[#This Row],[SC Premium]] + (SnapshotTable[[#This Row],[SC Qty]] * SnapshotTable[[#This Row],[SC Upside Potential]]), "")</f>
        <v/>
      </c>
      <c r="FX358" s="302" t="str" cm="1">
        <f t="array" ref="FX358">IF(ISNUMBER(SnapshotTable[[#This Row],[SC Max Dollars]]), annualize(SnapshotTable[[#This Row],[SC Term]],(SnapshotTable[[#This Row],[SC Max Dollars]]/SnapshotTable[[#This Row],[SC Basis]])),"")</f>
        <v/>
      </c>
      <c r="FY358" s="23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294" t="str">
        <f>IFERROR( IF(ISNUMBER((SnapshotTable[[#This Row],[SC Current Value]])), SnapshotTable[[#This Row],[SC Gain Loss]] / SnapshotTable[[#This Row],[SC Premium]], ""), "")</f>
        <v/>
      </c>
      <c r="GB358" s="42">
        <f>SnapshotTable[[#This Row],[Equity Shares]] * SaleSharesToConsiderPercentage</f>
        <v>0</v>
      </c>
      <c r="GC358" s="40">
        <f>SnapshotTable[[#This Row],[Long Term Target]] * SellingPriceToConsiderBasedOnTargetPercentage</f>
        <v>24.889999999999997</v>
      </c>
      <c r="GD358" s="40">
        <f>SnapshotTable[[#This Row],[Last Price]] * (1+ SellingPriceToConsiderBasedOnTargetPercentage)</f>
        <v>61.737000000000002</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27" t="str">
        <f>IF(SnapshotTable[[#This Row],[Sale G/L]]&gt;0, SnapshotTable[[#This Row],[Sale G/L]] / SnapshotTable[[#This Row],[Sale Basis]], IF(ISNUMBER(SnapshotTable[[#This Row],[SC Exercise P&amp;L (TAX)]]), SnapshotTable[[#This Row],[SC Exercise P&amp;L (TAX)]] / SnapshotTable[[#This Row],[SC Basis]], ""))</f>
        <v/>
      </c>
      <c r="GK358" s="27" t="s">
        <v>795</v>
      </c>
      <c r="GL358" s="43"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43" t="str">
        <f>IF(AND(SnapshotTable[[#This Row],[LC Exp Date]]&gt;0,SnapshotTable[[#This Row],[LC Strike Price]]&gt;0), [1]!ToOptionSymbol(SnapshotTable[[#This Row],[Symbol]], SnapshotTable[[#This Row],[LC Strike Price]],SnapshotTable[[#This Row],[LC Exp Date]],0), "")</f>
        <v/>
      </c>
      <c r="GQ358" s="30" t="str">
        <f>IF(LEN(SnapshotTable[[#This Row],[LC Symbol]])&gt;0, 1, "")</f>
        <v/>
      </c>
      <c r="GR358" s="43" t="str">
        <f>IF(AND(SnapshotTable[[#This Row],[SC Exp Date]]&gt;0,SnapshotTable[[#This Row],[SC Strike Price]]&gt;0), [1]!ToOptionSymbol(SnapshotTable[[#This Row],[Symbol]], SnapshotTable[[#This Row],[SC Strike Price]],SnapshotTable[[#This Row],[SC Exp Date]],0), "")</f>
        <v/>
      </c>
      <c r="GS358" s="30" t="str">
        <f>IF(LEN(SnapshotTable[[#This Row],[SC Symbol]])&gt;0, 1, "")</f>
        <v/>
      </c>
      <c r="GT358" s="29"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31">
        <f>MAX(SnapshotTable[[#This Row],[Equity Basis Total]],SnapshotTable[[#This Row],[Equity Value]]) + (SnapshotTable[[#This Row],[SP Potential Spend]]- SnapshotTable[[#This Row],[SP Premium]] + SnapshotTable[[#This Row],[LP Premium]])+ (SnapshotTable[[#This Row],[LC Premium]] - SnapshotTable[[#This Row],[SC Premium]])</f>
        <v>0</v>
      </c>
      <c r="GW358" s="139" t="str">
        <f>IF(AND(SnapshotTable[[#This Row],[Exposure]] &lt;&gt; 0),SnapshotTable[[#This Row],[Exposure]] / SnapshotTable[[#Totals],[Exposure]], "")</f>
        <v/>
      </c>
      <c r="HK358" s="1"/>
      <c r="HL358" s="1"/>
      <c r="HM358" s="1"/>
      <c r="HN358" s="1"/>
      <c r="HO358" s="1"/>
      <c r="HP358" s="1"/>
    </row>
    <row r="359" spans="2:224" ht="12.75" hidden="1" customHeight="1" x14ac:dyDescent="0.25">
      <c r="B359" s="12" t="s">
        <v>969</v>
      </c>
      <c r="C359" s="422">
        <v>111.36</v>
      </c>
      <c r="D359" s="208" t="s">
        <v>587</v>
      </c>
      <c r="E359" s="39">
        <f>SnapshotTable[[#This Row],[Last Price]]*(1 -CrashDiscount)</f>
        <v>94.655999999999992</v>
      </c>
      <c r="F359" s="26" t="s">
        <v>550</v>
      </c>
      <c r="G359" s="26" t="s">
        <v>41</v>
      </c>
      <c r="H359" s="149"/>
      <c r="I359" s="194">
        <v>44868.715277777781</v>
      </c>
      <c r="J359" s="195">
        <v>44868.715277777781</v>
      </c>
      <c r="K359" s="196" t="s">
        <v>3</v>
      </c>
      <c r="L359" s="326"/>
      <c r="M359" s="140"/>
      <c r="N359" s="140"/>
      <c r="O359" s="140"/>
      <c r="P359" s="22"/>
      <c r="Q359" s="25"/>
      <c r="R359" s="4" t="str">
        <f>IF(SnapshotTable[[#This Row],[Equity Basis Total]] &gt; 0, SnapshotTable[[#This Row],[Equity Basis Total]] / SnapshotTable[[#This Row],[Equity Shares]], "")</f>
        <v/>
      </c>
      <c r="S359" s="269">
        <f>SnapshotTable[[#This Row],[Last Price]] * SnapshotTable[[#This Row],[Equity Shares]]</f>
        <v>0</v>
      </c>
      <c r="T359" s="269">
        <f>SnapshotTable[[#This Row],[Equity Value]] - SnapshotTable[[#This Row],[Equity Basis Total]]</f>
        <v>0</v>
      </c>
      <c r="U359" s="270" t="str">
        <f>IF(SnapshotTable[[#This Row],[Equity Basis Total]] &gt; 0, SnapshotTable[[#This Row],[Equity G/L]] / SnapshotTable[[#This Row],[Equity Basis Total]], "")</f>
        <v/>
      </c>
      <c r="V359" s="268"/>
      <c r="W359" s="26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7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0"/>
      <c r="AD359" s="151"/>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1"/>
      <c r="AI359" s="5"/>
      <c r="AJ359" s="138">
        <v>60.45</v>
      </c>
      <c r="AK359" s="152" t="str">
        <f>IF(ISNUMBER( SnapshotTable[[#This Row],[EBF Target]]),(SnapshotTable[[#This Row],[EBF Target]] - SnapshotTable[[#This Row],[Last Price]]) / SnapshotTable[[#This Row],[Last Price]], "")</f>
        <v/>
      </c>
      <c r="AL359" s="152"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2">
        <f>IF(AND(ISNUMBER( SnapshotTable[[#This Row],[Long Term Target]]), ISNUMBER(SnapshotTable[[#This Row],[Last Price]])),(SnapshotTable[[#This Row],[Long Term Target]] - SnapshotTable[[#This Row],[Last Price]]) / SnapshotTable[[#This Row],[Last Price]], "")</f>
        <v>-0.45716594827586204</v>
      </c>
      <c r="AP359" s="5">
        <v>31</v>
      </c>
      <c r="AQ359" s="38" t="s">
        <v>27</v>
      </c>
      <c r="AR359" s="5">
        <v>31</v>
      </c>
      <c r="AS359" s="38" t="s">
        <v>38</v>
      </c>
      <c r="AT359" s="146" t="s">
        <v>542</v>
      </c>
      <c r="AU359" s="187" t="str">
        <f>IF(OR(SnapshotTable[[#This Row],[LP No Fill]]="Y",SnapshotTable[[#This Row],[SP Is Filled]],SnapshotTable[[#This Row],[LC Not Filled]]="Y",SnapshotTable[[#This Row],[SC Is Filled]]),"Y","")</f>
        <v/>
      </c>
      <c r="AV359" s="219"/>
      <c r="AW359" s="225"/>
      <c r="AX359" s="220"/>
      <c r="AY359" s="219" t="str">
        <f>IF(SnapshotTable[[#This Row],[Implied Move]]&gt;0, SnapshotTable[[#This Row],[Last Price]]-SnapshotTable[[#This Row],[Implied Move]],"")</f>
        <v/>
      </c>
      <c r="AZ359" s="219" t="str">
        <f>IF(SnapshotTable[[#This Row],[Implied Move]]&gt;0, SnapshotTable[[#This Row],[Last Price]] + SnapshotTable[[#This Row],[Implied Move]],"")</f>
        <v/>
      </c>
      <c r="BA359" s="331">
        <v>30.4</v>
      </c>
      <c r="BB359" s="347"/>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51"/>
      <c r="BE359" s="138"/>
      <c r="BF359" s="166"/>
      <c r="BG359" s="167"/>
      <c r="BH359" s="167"/>
      <c r="BI359" s="221"/>
      <c r="BJ359" s="153">
        <f>IF(SnapshotTable[[#This Row],[LP Qty]] &gt; 0, SnapshotTable[[#This Row],[LP Qty]] * SnapshotTable[[#This Row],[LP Book Price]] * 100,0)</f>
        <v>0</v>
      </c>
      <c r="BK359" s="136">
        <f>IF(SnapshotTable[[#This Row],[LP Premium]] &gt; 0, SnapshotTable[[#This Row],[LP Qty]] * SnapshotTable[[#This Row],[LP Strike Price]] * 100,0)</f>
        <v>0</v>
      </c>
      <c r="BL359" s="154"/>
      <c r="BM359" s="385" t="str">
        <f>IF(SnapshotTable[[#This Row],[LP Premium]] &gt; 0,SnapshotTable[[#This Row],[LP Exp Date]]-MAX(SnapshotTable[[#This Row],[LP Book Date]], SnapshotTable[[#This Row],[LP Fill Date]]),"")</f>
        <v/>
      </c>
      <c r="BN359" s="385" t="str">
        <f>IF(ISNUMBER( SnapshotTable[[#This Row],[LP Term]]), SnapshotTable[[#This Row],[LP Exp Date]] - MockToday,"")</f>
        <v/>
      </c>
      <c r="BO359" s="163"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7"/>
      <c r="BU359" s="13"/>
      <c r="BV359" s="5"/>
      <c r="BW359" s="419" t="b">
        <f>AND(ISNUMBER(SnapshotTable[[#This Row],[SP Exp Date]]), ISNUMBER(SnapshotTable[[#This Row],[SP Strike Price]]), ISNUMBER(SnapshotTable[[#This Row],[SP Qty]]), ISNUMBER(SnapshotTable[[#This Row],[SP Book Date]]), ISNUMBER(SnapshotTable[[#This Row],[SP Book Price]]))</f>
        <v>0</v>
      </c>
      <c r="BX359" s="419" t="b">
        <f>AND(SnapshotTable[[#This Row],[SP Is Booked]], NOT(ISBLANK(SnapshotTable[[#This Row],[SP Fill Date]])))</f>
        <v>0</v>
      </c>
      <c r="BY359" s="33">
        <f>IF(SnapshotTable[[#This Row],[SP Is Booked]], SnapshotTable[[#This Row],[SP Qty]] * SnapshotTable[[#This Row],[SP Book Price]] * 100, 0)</f>
        <v>0</v>
      </c>
      <c r="BZ359" s="369"/>
      <c r="CA359" s="368">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3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44"/>
      <c r="CK359" s="31">
        <f>IF(ISNUMBER(SnapshotTable[[#This Row],[SP Potential Spend]]),IF(ISNUMBER(SnapshotTable[[#This Row],[SP POW]]), SnapshotTable[[#This Row],[SP POW]] * SnapshotTable[[#This Row],[SP Potential Spend]], SnapshotTable[[#This Row],[SP Potential Spend]]), "")</f>
        <v>0</v>
      </c>
      <c r="CL359" s="164">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227"/>
      <c r="CO359" s="369"/>
      <c r="CP359" s="4" t="str">
        <f>IF(SnapshotTable[[#This Row],[SP Is Filled]], btc_max_buyback_amount(SnapshotTable[[#This Row],[SP Fill Date]],SnapshotTable[[#This Row],[SP Exp Date]], SnapshotTable[[#This Row],[SP Book Price]]),"")</f>
        <v/>
      </c>
      <c r="CQ359" s="78"/>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5" t="str">
        <f>IF(SnapshotTable[[#This Row],[SP Is Filled]], btc_next_cutoff_date(SnapshotTable[[#This Row],[SP Fill Date]],SnapshotTable[[#This Row],[SP Exp Date]]),"")</f>
        <v/>
      </c>
      <c r="CT359" s="23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56"/>
      <c r="CV359" s="235"/>
      <c r="CW359" s="378"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294" t="str">
        <f>IF(ISNUMBER((SnapshotTable[[#This Row],[SP Total Value]])), SnapshotTable[[#This Row],[SP Gain Loss]] / SnapshotTable[[#This Row],[SP Premium]], "")</f>
        <v/>
      </c>
      <c r="DI359" s="406"/>
      <c r="DJ359" s="138"/>
      <c r="DK359" s="148"/>
      <c r="DL359" s="147"/>
      <c r="DM359" s="147"/>
      <c r="DO359" s="31">
        <f>IF(SnapshotTable[[#This Row],[LC Symbol Count]]=1, SnapshotTable[[#This Row],[LC Qty]] * SnapshotTable[[#This Row],[LC Book Price]] * 100, 0)</f>
        <v>0</v>
      </c>
      <c r="DP359" s="163" t="str">
        <f>IF(AND(SnapshotTable[[#This Row],[LC Exp Date]]&gt;0, SnapshotTable[[#This Row],[LC Strike Price]]&gt;0,SnapshotTable[[#This Row],[LC Qty]]&gt;0,SnapshotTable[[#This Row],[LC Book Date]]&gt;0,SnapshotTable[[#This Row],[LC Book Price]]&gt;0,SnapshotTable[[#This Row],[LC Fill Date]]=0),"Y","")</f>
        <v/>
      </c>
      <c r="DQ359" s="386" t="str">
        <f>IF(SnapshotTable[[#This Row],[LC Premium]] &gt; 0,SnapshotTable[[#This Row],[LC Exp Date]]-MAX(SnapshotTable[[#This Row],[LC Book Date]], SnapshotTable[[#This Row],[LC Fill Date]]),"")</f>
        <v/>
      </c>
      <c r="DR359" s="386" t="str">
        <f>IF(ISNUMBER(SnapshotTable[[#This Row],[LC Term]]), SnapshotTable[[#This Row],[LC Exp Date]] - MockToday, "")</f>
        <v/>
      </c>
      <c r="DS359" s="23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40" t="str">
        <f>IF(ISNUMBER(SnapshotTable[[#This Row],[LC Actual Gain Loss]]), SnapshotTable[[#This Row],[LC Actual Gain Loss]] / SnapshotTable[[#This Row],[LC Premium]],"")</f>
        <v/>
      </c>
      <c r="DX359" s="284" t="str">
        <f>IF(ISNUMBER(SnapshotTable[[#This Row],[LC Book Price]]),SnapshotTable[[#This Row],[LC Book Price]] * 1.5,"")</f>
        <v/>
      </c>
      <c r="DY359" s="265" t="str">
        <f>IF(SnapshotTable[[#This Row],[LC Premium]]&gt;0, SnapshotTable[[#This Row],[LC Next Target]] * SnapshotTable[[#This Row],[LC Qty]] * 100,"")</f>
        <v/>
      </c>
      <c r="DZ359" s="265" t="str">
        <f>IF(ISNUMBER(SnapshotTable[[#This Row],[LC Target Gross]]), SnapshotTable[[#This Row],[LC Target Gross]] - SnapshotTable[[#This Row],[LC Premium]], "")</f>
        <v/>
      </c>
      <c r="EA359" s="305" t="str">
        <f>IF(ISNUMBER(SnapshotTable[[#This Row],[LC Target Gain Loss]]), SnapshotTable[[#This Row],[LC Target Gain Loss]]/SnapshotTable[[#This Row],[LC Premium]], "")</f>
        <v/>
      </c>
      <c r="EB359" s="262"/>
      <c r="EC359" s="283" t="str">
        <f>IF(SnapshotTable[[#This Row],[LC Premium]]&gt;0, SnapshotTable[[#This Row],[LC Book Price]] * (1 - LC_StopLoss_Pct),"")</f>
        <v/>
      </c>
      <c r="ED359" s="284"/>
      <c r="EE359" s="28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4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7"/>
      <c r="EL359" s="138"/>
      <c r="EM359" s="148"/>
      <c r="EN359" s="147"/>
      <c r="EO359" s="147"/>
      <c r="EP359" s="138"/>
      <c r="EQ359" s="419" t="b">
        <f>AND(ISNUMBER(SnapshotTable[[#This Row],[SC Exp Date]]), ISNUMBER(SnapshotTable[[#This Row],[SC Strike Price]]), ISNUMBER(SnapshotTable[[#This Row],[SC Qty]]), ISNUMBER(SnapshotTable[[#This Row],[SC Book Date]]), ISNUMBER(SnapshotTable[[#This Row],[SC Book Price]]))</f>
        <v>0</v>
      </c>
      <c r="ER359" s="419" t="b">
        <f>AND(SnapshotTable[[#This Row],[SC Is Booked]], NOT(ISBLANK(SnapshotTable[[#This Row],[SC Fill Date]])))</f>
        <v>0</v>
      </c>
      <c r="ES359" s="370"/>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3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283"/>
      <c r="FA359" s="218"/>
      <c r="FB359" s="370"/>
      <c r="FC359" s="4">
        <f>IF(SnapshotTable[[#This Row],[SC Is Filled]], btc_max_buyback_amount(SnapshotTable[[#This Row],[SC Fill Date]],SnapshotTable[[#This Row],[SC Exp Date]], SnapshotTable[[#This Row],[SC Book Price]]),0)</f>
        <v>0</v>
      </c>
      <c r="FD359" s="5"/>
      <c r="FE359" s="144"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382">
        <f>IF(SnapshotTable[[#This Row],[SC Is Filled]], IF(ISNUMBER(SnapshotTable[[#This Row],[SC Current Ask]]), SnapshotTable[[#This Row],[SC Current Ask]], SnapshotTable[[#This Row],[SC Book Price]]) - SnapshotTable[[#This Row],[SC Intrinsic Value]], 0)</f>
        <v>0</v>
      </c>
      <c r="FI359" s="143"/>
      <c r="FJ359" s="32" t="str">
        <f>IF(SnapshotTable[[#This Row],[SC Is Filled]],100 * SnapshotTable[[#This Row],[SC Qty]] * IF(ISNUMBER(SnapshotTable[[#This Row],[SC Buyback Override]]), SnapshotTable[[#This Row],[SC Buyback Override]], SnapshotTable[[#This Row],[SC Current Ask]]), "")</f>
        <v/>
      </c>
      <c r="FK359" s="250" t="str">
        <f>IF(SnapshotTable[[#This Row],[SC Time Val]]&gt;0, SnapshotTable[[#This Row],[SC Time Val]] / SnapshotTable[[#This Row],[Last Price]],"")</f>
        <v/>
      </c>
      <c r="FL359" s="302" t="str">
        <f>IF(SnapshotTable[[#This Row],[SC Is Booked]], ((SnapshotTable[[#This Row],[Last Price]] -SnapshotTable[[#This Row],[SC Strike Price]]) / SnapshotTable[[#This Row],[Last Price]]) * -1, "")</f>
        <v/>
      </c>
      <c r="FM359" s="157" t="str">
        <f>IF(SnapshotTable[[#This Row],[SC Is Booked]],  (SnapshotTable[[#This Row],[SC Qty]] * 100 * SnapshotTable[[#This Row],[SC Strike Price]]) - SnapshotTable[[#This Row],[SC Current Ask]], "")</f>
        <v/>
      </c>
      <c r="FN35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157"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33"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36" t="str">
        <f>IF(AND(ISNUMBER(SnapshotTable[[#This Row],[SC Simple ROO]]),SnapshotTable[[#This Row],[SC Simple ROO]] &gt; 0), SnapshotTable[[#This Row],[SC Premium]] + (SnapshotTable[[#This Row],[SC Qty]] * SnapshotTable[[#This Row],[SC Upside Potential]]), "")</f>
        <v/>
      </c>
      <c r="FX359" s="302" t="str" cm="1">
        <f t="array" ref="FX359">IF(ISNUMBER(SnapshotTable[[#This Row],[SC Max Dollars]]), annualize(SnapshotTable[[#This Row],[SC Term]],(SnapshotTable[[#This Row],[SC Max Dollars]]/SnapshotTable[[#This Row],[SC Basis]])),"")</f>
        <v/>
      </c>
      <c r="FY359" s="23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29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57.427500000000002</v>
      </c>
      <c r="GD359" s="40">
        <f>SnapshotTable[[#This Row],[Last Price]] * (1+ SellingPriceToConsiderBasedOnTargetPercentage)</f>
        <v>217.15199999999999</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158" t="str">
        <f>IF(SnapshotTable[[#This Row],[Sale G/L]]&gt;0, SnapshotTable[[#This Row],[Sale G/L]] / SnapshotTable[[#This Row],[Sale Basis]], IF(ISNUMBER(SnapshotTable[[#This Row],[SC Exercise P&amp;L (TAX)]]), SnapshotTable[[#This Row],[SC Exercise P&amp;L (TAX)]] / SnapshotTable[[#This Row],[SC Basis]], ""))</f>
        <v/>
      </c>
      <c r="GK359" s="158"/>
      <c r="GL359" s="159"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159" t="str">
        <f>IF(AND(SnapshotTable[[#This Row],[LC Exp Date]]&gt;0,SnapshotTable[[#This Row],[LC Strike Price]]&gt;0), [1]!ToOptionSymbol(SnapshotTable[[#This Row],[Symbol]], SnapshotTable[[#This Row],[LC Strike Price]],SnapshotTable[[#This Row],[LC Exp Date]],0), "")</f>
        <v/>
      </c>
      <c r="GQ359" s="160" t="str">
        <f>IF(LEN(SnapshotTable[[#This Row],[LC Symbol]])&gt;0, 1, "")</f>
        <v/>
      </c>
      <c r="GR359" s="159" t="str">
        <f>IF(AND(SnapshotTable[[#This Row],[SC Exp Date]]&gt;0,SnapshotTable[[#This Row],[SC Strike Price]]&gt;0), [1]!ToOptionSymbol(SnapshotTable[[#This Row],[Symbol]], SnapshotTable[[#This Row],[SC Strike Price]],SnapshotTable[[#This Row],[SC Exp Date]],0), "")</f>
        <v/>
      </c>
      <c r="GS359" s="160" t="str">
        <f>IF(LEN(SnapshotTable[[#This Row],[SC Symbol]])&gt;0, 1, "")</f>
        <v/>
      </c>
      <c r="GT359" s="161"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31">
        <f>MAX(SnapshotTable[[#This Row],[Equity Basis Total]],SnapshotTable[[#This Row],[Equity Value]]) + (SnapshotTable[[#This Row],[SP Potential Spend]]- SnapshotTable[[#This Row],[SP Premium]] + SnapshotTable[[#This Row],[LP Premium]])+ (SnapshotTable[[#This Row],[LC Premium]] - SnapshotTable[[#This Row],[SC Premium]])</f>
        <v>0</v>
      </c>
      <c r="GW359" s="139" t="str">
        <f>IF(AND(SnapshotTable[[#This Row],[Exposure]] &lt;&gt; 0),SnapshotTable[[#This Row],[Exposure]] / SnapshotTable[[#Totals],[Exposure]], "")</f>
        <v/>
      </c>
      <c r="HK359" s="1"/>
      <c r="HL359" s="1"/>
      <c r="HM359" s="1"/>
      <c r="HN359" s="1"/>
      <c r="HO359" s="1"/>
      <c r="HP359" s="1"/>
    </row>
    <row r="360" spans="2:224" ht="12.75" hidden="1" customHeight="1" x14ac:dyDescent="0.25">
      <c r="B360" s="12" t="s">
        <v>88</v>
      </c>
      <c r="C360" s="422">
        <v>34.32</v>
      </c>
      <c r="D360" s="208"/>
      <c r="E360" s="39">
        <f>SnapshotTable[[#This Row],[Last Price]]*(1 -CrashDiscount)</f>
        <v>29.172000000000001</v>
      </c>
      <c r="F360" s="26" t="s">
        <v>87</v>
      </c>
      <c r="G360" s="26" t="s">
        <v>17</v>
      </c>
      <c r="H360" s="149"/>
      <c r="I360" s="194">
        <v>44777.270833333336</v>
      </c>
      <c r="J360" s="195">
        <v>44777.270833333336</v>
      </c>
      <c r="K360" s="196"/>
      <c r="L360" s="326"/>
      <c r="M360" s="140"/>
      <c r="N360" s="140"/>
      <c r="O360" s="140"/>
      <c r="P360" s="22"/>
      <c r="Q360" s="25"/>
      <c r="R360" s="4" t="str">
        <f>IF(SnapshotTable[[#This Row],[Equity Basis Total]] &gt; 0, SnapshotTable[[#This Row],[Equity Basis Total]] / SnapshotTable[[#This Row],[Equity Shares]], "")</f>
        <v/>
      </c>
      <c r="S360" s="269">
        <f>SnapshotTable[[#This Row],[Last Price]] * SnapshotTable[[#This Row],[Equity Shares]]</f>
        <v>0</v>
      </c>
      <c r="T360" s="269">
        <f>SnapshotTable[[#This Row],[Equity Value]] - SnapshotTable[[#This Row],[Equity Basis Total]]</f>
        <v>0</v>
      </c>
      <c r="U360" s="270" t="str">
        <f>IF(SnapshotTable[[#This Row],[Equity Basis Total]] &gt; 0, SnapshotTable[[#This Row],[Equity G/L]] / SnapshotTable[[#This Row],[Equity Basis Total]], "")</f>
        <v/>
      </c>
      <c r="V360" s="268"/>
      <c r="W360" s="26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7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0"/>
      <c r="AD360" s="151"/>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1"/>
      <c r="AI360" s="5">
        <v>75</v>
      </c>
      <c r="AJ360" s="138">
        <v>41.08</v>
      </c>
      <c r="AK360" s="152">
        <f>IF(ISNUMBER( SnapshotTable[[#This Row],[EBF Target]]),(SnapshotTable[[#This Row],[EBF Target]] - SnapshotTable[[#This Row],[Last Price]]) / SnapshotTable[[#This Row],[Last Price]], "")</f>
        <v>1.1853146853146852</v>
      </c>
      <c r="AL360" s="152"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2">
        <f>IF(AND(ISNUMBER( SnapshotTable[[#This Row],[Long Term Target]]), ISNUMBER(SnapshotTable[[#This Row],[Last Price]])),(SnapshotTable[[#This Row],[Long Term Target]] - SnapshotTable[[#This Row],[Last Price]]) / SnapshotTable[[#This Row],[Last Price]], "")</f>
        <v>0.19696969696969691</v>
      </c>
      <c r="AP360" s="5"/>
      <c r="AQ360" s="38"/>
      <c r="AR360" s="5"/>
      <c r="AS360" s="38"/>
      <c r="AT360" s="146"/>
      <c r="AU360" s="187" t="str">
        <f>IF(OR(SnapshotTable[[#This Row],[LP No Fill]]="Y",SnapshotTable[[#This Row],[SP Is Filled]],SnapshotTable[[#This Row],[LC Not Filled]]="Y",SnapshotTable[[#This Row],[SC Is Filled]]),"Y","")</f>
        <v/>
      </c>
      <c r="AV360" s="219"/>
      <c r="AW360" s="225"/>
      <c r="AX360" s="220"/>
      <c r="AY360" s="219" t="str">
        <f>IF(SnapshotTable[[#This Row],[Implied Move]]&gt;0, SnapshotTable[[#This Row],[Last Price]]-SnapshotTable[[#This Row],[Implied Move]],"")</f>
        <v/>
      </c>
      <c r="AZ360" s="219" t="str">
        <f>IF(SnapshotTable[[#This Row],[Implied Move]]&gt;0, SnapshotTable[[#This Row],[Last Price]] + SnapshotTable[[#This Row],[Implied Move]],"")</f>
        <v/>
      </c>
      <c r="BA360" s="331"/>
      <c r="BB360" s="347"/>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51"/>
      <c r="BE360" s="5"/>
      <c r="BF360" s="14"/>
      <c r="BG360" s="13"/>
      <c r="BH360" s="13"/>
      <c r="BI360" s="5"/>
      <c r="BJ360" s="136">
        <f>IF(SnapshotTable[[#This Row],[LP Qty]] &gt; 0, SnapshotTable[[#This Row],[LP Qty]] * SnapshotTable[[#This Row],[LP Book Price]] * 100,0)</f>
        <v>0</v>
      </c>
      <c r="BK360" s="136">
        <f>IF(SnapshotTable[[#This Row],[LP Premium]] &gt; 0, SnapshotTable[[#This Row],[LP Qty]] * SnapshotTable[[#This Row],[LP Strike Price]] * 100,0)</f>
        <v>0</v>
      </c>
      <c r="BL360" s="154"/>
      <c r="BM360" s="385" t="str">
        <f>IF(SnapshotTable[[#This Row],[LP Premium]] &gt; 0,SnapshotTable[[#This Row],[LP Exp Date]]-MAX(SnapshotTable[[#This Row],[LP Book Date]], SnapshotTable[[#This Row],[LP Fill Date]]),"")</f>
        <v/>
      </c>
      <c r="BN360" s="385" t="str">
        <f>IF(ISNUMBER( SnapshotTable[[#This Row],[LP Term]]), SnapshotTable[[#This Row],[LP Exp Date]] - MockToday,"")</f>
        <v/>
      </c>
      <c r="BO360" s="163"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7"/>
      <c r="BU360" s="13"/>
      <c r="BV360" s="5"/>
      <c r="BW360" s="419" t="b">
        <f>AND(ISNUMBER(SnapshotTable[[#This Row],[SP Exp Date]]), ISNUMBER(SnapshotTable[[#This Row],[SP Strike Price]]), ISNUMBER(SnapshotTable[[#This Row],[SP Qty]]), ISNUMBER(SnapshotTable[[#This Row],[SP Book Date]]), ISNUMBER(SnapshotTable[[#This Row],[SP Book Price]]))</f>
        <v>0</v>
      </c>
      <c r="BX360" s="419" t="b">
        <f>AND(SnapshotTable[[#This Row],[SP Is Booked]], NOT(ISBLANK(SnapshotTable[[#This Row],[SP Fill Date]])))</f>
        <v>0</v>
      </c>
      <c r="BY360" s="33">
        <f>IF(SnapshotTable[[#This Row],[SP Is Booked]], SnapshotTable[[#This Row],[SP Qty]] * SnapshotTable[[#This Row],[SP Book Price]] * 100, 0)</f>
        <v>0</v>
      </c>
      <c r="BZ360" s="369"/>
      <c r="CA360" s="368">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3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44"/>
      <c r="CK360" s="31">
        <f>IF(ISNUMBER(SnapshotTable[[#This Row],[SP Potential Spend]]),IF(ISNUMBER(SnapshotTable[[#This Row],[SP POW]]), SnapshotTable[[#This Row],[SP POW]] * SnapshotTable[[#This Row],[SP Potential Spend]], SnapshotTable[[#This Row],[SP Potential Spend]]), "")</f>
        <v>0</v>
      </c>
      <c r="CL360" s="164">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8"/>
      <c r="CO360" s="369"/>
      <c r="CP360" s="4" t="str">
        <f>IF(SnapshotTable[[#This Row],[SP Is Filled]], btc_max_buyback_amount(SnapshotTable[[#This Row],[SP Fill Date]],SnapshotTable[[#This Row],[SP Exp Date]], SnapshotTable[[#This Row],[SP Book Price]]),"")</f>
        <v/>
      </c>
      <c r="CQ360" s="78"/>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5" t="str">
        <f>IF(SnapshotTable[[#This Row],[SP Is Filled]], btc_next_cutoff_date(SnapshotTable[[#This Row],[SP Fill Date]],SnapshotTable[[#This Row],[SP Exp Date]]),"")</f>
        <v/>
      </c>
      <c r="CT360" s="23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3"/>
      <c r="CV360" s="235"/>
      <c r="CW360" s="378"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294" t="str">
        <f>IF(ISNUMBER((SnapshotTable[[#This Row],[SP Total Value]])), SnapshotTable[[#This Row],[SP Gain Loss]] / SnapshotTable[[#This Row],[SP Premium]], "")</f>
        <v/>
      </c>
      <c r="DI360" s="406"/>
      <c r="DJ360" s="138"/>
      <c r="DK360" s="148"/>
      <c r="DL360" s="13"/>
      <c r="DM360" s="13"/>
      <c r="DO360" s="31">
        <f>IF(SnapshotTable[[#This Row],[LC Symbol Count]]=1, SnapshotTable[[#This Row],[LC Qty]] * SnapshotTable[[#This Row],[LC Book Price]] * 100, 0)</f>
        <v>0</v>
      </c>
      <c r="DP360" s="163" t="str">
        <f>IF(AND(SnapshotTable[[#This Row],[LC Exp Date]]&gt;0, SnapshotTable[[#This Row],[LC Strike Price]]&gt;0,SnapshotTable[[#This Row],[LC Qty]]&gt;0,SnapshotTable[[#This Row],[LC Book Date]]&gt;0,SnapshotTable[[#This Row],[LC Book Price]]&gt;0,SnapshotTable[[#This Row],[LC Fill Date]]=0),"Y","")</f>
        <v/>
      </c>
      <c r="DQ360" s="386" t="str">
        <f>IF(SnapshotTable[[#This Row],[LC Premium]] &gt; 0,SnapshotTable[[#This Row],[LC Exp Date]]-MAX(SnapshotTable[[#This Row],[LC Book Date]], SnapshotTable[[#This Row],[LC Fill Date]]),"")</f>
        <v/>
      </c>
      <c r="DR360" s="386" t="str">
        <f>IF(ISNUMBER(SnapshotTable[[#This Row],[LC Term]]), SnapshotTable[[#This Row],[LC Exp Date]] - MockToday, "")</f>
        <v/>
      </c>
      <c r="DS360" s="23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40" t="str">
        <f>IF(ISNUMBER(SnapshotTable[[#This Row],[LC Actual Gain Loss]]), SnapshotTable[[#This Row],[LC Actual Gain Loss]] / SnapshotTable[[#This Row],[LC Premium]],"")</f>
        <v/>
      </c>
      <c r="DX360" s="284" t="str">
        <f>IF(ISNUMBER(SnapshotTable[[#This Row],[LC Book Price]]),SnapshotTable[[#This Row],[LC Book Price]] * 1.5,"")</f>
        <v/>
      </c>
      <c r="DY360" s="265" t="str">
        <f>IF(SnapshotTable[[#This Row],[LC Premium]]&gt;0, SnapshotTable[[#This Row],[LC Next Target]] * SnapshotTable[[#This Row],[LC Qty]] * 100,"")</f>
        <v/>
      </c>
      <c r="DZ360" s="265" t="str">
        <f>IF(ISNUMBER(SnapshotTable[[#This Row],[LC Target Gross]]), SnapshotTable[[#This Row],[LC Target Gross]] - SnapshotTable[[#This Row],[LC Premium]], "")</f>
        <v/>
      </c>
      <c r="EA360" s="305" t="str">
        <f>IF(ISNUMBER(SnapshotTable[[#This Row],[LC Target Gain Loss]]), SnapshotTable[[#This Row],[LC Target Gain Loss]]/SnapshotTable[[#This Row],[LC Premium]], "")</f>
        <v/>
      </c>
      <c r="EB360" s="262"/>
      <c r="EC360" s="283" t="str">
        <f>IF(SnapshotTable[[#This Row],[LC Premium]]&gt;0, SnapshotTable[[#This Row],[LC Book Price]] * (1 - LC_StopLoss_Pct),"")</f>
        <v/>
      </c>
      <c r="ED360" s="284"/>
      <c r="EE360" s="28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4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7"/>
      <c r="EL360" s="138"/>
      <c r="EM360" s="148"/>
      <c r="EN360" s="147"/>
      <c r="EO360" s="147"/>
      <c r="EP360" s="138"/>
      <c r="EQ360" s="419" t="b">
        <f>AND(ISNUMBER(SnapshotTable[[#This Row],[SC Exp Date]]), ISNUMBER(SnapshotTable[[#This Row],[SC Strike Price]]), ISNUMBER(SnapshotTable[[#This Row],[SC Qty]]), ISNUMBER(SnapshotTable[[#This Row],[SC Book Date]]), ISNUMBER(SnapshotTable[[#This Row],[SC Book Price]]))</f>
        <v>0</v>
      </c>
      <c r="ER360" s="419" t="b">
        <f>AND(SnapshotTable[[#This Row],[SC Is Booked]], NOT(ISBLANK(SnapshotTable[[#This Row],[SC Fill Date]])))</f>
        <v>0</v>
      </c>
      <c r="ES360" s="370"/>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3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283"/>
      <c r="FA360" s="218"/>
      <c r="FB360" s="370"/>
      <c r="FC360" s="4">
        <f>IF(SnapshotTable[[#This Row],[SC Is Filled]], btc_max_buyback_amount(SnapshotTable[[#This Row],[SC Fill Date]],SnapshotTable[[#This Row],[SC Exp Date]], SnapshotTable[[#This Row],[SC Book Price]]),0)</f>
        <v>0</v>
      </c>
      <c r="FD360" s="5"/>
      <c r="FE360" s="144"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382">
        <f>IF(SnapshotTable[[#This Row],[SC Is Filled]], IF(ISNUMBER(SnapshotTable[[#This Row],[SC Current Ask]]), SnapshotTable[[#This Row],[SC Current Ask]], SnapshotTable[[#This Row],[SC Book Price]]) - SnapshotTable[[#This Row],[SC Intrinsic Value]], 0)</f>
        <v>0</v>
      </c>
      <c r="FI360" s="143"/>
      <c r="FJ360" s="32" t="str">
        <f>IF(SnapshotTable[[#This Row],[SC Is Filled]],100 * SnapshotTable[[#This Row],[SC Qty]] * IF(ISNUMBER(SnapshotTable[[#This Row],[SC Buyback Override]]), SnapshotTable[[#This Row],[SC Buyback Override]], SnapshotTable[[#This Row],[SC Current Ask]]), "")</f>
        <v/>
      </c>
      <c r="FK360" s="250" t="str">
        <f>IF(SnapshotTable[[#This Row],[SC Time Val]]&gt;0, SnapshotTable[[#This Row],[SC Time Val]] / SnapshotTable[[#This Row],[Last Price]],"")</f>
        <v/>
      </c>
      <c r="FL360" s="302" t="str">
        <f>IF(SnapshotTable[[#This Row],[SC Is Booked]], ((SnapshotTable[[#This Row],[Last Price]] -SnapshotTable[[#This Row],[SC Strike Price]]) / SnapshotTable[[#This Row],[Last Price]]) * -1, "")</f>
        <v/>
      </c>
      <c r="FM360" s="157"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33"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36" t="str">
        <f>IF(AND(ISNUMBER(SnapshotTable[[#This Row],[SC Simple ROO]]),SnapshotTable[[#This Row],[SC Simple ROO]] &gt; 0), SnapshotTable[[#This Row],[SC Premium]] + (SnapshotTable[[#This Row],[SC Qty]] * SnapshotTable[[#This Row],[SC Upside Potential]]), "")</f>
        <v/>
      </c>
      <c r="FX360" s="302" t="str" cm="1">
        <f t="array" ref="FX360">IF(ISNUMBER(SnapshotTable[[#This Row],[SC Max Dollars]]), annualize(SnapshotTable[[#This Row],[SC Term]],(SnapshotTable[[#This Row],[SC Max Dollars]]/SnapshotTable[[#This Row],[SC Basis]])),"")</f>
        <v/>
      </c>
      <c r="FY360" s="23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29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39.025999999999996</v>
      </c>
      <c r="GD360" s="40">
        <f>SnapshotTable[[#This Row],[Last Price]] * (1+ SellingPriceToConsiderBasedOnTargetPercentage)</f>
        <v>66.923999999999992</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796</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31">
        <f>MAX(SnapshotTable[[#This Row],[Equity Basis Total]],SnapshotTable[[#This Row],[Equity Value]]) + (SnapshotTable[[#This Row],[SP Potential Spend]]- SnapshotTable[[#This Row],[SP Premium]] + SnapshotTable[[#This Row],[LP Premium]])+ (SnapshotTable[[#This Row],[LC Premium]] - SnapshotTable[[#This Row],[SC Premium]])</f>
        <v>0</v>
      </c>
      <c r="GW360" s="139" t="str">
        <f>IF(AND(SnapshotTable[[#This Row],[Exposure]] &lt;&gt; 0),SnapshotTable[[#This Row],[Exposure]] / SnapshotTable[[#Totals],[Exposure]], "")</f>
        <v/>
      </c>
      <c r="HB360" s="197"/>
      <c r="HK360" s="1"/>
      <c r="HL360" s="1"/>
      <c r="HM360" s="1"/>
      <c r="HN360" s="1"/>
      <c r="HO360" s="1"/>
      <c r="HP360" s="1"/>
    </row>
    <row r="361" spans="2:224" ht="12.75" hidden="1" customHeight="1" x14ac:dyDescent="0.25">
      <c r="B361" s="12" t="s">
        <v>88</v>
      </c>
      <c r="C361" s="422">
        <v>34.32</v>
      </c>
      <c r="D361" s="208"/>
      <c r="E361" s="39">
        <f>SnapshotTable[[#This Row],[Last Price]]*(1 -CrashDiscount)</f>
        <v>29.172000000000001</v>
      </c>
      <c r="F361" s="26" t="s">
        <v>87</v>
      </c>
      <c r="G361" s="26" t="s">
        <v>17</v>
      </c>
      <c r="H361" s="149"/>
      <c r="I361" s="194">
        <v>44777.270833333336</v>
      </c>
      <c r="J361" s="195">
        <v>44777.270833333336</v>
      </c>
      <c r="K361" s="196"/>
      <c r="L361" s="326"/>
      <c r="M361" s="140"/>
      <c r="N361" s="140"/>
      <c r="O361" s="140"/>
      <c r="P361" s="22"/>
      <c r="Q361" s="25"/>
      <c r="R361" s="4" t="str">
        <f>IF(SnapshotTable[[#This Row],[Equity Basis Total]] &gt; 0, SnapshotTable[[#This Row],[Equity Basis Total]] / SnapshotTable[[#This Row],[Equity Shares]], "")</f>
        <v/>
      </c>
      <c r="S361" s="269">
        <f>SnapshotTable[[#This Row],[Last Price]] * SnapshotTable[[#This Row],[Equity Shares]]</f>
        <v>0</v>
      </c>
      <c r="T361" s="269">
        <f>SnapshotTable[[#This Row],[Equity Value]] - SnapshotTable[[#This Row],[Equity Basis Total]]</f>
        <v>0</v>
      </c>
      <c r="U361" s="270" t="str">
        <f>IF(SnapshotTable[[#This Row],[Equity Basis Total]] &gt; 0, SnapshotTable[[#This Row],[Equity G/L]] / SnapshotTable[[#This Row],[Equity Basis Total]], "")</f>
        <v/>
      </c>
      <c r="V361" s="268"/>
      <c r="W361" s="26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7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0"/>
      <c r="AD361" s="151"/>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1"/>
      <c r="AI361" s="5"/>
      <c r="AJ361" s="138">
        <v>41.08</v>
      </c>
      <c r="AK361" s="152" t="str">
        <f>IF(ISNUMBER( SnapshotTable[[#This Row],[EBF Target]]),(SnapshotTable[[#This Row],[EBF Target]] - SnapshotTable[[#This Row],[Last Price]]) / SnapshotTable[[#This Row],[Last Price]], "")</f>
        <v/>
      </c>
      <c r="AL361" s="152"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2">
        <f>IF(AND(ISNUMBER( SnapshotTable[[#This Row],[Long Term Target]]), ISNUMBER(SnapshotTable[[#This Row],[Last Price]])),(SnapshotTable[[#This Row],[Long Term Target]] - SnapshotTable[[#This Row],[Last Price]]) / SnapshotTable[[#This Row],[Last Price]], "")</f>
        <v>0.19696969696969691</v>
      </c>
      <c r="AP361" s="5"/>
      <c r="AQ361" s="38"/>
      <c r="AR361" s="5"/>
      <c r="AS361" s="38"/>
      <c r="AT361" s="146"/>
      <c r="AU361" s="187" t="str">
        <f>IF(OR(SnapshotTable[[#This Row],[LP No Fill]]="Y",SnapshotTable[[#This Row],[SP Is Filled]],SnapshotTable[[#This Row],[LC Not Filled]]="Y",SnapshotTable[[#This Row],[SC Is Filled]]),"Y","")</f>
        <v/>
      </c>
      <c r="AV361" s="219"/>
      <c r="AW361" s="225"/>
      <c r="AX361" s="220"/>
      <c r="AY361" s="219" t="str">
        <f>IF(SnapshotTable[[#This Row],[Implied Move]]&gt;0, SnapshotTable[[#This Row],[Last Price]]-SnapshotTable[[#This Row],[Implied Move]],"")</f>
        <v/>
      </c>
      <c r="AZ361" s="219" t="str">
        <f>IF(SnapshotTable[[#This Row],[Implied Move]]&gt;0, SnapshotTable[[#This Row],[Last Price]] + SnapshotTable[[#This Row],[Implied Move]],"")</f>
        <v/>
      </c>
      <c r="BA361" s="331"/>
      <c r="BB361" s="347"/>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51"/>
      <c r="BE361" s="5"/>
      <c r="BF361" s="14"/>
      <c r="BG361" s="13"/>
      <c r="BH361" s="13"/>
      <c r="BI361" s="5"/>
      <c r="BJ361" s="136">
        <f>IF(SnapshotTable[[#This Row],[LP Qty]] &gt; 0, SnapshotTable[[#This Row],[LP Qty]] * SnapshotTable[[#This Row],[LP Book Price]] * 100,0)</f>
        <v>0</v>
      </c>
      <c r="BK361" s="136">
        <f>IF(SnapshotTable[[#This Row],[LP Premium]] &gt; 0, SnapshotTable[[#This Row],[LP Qty]] * SnapshotTable[[#This Row],[LP Strike Price]] * 100,0)</f>
        <v>0</v>
      </c>
      <c r="BL361" s="154"/>
      <c r="BM361" s="385" t="str">
        <f>IF(SnapshotTable[[#This Row],[LP Premium]] &gt; 0,SnapshotTable[[#This Row],[LP Exp Date]]-MAX(SnapshotTable[[#This Row],[LP Book Date]], SnapshotTable[[#This Row],[LP Fill Date]]),"")</f>
        <v/>
      </c>
      <c r="BN361" s="385" t="str">
        <f>IF(ISNUMBER( SnapshotTable[[#This Row],[LP Term]]), SnapshotTable[[#This Row],[LP Exp Date]] - MockToday,"")</f>
        <v/>
      </c>
      <c r="BO361" s="163"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7"/>
      <c r="BU361" s="13"/>
      <c r="BV361" s="5"/>
      <c r="BW361" s="419" t="b">
        <f>AND(ISNUMBER(SnapshotTable[[#This Row],[SP Exp Date]]), ISNUMBER(SnapshotTable[[#This Row],[SP Strike Price]]), ISNUMBER(SnapshotTable[[#This Row],[SP Qty]]), ISNUMBER(SnapshotTable[[#This Row],[SP Book Date]]), ISNUMBER(SnapshotTable[[#This Row],[SP Book Price]]))</f>
        <v>0</v>
      </c>
      <c r="BX361" s="419" t="b">
        <f>AND(SnapshotTable[[#This Row],[SP Is Booked]], NOT(ISBLANK(SnapshotTable[[#This Row],[SP Fill Date]])))</f>
        <v>0</v>
      </c>
      <c r="BY361" s="33">
        <f>IF(SnapshotTable[[#This Row],[SP Is Booked]], SnapshotTable[[#This Row],[SP Qty]] * SnapshotTable[[#This Row],[SP Book Price]] * 100, 0)</f>
        <v>0</v>
      </c>
      <c r="BZ361" s="369"/>
      <c r="CA361" s="368">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3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44"/>
      <c r="CK361" s="31">
        <f>IF(ISNUMBER(SnapshotTable[[#This Row],[SP Potential Spend]]),IF(ISNUMBER(SnapshotTable[[#This Row],[SP POW]]), SnapshotTable[[#This Row],[SP POW]] * SnapshotTable[[#This Row],[SP Potential Spend]], SnapshotTable[[#This Row],[SP Potential Spend]]), "")</f>
        <v>0</v>
      </c>
      <c r="CL361" s="164">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8"/>
      <c r="CO361" s="369"/>
      <c r="CP361" s="4" t="str">
        <f>IF(SnapshotTable[[#This Row],[SP Is Filled]], btc_max_buyback_amount(SnapshotTable[[#This Row],[SP Fill Date]],SnapshotTable[[#This Row],[SP Exp Date]], SnapshotTable[[#This Row],[SP Book Price]]),"")</f>
        <v/>
      </c>
      <c r="CQ361" s="78"/>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5" t="str">
        <f>IF(SnapshotTable[[#This Row],[SP Is Filled]], btc_next_cutoff_date(SnapshotTable[[#This Row],[SP Fill Date]],SnapshotTable[[#This Row],[SP Exp Date]]),"")</f>
        <v/>
      </c>
      <c r="CT361" s="23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3"/>
      <c r="CV361" s="235"/>
      <c r="CW361" s="378"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294" t="str">
        <f>IF(ISNUMBER((SnapshotTable[[#This Row],[SP Total Value]])), SnapshotTable[[#This Row],[SP Gain Loss]] / SnapshotTable[[#This Row],[SP Premium]], "")</f>
        <v/>
      </c>
      <c r="DI361" s="406"/>
      <c r="DJ361" s="138"/>
      <c r="DK361" s="148"/>
      <c r="DL361" s="13"/>
      <c r="DM361" s="13"/>
      <c r="DO361" s="31">
        <f>IF(SnapshotTable[[#This Row],[LC Symbol Count]]=1, SnapshotTable[[#This Row],[LC Qty]] * SnapshotTable[[#This Row],[LC Book Price]] * 100, 0)</f>
        <v>0</v>
      </c>
      <c r="DP361" s="163" t="str">
        <f>IF(AND(SnapshotTable[[#This Row],[LC Exp Date]]&gt;0, SnapshotTable[[#This Row],[LC Strike Price]]&gt;0,SnapshotTable[[#This Row],[LC Qty]]&gt;0,SnapshotTable[[#This Row],[LC Book Date]]&gt;0,SnapshotTable[[#This Row],[LC Book Price]]&gt;0,SnapshotTable[[#This Row],[LC Fill Date]]=0),"Y","")</f>
        <v/>
      </c>
      <c r="DQ361" s="386" t="str">
        <f>IF(SnapshotTable[[#This Row],[LC Premium]] &gt; 0,SnapshotTable[[#This Row],[LC Exp Date]]-MAX(SnapshotTable[[#This Row],[LC Book Date]], SnapshotTable[[#This Row],[LC Fill Date]]),"")</f>
        <v/>
      </c>
      <c r="DR361" s="386" t="str">
        <f>IF(ISNUMBER(SnapshotTable[[#This Row],[LC Term]]), SnapshotTable[[#This Row],[LC Exp Date]] - MockToday, "")</f>
        <v/>
      </c>
      <c r="DS361" s="23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40" t="str">
        <f>IF(ISNUMBER(SnapshotTable[[#This Row],[LC Actual Gain Loss]]), SnapshotTable[[#This Row],[LC Actual Gain Loss]] / SnapshotTable[[#This Row],[LC Premium]],"")</f>
        <v/>
      </c>
      <c r="DX361" s="284" t="str">
        <f>IF(ISNUMBER(SnapshotTable[[#This Row],[LC Book Price]]),SnapshotTable[[#This Row],[LC Book Price]] * 1.5,"")</f>
        <v/>
      </c>
      <c r="DY361" s="265" t="str">
        <f>IF(SnapshotTable[[#This Row],[LC Premium]]&gt;0, SnapshotTable[[#This Row],[LC Next Target]] * SnapshotTable[[#This Row],[LC Qty]] * 100,"")</f>
        <v/>
      </c>
      <c r="DZ361" s="265" t="str">
        <f>IF(ISNUMBER(SnapshotTable[[#This Row],[LC Target Gross]]), SnapshotTable[[#This Row],[LC Target Gross]] - SnapshotTable[[#This Row],[LC Premium]], "")</f>
        <v/>
      </c>
      <c r="EA361" s="305" t="str">
        <f>IF(ISNUMBER(SnapshotTable[[#This Row],[LC Target Gain Loss]]), SnapshotTable[[#This Row],[LC Target Gain Loss]]/SnapshotTable[[#This Row],[LC Premium]], "")</f>
        <v/>
      </c>
      <c r="EB361" s="262"/>
      <c r="EC361" s="283" t="str">
        <f>IF(SnapshotTable[[#This Row],[LC Premium]]&gt;0, SnapshotTable[[#This Row],[LC Book Price]] * (1 - LC_StopLoss_Pct),"")</f>
        <v/>
      </c>
      <c r="ED361" s="284"/>
      <c r="EE361" s="28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4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7"/>
      <c r="EL361" s="138"/>
      <c r="EM361" s="148"/>
      <c r="EN361" s="147"/>
      <c r="EO361" s="147"/>
      <c r="EP361" s="138"/>
      <c r="EQ361" s="419" t="b">
        <f>AND(ISNUMBER(SnapshotTable[[#This Row],[SC Exp Date]]), ISNUMBER(SnapshotTable[[#This Row],[SC Strike Price]]), ISNUMBER(SnapshotTable[[#This Row],[SC Qty]]), ISNUMBER(SnapshotTable[[#This Row],[SC Book Date]]), ISNUMBER(SnapshotTable[[#This Row],[SC Book Price]]))</f>
        <v>0</v>
      </c>
      <c r="ER361" s="419" t="b">
        <f>AND(SnapshotTable[[#This Row],[SC Is Booked]], NOT(ISBLANK(SnapshotTable[[#This Row],[SC Fill Date]])))</f>
        <v>0</v>
      </c>
      <c r="ES361" s="370"/>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3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283"/>
      <c r="FA361" s="218"/>
      <c r="FB361" s="370"/>
      <c r="FC361" s="4">
        <f>IF(SnapshotTable[[#This Row],[SC Is Filled]], btc_max_buyback_amount(SnapshotTable[[#This Row],[SC Fill Date]],SnapshotTable[[#This Row],[SC Exp Date]], SnapshotTable[[#This Row],[SC Book Price]]),0)</f>
        <v>0</v>
      </c>
      <c r="FD361" s="5"/>
      <c r="FE361" s="144"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382">
        <f>IF(SnapshotTable[[#This Row],[SC Is Filled]], IF(ISNUMBER(SnapshotTable[[#This Row],[SC Current Ask]]), SnapshotTable[[#This Row],[SC Current Ask]], SnapshotTable[[#This Row],[SC Book Price]]) - SnapshotTable[[#This Row],[SC Intrinsic Value]], 0)</f>
        <v>0</v>
      </c>
      <c r="FI361" s="143"/>
      <c r="FJ361" s="32" t="str">
        <f>IF(SnapshotTable[[#This Row],[SC Is Filled]],100 * SnapshotTable[[#This Row],[SC Qty]] * IF(ISNUMBER(SnapshotTable[[#This Row],[SC Buyback Override]]), SnapshotTable[[#This Row],[SC Buyback Override]], SnapshotTable[[#This Row],[SC Current Ask]]), "")</f>
        <v/>
      </c>
      <c r="FK361" s="250" t="str">
        <f>IF(SnapshotTable[[#This Row],[SC Time Val]]&gt;0, SnapshotTable[[#This Row],[SC Time Val]] / SnapshotTable[[#This Row],[Last Price]],"")</f>
        <v/>
      </c>
      <c r="FL361" s="302" t="str">
        <f>IF(SnapshotTable[[#This Row],[SC Is Booked]], ((SnapshotTable[[#This Row],[Last Price]] -SnapshotTable[[#This Row],[SC Strike Price]]) / SnapshotTable[[#This Row],[Last Price]]) * -1, "")</f>
        <v/>
      </c>
      <c r="FM361" s="157"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33"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36" t="str">
        <f>IF(AND(ISNUMBER(SnapshotTable[[#This Row],[SC Simple ROO]]),SnapshotTable[[#This Row],[SC Simple ROO]] &gt; 0), SnapshotTable[[#This Row],[SC Premium]] + (SnapshotTable[[#This Row],[SC Qty]] * SnapshotTable[[#This Row],[SC Upside Potential]]), "")</f>
        <v/>
      </c>
      <c r="FX361" s="302" t="str" cm="1">
        <f t="array" ref="FX361">IF(ISNUMBER(SnapshotTable[[#This Row],[SC Max Dollars]]), annualize(SnapshotTable[[#This Row],[SC Term]],(SnapshotTable[[#This Row],[SC Max Dollars]]/SnapshotTable[[#This Row],[SC Basis]])),"")</f>
        <v/>
      </c>
      <c r="FY361" s="23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29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39.025999999999996</v>
      </c>
      <c r="GD361" s="40">
        <f>SnapshotTable[[#This Row],[Last Price]] * (1+ SellingPriceToConsiderBasedOnTargetPercentage)</f>
        <v>66.923999999999992</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t="s">
        <v>797</v>
      </c>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31">
        <f>MAX(SnapshotTable[[#This Row],[Equity Basis Total]],SnapshotTable[[#This Row],[Equity Value]]) + (SnapshotTable[[#This Row],[SP Potential Spend]]- SnapshotTable[[#This Row],[SP Premium]] + SnapshotTable[[#This Row],[LP Premium]])+ (SnapshotTable[[#This Row],[LC Premium]] - SnapshotTable[[#This Row],[SC Premium]])</f>
        <v>0</v>
      </c>
      <c r="GW361" s="139" t="str">
        <f>IF(AND(SnapshotTable[[#This Row],[Exposure]] &lt;&gt; 0),SnapshotTable[[#This Row],[Exposure]] / SnapshotTable[[#Totals],[Exposure]], "")</f>
        <v/>
      </c>
      <c r="HK361" s="1"/>
      <c r="HL361" s="1"/>
      <c r="HM361" s="1"/>
      <c r="HN361" s="1"/>
      <c r="HO361" s="1"/>
      <c r="HP361" s="1"/>
    </row>
    <row r="362" spans="2:224" ht="12.75" hidden="1" customHeight="1" x14ac:dyDescent="0.25">
      <c r="B362" s="12" t="s">
        <v>146</v>
      </c>
      <c r="C362" s="422">
        <v>222.34</v>
      </c>
      <c r="D362" s="208"/>
      <c r="E362" s="39">
        <f>SnapshotTable[[#This Row],[Last Price]]*(1 -CrashDiscount)</f>
        <v>188.989</v>
      </c>
      <c r="F362" s="26" t="s">
        <v>145</v>
      </c>
      <c r="G362" s="26" t="s">
        <v>14</v>
      </c>
      <c r="H362" s="149"/>
      <c r="I362" s="194">
        <v>44797.677083333336</v>
      </c>
      <c r="J362" s="195">
        <v>44797.677083333336</v>
      </c>
      <c r="K362" s="196"/>
      <c r="L362" s="326" t="s">
        <v>144</v>
      </c>
      <c r="M362" s="140"/>
      <c r="N362" s="140"/>
      <c r="O362" s="140">
        <v>2</v>
      </c>
      <c r="P362" s="22"/>
      <c r="Q362" s="25"/>
      <c r="R362" s="4" t="str">
        <f>IF(SnapshotTable[[#This Row],[Equity Basis Total]] &gt; 0, SnapshotTable[[#This Row],[Equity Basis Total]] / SnapshotTable[[#This Row],[Equity Shares]], "")</f>
        <v/>
      </c>
      <c r="S362" s="269">
        <f>SnapshotTable[[#This Row],[Last Price]] * SnapshotTable[[#This Row],[Equity Shares]]</f>
        <v>0</v>
      </c>
      <c r="T362" s="269">
        <f>SnapshotTable[[#This Row],[Equity Value]] - SnapshotTable[[#This Row],[Equity Basis Total]]</f>
        <v>0</v>
      </c>
      <c r="U362" s="270" t="str">
        <f>IF(SnapshotTable[[#This Row],[Equity Basis Total]] &gt; 0, SnapshotTable[[#This Row],[Equity G/L]] / SnapshotTable[[#This Row],[Equity Basis Total]], "")</f>
        <v/>
      </c>
      <c r="V362" s="268"/>
      <c r="W362" s="26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7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0">
        <v>1.56</v>
      </c>
      <c r="AD362" s="151">
        <v>42881</v>
      </c>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7.0162813708734371E-3</v>
      </c>
      <c r="AH362" s="151">
        <v>42846</v>
      </c>
      <c r="AI362" s="5"/>
      <c r="AJ362" s="138">
        <v>45.61</v>
      </c>
      <c r="AK362" s="152" t="str">
        <f>IF(ISNUMBER( SnapshotTable[[#This Row],[EBF Target]]),(SnapshotTable[[#This Row],[EBF Target]] - SnapshotTable[[#This Row],[Last Price]]) / SnapshotTable[[#This Row],[Last Price]], "")</f>
        <v/>
      </c>
      <c r="AL362" s="152"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2">
        <f>IF(AND(ISNUMBER( SnapshotTable[[#This Row],[Long Term Target]]), ISNUMBER(SnapshotTable[[#This Row],[Last Price]])),(SnapshotTable[[#This Row],[Long Term Target]] - SnapshotTable[[#This Row],[Last Price]]) / SnapshotTable[[#This Row],[Last Price]], "")</f>
        <v>-0.79486372222721968</v>
      </c>
      <c r="AP362" s="5">
        <v>52.5</v>
      </c>
      <c r="AQ362" s="38" t="s">
        <v>46</v>
      </c>
      <c r="AR362" s="5">
        <v>47.5</v>
      </c>
      <c r="AS362" s="38" t="s">
        <v>45</v>
      </c>
      <c r="AT362" s="146"/>
      <c r="AU362" s="187" t="str">
        <f>IF(OR(SnapshotTable[[#This Row],[LP No Fill]]="Y",SnapshotTable[[#This Row],[SP Is Filled]],SnapshotTable[[#This Row],[LC Not Filled]]="Y",SnapshotTable[[#This Row],[SC Is Filled]]),"Y","")</f>
        <v/>
      </c>
      <c r="AV362" s="219"/>
      <c r="AW362" s="225"/>
      <c r="AX362" s="220"/>
      <c r="AY362" s="219" t="str">
        <f>IF(SnapshotTable[[#This Row],[Implied Move]]&gt;0, SnapshotTable[[#This Row],[Last Price]]-SnapshotTable[[#This Row],[Implied Move]],"")</f>
        <v/>
      </c>
      <c r="AZ362" s="219" t="str">
        <f>IF(SnapshotTable[[#This Row],[Implied Move]]&gt;0, SnapshotTable[[#This Row],[Last Price]] + SnapshotTable[[#This Row],[Implied Move]],"")</f>
        <v/>
      </c>
      <c r="BA362" s="331"/>
      <c r="BB362" s="347"/>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51"/>
      <c r="BE362" s="5"/>
      <c r="BF362" s="14"/>
      <c r="BG362" s="13"/>
      <c r="BH362" s="13"/>
      <c r="BI362" s="5"/>
      <c r="BJ362" s="136">
        <f>IF(SnapshotTable[[#This Row],[LP Qty]] &gt; 0, SnapshotTable[[#This Row],[LP Qty]] * SnapshotTable[[#This Row],[LP Book Price]] * 100,0)</f>
        <v>0</v>
      </c>
      <c r="BK362" s="136">
        <f>IF(SnapshotTable[[#This Row],[LP Premium]] &gt; 0, SnapshotTable[[#This Row],[LP Qty]] * SnapshotTable[[#This Row],[LP Strike Price]] * 100,0)</f>
        <v>0</v>
      </c>
      <c r="BL362" s="154"/>
      <c r="BM362" s="385" t="str">
        <f>IF(SnapshotTable[[#This Row],[LP Premium]] &gt; 0,SnapshotTable[[#This Row],[LP Exp Date]]-MAX(SnapshotTable[[#This Row],[LP Book Date]], SnapshotTable[[#This Row],[LP Fill Date]]),"")</f>
        <v/>
      </c>
      <c r="BN362" s="385" t="str">
        <f>IF(ISNUMBER( SnapshotTable[[#This Row],[LP Term]]), SnapshotTable[[#This Row],[LP Exp Date]] - MockToday,"")</f>
        <v/>
      </c>
      <c r="BO362" s="163"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7"/>
      <c r="BU362" s="13"/>
      <c r="BV362" s="5"/>
      <c r="BW362" s="419" t="b">
        <f>AND(ISNUMBER(SnapshotTable[[#This Row],[SP Exp Date]]), ISNUMBER(SnapshotTable[[#This Row],[SP Strike Price]]), ISNUMBER(SnapshotTable[[#This Row],[SP Qty]]), ISNUMBER(SnapshotTable[[#This Row],[SP Book Date]]), ISNUMBER(SnapshotTable[[#This Row],[SP Book Price]]))</f>
        <v>0</v>
      </c>
      <c r="BX362" s="419" t="b">
        <f>AND(SnapshotTable[[#This Row],[SP Is Booked]], NOT(ISBLANK(SnapshotTable[[#This Row],[SP Fill Date]])))</f>
        <v>0</v>
      </c>
      <c r="BY362" s="33">
        <f>IF(SnapshotTable[[#This Row],[SP Is Booked]], SnapshotTable[[#This Row],[SP Qty]] * SnapshotTable[[#This Row],[SP Book Price]] * 100, 0)</f>
        <v>0</v>
      </c>
      <c r="BZ362" s="369"/>
      <c r="CA362" s="368">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3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44"/>
      <c r="CK362" s="31">
        <f>IF(ISNUMBER(SnapshotTable[[#This Row],[SP Potential Spend]]),IF(ISNUMBER(SnapshotTable[[#This Row],[SP POW]]), SnapshotTable[[#This Row],[SP POW]] * SnapshotTable[[#This Row],[SP Potential Spend]], SnapshotTable[[#This Row],[SP Potential Spend]]), "")</f>
        <v>0</v>
      </c>
      <c r="CL362" s="164">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8"/>
      <c r="CO362" s="369"/>
      <c r="CP362" s="4" t="str">
        <f>IF(SnapshotTable[[#This Row],[SP Is Filled]], btc_max_buyback_amount(SnapshotTable[[#This Row],[SP Fill Date]],SnapshotTable[[#This Row],[SP Exp Date]], SnapshotTable[[#This Row],[SP Book Price]]),"")</f>
        <v/>
      </c>
      <c r="CQ362" s="78"/>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5" t="str">
        <f>IF(SnapshotTable[[#This Row],[SP Is Filled]], btc_next_cutoff_date(SnapshotTable[[#This Row],[SP Fill Date]],SnapshotTable[[#This Row],[SP Exp Date]]),"")</f>
        <v/>
      </c>
      <c r="CT362" s="23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3"/>
      <c r="CV362" s="235"/>
      <c r="CW362" s="378"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294" t="str">
        <f>IF(ISNUMBER((SnapshotTable[[#This Row],[SP Total Value]])), SnapshotTable[[#This Row],[SP Gain Loss]] / SnapshotTable[[#This Row],[SP Premium]], "")</f>
        <v/>
      </c>
      <c r="DI362" s="406"/>
      <c r="DJ362" s="138"/>
      <c r="DK362" s="148"/>
      <c r="DL362" s="13"/>
      <c r="DM362" s="13"/>
      <c r="DO362" s="31">
        <f>IF(SnapshotTable[[#This Row],[LC Symbol Count]]=1, SnapshotTable[[#This Row],[LC Qty]] * SnapshotTable[[#This Row],[LC Book Price]] * 100, 0)</f>
        <v>0</v>
      </c>
      <c r="DP362" s="163" t="str">
        <f>IF(AND(SnapshotTable[[#This Row],[LC Exp Date]]&gt;0, SnapshotTable[[#This Row],[LC Strike Price]]&gt;0,SnapshotTable[[#This Row],[LC Qty]]&gt;0,SnapshotTable[[#This Row],[LC Book Date]]&gt;0,SnapshotTable[[#This Row],[LC Book Price]]&gt;0,SnapshotTable[[#This Row],[LC Fill Date]]=0),"Y","")</f>
        <v/>
      </c>
      <c r="DQ362" s="386" t="str">
        <f>IF(SnapshotTable[[#This Row],[LC Premium]] &gt; 0,SnapshotTable[[#This Row],[LC Exp Date]]-MAX(SnapshotTable[[#This Row],[LC Book Date]], SnapshotTable[[#This Row],[LC Fill Date]]),"")</f>
        <v/>
      </c>
      <c r="DR362" s="386" t="str">
        <f>IF(ISNUMBER(SnapshotTable[[#This Row],[LC Term]]), SnapshotTable[[#This Row],[LC Exp Date]] - MockToday, "")</f>
        <v/>
      </c>
      <c r="DS362" s="23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40" t="str">
        <f>IF(ISNUMBER(SnapshotTable[[#This Row],[LC Actual Gain Loss]]), SnapshotTable[[#This Row],[LC Actual Gain Loss]] / SnapshotTable[[#This Row],[LC Premium]],"")</f>
        <v/>
      </c>
      <c r="DX362" s="284" t="str">
        <f>IF(ISNUMBER(SnapshotTable[[#This Row],[LC Book Price]]),SnapshotTable[[#This Row],[LC Book Price]] * 1.5,"")</f>
        <v/>
      </c>
      <c r="DY362" s="265" t="str">
        <f>IF(SnapshotTable[[#This Row],[LC Premium]]&gt;0, SnapshotTable[[#This Row],[LC Next Target]] * SnapshotTable[[#This Row],[LC Qty]] * 100,"")</f>
        <v/>
      </c>
      <c r="DZ362" s="265" t="str">
        <f>IF(ISNUMBER(SnapshotTable[[#This Row],[LC Target Gross]]), SnapshotTable[[#This Row],[LC Target Gross]] - SnapshotTable[[#This Row],[LC Premium]], "")</f>
        <v/>
      </c>
      <c r="EA362" s="305" t="str">
        <f>IF(ISNUMBER(SnapshotTable[[#This Row],[LC Target Gain Loss]]), SnapshotTable[[#This Row],[LC Target Gain Loss]]/SnapshotTable[[#This Row],[LC Premium]], "")</f>
        <v/>
      </c>
      <c r="EB362" s="262"/>
      <c r="EC362" s="283" t="str">
        <f>IF(SnapshotTable[[#This Row],[LC Premium]]&gt;0, SnapshotTable[[#This Row],[LC Book Price]] * (1 - LC_StopLoss_Pct),"")</f>
        <v/>
      </c>
      <c r="ED362" s="284"/>
      <c r="EE362" s="28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4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7"/>
      <c r="EL362" s="138"/>
      <c r="EM362" s="148"/>
      <c r="EN362" s="147"/>
      <c r="EO362" s="147"/>
      <c r="EP362" s="138"/>
      <c r="EQ362" s="419" t="b">
        <f>AND(ISNUMBER(SnapshotTable[[#This Row],[SC Exp Date]]), ISNUMBER(SnapshotTable[[#This Row],[SC Strike Price]]), ISNUMBER(SnapshotTable[[#This Row],[SC Qty]]), ISNUMBER(SnapshotTable[[#This Row],[SC Book Date]]), ISNUMBER(SnapshotTable[[#This Row],[SC Book Price]]))</f>
        <v>0</v>
      </c>
      <c r="ER362" s="419" t="b">
        <f>AND(SnapshotTable[[#This Row],[SC Is Booked]], NOT(ISBLANK(SnapshotTable[[#This Row],[SC Fill Date]])))</f>
        <v>0</v>
      </c>
      <c r="ES362" s="370"/>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3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283"/>
      <c r="FA362" s="218"/>
      <c r="FB362" s="370"/>
      <c r="FC362" s="4">
        <f>IF(SnapshotTable[[#This Row],[SC Is Filled]], btc_max_buyback_amount(SnapshotTable[[#This Row],[SC Fill Date]],SnapshotTable[[#This Row],[SC Exp Date]], SnapshotTable[[#This Row],[SC Book Price]]),0)</f>
        <v>0</v>
      </c>
      <c r="FD362" s="5"/>
      <c r="FE362" s="144"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382">
        <f>IF(SnapshotTable[[#This Row],[SC Is Filled]], IF(ISNUMBER(SnapshotTable[[#This Row],[SC Current Ask]]), SnapshotTable[[#This Row],[SC Current Ask]], SnapshotTable[[#This Row],[SC Book Price]]) - SnapshotTable[[#This Row],[SC Intrinsic Value]], 0)</f>
        <v>0</v>
      </c>
      <c r="FI362" s="143"/>
      <c r="FJ362" s="32" t="str">
        <f>IF(SnapshotTable[[#This Row],[SC Is Filled]],100 * SnapshotTable[[#This Row],[SC Qty]] * IF(ISNUMBER(SnapshotTable[[#This Row],[SC Buyback Override]]), SnapshotTable[[#This Row],[SC Buyback Override]], SnapshotTable[[#This Row],[SC Current Ask]]), "")</f>
        <v/>
      </c>
      <c r="FK362" s="250" t="str">
        <f>IF(SnapshotTable[[#This Row],[SC Time Val]]&gt;0, SnapshotTable[[#This Row],[SC Time Val]] / SnapshotTable[[#This Row],[Last Price]],"")</f>
        <v/>
      </c>
      <c r="FL362" s="302" t="str">
        <f>IF(SnapshotTable[[#This Row],[SC Is Booked]], ((SnapshotTable[[#This Row],[Last Price]] -SnapshotTable[[#This Row],[SC Strike Price]]) / SnapshotTable[[#This Row],[Last Price]]) * -1, "")</f>
        <v/>
      </c>
      <c r="FM362" s="157"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33"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36" t="str">
        <f>IF(AND(ISNUMBER(SnapshotTable[[#This Row],[SC Simple ROO]]),SnapshotTable[[#This Row],[SC Simple ROO]] &gt; 0), SnapshotTable[[#This Row],[SC Premium]] + (SnapshotTable[[#This Row],[SC Qty]] * SnapshotTable[[#This Row],[SC Upside Potential]]), "")</f>
        <v/>
      </c>
      <c r="FX362" s="302" t="str" cm="1">
        <f t="array" ref="FX362">IF(ISNUMBER(SnapshotTable[[#This Row],[SC Max Dollars]]), annualize(SnapshotTable[[#This Row],[SC Term]],(SnapshotTable[[#This Row],[SC Max Dollars]]/SnapshotTable[[#This Row],[SC Basis]])),"")</f>
        <v/>
      </c>
      <c r="FY362" s="23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29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43.329499999999996</v>
      </c>
      <c r="GD362" s="40">
        <f>SnapshotTable[[#This Row],[Last Price]] * (1+ SellingPriceToConsiderBasedOnTargetPercentage)</f>
        <v>433.56299999999999</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t="s">
        <v>798</v>
      </c>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31">
        <f>MAX(SnapshotTable[[#This Row],[Equity Basis Total]],SnapshotTable[[#This Row],[Equity Value]]) + (SnapshotTable[[#This Row],[SP Potential Spend]]- SnapshotTable[[#This Row],[SP Premium]] + SnapshotTable[[#This Row],[LP Premium]])+ (SnapshotTable[[#This Row],[LC Premium]] - SnapshotTable[[#This Row],[SC Premium]])</f>
        <v>0</v>
      </c>
      <c r="GW362" s="139" t="str">
        <f>IF(AND(SnapshotTable[[#This Row],[Exposure]] &lt;&gt; 0),SnapshotTable[[#This Row],[Exposure]] / SnapshotTable[[#Totals],[Exposure]], "")</f>
        <v/>
      </c>
      <c r="HK362" s="1"/>
      <c r="HL362" s="1"/>
      <c r="HM362" s="1"/>
      <c r="HN362" s="1"/>
      <c r="HO362" s="1"/>
      <c r="HP362" s="1"/>
    </row>
    <row r="363" spans="2:224" ht="12.75" hidden="1" customHeight="1" x14ac:dyDescent="0.25">
      <c r="B363" s="12" t="s">
        <v>1189</v>
      </c>
      <c r="C363" s="422">
        <v>19.489999999999998</v>
      </c>
      <c r="D363" s="208"/>
      <c r="E363" s="39">
        <f>SnapshotTable[[#This Row],[Last Price]]*(1 -CrashDiscount)</f>
        <v>16.566499999999998</v>
      </c>
      <c r="F363" s="26" t="s">
        <v>937</v>
      </c>
      <c r="G363" s="26" t="s">
        <v>4</v>
      </c>
      <c r="H363" s="149"/>
      <c r="I363" s="194"/>
      <c r="J363" s="195"/>
      <c r="K363" s="196"/>
      <c r="L363" s="326"/>
      <c r="M363" s="140"/>
      <c r="N363" s="140"/>
      <c r="O363" s="140"/>
      <c r="P363" s="22"/>
      <c r="Q363" s="25"/>
      <c r="R363" s="4" t="str">
        <f>IF(SnapshotTable[[#This Row],[Equity Basis Total]] &gt; 0, SnapshotTable[[#This Row],[Equity Basis Total]] / SnapshotTable[[#This Row],[Equity Shares]], "")</f>
        <v/>
      </c>
      <c r="S363" s="269">
        <f>SnapshotTable[[#This Row],[Last Price]] * SnapshotTable[[#This Row],[Equity Shares]]</f>
        <v>0</v>
      </c>
      <c r="T363" s="269">
        <f>SnapshotTable[[#This Row],[Equity Value]] - SnapshotTable[[#This Row],[Equity Basis Total]]</f>
        <v>0</v>
      </c>
      <c r="U363" s="270" t="str">
        <f>IF(SnapshotTable[[#This Row],[Equity Basis Total]] &gt; 0, SnapshotTable[[#This Row],[Equity G/L]] / SnapshotTable[[#This Row],[Equity Basis Total]], "")</f>
        <v/>
      </c>
      <c r="V363" s="268">
        <v>9.5</v>
      </c>
      <c r="W363" s="268">
        <v>6</v>
      </c>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7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0"/>
      <c r="AD363" s="151"/>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0</v>
      </c>
      <c r="AH363" s="151"/>
      <c r="AI363" s="5"/>
      <c r="AJ363" s="138"/>
      <c r="AK363" s="152" t="str">
        <f>IF(ISNUMBER( SnapshotTable[[#This Row],[EBF Target]]),(SnapshotTable[[#This Row],[EBF Target]] - SnapshotTable[[#This Row],[Last Price]]) / SnapshotTable[[#This Row],[Last Price]], "")</f>
        <v/>
      </c>
      <c r="AL363" s="152"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2" t="str">
        <f>IF(AND(ISNUMBER( SnapshotTable[[#This Row],[Long Term Target]]), ISNUMBER(SnapshotTable[[#This Row],[Last Price]])),(SnapshotTable[[#This Row],[Long Term Target]] - SnapshotTable[[#This Row],[Last Price]]) / SnapshotTable[[#This Row],[Last Price]], "")</f>
        <v/>
      </c>
      <c r="AP363" s="5"/>
      <c r="AQ363" s="38" t="s">
        <v>38</v>
      </c>
      <c r="AR363" s="5"/>
      <c r="AS363" s="38" t="s">
        <v>26</v>
      </c>
      <c r="AT363" s="146" t="s">
        <v>1185</v>
      </c>
      <c r="AU363" s="187" t="str">
        <f>IF(OR(SnapshotTable[[#This Row],[LP No Fill]]="Y",SnapshotTable[[#This Row],[SP Is Filled]],SnapshotTable[[#This Row],[LC Not Filled]]="Y",SnapshotTable[[#This Row],[SC Is Filled]]),"Y","")</f>
        <v/>
      </c>
      <c r="AV363" s="338"/>
      <c r="AW363" s="225"/>
      <c r="AX363" s="220"/>
      <c r="AY363" s="219" t="str">
        <f>IF(SnapshotTable[[#This Row],[Implied Move]]&gt;0, SnapshotTable[[#This Row],[Last Price]]-SnapshotTable[[#This Row],[Implied Move]],"")</f>
        <v/>
      </c>
      <c r="AZ363" s="219" t="str">
        <f>IF(SnapshotTable[[#This Row],[Implied Move]]&gt;0, SnapshotTable[[#This Row],[Last Price]] + SnapshotTable[[#This Row],[Implied Move]],"")</f>
        <v/>
      </c>
      <c r="BA363" s="331">
        <v>3.87</v>
      </c>
      <c r="BB363" s="404" t="s">
        <v>1165</v>
      </c>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51"/>
      <c r="BE363" s="5"/>
      <c r="BF363" s="14"/>
      <c r="BG363" s="13"/>
      <c r="BH363" s="13"/>
      <c r="BI363" s="5"/>
      <c r="BJ363" s="136">
        <f>IF(SnapshotTable[[#This Row],[LP Qty]] &gt; 0, SnapshotTable[[#This Row],[LP Qty]] * SnapshotTable[[#This Row],[LP Book Price]] * 100,0)</f>
        <v>0</v>
      </c>
      <c r="BK363" s="136">
        <f>IF(SnapshotTable[[#This Row],[LP Premium]] &gt; 0, SnapshotTable[[#This Row],[LP Qty]] * SnapshotTable[[#This Row],[LP Strike Price]] * 100,0)</f>
        <v>0</v>
      </c>
      <c r="BL363" s="154"/>
      <c r="BM363" s="385" t="str">
        <f>IF(SnapshotTable[[#This Row],[LP Premium]] &gt; 0,SnapshotTable[[#This Row],[LP Exp Date]]-MAX(SnapshotTable[[#This Row],[LP Book Date]], SnapshotTable[[#This Row],[LP Fill Date]]),"")</f>
        <v/>
      </c>
      <c r="BN363" s="385" t="str">
        <f>IF(ISNUMBER( SnapshotTable[[#This Row],[LP Term]]), SnapshotTable[[#This Row],[LP Exp Date]] - MockToday,"")</f>
        <v/>
      </c>
      <c r="BO363" s="163"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7"/>
      <c r="BU363" s="13"/>
      <c r="BV363" s="5"/>
      <c r="BW363" s="419" t="b">
        <f>AND(ISNUMBER(SnapshotTable[[#This Row],[SP Exp Date]]), ISNUMBER(SnapshotTable[[#This Row],[SP Strike Price]]), ISNUMBER(SnapshotTable[[#This Row],[SP Qty]]), ISNUMBER(SnapshotTable[[#This Row],[SP Book Date]]), ISNUMBER(SnapshotTable[[#This Row],[SP Book Price]]))</f>
        <v>0</v>
      </c>
      <c r="BX363" s="419" t="b">
        <f>AND(SnapshotTable[[#This Row],[SP Is Booked]], NOT(ISBLANK(SnapshotTable[[#This Row],[SP Fill Date]])))</f>
        <v>0</v>
      </c>
      <c r="BY363" s="33">
        <f>IF(SnapshotTable[[#This Row],[SP Is Booked]], SnapshotTable[[#This Row],[SP Qty]] * SnapshotTable[[#This Row],[SP Book Price]] * 100, 0)</f>
        <v>0</v>
      </c>
      <c r="BZ363" s="369"/>
      <c r="CA363" s="368">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3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44"/>
      <c r="CK363" s="31">
        <f>IF(ISNUMBER(SnapshotTable[[#This Row],[SP Potential Spend]]),IF(ISNUMBER(SnapshotTable[[#This Row],[SP POW]]), SnapshotTable[[#This Row],[SP POW]] * SnapshotTable[[#This Row],[SP Potential Spend]], SnapshotTable[[#This Row],[SP Potential Spend]]), "")</f>
        <v>0</v>
      </c>
      <c r="CL363" s="164">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8"/>
      <c r="CO363" s="369"/>
      <c r="CP363" s="4" t="str">
        <f>IF(SnapshotTable[[#This Row],[SP Is Filled]], btc_max_buyback_amount(SnapshotTable[[#This Row],[SP Fill Date]],SnapshotTable[[#This Row],[SP Exp Date]], SnapshotTable[[#This Row],[SP Book Price]]),"")</f>
        <v/>
      </c>
      <c r="CQ363" s="78"/>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5" t="str">
        <f>IF(SnapshotTable[[#This Row],[SP Is Filled]], btc_next_cutoff_date(SnapshotTable[[#This Row],[SP Fill Date]],SnapshotTable[[#This Row],[SP Exp Date]]),"")</f>
        <v/>
      </c>
      <c r="CT363" s="23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3"/>
      <c r="CV363" s="235"/>
      <c r="CW363" s="378"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294" t="str">
        <f>IF(ISNUMBER((SnapshotTable[[#This Row],[SP Total Value]])), SnapshotTable[[#This Row],[SP Gain Loss]] / SnapshotTable[[#This Row],[SP Premium]], "")</f>
        <v/>
      </c>
      <c r="DI363" s="406"/>
      <c r="DJ363" s="138"/>
      <c r="DK363" s="148"/>
      <c r="DL363" s="13"/>
      <c r="DM363" s="13"/>
      <c r="DO363" s="31">
        <f>IF(SnapshotTable[[#This Row],[LC Symbol Count]]=1, SnapshotTable[[#This Row],[LC Qty]] * SnapshotTable[[#This Row],[LC Book Price]] * 100, 0)</f>
        <v>0</v>
      </c>
      <c r="DP363" s="163" t="str">
        <f>IF(AND(SnapshotTable[[#This Row],[LC Exp Date]]&gt;0, SnapshotTable[[#This Row],[LC Strike Price]]&gt;0,SnapshotTable[[#This Row],[LC Qty]]&gt;0,SnapshotTable[[#This Row],[LC Book Date]]&gt;0,SnapshotTable[[#This Row],[LC Book Price]]&gt;0,SnapshotTable[[#This Row],[LC Fill Date]]=0),"Y","")</f>
        <v/>
      </c>
      <c r="DQ363" s="386" t="str">
        <f>IF(SnapshotTable[[#This Row],[LC Premium]] &gt; 0,SnapshotTable[[#This Row],[LC Exp Date]]-MAX(SnapshotTable[[#This Row],[LC Book Date]], SnapshotTable[[#This Row],[LC Fill Date]]),"")</f>
        <v/>
      </c>
      <c r="DR363" s="386" t="str">
        <f>IF(ISNUMBER(SnapshotTable[[#This Row],[LC Term]]), SnapshotTable[[#This Row],[LC Exp Date]] - MockToday, "")</f>
        <v/>
      </c>
      <c r="DS363" s="23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40" t="str">
        <f>IF(ISNUMBER(SnapshotTable[[#This Row],[LC Actual Gain Loss]]), SnapshotTable[[#This Row],[LC Actual Gain Loss]] / SnapshotTable[[#This Row],[LC Premium]],"")</f>
        <v/>
      </c>
      <c r="DX363" s="284" t="str">
        <f>IF(ISNUMBER(SnapshotTable[[#This Row],[LC Book Price]]),SnapshotTable[[#This Row],[LC Book Price]] * 1.5,"")</f>
        <v/>
      </c>
      <c r="DY363" s="265" t="str">
        <f>IF(SnapshotTable[[#This Row],[LC Premium]]&gt;0, SnapshotTable[[#This Row],[LC Next Target]] * SnapshotTable[[#This Row],[LC Qty]] * 100,"")</f>
        <v/>
      </c>
      <c r="DZ363" s="265" t="str">
        <f>IF(ISNUMBER(SnapshotTable[[#This Row],[LC Target Gross]]), SnapshotTable[[#This Row],[LC Target Gross]] - SnapshotTable[[#This Row],[LC Premium]], "")</f>
        <v/>
      </c>
      <c r="EA363" s="305" t="str">
        <f>IF(ISNUMBER(SnapshotTable[[#This Row],[LC Target Gain Loss]]), SnapshotTable[[#This Row],[LC Target Gain Loss]]/SnapshotTable[[#This Row],[LC Premium]], "")</f>
        <v/>
      </c>
      <c r="EB363" s="262"/>
      <c r="EC363" s="283" t="str">
        <f>IF(SnapshotTable[[#This Row],[LC Premium]]&gt;0, SnapshotTable[[#This Row],[LC Book Price]] * (1 - LC_StopLoss_Pct),"")</f>
        <v/>
      </c>
      <c r="ED363" s="284"/>
      <c r="EE363" s="28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4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7"/>
      <c r="EL363" s="138"/>
      <c r="EM363" s="148"/>
      <c r="EN363" s="147"/>
      <c r="EO363" s="147"/>
      <c r="EP363" s="138"/>
      <c r="EQ363" s="419" t="b">
        <f>AND(ISNUMBER(SnapshotTable[[#This Row],[SC Exp Date]]), ISNUMBER(SnapshotTable[[#This Row],[SC Strike Price]]), ISNUMBER(SnapshotTable[[#This Row],[SC Qty]]), ISNUMBER(SnapshotTable[[#This Row],[SC Book Date]]), ISNUMBER(SnapshotTable[[#This Row],[SC Book Price]]))</f>
        <v>0</v>
      </c>
      <c r="ER363" s="419" t="b">
        <f>AND(SnapshotTable[[#This Row],[SC Is Booked]], NOT(ISBLANK(SnapshotTable[[#This Row],[SC Fill Date]])))</f>
        <v>0</v>
      </c>
      <c r="ES363" s="370"/>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3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283"/>
      <c r="FA363" s="218"/>
      <c r="FB363" s="370"/>
      <c r="FC363" s="4">
        <f>IF(SnapshotTable[[#This Row],[SC Is Filled]], btc_max_buyback_amount(SnapshotTable[[#This Row],[SC Fill Date]],SnapshotTable[[#This Row],[SC Exp Date]], SnapshotTable[[#This Row],[SC Book Price]]),0)</f>
        <v>0</v>
      </c>
      <c r="FD363" s="5"/>
      <c r="FE363" s="144"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382">
        <f>IF(SnapshotTable[[#This Row],[SC Is Filled]], IF(ISNUMBER(SnapshotTable[[#This Row],[SC Current Ask]]), SnapshotTable[[#This Row],[SC Current Ask]], SnapshotTable[[#This Row],[SC Book Price]]) - SnapshotTable[[#This Row],[SC Intrinsic Value]], 0)</f>
        <v>0</v>
      </c>
      <c r="FI363" s="143"/>
      <c r="FJ363" s="32" t="str">
        <f>IF(SnapshotTable[[#This Row],[SC Is Filled]],100 * SnapshotTable[[#This Row],[SC Qty]] * IF(ISNUMBER(SnapshotTable[[#This Row],[SC Buyback Override]]), SnapshotTable[[#This Row],[SC Buyback Override]], SnapshotTable[[#This Row],[SC Current Ask]]), "")</f>
        <v/>
      </c>
      <c r="FK363" s="250" t="str">
        <f>IF(SnapshotTable[[#This Row],[SC Time Val]]&gt;0, SnapshotTable[[#This Row],[SC Time Val]] / SnapshotTable[[#This Row],[Last Price]],"")</f>
        <v/>
      </c>
      <c r="FL363" s="302" t="str">
        <f>IF(SnapshotTable[[#This Row],[SC Is Booked]], ((SnapshotTable[[#This Row],[Last Price]] -SnapshotTable[[#This Row],[SC Strike Price]]) / SnapshotTable[[#This Row],[Last Price]]) * -1, "")</f>
        <v/>
      </c>
      <c r="FM363" s="157"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33"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36" t="str">
        <f>IF(AND(ISNUMBER(SnapshotTable[[#This Row],[SC Simple ROO]]),SnapshotTable[[#This Row],[SC Simple ROO]] &gt; 0), SnapshotTable[[#This Row],[SC Premium]] + (SnapshotTable[[#This Row],[SC Qty]] * SnapshotTable[[#This Row],[SC Upside Potential]]), "")</f>
        <v/>
      </c>
      <c r="FX363" s="302" t="str" cm="1">
        <f t="array" ref="FX363">IF(ISNUMBER(SnapshotTable[[#This Row],[SC Max Dollars]]), annualize(SnapshotTable[[#This Row],[SC Term]],(SnapshotTable[[#This Row],[SC Max Dollars]]/SnapshotTable[[#This Row],[SC Basis]])),"")</f>
        <v/>
      </c>
      <c r="FY363" s="23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29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0</v>
      </c>
      <c r="GD363" s="40">
        <f>SnapshotTable[[#This Row],[Last Price]] * (1+ SellingPriceToConsiderBasedOnTargetPercentage)</f>
        <v>38.005499999999998</v>
      </c>
      <c r="GE363" s="41"/>
      <c r="GF363" s="40"/>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31">
        <f>MAX(SnapshotTable[[#This Row],[Equity Basis Total]],SnapshotTable[[#This Row],[Equity Value]]) + (SnapshotTable[[#This Row],[SP Potential Spend]]- SnapshotTable[[#This Row],[SP Premium]] + SnapshotTable[[#This Row],[LP Premium]])+ (SnapshotTable[[#This Row],[LC Premium]] - SnapshotTable[[#This Row],[SC Premium]])</f>
        <v>0</v>
      </c>
      <c r="GW363" s="139" t="str">
        <f>IF(AND(SnapshotTable[[#This Row],[Exposure]] &lt;&gt; 0),SnapshotTable[[#This Row],[Exposure]] / SnapshotTable[[#Totals],[Exposure]], "")</f>
        <v/>
      </c>
      <c r="HK363" s="1"/>
      <c r="HL363" s="1"/>
      <c r="HM363" s="1"/>
      <c r="HN363" s="1"/>
      <c r="HO363" s="1"/>
      <c r="HP363" s="1"/>
    </row>
    <row r="364" spans="2:224" ht="12.75" hidden="1" customHeight="1" x14ac:dyDescent="0.25">
      <c r="B364" s="12" t="s">
        <v>1209</v>
      </c>
      <c r="C364" s="422">
        <v>0.39460000000000001</v>
      </c>
      <c r="D364" s="208"/>
      <c r="E364" s="39">
        <f>SnapshotTable[[#This Row],[Last Price]]*(1 -CrashDiscount)</f>
        <v>0.33540999999999999</v>
      </c>
      <c r="F364" s="325" t="s">
        <v>937</v>
      </c>
      <c r="G364" s="325" t="s">
        <v>4</v>
      </c>
      <c r="H364" s="149"/>
      <c r="I364" s="194"/>
      <c r="J364" s="195"/>
      <c r="K364" s="196"/>
      <c r="L364" s="327"/>
      <c r="M364" s="140"/>
      <c r="N364" s="140"/>
      <c r="O364" s="140"/>
      <c r="P364" s="22">
        <v>1000</v>
      </c>
      <c r="Q364" s="25">
        <v>2142.4</v>
      </c>
      <c r="R364" s="4">
        <f>IF(SnapshotTable[[#This Row],[Equity Basis Total]] &gt; 0, SnapshotTable[[#This Row],[Equity Basis Total]] / SnapshotTable[[#This Row],[Equity Shares]], "")</f>
        <v>2.1424000000000003</v>
      </c>
      <c r="S364" s="329">
        <f>SnapshotTable[[#This Row],[Last Price]] * SnapshotTable[[#This Row],[Equity Shares]]</f>
        <v>394.6</v>
      </c>
      <c r="T364" s="269">
        <f>SnapshotTable[[#This Row],[Equity Value]] - SnapshotTable[[#This Row],[Equity Basis Total]]</f>
        <v>-1747.8000000000002</v>
      </c>
      <c r="U364" s="270">
        <f>IF(SnapshotTable[[#This Row],[Equity Basis Total]] &gt; 0, SnapshotTable[[#This Row],[Equity G/L]] / SnapshotTable[[#This Row],[Equity Basis Total]], "")</f>
        <v>-0.8158140403286035</v>
      </c>
      <c r="V364" s="268"/>
      <c r="W364" s="268"/>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7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0"/>
      <c r="AD364" s="151"/>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1"/>
      <c r="AI364" s="330"/>
      <c r="AJ364" s="138"/>
      <c r="AK364" s="152" t="str">
        <f>IF(ISNUMBER( SnapshotTable[[#This Row],[EBF Target]]),(SnapshotTable[[#This Row],[EBF Target]] - SnapshotTable[[#This Row],[Last Price]]) / SnapshotTable[[#This Row],[Last Price]], "")</f>
        <v/>
      </c>
      <c r="AL364" s="152"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2" t="str">
        <f>IF(AND(ISNUMBER( SnapshotTable[[#This Row],[Long Term Target]]), ISNUMBER(SnapshotTable[[#This Row],[Last Price]])),(SnapshotTable[[#This Row],[Long Term Target]] - SnapshotTable[[#This Row],[Last Price]]) / SnapshotTable[[#This Row],[Last Price]], "")</f>
        <v/>
      </c>
      <c r="AP364" s="5"/>
      <c r="AQ364" s="38"/>
      <c r="AR364" s="5"/>
      <c r="AS364" s="38"/>
      <c r="AT364" s="146" t="s">
        <v>1132</v>
      </c>
      <c r="AU364" s="187" t="str">
        <f>IF(OR(SnapshotTable[[#This Row],[LP No Fill]]="Y",SnapshotTable[[#This Row],[SP Is Filled]],SnapshotTable[[#This Row],[LC Not Filled]]="Y",SnapshotTable[[#This Row],[SC Is Filled]]),"Y","")</f>
        <v/>
      </c>
      <c r="AV364" s="338"/>
      <c r="AW364" s="339"/>
      <c r="AX364" s="220"/>
      <c r="AY364" s="219" t="str">
        <f>IF(SnapshotTable[[#This Row],[Implied Move]]&gt;0, SnapshotTable[[#This Row],[Last Price]]-SnapshotTable[[#This Row],[Implied Move]],"")</f>
        <v/>
      </c>
      <c r="AZ364" s="219" t="str">
        <f>IF(SnapshotTable[[#This Row],[Implied Move]]&gt;0, SnapshotTable[[#This Row],[Last Price]] + SnapshotTable[[#This Row],[Implied Move]],"")</f>
        <v/>
      </c>
      <c r="BA364" s="331">
        <v>2.95</v>
      </c>
      <c r="BB364" s="347"/>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51"/>
      <c r="BE364" s="138"/>
      <c r="BF364" s="166"/>
      <c r="BG364" s="167"/>
      <c r="BH364" s="167"/>
      <c r="BI364" s="221"/>
      <c r="BJ364" s="153">
        <f>IF(SnapshotTable[[#This Row],[LP Qty]] &gt; 0, SnapshotTable[[#This Row],[LP Qty]] * SnapshotTable[[#This Row],[LP Book Price]] * 100,0)</f>
        <v>0</v>
      </c>
      <c r="BK364" s="136">
        <f>IF(SnapshotTable[[#This Row],[LP Premium]] &gt; 0, SnapshotTable[[#This Row],[LP Qty]] * SnapshotTable[[#This Row],[LP Strike Price]] * 100,0)</f>
        <v>0</v>
      </c>
      <c r="BL364" s="154"/>
      <c r="BM364" s="385" t="str">
        <f>IF(SnapshotTable[[#This Row],[LP Premium]] &gt; 0,SnapshotTable[[#This Row],[LP Exp Date]]-MAX(SnapshotTable[[#This Row],[LP Book Date]], SnapshotTable[[#This Row],[LP Fill Date]]),"")</f>
        <v/>
      </c>
      <c r="BN364" s="385" t="str">
        <f>IF(ISNUMBER( SnapshotTable[[#This Row],[LP Term]]), SnapshotTable[[#This Row],[LP Exp Date]] - MockToday,"")</f>
        <v/>
      </c>
      <c r="BO364" s="163"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7"/>
      <c r="BU364" s="13"/>
      <c r="BV364" s="5"/>
      <c r="BW364" s="419" t="b">
        <f>AND(ISNUMBER(SnapshotTable[[#This Row],[SP Exp Date]]), ISNUMBER(SnapshotTable[[#This Row],[SP Strike Price]]), ISNUMBER(SnapshotTable[[#This Row],[SP Qty]]), ISNUMBER(SnapshotTable[[#This Row],[SP Book Date]]), ISNUMBER(SnapshotTable[[#This Row],[SP Book Price]]))</f>
        <v>0</v>
      </c>
      <c r="BX364" s="419" t="b">
        <f>AND(SnapshotTable[[#This Row],[SP Is Booked]], NOT(ISBLANK(SnapshotTable[[#This Row],[SP Fill Date]])))</f>
        <v>0</v>
      </c>
      <c r="BY364" s="33">
        <f>IF(SnapshotTable[[#This Row],[SP Is Booked]], SnapshotTable[[#This Row],[SP Qty]] * SnapshotTable[[#This Row],[SP Book Price]] * 100, 0)</f>
        <v>0</v>
      </c>
      <c r="BZ364" s="369"/>
      <c r="CA364" s="368">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3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44"/>
      <c r="CK364" s="31">
        <f>IF(ISNUMBER(SnapshotTable[[#This Row],[SP Potential Spend]]),IF(ISNUMBER(SnapshotTable[[#This Row],[SP POW]]), SnapshotTable[[#This Row],[SP POW]] * SnapshotTable[[#This Row],[SP Potential Spend]], SnapshotTable[[#This Row],[SP Potential Spend]]), "")</f>
        <v>0</v>
      </c>
      <c r="CL364" s="164">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4"/>
      <c r="CO364" s="369"/>
      <c r="CP364" s="320" t="str">
        <f>IF(SnapshotTable[[#This Row],[SP Is Filled]], btc_max_buyback_amount(SnapshotTable[[#This Row],[SP Fill Date]],SnapshotTable[[#This Row],[SP Exp Date]], SnapshotTable[[#This Row],[SP Book Price]]),"")</f>
        <v/>
      </c>
      <c r="CQ364" s="78"/>
      <c r="CR364"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5" t="str">
        <f>IF(SnapshotTable[[#This Row],[SP Is Filled]], btc_next_cutoff_date(SnapshotTable[[#This Row],[SP Fill Date]],SnapshotTable[[#This Row],[SP Exp Date]]),"")</f>
        <v/>
      </c>
      <c r="CT364" s="23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43"/>
      <c r="CV364" s="235"/>
      <c r="CW364" s="378"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294" t="str">
        <f>IF(ISNUMBER((SnapshotTable[[#This Row],[SP Total Value]])), SnapshotTable[[#This Row],[SP Gain Loss]] / SnapshotTable[[#This Row],[SP Premium]], "")</f>
        <v/>
      </c>
      <c r="DI364" s="406"/>
      <c r="DJ364" s="138"/>
      <c r="DK364" s="166"/>
      <c r="DL364" s="167"/>
      <c r="DM364" s="167"/>
      <c r="DO364" s="31">
        <f>IF(SnapshotTable[[#This Row],[LC Symbol Count]]=1, SnapshotTable[[#This Row],[LC Qty]] * SnapshotTable[[#This Row],[LC Book Price]] * 100, 0)</f>
        <v>0</v>
      </c>
      <c r="DP364" s="289" t="str">
        <f>IF(AND(SnapshotTable[[#This Row],[LC Exp Date]]&gt;0, SnapshotTable[[#This Row],[LC Strike Price]]&gt;0,SnapshotTable[[#This Row],[LC Qty]]&gt;0,SnapshotTable[[#This Row],[LC Book Date]]&gt;0,SnapshotTable[[#This Row],[LC Book Price]]&gt;0,SnapshotTable[[#This Row],[LC Fill Date]]=0),"Y","")</f>
        <v/>
      </c>
      <c r="DQ364" s="386" t="str">
        <f>IF(SnapshotTable[[#This Row],[LC Premium]] &gt; 0,SnapshotTable[[#This Row],[LC Exp Date]]-MAX(SnapshotTable[[#This Row],[LC Book Date]], SnapshotTable[[#This Row],[LC Fill Date]]),"")</f>
        <v/>
      </c>
      <c r="DR364" s="386" t="str">
        <f>IF(ISNUMBER(SnapshotTable[[#This Row],[LC Term]]), SnapshotTable[[#This Row],[LC Exp Date]] - MockToday, "")</f>
        <v/>
      </c>
      <c r="DS364" s="23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40" t="str">
        <f>IF(ISNUMBER(SnapshotTable[[#This Row],[LC Actual Gain Loss]]), SnapshotTable[[#This Row],[LC Actual Gain Loss]] / SnapshotTable[[#This Row],[LC Premium]],"")</f>
        <v/>
      </c>
      <c r="DX364" s="284" t="str">
        <f>IF(ISNUMBER(SnapshotTable[[#This Row],[LC Book Price]]),SnapshotTable[[#This Row],[LC Book Price]] * 1.5,"")</f>
        <v/>
      </c>
      <c r="DY364" s="265" t="str">
        <f>IF(SnapshotTable[[#This Row],[LC Premium]]&gt;0, SnapshotTable[[#This Row],[LC Next Target]] * SnapshotTable[[#This Row],[LC Qty]] * 100,"")</f>
        <v/>
      </c>
      <c r="DZ364" s="265" t="str">
        <f>IF(ISNUMBER(SnapshotTable[[#This Row],[LC Target Gross]]), SnapshotTable[[#This Row],[LC Target Gross]] - SnapshotTable[[#This Row],[LC Premium]], "")</f>
        <v/>
      </c>
      <c r="EA364" s="305" t="str">
        <f>IF(ISNUMBER(SnapshotTable[[#This Row],[LC Target Gain Loss]]), SnapshotTable[[#This Row],[LC Target Gain Loss]]/SnapshotTable[[#This Row],[LC Premium]], "")</f>
        <v/>
      </c>
      <c r="EB364" s="262"/>
      <c r="EC364" s="290" t="str">
        <f>IF(SnapshotTable[[#This Row],[LC Premium]]&gt;0, SnapshotTable[[#This Row],[LC Book Price]] * (1 - LC_StopLoss_Pct),"")</f>
        <v/>
      </c>
      <c r="ED364" s="284"/>
      <c r="EE364" s="290" t="str">
        <f>IF(ISNUMBER(SnapshotTable[[#This Row],[LC Contract Value]]),IF(ISNUMBER(SnapshotTable[[#This Row],[LC Stop Loss Override]]), SnapshotTable[[#This Row],[LC Stop Loss Override]],SnapshotTable[[#This Row],[LC Stop Loss Calc Target]]),"")</f>
        <v/>
      </c>
      <c r="EF364" s="32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4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10</v>
      </c>
      <c r="EK364" s="147"/>
      <c r="EL364" s="138"/>
      <c r="EM364" s="148"/>
      <c r="EN364" s="147"/>
      <c r="EO364" s="147"/>
      <c r="EP364" s="138"/>
      <c r="EQ364" s="419" t="b">
        <f>AND(ISNUMBER(SnapshotTable[[#This Row],[SC Exp Date]]), ISNUMBER(SnapshotTable[[#This Row],[SC Strike Price]]), ISNUMBER(SnapshotTable[[#This Row],[SC Qty]]), ISNUMBER(SnapshotTable[[#This Row],[SC Book Date]]), ISNUMBER(SnapshotTable[[#This Row],[SC Book Price]]))</f>
        <v>0</v>
      </c>
      <c r="ER364" s="419" t="b">
        <f>AND(SnapshotTable[[#This Row],[SC Is Booked]], NOT(ISBLANK(SnapshotTable[[#This Row],[SC Fill Date]])))</f>
        <v>0</v>
      </c>
      <c r="ES364" s="370"/>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3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283"/>
      <c r="FA364" s="218"/>
      <c r="FB364" s="370"/>
      <c r="FC364" s="4">
        <f>IF(SnapshotTable[[#This Row],[SC Is Filled]], btc_max_buyback_amount(SnapshotTable[[#This Row],[SC Fill Date]],SnapshotTable[[#This Row],[SC Exp Date]], SnapshotTable[[#This Row],[SC Book Price]]),0)</f>
        <v>0</v>
      </c>
      <c r="FD364" s="5"/>
      <c r="FE364" s="144"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382">
        <f>IF(SnapshotTable[[#This Row],[SC Is Filled]], IF(ISNUMBER(SnapshotTable[[#This Row],[SC Current Ask]]), SnapshotTable[[#This Row],[SC Current Ask]], SnapshotTable[[#This Row],[SC Book Price]]) - SnapshotTable[[#This Row],[SC Intrinsic Value]], 0)</f>
        <v>0</v>
      </c>
      <c r="FI364" s="143"/>
      <c r="FJ364" s="32" t="str">
        <f>IF(SnapshotTable[[#This Row],[SC Is Filled]],100 * SnapshotTable[[#This Row],[SC Qty]] * IF(ISNUMBER(SnapshotTable[[#This Row],[SC Buyback Override]]), SnapshotTable[[#This Row],[SC Buyback Override]], SnapshotTable[[#This Row],[SC Current Ask]]), "")</f>
        <v/>
      </c>
      <c r="FK364" s="250" t="str">
        <f>IF(SnapshotTable[[#This Row],[SC Time Val]]&gt;0, SnapshotTable[[#This Row],[SC Time Val]] / SnapshotTable[[#This Row],[Last Price]],"")</f>
        <v/>
      </c>
      <c r="FL364" s="302" t="str">
        <f>IF(SnapshotTable[[#This Row],[SC Is Booked]], ((SnapshotTable[[#This Row],[Last Price]] -SnapshotTable[[#This Row],[SC Strike Price]]) / SnapshotTable[[#This Row],[Last Price]]) * -1, "")</f>
        <v/>
      </c>
      <c r="FM364" s="157" t="str">
        <f>IF(SnapshotTable[[#This Row],[SC Is Booked]],  (SnapshotTable[[#This Row],[SC Qty]] * 100 * SnapshotTable[[#This Row],[SC Strike Price]]) - SnapshotTable[[#This Row],[SC Current Ask]], "")</f>
        <v/>
      </c>
      <c r="FN364"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7"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33"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36" t="str">
        <f>IF(AND(ISNUMBER(SnapshotTable[[#This Row],[SC Simple ROO]]),SnapshotTable[[#This Row],[SC Simple ROO]] &gt; 0), SnapshotTable[[#This Row],[SC Premium]] + (SnapshotTable[[#This Row],[SC Qty]] * SnapshotTable[[#This Row],[SC Upside Potential]]), "")</f>
        <v/>
      </c>
      <c r="FX364" s="302" t="str" cm="1">
        <f t="array" ref="FX364">IF(ISNUMBER(SnapshotTable[[#This Row],[SC Max Dollars]]), annualize(SnapshotTable[[#This Row],[SC Term]],(SnapshotTable[[#This Row],[SC Max Dollars]]/SnapshotTable[[#This Row],[SC Basis]])),"")</f>
        <v/>
      </c>
      <c r="FY364" s="236" t="str">
        <f>IF(AND(SnapshotTable[[#This Row],[SC Qty]]&gt;0,SnapshotTable[[#This Row],[SC Current Ask]]&gt;0), SnapshotTable[[#This Row],[SC Qty]] * SnapshotTable[[#This Row],[SC Current Ask]] * -100, "")</f>
        <v/>
      </c>
      <c r="FZ364" s="235" t="str">
        <f>IF(ISNUMBER((SnapshotTable[[#This Row],[SC Current Value]])), SnapshotTable[[#This Row],[SC Premium]] + SnapshotTable[[#This Row],[SC Current Value]], "")</f>
        <v/>
      </c>
      <c r="GA364" s="294" t="str">
        <f>IFERROR( IF(ISNUMBER((SnapshotTable[[#This Row],[SC Current Value]])), SnapshotTable[[#This Row],[SC Gain Loss]] / SnapshotTable[[#This Row],[SC Premium]], ""), "")</f>
        <v/>
      </c>
      <c r="GB364" s="42">
        <f>SnapshotTable[[#This Row],[Equity Shares]] * SaleSharesToConsiderPercentage</f>
        <v>200</v>
      </c>
      <c r="GC364" s="40">
        <f>SnapshotTable[[#This Row],[Long Term Target]] * SellingPriceToConsiderBasedOnTargetPercentage</f>
        <v>0</v>
      </c>
      <c r="GD364" s="40">
        <f>SnapshotTable[[#This Row],[Last Price]] * (1+ SellingPriceToConsiderBasedOnTargetPercentage)</f>
        <v>0.76946999999999999</v>
      </c>
      <c r="GE364" s="41"/>
      <c r="GF364" s="40"/>
      <c r="GG364" s="31">
        <f>SnapshotTable[[#This Row],[Booked Sale Shares]] * SnapshotTable[[#This Row],[Booked Sale Price]]</f>
        <v>0</v>
      </c>
      <c r="GH364" s="31">
        <f>IF(SnapshotTable[[#This Row],[Equity Basis Total]] &gt; 0, SnapshotTable[[#This Row],[Equity Basis Per Share]] * SnapshotTable[[#This Row],[Booked Sale Shares]], "")</f>
        <v>0</v>
      </c>
      <c r="GI364" s="31">
        <f>IF(SnapshotTable[[#This Row],[Sale Proceeds]]&gt;0, SnapshotTable[[#This Row],[Sale Proceeds]] - SnapshotTable[[#This Row],[Sale Basis]], 0)</f>
        <v>0</v>
      </c>
      <c r="GJ364" s="158" t="str">
        <f>IF(SnapshotTable[[#This Row],[Sale G/L]]&gt;0, SnapshotTable[[#This Row],[Sale G/L]] / SnapshotTable[[#This Row],[Sale Basis]], IF(ISNUMBER(SnapshotTable[[#This Row],[SC Exercise P&amp;L (TAX)]]), SnapshotTable[[#This Row],[SC Exercise P&amp;L (TAX)]] / SnapshotTable[[#This Row],[SC Basis]], ""))</f>
        <v/>
      </c>
      <c r="GK364" s="27"/>
      <c r="GL364" s="159"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59" t="str">
        <f>IF(AND(SnapshotTable[[#This Row],[LC Exp Date]]&gt;0,SnapshotTable[[#This Row],[LC Strike Price]]&gt;0), [1]!ToOptionSymbol(SnapshotTable[[#This Row],[Symbol]], SnapshotTable[[#This Row],[LC Strike Price]],SnapshotTable[[#This Row],[LC Exp Date]],0), "")</f>
        <v/>
      </c>
      <c r="GQ364" s="160" t="str">
        <f>IF(LEN(SnapshotTable[[#This Row],[LC Symbol]])&gt;0, 1, "")</f>
        <v/>
      </c>
      <c r="GR364" s="159" t="str">
        <f>IF(AND(SnapshotTable[[#This Row],[SC Exp Date]]&gt;0,SnapshotTable[[#This Row],[SC Strike Price]]&gt;0), [1]!ToOptionSymbol(SnapshotTable[[#This Row],[Symbol]], SnapshotTable[[#This Row],[SC Strike Price]],SnapshotTable[[#This Row],[SC Exp Date]],0), "")</f>
        <v/>
      </c>
      <c r="GS364" s="160" t="str">
        <f>IF(LEN(SnapshotTable[[#This Row],[SC Symbol]])&gt;0, 1, "")</f>
        <v/>
      </c>
      <c r="GT364" s="161"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64" s="231">
        <f>MAX(SnapshotTable[[#This Row],[Equity Basis Total]],SnapshotTable[[#This Row],[Equity Value]]) + (SnapshotTable[[#This Row],[SP Potential Spend]]- SnapshotTable[[#This Row],[SP Premium]] + SnapshotTable[[#This Row],[LP Premium]])+ (SnapshotTable[[#This Row],[LC Premium]] - SnapshotTable[[#This Row],[SC Premium]])</f>
        <v>2142.4</v>
      </c>
      <c r="GW364" s="139">
        <f ca="1">IF(AND(SnapshotTable[[#This Row],[Exposure]] &lt;&gt; 0),SnapshotTable[[#This Row],[Exposure]] / SnapshotTable[[#Totals],[Exposure]], "")</f>
        <v>1.0084380431933822E-2</v>
      </c>
      <c r="HK364" s="1"/>
      <c r="HL364" s="1"/>
      <c r="HM364" s="1"/>
      <c r="HN364" s="1"/>
      <c r="HO364" s="1"/>
      <c r="HP364" s="1"/>
    </row>
    <row r="365" spans="2:224" ht="12.75" hidden="1" customHeight="1" x14ac:dyDescent="0.25">
      <c r="B365" s="12" t="s">
        <v>65</v>
      </c>
      <c r="C365" s="422">
        <v>94.37</v>
      </c>
      <c r="D365" s="208"/>
      <c r="E365" s="39">
        <f>SnapshotTable[[#This Row],[Last Price]]*(1 -CrashDiscount)</f>
        <v>80.214500000000001</v>
      </c>
      <c r="F365" s="26" t="s">
        <v>64</v>
      </c>
      <c r="G365" s="26" t="s">
        <v>14</v>
      </c>
      <c r="H365" s="149"/>
      <c r="I365" s="194">
        <v>44782.666666666664</v>
      </c>
      <c r="J365" s="195">
        <v>44782.666666666664</v>
      </c>
      <c r="K365" s="196"/>
      <c r="L365" s="326"/>
      <c r="M365" s="140"/>
      <c r="N365" s="140"/>
      <c r="O365" s="140">
        <v>1</v>
      </c>
      <c r="P365" s="22"/>
      <c r="Q365" s="25"/>
      <c r="R365" s="4" t="str">
        <f>IF(SnapshotTable[[#This Row],[Equity Basis Total]] &gt; 0, SnapshotTable[[#This Row],[Equity Basis Total]] / SnapshotTable[[#This Row],[Equity Shares]], "")</f>
        <v/>
      </c>
      <c r="S365" s="269">
        <f>SnapshotTable[[#This Row],[Last Price]] * SnapshotTable[[#This Row],[Equity Shares]]</f>
        <v>0</v>
      </c>
      <c r="T365" s="269">
        <f>SnapshotTable[[#This Row],[Equity Value]] - SnapshotTable[[#This Row],[Equity Basis Total]]</f>
        <v>0</v>
      </c>
      <c r="U365" s="270" t="str">
        <f>IF(SnapshotTable[[#This Row],[Equity Basis Total]] &gt; 0, SnapshotTable[[#This Row],[Equity G/L]] / SnapshotTable[[#This Row],[Equity Basis Total]], "")</f>
        <v/>
      </c>
      <c r="V365" s="268"/>
      <c r="W365" s="26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7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0">
        <v>2</v>
      </c>
      <c r="AD365" s="151">
        <v>42794</v>
      </c>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2.119317579739324E-2</v>
      </c>
      <c r="AH365" s="151">
        <v>42863</v>
      </c>
      <c r="AI365" s="5"/>
      <c r="AJ365" s="138">
        <v>117.81</v>
      </c>
      <c r="AK365" s="152" t="str">
        <f>IF(ISNUMBER( SnapshotTable[[#This Row],[EBF Target]]),(SnapshotTable[[#This Row],[EBF Target]] - SnapshotTable[[#This Row],[Last Price]]) / SnapshotTable[[#This Row],[Last Price]], "")</f>
        <v/>
      </c>
      <c r="AL365" s="152"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2">
        <f>IF(AND(ISNUMBER( SnapshotTable[[#This Row],[Long Term Target]]), ISNUMBER(SnapshotTable[[#This Row],[Last Price]])),(SnapshotTable[[#This Row],[Long Term Target]] - SnapshotTable[[#This Row],[Last Price]]) / SnapshotTable[[#This Row],[Last Price]], "")</f>
        <v>0.24838402034544874</v>
      </c>
      <c r="AP365" s="5">
        <v>95</v>
      </c>
      <c r="AQ365" s="38" t="s">
        <v>45</v>
      </c>
      <c r="AR365" s="5">
        <v>95</v>
      </c>
      <c r="AS365" s="38" t="s">
        <v>46</v>
      </c>
      <c r="AT365" s="146"/>
      <c r="AU365" s="187" t="str">
        <f>IF(OR(SnapshotTable[[#This Row],[LP No Fill]]="Y",SnapshotTable[[#This Row],[SP Is Filled]],SnapshotTable[[#This Row],[LC Not Filled]]="Y",SnapshotTable[[#This Row],[SC Is Filled]]),"Y","")</f>
        <v/>
      </c>
      <c r="AV365" s="219"/>
      <c r="AW365" s="225"/>
      <c r="AX365" s="220"/>
      <c r="AY365" s="219" t="str">
        <f>IF(SnapshotTable[[#This Row],[Implied Move]]&gt;0, SnapshotTable[[#This Row],[Last Price]]-SnapshotTable[[#This Row],[Implied Move]],"")</f>
        <v/>
      </c>
      <c r="AZ365" s="219" t="str">
        <f>IF(SnapshotTable[[#This Row],[Implied Move]]&gt;0, SnapshotTable[[#This Row],[Last Price]] + SnapshotTable[[#This Row],[Implied Move]],"")</f>
        <v/>
      </c>
      <c r="BA365" s="331"/>
      <c r="BB365" s="347"/>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51"/>
      <c r="BE365" s="5"/>
      <c r="BF365" s="14"/>
      <c r="BG365" s="13"/>
      <c r="BH365" s="13"/>
      <c r="BI365" s="5"/>
      <c r="BJ365" s="136">
        <f>IF(SnapshotTable[[#This Row],[LP Qty]] &gt; 0, SnapshotTable[[#This Row],[LP Qty]] * SnapshotTable[[#This Row],[LP Book Price]] * 100,0)</f>
        <v>0</v>
      </c>
      <c r="BK365" s="136">
        <f>IF(SnapshotTable[[#This Row],[LP Premium]] &gt; 0, SnapshotTable[[#This Row],[LP Qty]] * SnapshotTable[[#This Row],[LP Strike Price]] * 100,0)</f>
        <v>0</v>
      </c>
      <c r="BL365" s="154"/>
      <c r="BM365" s="385" t="str">
        <f>IF(SnapshotTable[[#This Row],[LP Premium]] &gt; 0,SnapshotTable[[#This Row],[LP Exp Date]]-MAX(SnapshotTable[[#This Row],[LP Book Date]], SnapshotTable[[#This Row],[LP Fill Date]]),"")</f>
        <v/>
      </c>
      <c r="BN365" s="385" t="str">
        <f>IF(ISNUMBER( SnapshotTable[[#This Row],[LP Term]]), SnapshotTable[[#This Row],[LP Exp Date]] - MockToday,"")</f>
        <v/>
      </c>
      <c r="BO365" s="163"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7"/>
      <c r="BU365" s="13"/>
      <c r="BV365" s="5"/>
      <c r="BW365" s="419" t="b">
        <f>AND(ISNUMBER(SnapshotTable[[#This Row],[SP Exp Date]]), ISNUMBER(SnapshotTable[[#This Row],[SP Strike Price]]), ISNUMBER(SnapshotTable[[#This Row],[SP Qty]]), ISNUMBER(SnapshotTable[[#This Row],[SP Book Date]]), ISNUMBER(SnapshotTable[[#This Row],[SP Book Price]]))</f>
        <v>0</v>
      </c>
      <c r="BX365" s="419" t="b">
        <f>AND(SnapshotTable[[#This Row],[SP Is Booked]], NOT(ISBLANK(SnapshotTable[[#This Row],[SP Fill Date]])))</f>
        <v>0</v>
      </c>
      <c r="BY365" s="33">
        <f>IF(SnapshotTable[[#This Row],[SP Is Booked]], SnapshotTable[[#This Row],[SP Qty]] * SnapshotTable[[#This Row],[SP Book Price]] * 100, 0)</f>
        <v>0</v>
      </c>
      <c r="BZ365" s="369"/>
      <c r="CA365" s="368">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3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44"/>
      <c r="CK365" s="31">
        <f>IF(ISNUMBER(SnapshotTable[[#This Row],[SP Potential Spend]]),IF(ISNUMBER(SnapshotTable[[#This Row],[SP POW]]), SnapshotTable[[#This Row],[SP POW]] * SnapshotTable[[#This Row],[SP Potential Spend]], SnapshotTable[[#This Row],[SP Potential Spend]]), "")</f>
        <v>0</v>
      </c>
      <c r="CL365" s="164">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78"/>
      <c r="CO365" s="369"/>
      <c r="CP365" s="4" t="str">
        <f>IF(SnapshotTable[[#This Row],[SP Is Filled]], btc_max_buyback_amount(SnapshotTable[[#This Row],[SP Fill Date]],SnapshotTable[[#This Row],[SP Exp Date]], SnapshotTable[[#This Row],[SP Book Price]]),"")</f>
        <v/>
      </c>
      <c r="CQ365" s="78"/>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5" t="str">
        <f>IF(SnapshotTable[[#This Row],[SP Is Filled]], btc_next_cutoff_date(SnapshotTable[[#This Row],[SP Fill Date]],SnapshotTable[[#This Row],[SP Exp Date]]),"")</f>
        <v/>
      </c>
      <c r="CT365" s="23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3"/>
      <c r="CV365" s="235"/>
      <c r="CW365" s="378"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294" t="str">
        <f>IF(ISNUMBER((SnapshotTable[[#This Row],[SP Total Value]])), SnapshotTable[[#This Row],[SP Gain Loss]] / SnapshotTable[[#This Row],[SP Premium]], "")</f>
        <v/>
      </c>
      <c r="DI365" s="406"/>
      <c r="DJ365" s="138"/>
      <c r="DK365" s="148"/>
      <c r="DL365" s="13"/>
      <c r="DM365" s="13"/>
      <c r="DO365" s="31">
        <f>IF(SnapshotTable[[#This Row],[LC Symbol Count]]=1, SnapshotTable[[#This Row],[LC Qty]] * SnapshotTable[[#This Row],[LC Book Price]] * 100, 0)</f>
        <v>0</v>
      </c>
      <c r="DP365" s="163" t="str">
        <f>IF(AND(SnapshotTable[[#This Row],[LC Exp Date]]&gt;0, SnapshotTable[[#This Row],[LC Strike Price]]&gt;0,SnapshotTable[[#This Row],[LC Qty]]&gt;0,SnapshotTable[[#This Row],[LC Book Date]]&gt;0,SnapshotTable[[#This Row],[LC Book Price]]&gt;0,SnapshotTable[[#This Row],[LC Fill Date]]=0),"Y","")</f>
        <v/>
      </c>
      <c r="DQ365" s="386" t="str">
        <f>IF(SnapshotTable[[#This Row],[LC Premium]] &gt; 0,SnapshotTable[[#This Row],[LC Exp Date]]-MAX(SnapshotTable[[#This Row],[LC Book Date]], SnapshotTable[[#This Row],[LC Fill Date]]),"")</f>
        <v/>
      </c>
      <c r="DR365" s="386" t="str">
        <f>IF(ISNUMBER(SnapshotTable[[#This Row],[LC Term]]), SnapshotTable[[#This Row],[LC Exp Date]] - MockToday, "")</f>
        <v/>
      </c>
      <c r="DS365" s="23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40" t="str">
        <f>IF(ISNUMBER(SnapshotTable[[#This Row],[LC Actual Gain Loss]]), SnapshotTable[[#This Row],[LC Actual Gain Loss]] / SnapshotTable[[#This Row],[LC Premium]],"")</f>
        <v/>
      </c>
      <c r="DX365" s="284" t="str">
        <f>IF(ISNUMBER(SnapshotTable[[#This Row],[LC Book Price]]),SnapshotTable[[#This Row],[LC Book Price]] * 1.5,"")</f>
        <v/>
      </c>
      <c r="DY365" s="265" t="str">
        <f>IF(SnapshotTable[[#This Row],[LC Premium]]&gt;0, SnapshotTable[[#This Row],[LC Next Target]] * SnapshotTable[[#This Row],[LC Qty]] * 100,"")</f>
        <v/>
      </c>
      <c r="DZ365" s="265" t="str">
        <f>IF(ISNUMBER(SnapshotTable[[#This Row],[LC Target Gross]]), SnapshotTable[[#This Row],[LC Target Gross]] - SnapshotTable[[#This Row],[LC Premium]], "")</f>
        <v/>
      </c>
      <c r="EA365" s="305" t="str">
        <f>IF(ISNUMBER(SnapshotTable[[#This Row],[LC Target Gain Loss]]), SnapshotTable[[#This Row],[LC Target Gain Loss]]/SnapshotTable[[#This Row],[LC Premium]], "")</f>
        <v/>
      </c>
      <c r="EB365" s="262"/>
      <c r="EC365" s="283" t="str">
        <f>IF(SnapshotTable[[#This Row],[LC Premium]]&gt;0, SnapshotTable[[#This Row],[LC Book Price]] * (1 - LC_StopLoss_Pct),"")</f>
        <v/>
      </c>
      <c r="ED365" s="284"/>
      <c r="EE365" s="28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4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7"/>
      <c r="EL365" s="138"/>
      <c r="EM365" s="148"/>
      <c r="EN365" s="147"/>
      <c r="EO365" s="147"/>
      <c r="EP365" s="138"/>
      <c r="EQ365" s="419" t="b">
        <f>AND(ISNUMBER(SnapshotTable[[#This Row],[SC Exp Date]]), ISNUMBER(SnapshotTable[[#This Row],[SC Strike Price]]), ISNUMBER(SnapshotTable[[#This Row],[SC Qty]]), ISNUMBER(SnapshotTable[[#This Row],[SC Book Date]]), ISNUMBER(SnapshotTable[[#This Row],[SC Book Price]]))</f>
        <v>0</v>
      </c>
      <c r="ER365" s="419" t="b">
        <f>AND(SnapshotTable[[#This Row],[SC Is Booked]], NOT(ISBLANK(SnapshotTable[[#This Row],[SC Fill Date]])))</f>
        <v>0</v>
      </c>
      <c r="ES365" s="370"/>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3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283"/>
      <c r="FA365" s="218"/>
      <c r="FB365" s="370"/>
      <c r="FC365" s="4">
        <f>IF(SnapshotTable[[#This Row],[SC Is Filled]], btc_max_buyback_amount(SnapshotTable[[#This Row],[SC Fill Date]],SnapshotTable[[#This Row],[SC Exp Date]], SnapshotTable[[#This Row],[SC Book Price]]),0)</f>
        <v>0</v>
      </c>
      <c r="FD365" s="5"/>
      <c r="FE365" s="144"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382">
        <f>IF(SnapshotTable[[#This Row],[SC Is Filled]], IF(ISNUMBER(SnapshotTable[[#This Row],[SC Current Ask]]), SnapshotTable[[#This Row],[SC Current Ask]], SnapshotTable[[#This Row],[SC Book Price]]) - SnapshotTable[[#This Row],[SC Intrinsic Value]], 0)</f>
        <v>0</v>
      </c>
      <c r="FI365" s="143"/>
      <c r="FJ365" s="32" t="str">
        <f>IF(SnapshotTable[[#This Row],[SC Is Filled]],100 * SnapshotTable[[#This Row],[SC Qty]] * IF(ISNUMBER(SnapshotTable[[#This Row],[SC Buyback Override]]), SnapshotTable[[#This Row],[SC Buyback Override]], SnapshotTable[[#This Row],[SC Current Ask]]), "")</f>
        <v/>
      </c>
      <c r="FK365" s="250" t="str">
        <f>IF(SnapshotTable[[#This Row],[SC Time Val]]&gt;0, SnapshotTable[[#This Row],[SC Time Val]] / SnapshotTable[[#This Row],[Last Price]],"")</f>
        <v/>
      </c>
      <c r="FL365" s="302" t="str">
        <f>IF(SnapshotTable[[#This Row],[SC Is Booked]], ((SnapshotTable[[#This Row],[Last Price]] -SnapshotTable[[#This Row],[SC Strike Price]]) / SnapshotTable[[#This Row],[Last Price]]) * -1, "")</f>
        <v/>
      </c>
      <c r="FM365" s="157" t="str">
        <f>IF(SnapshotTable[[#This Row],[SC Is Booked]],  (SnapshotTable[[#This Row],[SC Qty]] * 100 * SnapshotTable[[#This Row],[SC Strike Price]]) - SnapshotTable[[#This Row],[SC Current Ask]], "")</f>
        <v/>
      </c>
      <c r="FN3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31"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33"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36" t="str">
        <f>IF(AND(ISNUMBER(SnapshotTable[[#This Row],[SC Simple ROO]]),SnapshotTable[[#This Row],[SC Simple ROO]] &gt; 0), SnapshotTable[[#This Row],[SC Premium]] + (SnapshotTable[[#This Row],[SC Qty]] * SnapshotTable[[#This Row],[SC Upside Potential]]), "")</f>
        <v/>
      </c>
      <c r="FX365" s="302" t="str" cm="1">
        <f t="array" ref="FX365">IF(ISNUMBER(SnapshotTable[[#This Row],[SC Max Dollars]]), annualize(SnapshotTable[[#This Row],[SC Term]],(SnapshotTable[[#This Row],[SC Max Dollars]]/SnapshotTable[[#This Row],[SC Basis]])),"")</f>
        <v/>
      </c>
      <c r="FY365" s="23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294" t="str">
        <f>IFERROR( IF(ISNUMBER((SnapshotTable[[#This Row],[SC Current Value]])), SnapshotTable[[#This Row],[SC Gain Loss]] / SnapshotTable[[#This Row],[SC Premium]], ""), "")</f>
        <v/>
      </c>
      <c r="GB365" s="42">
        <f>SnapshotTable[[#This Row],[Equity Shares]] * SaleSharesToConsiderPercentage</f>
        <v>0</v>
      </c>
      <c r="GC365" s="40">
        <f>SnapshotTable[[#This Row],[Long Term Target]] * SellingPriceToConsiderBasedOnTargetPercentage</f>
        <v>111.9195</v>
      </c>
      <c r="GD365" s="40">
        <f>SnapshotTable[[#This Row],[Last Price]] * (1+ SellingPriceToConsiderBasedOnTargetPercentage)</f>
        <v>184.0215</v>
      </c>
      <c r="GE365" s="41"/>
      <c r="GF365" s="40"/>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27" t="str">
        <f>IF(SnapshotTable[[#This Row],[Sale G/L]]&gt;0, SnapshotTable[[#This Row],[Sale G/L]] / SnapshotTable[[#This Row],[Sale Basis]], IF(ISNUMBER(SnapshotTable[[#This Row],[SC Exercise P&amp;L (TAX)]]), SnapshotTable[[#This Row],[SC Exercise P&amp;L (TAX)]] / SnapshotTable[[#This Row],[SC Basis]], ""))</f>
        <v/>
      </c>
      <c r="GK365" s="27" t="s">
        <v>799</v>
      </c>
      <c r="GL365" s="43"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43" t="str">
        <f>IF(AND(SnapshotTable[[#This Row],[LC Exp Date]]&gt;0,SnapshotTable[[#This Row],[LC Strike Price]]&gt;0), [1]!ToOptionSymbol(SnapshotTable[[#This Row],[Symbol]], SnapshotTable[[#This Row],[LC Strike Price]],SnapshotTable[[#This Row],[LC Exp Date]],0), "")</f>
        <v/>
      </c>
      <c r="GQ365" s="30" t="str">
        <f>IF(LEN(SnapshotTable[[#This Row],[LC Symbol]])&gt;0, 1, "")</f>
        <v/>
      </c>
      <c r="GR365" s="43" t="str">
        <f>IF(AND(SnapshotTable[[#This Row],[SC Exp Date]]&gt;0,SnapshotTable[[#This Row],[SC Strike Price]]&gt;0), [1]!ToOptionSymbol(SnapshotTable[[#This Row],[Symbol]], SnapshotTable[[#This Row],[SC Strike Price]],SnapshotTable[[#This Row],[SC Exp Date]],0), "")</f>
        <v/>
      </c>
      <c r="GS365" s="30" t="str">
        <f>IF(LEN(SnapshotTable[[#This Row],[SC Symbol]])&gt;0, 1, "")</f>
        <v/>
      </c>
      <c r="GT365" s="29"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31">
        <f>MAX(SnapshotTable[[#This Row],[Equity Basis Total]],SnapshotTable[[#This Row],[Equity Value]]) + (SnapshotTable[[#This Row],[SP Potential Spend]]- SnapshotTable[[#This Row],[SP Premium]] + SnapshotTable[[#This Row],[LP Premium]])+ (SnapshotTable[[#This Row],[LC Premium]] - SnapshotTable[[#This Row],[SC Premium]])</f>
        <v>0</v>
      </c>
      <c r="GW365" s="139" t="str">
        <f>IF(AND(SnapshotTable[[#This Row],[Exposure]] &lt;&gt; 0),SnapshotTable[[#This Row],[Exposure]] / SnapshotTable[[#Totals],[Exposure]], "")</f>
        <v/>
      </c>
      <c r="HK365" s="1"/>
      <c r="HL365" s="1"/>
      <c r="HM365" s="1"/>
      <c r="HN365" s="1"/>
      <c r="HO365" s="1"/>
      <c r="HP365" s="1"/>
    </row>
    <row r="366" spans="2:224" ht="12.75" hidden="1" customHeight="1" x14ac:dyDescent="0.25">
      <c r="B366" s="12" t="s">
        <v>982</v>
      </c>
      <c r="C366" s="422">
        <v>32.5</v>
      </c>
      <c r="D366" s="208" t="s">
        <v>885</v>
      </c>
      <c r="E366" s="39">
        <f>SnapshotTable[[#This Row],[Last Price]]*(1 -CrashDiscount)</f>
        <v>27.625</v>
      </c>
      <c r="F366" s="26" t="s">
        <v>983</v>
      </c>
      <c r="G366" s="26" t="s">
        <v>41</v>
      </c>
      <c r="H366" s="149"/>
      <c r="I366" s="194">
        <v>44770.694444444445</v>
      </c>
      <c r="J366" s="195">
        <v>44770.694444444445</v>
      </c>
      <c r="K366" s="196"/>
      <c r="L366" s="326"/>
      <c r="M366" s="140"/>
      <c r="N366" s="140"/>
      <c r="O366" s="140"/>
      <c r="P366" s="22"/>
      <c r="Q366" s="25"/>
      <c r="R366" s="4" t="str">
        <f>IF(SnapshotTable[[#This Row],[Equity Basis Total]] &gt; 0, SnapshotTable[[#This Row],[Equity Basis Total]] / SnapshotTable[[#This Row],[Equity Shares]], "")</f>
        <v/>
      </c>
      <c r="S366" s="269">
        <f>SnapshotTable[[#This Row],[Last Price]] * SnapshotTable[[#This Row],[Equity Shares]]</f>
        <v>0</v>
      </c>
      <c r="T366" s="269">
        <f>SnapshotTable[[#This Row],[Equity Value]] - SnapshotTable[[#This Row],[Equity Basis Total]]</f>
        <v>0</v>
      </c>
      <c r="U366" s="270" t="str">
        <f>IF(SnapshotTable[[#This Row],[Equity Basis Total]] &gt; 0, SnapshotTable[[#This Row],[Equity G/L]] / SnapshotTable[[#This Row],[Equity Basis Total]], "")</f>
        <v/>
      </c>
      <c r="V366" s="268"/>
      <c r="W366" s="26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7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0"/>
      <c r="AD366" s="151"/>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1"/>
      <c r="AI366" s="5"/>
      <c r="AJ366" s="138">
        <v>20.420000000000002</v>
      </c>
      <c r="AK366" s="152" t="str">
        <f>IF(ISNUMBER( SnapshotTable[[#This Row],[EBF Target]]),(SnapshotTable[[#This Row],[EBF Target]] - SnapshotTable[[#This Row],[Last Price]]) / SnapshotTable[[#This Row],[Last Price]], "")</f>
        <v/>
      </c>
      <c r="AL366" s="152"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2">
        <f>IF(AND(ISNUMBER( SnapshotTable[[#This Row],[Long Term Target]]), ISNUMBER(SnapshotTable[[#This Row],[Last Price]])),(SnapshotTable[[#This Row],[Long Term Target]] - SnapshotTable[[#This Row],[Last Price]]) / SnapshotTable[[#This Row],[Last Price]], "")</f>
        <v>-0.37169230769230766</v>
      </c>
      <c r="AP366" s="5">
        <v>23</v>
      </c>
      <c r="AQ366" s="38" t="s">
        <v>27</v>
      </c>
      <c r="AR366" s="5">
        <v>23</v>
      </c>
      <c r="AS366" s="38" t="s">
        <v>38</v>
      </c>
      <c r="AT366" s="146" t="s">
        <v>542</v>
      </c>
      <c r="AU366" s="187" t="str">
        <f>IF(OR(SnapshotTable[[#This Row],[LP No Fill]]="Y",SnapshotTable[[#This Row],[SP Is Filled]],SnapshotTable[[#This Row],[LC Not Filled]]="Y",SnapshotTable[[#This Row],[SC Is Filled]]),"Y","")</f>
        <v/>
      </c>
      <c r="AV366" s="219"/>
      <c r="AW366" s="225"/>
      <c r="AX366" s="220"/>
      <c r="AY366" s="219" t="str">
        <f>IF(SnapshotTable[[#This Row],[Implied Move]]&gt;0, SnapshotTable[[#This Row],[Last Price]]-SnapshotTable[[#This Row],[Implied Move]],"")</f>
        <v/>
      </c>
      <c r="AZ366" s="219" t="str">
        <f>IF(SnapshotTable[[#This Row],[Implied Move]]&gt;0, SnapshotTable[[#This Row],[Last Price]] + SnapshotTable[[#This Row],[Implied Move]],"")</f>
        <v/>
      </c>
      <c r="BA366" s="331">
        <v>20.22</v>
      </c>
      <c r="BB366" s="347" t="s">
        <v>1143</v>
      </c>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51"/>
      <c r="BE366" s="138"/>
      <c r="BF366" s="166"/>
      <c r="BG366" s="167"/>
      <c r="BH366" s="167"/>
      <c r="BI366" s="221"/>
      <c r="BJ366" s="153">
        <f>IF(SnapshotTable[[#This Row],[LP Qty]] &gt; 0, SnapshotTable[[#This Row],[LP Qty]] * SnapshotTable[[#This Row],[LP Book Price]] * 100,0)</f>
        <v>0</v>
      </c>
      <c r="BK366" s="136">
        <f>IF(SnapshotTable[[#This Row],[LP Premium]] &gt; 0, SnapshotTable[[#This Row],[LP Qty]] * SnapshotTable[[#This Row],[LP Strike Price]] * 100,0)</f>
        <v>0</v>
      </c>
      <c r="BL366" s="154"/>
      <c r="BM366" s="385" t="str">
        <f>IF(SnapshotTable[[#This Row],[LP Premium]] &gt; 0,SnapshotTable[[#This Row],[LP Exp Date]]-MAX(SnapshotTable[[#This Row],[LP Book Date]], SnapshotTable[[#This Row],[LP Fill Date]]),"")</f>
        <v/>
      </c>
      <c r="BN366" s="385" t="str">
        <f>IF(ISNUMBER( SnapshotTable[[#This Row],[LP Term]]), SnapshotTable[[#This Row],[LP Exp Date]] - MockToday,"")</f>
        <v/>
      </c>
      <c r="BO366" s="163"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7"/>
      <c r="BU366" s="13"/>
      <c r="BV366" s="5"/>
      <c r="BW366" s="419" t="b">
        <f>AND(ISNUMBER(SnapshotTable[[#This Row],[SP Exp Date]]), ISNUMBER(SnapshotTable[[#This Row],[SP Strike Price]]), ISNUMBER(SnapshotTable[[#This Row],[SP Qty]]), ISNUMBER(SnapshotTable[[#This Row],[SP Book Date]]), ISNUMBER(SnapshotTable[[#This Row],[SP Book Price]]))</f>
        <v>0</v>
      </c>
      <c r="BX366" s="419" t="b">
        <f>AND(SnapshotTable[[#This Row],[SP Is Booked]], NOT(ISBLANK(SnapshotTable[[#This Row],[SP Fill Date]])))</f>
        <v>0</v>
      </c>
      <c r="BY366" s="33">
        <f>IF(SnapshotTable[[#This Row],[SP Is Booked]], SnapshotTable[[#This Row],[SP Qty]] * SnapshotTable[[#This Row],[SP Book Price]] * 100, 0)</f>
        <v>0</v>
      </c>
      <c r="BZ366" s="369"/>
      <c r="CA366" s="368">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3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44"/>
      <c r="CK366" s="31">
        <f>IF(ISNUMBER(SnapshotTable[[#This Row],[SP Potential Spend]]),IF(ISNUMBER(SnapshotTable[[#This Row],[SP POW]]), SnapshotTable[[#This Row],[SP POW]] * SnapshotTable[[#This Row],[SP Potential Spend]], SnapshotTable[[#This Row],[SP Potential Spend]]), "")</f>
        <v>0</v>
      </c>
      <c r="CL366" s="164">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227"/>
      <c r="CO366" s="369"/>
      <c r="CP366" s="4" t="str">
        <f>IF(SnapshotTable[[#This Row],[SP Is Filled]], btc_max_buyback_amount(SnapshotTable[[#This Row],[SP Fill Date]],SnapshotTable[[#This Row],[SP Exp Date]], SnapshotTable[[#This Row],[SP Book Price]]),"")</f>
        <v/>
      </c>
      <c r="CQ366" s="78"/>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5" t="str">
        <f>IF(SnapshotTable[[#This Row],[SP Is Filled]], btc_next_cutoff_date(SnapshotTable[[#This Row],[SP Fill Date]],SnapshotTable[[#This Row],[SP Exp Date]]),"")</f>
        <v/>
      </c>
      <c r="CT366" s="23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56"/>
      <c r="CV366" s="235"/>
      <c r="CW366" s="378"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294" t="str">
        <f>IF(ISNUMBER((SnapshotTable[[#This Row],[SP Total Value]])), SnapshotTable[[#This Row],[SP Gain Loss]] / SnapshotTable[[#This Row],[SP Premium]], "")</f>
        <v/>
      </c>
      <c r="DI366" s="406"/>
      <c r="DJ366" s="138"/>
      <c r="DK366" s="148"/>
      <c r="DL366" s="147"/>
      <c r="DM366" s="147"/>
      <c r="DO366" s="31">
        <f>IF(SnapshotTable[[#This Row],[LC Symbol Count]]=1, SnapshotTable[[#This Row],[LC Qty]] * SnapshotTable[[#This Row],[LC Book Price]] * 100, 0)</f>
        <v>0</v>
      </c>
      <c r="DP366" s="163" t="str">
        <f>IF(AND(SnapshotTable[[#This Row],[LC Exp Date]]&gt;0, SnapshotTable[[#This Row],[LC Strike Price]]&gt;0,SnapshotTable[[#This Row],[LC Qty]]&gt;0,SnapshotTable[[#This Row],[LC Book Date]]&gt;0,SnapshotTable[[#This Row],[LC Book Price]]&gt;0,SnapshotTable[[#This Row],[LC Fill Date]]=0),"Y","")</f>
        <v/>
      </c>
      <c r="DQ366" s="386" t="str">
        <f>IF(SnapshotTable[[#This Row],[LC Premium]] &gt; 0,SnapshotTable[[#This Row],[LC Exp Date]]-MAX(SnapshotTable[[#This Row],[LC Book Date]], SnapshotTable[[#This Row],[LC Fill Date]]),"")</f>
        <v/>
      </c>
      <c r="DR366" s="386" t="str">
        <f>IF(ISNUMBER(SnapshotTable[[#This Row],[LC Term]]), SnapshotTable[[#This Row],[LC Exp Date]] - MockToday, "")</f>
        <v/>
      </c>
      <c r="DS366" s="23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40" t="str">
        <f>IF(ISNUMBER(SnapshotTable[[#This Row],[LC Actual Gain Loss]]), SnapshotTable[[#This Row],[LC Actual Gain Loss]] / SnapshotTable[[#This Row],[LC Premium]],"")</f>
        <v/>
      </c>
      <c r="DX366" s="284" t="str">
        <f>IF(ISNUMBER(SnapshotTable[[#This Row],[LC Book Price]]),SnapshotTable[[#This Row],[LC Book Price]] * 1.5,"")</f>
        <v/>
      </c>
      <c r="DY366" s="265" t="str">
        <f>IF(SnapshotTable[[#This Row],[LC Premium]]&gt;0, SnapshotTable[[#This Row],[LC Next Target]] * SnapshotTable[[#This Row],[LC Qty]] * 100,"")</f>
        <v/>
      </c>
      <c r="DZ366" s="265" t="str">
        <f>IF(ISNUMBER(SnapshotTable[[#This Row],[LC Target Gross]]), SnapshotTable[[#This Row],[LC Target Gross]] - SnapshotTable[[#This Row],[LC Premium]], "")</f>
        <v/>
      </c>
      <c r="EA366" s="305" t="str">
        <f>IF(ISNUMBER(SnapshotTable[[#This Row],[LC Target Gain Loss]]), SnapshotTable[[#This Row],[LC Target Gain Loss]]/SnapshotTable[[#This Row],[LC Premium]], "")</f>
        <v/>
      </c>
      <c r="EB366" s="262"/>
      <c r="EC366" s="283" t="str">
        <f>IF(SnapshotTable[[#This Row],[LC Premium]]&gt;0, SnapshotTable[[#This Row],[LC Book Price]] * (1 - LC_StopLoss_Pct),"")</f>
        <v/>
      </c>
      <c r="ED366" s="284"/>
      <c r="EE366" s="28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4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7"/>
      <c r="EL366" s="138"/>
      <c r="EM366" s="148"/>
      <c r="EN366" s="147"/>
      <c r="EO366" s="147"/>
      <c r="EP366" s="138"/>
      <c r="EQ366" s="419" t="b">
        <f>AND(ISNUMBER(SnapshotTable[[#This Row],[SC Exp Date]]), ISNUMBER(SnapshotTable[[#This Row],[SC Strike Price]]), ISNUMBER(SnapshotTable[[#This Row],[SC Qty]]), ISNUMBER(SnapshotTable[[#This Row],[SC Book Date]]), ISNUMBER(SnapshotTable[[#This Row],[SC Book Price]]))</f>
        <v>0</v>
      </c>
      <c r="ER366" s="419" t="b">
        <f>AND(SnapshotTable[[#This Row],[SC Is Booked]], NOT(ISBLANK(SnapshotTable[[#This Row],[SC Fill Date]])))</f>
        <v>0</v>
      </c>
      <c r="ES366" s="370"/>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3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283"/>
      <c r="FA366" s="218"/>
      <c r="FB366" s="370"/>
      <c r="FC366" s="4">
        <f>IF(SnapshotTable[[#This Row],[SC Is Filled]], btc_max_buyback_amount(SnapshotTable[[#This Row],[SC Fill Date]],SnapshotTable[[#This Row],[SC Exp Date]], SnapshotTable[[#This Row],[SC Book Price]]),0)</f>
        <v>0</v>
      </c>
      <c r="FD366" s="5"/>
      <c r="FE366" s="144"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382">
        <f>IF(SnapshotTable[[#This Row],[SC Is Filled]], IF(ISNUMBER(SnapshotTable[[#This Row],[SC Current Ask]]), SnapshotTable[[#This Row],[SC Current Ask]], SnapshotTable[[#This Row],[SC Book Price]]) - SnapshotTable[[#This Row],[SC Intrinsic Value]], 0)</f>
        <v>0</v>
      </c>
      <c r="FI366" s="143"/>
      <c r="FJ366" s="32" t="str">
        <f>IF(SnapshotTable[[#This Row],[SC Is Filled]],100 * SnapshotTable[[#This Row],[SC Qty]] * IF(ISNUMBER(SnapshotTable[[#This Row],[SC Buyback Override]]), SnapshotTable[[#This Row],[SC Buyback Override]], SnapshotTable[[#This Row],[SC Current Ask]]), "")</f>
        <v/>
      </c>
      <c r="FK366" s="250" t="str">
        <f>IF(SnapshotTable[[#This Row],[SC Time Val]]&gt;0, SnapshotTable[[#This Row],[SC Time Val]] / SnapshotTable[[#This Row],[Last Price]],"")</f>
        <v/>
      </c>
      <c r="FL366" s="302" t="str">
        <f>IF(SnapshotTable[[#This Row],[SC Is Booked]], ((SnapshotTable[[#This Row],[Last Price]] -SnapshotTable[[#This Row],[SC Strike Price]]) / SnapshotTable[[#This Row],[Last Price]]) * -1, "")</f>
        <v/>
      </c>
      <c r="FM366" s="157" t="str">
        <f>IF(SnapshotTable[[#This Row],[SC Is Booked]],  (SnapshotTable[[#This Row],[SC Qty]] * 100 * SnapshotTable[[#This Row],[SC Strike Price]]) - SnapshotTable[[#This Row],[SC Current Ask]], "")</f>
        <v/>
      </c>
      <c r="FN36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157"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33"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36" t="str">
        <f>IF(AND(ISNUMBER(SnapshotTable[[#This Row],[SC Simple ROO]]),SnapshotTable[[#This Row],[SC Simple ROO]] &gt; 0), SnapshotTable[[#This Row],[SC Premium]] + (SnapshotTable[[#This Row],[SC Qty]] * SnapshotTable[[#This Row],[SC Upside Potential]]), "")</f>
        <v/>
      </c>
      <c r="FX366" s="302" t="str" cm="1">
        <f t="array" ref="FX366">IF(ISNUMBER(SnapshotTable[[#This Row],[SC Max Dollars]]), annualize(SnapshotTable[[#This Row],[SC Term]],(SnapshotTable[[#This Row],[SC Max Dollars]]/SnapshotTable[[#This Row],[SC Basis]])),"")</f>
        <v/>
      </c>
      <c r="FY366" s="23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29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19.399000000000001</v>
      </c>
      <c r="GD366" s="40">
        <f>SnapshotTable[[#This Row],[Last Price]] * (1+ SellingPriceToConsiderBasedOnTargetPercentage)</f>
        <v>63.375</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158" t="str">
        <f>IF(SnapshotTable[[#This Row],[Sale G/L]]&gt;0, SnapshotTable[[#This Row],[Sale G/L]] / SnapshotTable[[#This Row],[Sale Basis]], IF(ISNUMBER(SnapshotTable[[#This Row],[SC Exercise P&amp;L (TAX)]]), SnapshotTable[[#This Row],[SC Exercise P&amp;L (TAX)]] / SnapshotTable[[#This Row],[SC Basis]], ""))</f>
        <v/>
      </c>
      <c r="GK366" s="158"/>
      <c r="GL366" s="159"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159" t="str">
        <f>IF(AND(SnapshotTable[[#This Row],[LC Exp Date]]&gt;0,SnapshotTable[[#This Row],[LC Strike Price]]&gt;0), [1]!ToOptionSymbol(SnapshotTable[[#This Row],[Symbol]], SnapshotTable[[#This Row],[LC Strike Price]],SnapshotTable[[#This Row],[LC Exp Date]],0), "")</f>
        <v/>
      </c>
      <c r="GQ366" s="160" t="str">
        <f>IF(LEN(SnapshotTable[[#This Row],[LC Symbol]])&gt;0, 1, "")</f>
        <v/>
      </c>
      <c r="GR366" s="159" t="str">
        <f>IF(AND(SnapshotTable[[#This Row],[SC Exp Date]]&gt;0,SnapshotTable[[#This Row],[SC Strike Price]]&gt;0), [1]!ToOptionSymbol(SnapshotTable[[#This Row],[Symbol]], SnapshotTable[[#This Row],[SC Strike Price]],SnapshotTable[[#This Row],[SC Exp Date]],0), "")</f>
        <v/>
      </c>
      <c r="GS366" s="160" t="str">
        <f>IF(LEN(SnapshotTable[[#This Row],[SC Symbol]])&gt;0, 1, "")</f>
        <v/>
      </c>
      <c r="GT366" s="161"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31">
        <f>MAX(SnapshotTable[[#This Row],[Equity Basis Total]],SnapshotTable[[#This Row],[Equity Value]]) + (SnapshotTable[[#This Row],[SP Potential Spend]]- SnapshotTable[[#This Row],[SP Premium]] + SnapshotTable[[#This Row],[LP Premium]])+ (SnapshotTable[[#This Row],[LC Premium]] - SnapshotTable[[#This Row],[SC Premium]])</f>
        <v>0</v>
      </c>
      <c r="GW366" s="139" t="str">
        <f>IF(AND(SnapshotTable[[#This Row],[Exposure]] &lt;&gt; 0),SnapshotTable[[#This Row],[Exposure]] / SnapshotTable[[#Totals],[Exposure]], "")</f>
        <v/>
      </c>
      <c r="HK366" s="1"/>
      <c r="HL366" s="1"/>
      <c r="HM366" s="1"/>
      <c r="HN366" s="1"/>
      <c r="HO366" s="1"/>
      <c r="HP366" s="1"/>
    </row>
    <row r="367" spans="2:224" ht="12.75" hidden="1" customHeight="1" x14ac:dyDescent="0.25">
      <c r="B367" s="12" t="s">
        <v>499</v>
      </c>
      <c r="C367" s="422">
        <v>152.11000000000001</v>
      </c>
      <c r="D367" s="208"/>
      <c r="E367" s="39">
        <f>SnapshotTable[[#This Row],[Last Price]]*(1 -CrashDiscount)</f>
        <v>129.29349999999999</v>
      </c>
      <c r="F367" s="26" t="s">
        <v>5</v>
      </c>
      <c r="G367" s="26" t="s">
        <v>4</v>
      </c>
      <c r="H367" s="149"/>
      <c r="I367" s="194">
        <v>44770.694444444445</v>
      </c>
      <c r="J367" s="195">
        <v>44770.694444444445</v>
      </c>
      <c r="K367" s="196"/>
      <c r="L367" s="326"/>
      <c r="M367" s="140"/>
      <c r="N367" s="140"/>
      <c r="O367" s="140"/>
      <c r="P367" s="22"/>
      <c r="Q367" s="25"/>
      <c r="R367" s="4" t="str">
        <f>IF(SnapshotTable[[#This Row],[Equity Basis Total]] &gt; 0, SnapshotTable[[#This Row],[Equity Basis Total]] / SnapshotTable[[#This Row],[Equity Shares]], "")</f>
        <v/>
      </c>
      <c r="S367" s="269">
        <f>SnapshotTable[[#This Row],[Last Price]] * SnapshotTable[[#This Row],[Equity Shares]]</f>
        <v>0</v>
      </c>
      <c r="T367" s="269">
        <f>SnapshotTable[[#This Row],[Equity Value]] - SnapshotTable[[#This Row],[Equity Basis Total]]</f>
        <v>0</v>
      </c>
      <c r="U367" s="270" t="str">
        <f>IF(SnapshotTable[[#This Row],[Equity Basis Total]] &gt; 0, SnapshotTable[[#This Row],[Equity G/L]] / SnapshotTable[[#This Row],[Equity Basis Total]], "")</f>
        <v/>
      </c>
      <c r="V367" s="268"/>
      <c r="W367" s="26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7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0"/>
      <c r="AD367" s="151"/>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1"/>
      <c r="AI367" s="5"/>
      <c r="AJ367" s="138" t="s">
        <v>164</v>
      </c>
      <c r="AK367" s="152" t="str">
        <f>IF(ISNUMBER( SnapshotTable[[#This Row],[EBF Target]]),(SnapshotTable[[#This Row],[EBF Target]] - SnapshotTable[[#This Row],[Last Price]]) / SnapshotTable[[#This Row],[Last Price]], "")</f>
        <v/>
      </c>
      <c r="AL367" s="152"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2" t="str">
        <f>IF(AND(ISNUMBER( SnapshotTable[[#This Row],[Long Term Target]]), ISNUMBER(SnapshotTable[[#This Row],[Last Price]])),(SnapshotTable[[#This Row],[Long Term Target]] - SnapshotTable[[#This Row],[Last Price]]) / SnapshotTable[[#This Row],[Last Price]], "")</f>
        <v/>
      </c>
      <c r="AP367" s="5"/>
      <c r="AQ367" s="38"/>
      <c r="AR367" s="5"/>
      <c r="AS367" s="38"/>
      <c r="AT367" s="146"/>
      <c r="AU367" s="187" t="str">
        <f>IF(OR(SnapshotTable[[#This Row],[LP No Fill]]="Y",SnapshotTable[[#This Row],[SP Is Filled]],SnapshotTable[[#This Row],[LC Not Filled]]="Y",SnapshotTable[[#This Row],[SC Is Filled]]),"Y","")</f>
        <v/>
      </c>
      <c r="AV367" s="219"/>
      <c r="AW367" s="225"/>
      <c r="AX367" s="220"/>
      <c r="AY367" s="219" t="str">
        <f>IF(SnapshotTable[[#This Row],[Implied Move]]&gt;0, SnapshotTable[[#This Row],[Last Price]]-SnapshotTable[[#This Row],[Implied Move]],"")</f>
        <v/>
      </c>
      <c r="AZ367" s="219" t="str">
        <f>IF(SnapshotTable[[#This Row],[Implied Move]]&gt;0, SnapshotTable[[#This Row],[Last Price]] + SnapshotTable[[#This Row],[Implied Move]],"")</f>
        <v/>
      </c>
      <c r="BA367" s="331"/>
      <c r="BB367" s="347"/>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51"/>
      <c r="BE367" s="5"/>
      <c r="BF367" s="14"/>
      <c r="BG367" s="13"/>
      <c r="BH367" s="13"/>
      <c r="BI367" s="5"/>
      <c r="BJ367" s="136">
        <f>IF(SnapshotTable[[#This Row],[LP Qty]] &gt; 0, SnapshotTable[[#This Row],[LP Qty]] * SnapshotTable[[#This Row],[LP Book Price]] * 100,0)</f>
        <v>0</v>
      </c>
      <c r="BK367" s="136">
        <f>IF(SnapshotTable[[#This Row],[LP Premium]] &gt; 0, SnapshotTable[[#This Row],[LP Qty]] * SnapshotTable[[#This Row],[LP Strike Price]] * 100,0)</f>
        <v>0</v>
      </c>
      <c r="BL367" s="154"/>
      <c r="BM367" s="385" t="str">
        <f>IF(SnapshotTable[[#This Row],[LP Premium]] &gt; 0,SnapshotTable[[#This Row],[LP Exp Date]]-MAX(SnapshotTable[[#This Row],[LP Book Date]], SnapshotTable[[#This Row],[LP Fill Date]]),"")</f>
        <v/>
      </c>
      <c r="BN367" s="385" t="str">
        <f>IF(ISNUMBER( SnapshotTable[[#This Row],[LP Term]]), SnapshotTable[[#This Row],[LP Exp Date]] - MockToday,"")</f>
        <v/>
      </c>
      <c r="BO367" s="163"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7"/>
      <c r="BU367" s="13"/>
      <c r="BV367" s="5"/>
      <c r="BW367" s="419" t="b">
        <f>AND(ISNUMBER(SnapshotTable[[#This Row],[SP Exp Date]]), ISNUMBER(SnapshotTable[[#This Row],[SP Strike Price]]), ISNUMBER(SnapshotTable[[#This Row],[SP Qty]]), ISNUMBER(SnapshotTable[[#This Row],[SP Book Date]]), ISNUMBER(SnapshotTable[[#This Row],[SP Book Price]]))</f>
        <v>0</v>
      </c>
      <c r="BX367" s="419" t="b">
        <f>AND(SnapshotTable[[#This Row],[SP Is Booked]], NOT(ISBLANK(SnapshotTable[[#This Row],[SP Fill Date]])))</f>
        <v>0</v>
      </c>
      <c r="BY367" s="33">
        <f>IF(SnapshotTable[[#This Row],[SP Is Booked]], SnapshotTable[[#This Row],[SP Qty]] * SnapshotTable[[#This Row],[SP Book Price]] * 100, 0)</f>
        <v>0</v>
      </c>
      <c r="BZ367" s="369"/>
      <c r="CA367" s="368">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3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44"/>
      <c r="CK367" s="31">
        <f>IF(ISNUMBER(SnapshotTable[[#This Row],[SP Potential Spend]]),IF(ISNUMBER(SnapshotTable[[#This Row],[SP POW]]), SnapshotTable[[#This Row],[SP POW]] * SnapshotTable[[#This Row],[SP Potential Spend]], SnapshotTable[[#This Row],[SP Potential Spend]]), "")</f>
        <v>0</v>
      </c>
      <c r="CL367" s="164">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78"/>
      <c r="CO367" s="369"/>
      <c r="CP367" s="4" t="str">
        <f>IF(SnapshotTable[[#This Row],[SP Is Filled]], btc_max_buyback_amount(SnapshotTable[[#This Row],[SP Fill Date]],SnapshotTable[[#This Row],[SP Exp Date]], SnapshotTable[[#This Row],[SP Book Price]]),"")</f>
        <v/>
      </c>
      <c r="CQ367" s="78"/>
      <c r="CR3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5" t="str">
        <f>IF(SnapshotTable[[#This Row],[SP Is Filled]], btc_next_cutoff_date(SnapshotTable[[#This Row],[SP Fill Date]],SnapshotTable[[#This Row],[SP Exp Date]]),"")</f>
        <v/>
      </c>
      <c r="CT367" s="23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43"/>
      <c r="CV367" s="235"/>
      <c r="CW367" s="378"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294" t="str">
        <f>IF(ISNUMBER((SnapshotTable[[#This Row],[SP Total Value]])), SnapshotTable[[#This Row],[SP Gain Loss]] / SnapshotTable[[#This Row],[SP Premium]], "")</f>
        <v/>
      </c>
      <c r="DI367" s="406"/>
      <c r="DJ367" s="138"/>
      <c r="DK367" s="148"/>
      <c r="DL367" s="13"/>
      <c r="DM367" s="13"/>
      <c r="DO367" s="31">
        <f>IF(SnapshotTable[[#This Row],[LC Symbol Count]]=1, SnapshotTable[[#This Row],[LC Qty]] * SnapshotTable[[#This Row],[LC Book Price]] * 100, 0)</f>
        <v>0</v>
      </c>
      <c r="DP367" s="163" t="str">
        <f>IF(AND(SnapshotTable[[#This Row],[LC Exp Date]]&gt;0, SnapshotTable[[#This Row],[LC Strike Price]]&gt;0,SnapshotTable[[#This Row],[LC Qty]]&gt;0,SnapshotTable[[#This Row],[LC Book Date]]&gt;0,SnapshotTable[[#This Row],[LC Book Price]]&gt;0,SnapshotTable[[#This Row],[LC Fill Date]]=0),"Y","")</f>
        <v/>
      </c>
      <c r="DQ367" s="386" t="str">
        <f>IF(SnapshotTable[[#This Row],[LC Premium]] &gt; 0,SnapshotTable[[#This Row],[LC Exp Date]]-MAX(SnapshotTable[[#This Row],[LC Book Date]], SnapshotTable[[#This Row],[LC Fill Date]]),"")</f>
        <v/>
      </c>
      <c r="DR367" s="386" t="str">
        <f>IF(ISNUMBER(SnapshotTable[[#This Row],[LC Term]]), SnapshotTable[[#This Row],[LC Exp Date]] - MockToday, "")</f>
        <v/>
      </c>
      <c r="DS367" s="23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40" t="str">
        <f>IF(ISNUMBER(SnapshotTable[[#This Row],[LC Actual Gain Loss]]), SnapshotTable[[#This Row],[LC Actual Gain Loss]] / SnapshotTable[[#This Row],[LC Premium]],"")</f>
        <v/>
      </c>
      <c r="DX367" s="284" t="str">
        <f>IF(ISNUMBER(SnapshotTable[[#This Row],[LC Book Price]]),SnapshotTable[[#This Row],[LC Book Price]] * 1.5,"")</f>
        <v/>
      </c>
      <c r="DY367" s="265" t="str">
        <f>IF(SnapshotTable[[#This Row],[LC Premium]]&gt;0, SnapshotTable[[#This Row],[LC Next Target]] * SnapshotTable[[#This Row],[LC Qty]] * 100,"")</f>
        <v/>
      </c>
      <c r="DZ367" s="265" t="str">
        <f>IF(ISNUMBER(SnapshotTable[[#This Row],[LC Target Gross]]), SnapshotTable[[#This Row],[LC Target Gross]] - SnapshotTable[[#This Row],[LC Premium]], "")</f>
        <v/>
      </c>
      <c r="EA367" s="305" t="str">
        <f>IF(ISNUMBER(SnapshotTable[[#This Row],[LC Target Gain Loss]]), SnapshotTable[[#This Row],[LC Target Gain Loss]]/SnapshotTable[[#This Row],[LC Premium]], "")</f>
        <v/>
      </c>
      <c r="EB367" s="262"/>
      <c r="EC367" s="283" t="str">
        <f>IF(SnapshotTable[[#This Row],[LC Premium]]&gt;0, SnapshotTable[[#This Row],[LC Book Price]] * (1 - LC_StopLoss_Pct),"")</f>
        <v/>
      </c>
      <c r="ED367" s="284"/>
      <c r="EE367" s="283" t="str">
        <f>IF(ISNUMBER(SnapshotTable[[#This Row],[LC Contract Value]]),IF(ISNUMBER(SnapshotTable[[#This Row],[LC Stop Loss Override]]), SnapshotTable[[#This Row],[LC Stop Loss Override]],SnapshotTable[[#This Row],[LC Stop Loss Calc Target]]),"")</f>
        <v/>
      </c>
      <c r="EF367" s="31"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4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7"/>
      <c r="EL367" s="138"/>
      <c r="EM367" s="148"/>
      <c r="EN367" s="147"/>
      <c r="EO367" s="147"/>
      <c r="EP367" s="138"/>
      <c r="EQ367" s="419" t="b">
        <f>AND(ISNUMBER(SnapshotTable[[#This Row],[SC Exp Date]]), ISNUMBER(SnapshotTable[[#This Row],[SC Strike Price]]), ISNUMBER(SnapshotTable[[#This Row],[SC Qty]]), ISNUMBER(SnapshotTable[[#This Row],[SC Book Date]]), ISNUMBER(SnapshotTable[[#This Row],[SC Book Price]]))</f>
        <v>0</v>
      </c>
      <c r="ER367" s="419" t="b">
        <f>AND(SnapshotTable[[#This Row],[SC Is Booked]], NOT(ISBLANK(SnapshotTable[[#This Row],[SC Fill Date]])))</f>
        <v>0</v>
      </c>
      <c r="ES367" s="370"/>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3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283"/>
      <c r="FA367" s="218"/>
      <c r="FB367" s="370"/>
      <c r="FC367" s="4">
        <f>IF(SnapshotTable[[#This Row],[SC Is Filled]], btc_max_buyback_amount(SnapshotTable[[#This Row],[SC Fill Date]],SnapshotTable[[#This Row],[SC Exp Date]], SnapshotTable[[#This Row],[SC Book Price]]),0)</f>
        <v>0</v>
      </c>
      <c r="FD367" s="5"/>
      <c r="FE367" s="144"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382">
        <f>IF(SnapshotTable[[#This Row],[SC Is Filled]], IF(ISNUMBER(SnapshotTable[[#This Row],[SC Current Ask]]), SnapshotTable[[#This Row],[SC Current Ask]], SnapshotTable[[#This Row],[SC Book Price]]) - SnapshotTable[[#This Row],[SC Intrinsic Value]], 0)</f>
        <v>0</v>
      </c>
      <c r="FI367" s="143"/>
      <c r="FJ367" s="32" t="str">
        <f>IF(SnapshotTable[[#This Row],[SC Is Filled]],100 * SnapshotTable[[#This Row],[SC Qty]] * IF(ISNUMBER(SnapshotTable[[#This Row],[SC Buyback Override]]), SnapshotTable[[#This Row],[SC Buyback Override]], SnapshotTable[[#This Row],[SC Current Ask]]), "")</f>
        <v/>
      </c>
      <c r="FK367" s="250" t="str">
        <f>IF(SnapshotTable[[#This Row],[SC Time Val]]&gt;0, SnapshotTable[[#This Row],[SC Time Val]] / SnapshotTable[[#This Row],[Last Price]],"")</f>
        <v/>
      </c>
      <c r="FL367" s="302" t="str">
        <f>IF(SnapshotTable[[#This Row],[SC Is Booked]], ((SnapshotTable[[#This Row],[Last Price]] -SnapshotTable[[#This Row],[SC Strike Price]]) / SnapshotTable[[#This Row],[Last Price]]) * -1, "")</f>
        <v/>
      </c>
      <c r="FM367" s="157" t="str">
        <f>IF(SnapshotTable[[#This Row],[SC Is Booked]],  (SnapshotTable[[#This Row],[SC Qty]] * 100 * SnapshotTable[[#This Row],[SC Strike Price]]) - SnapshotTable[[#This Row],[SC Current Ask]], "")</f>
        <v/>
      </c>
      <c r="FN36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31"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33"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36" t="str">
        <f>IF(AND(ISNUMBER(SnapshotTable[[#This Row],[SC Simple ROO]]),SnapshotTable[[#This Row],[SC Simple ROO]] &gt; 0), SnapshotTable[[#This Row],[SC Premium]] + (SnapshotTable[[#This Row],[SC Qty]] * SnapshotTable[[#This Row],[SC Upside Potential]]), "")</f>
        <v/>
      </c>
      <c r="FX367" s="302" t="str" cm="1">
        <f t="array" ref="FX367">IF(ISNUMBER(SnapshotTable[[#This Row],[SC Max Dollars]]), annualize(SnapshotTable[[#This Row],[SC Term]],(SnapshotTable[[#This Row],[SC Max Dollars]]/SnapshotTable[[#This Row],[SC Basis]])),"")</f>
        <v/>
      </c>
      <c r="FY367" s="236" t="str">
        <f>IF(AND(SnapshotTable[[#This Row],[SC Qty]]&gt;0,SnapshotTable[[#This Row],[SC Current Ask]]&gt;0), SnapshotTable[[#This Row],[SC Qty]] * SnapshotTable[[#This Row],[SC Current Ask]] * -100, "")</f>
        <v/>
      </c>
      <c r="FZ367" s="31" t="str">
        <f>IF(ISNUMBER((SnapshotTable[[#This Row],[SC Current Value]])), SnapshotTable[[#This Row],[SC Premium]] + SnapshotTable[[#This Row],[SC Current Value]], "")</f>
        <v/>
      </c>
      <c r="GA367" s="294" t="str">
        <f>IFERROR( IF(ISNUMBER((SnapshotTable[[#This Row],[SC Current Value]])), SnapshotTable[[#This Row],[SC Gain Loss]] / SnapshotTable[[#This Row],[SC Premium]], ""), "")</f>
        <v/>
      </c>
      <c r="GB367" s="42">
        <f>SnapshotTable[[#This Row],[Equity Shares]] * SaleSharesToConsiderPercentage</f>
        <v>0</v>
      </c>
      <c r="GC367" s="40" t="e">
        <f>SnapshotTable[[#This Row],[Long Term Target]] * SellingPriceToConsiderBasedOnTargetPercentage</f>
        <v>#VALUE!</v>
      </c>
      <c r="GD367" s="40">
        <f>SnapshotTable[[#This Row],[Last Price]] * (1+ SellingPriceToConsiderBasedOnTargetPercentage)</f>
        <v>296.61450000000002</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27" t="str">
        <f>IF(SnapshotTable[[#This Row],[Sale G/L]]&gt;0, SnapshotTable[[#This Row],[Sale G/L]] / SnapshotTable[[#This Row],[Sale Basis]], IF(ISNUMBER(SnapshotTable[[#This Row],[SC Exercise P&amp;L (TAX)]]), SnapshotTable[[#This Row],[SC Exercise P&amp;L (TAX)]] / SnapshotTable[[#This Row],[SC Basis]], ""))</f>
        <v/>
      </c>
      <c r="GK367" s="27" t="s">
        <v>800</v>
      </c>
      <c r="GL367" s="43"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43" t="str">
        <f>IF(AND(SnapshotTable[[#This Row],[LC Exp Date]]&gt;0,SnapshotTable[[#This Row],[LC Strike Price]]&gt;0), [1]!ToOptionSymbol(SnapshotTable[[#This Row],[Symbol]], SnapshotTable[[#This Row],[LC Strike Price]],SnapshotTable[[#This Row],[LC Exp Date]],0), "")</f>
        <v/>
      </c>
      <c r="GQ367" s="30" t="str">
        <f>IF(LEN(SnapshotTable[[#This Row],[LC Symbol]])&gt;0, 1, "")</f>
        <v/>
      </c>
      <c r="GR367" s="43" t="str">
        <f>IF(AND(SnapshotTable[[#This Row],[SC Exp Date]]&gt;0,SnapshotTable[[#This Row],[SC Strike Price]]&gt;0), [1]!ToOptionSymbol(SnapshotTable[[#This Row],[Symbol]], SnapshotTable[[#This Row],[SC Strike Price]],SnapshotTable[[#This Row],[SC Exp Date]],0), "")</f>
        <v/>
      </c>
      <c r="GS367" s="30" t="str">
        <f>IF(LEN(SnapshotTable[[#This Row],[SC Symbol]])&gt;0, 1, "")</f>
        <v/>
      </c>
      <c r="GT367" s="29"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31">
        <f>MAX(SnapshotTable[[#This Row],[Equity Basis Total]],SnapshotTable[[#This Row],[Equity Value]]) + (SnapshotTable[[#This Row],[SP Potential Spend]]- SnapshotTable[[#This Row],[SP Premium]] + SnapshotTable[[#This Row],[LP Premium]])+ (SnapshotTable[[#This Row],[LC Premium]] - SnapshotTable[[#This Row],[SC Premium]])</f>
        <v>0</v>
      </c>
      <c r="GW367" s="139" t="str">
        <f>IF(AND(SnapshotTable[[#This Row],[Exposure]] &lt;&gt; 0),SnapshotTable[[#This Row],[Exposure]] / SnapshotTable[[#Totals],[Exposure]], "")</f>
        <v/>
      </c>
      <c r="HK367" s="1"/>
      <c r="HL367" s="1"/>
      <c r="HM367" s="1"/>
      <c r="HN367" s="1"/>
      <c r="HO367" s="1"/>
      <c r="HP367" s="1"/>
    </row>
    <row r="368" spans="2:224" ht="12.75" hidden="1" customHeight="1" x14ac:dyDescent="0.25">
      <c r="B368" s="12" t="s">
        <v>113</v>
      </c>
      <c r="C368" s="422">
        <v>43.02</v>
      </c>
      <c r="D368" s="208"/>
      <c r="E368" s="39">
        <f>SnapshotTable[[#This Row],[Last Price]]*(1 -CrashDiscount)</f>
        <v>36.567</v>
      </c>
      <c r="F368" s="26" t="s">
        <v>112</v>
      </c>
      <c r="G368" s="26" t="s">
        <v>41</v>
      </c>
      <c r="H368" s="149"/>
      <c r="I368" s="194">
        <v>44770.694444444445</v>
      </c>
      <c r="J368" s="195">
        <v>44770.694444444445</v>
      </c>
      <c r="K368" s="196"/>
      <c r="L368" s="326"/>
      <c r="M368" s="140"/>
      <c r="N368" s="140"/>
      <c r="O368" s="140"/>
      <c r="P368" s="22"/>
      <c r="Q368" s="25"/>
      <c r="R368" s="4" t="str">
        <f>IF(SnapshotTable[[#This Row],[Equity Basis Total]] &gt; 0, SnapshotTable[[#This Row],[Equity Basis Total]] / SnapshotTable[[#This Row],[Equity Shares]], "")</f>
        <v/>
      </c>
      <c r="S368" s="269">
        <f>SnapshotTable[[#This Row],[Last Price]] * SnapshotTable[[#This Row],[Equity Shares]]</f>
        <v>0</v>
      </c>
      <c r="T368" s="269">
        <f>SnapshotTable[[#This Row],[Equity Value]] - SnapshotTable[[#This Row],[Equity Basis Total]]</f>
        <v>0</v>
      </c>
      <c r="U368" s="270" t="str">
        <f>IF(SnapshotTable[[#This Row],[Equity Basis Total]] &gt; 0, SnapshotTable[[#This Row],[Equity G/L]] / SnapshotTable[[#This Row],[Equity Basis Total]], "")</f>
        <v/>
      </c>
      <c r="V368" s="268"/>
      <c r="W368" s="268"/>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7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0">
        <v>0.32</v>
      </c>
      <c r="AD368" s="151">
        <v>42979</v>
      </c>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7.4384007438400741E-3</v>
      </c>
      <c r="AH368" s="151">
        <v>43230</v>
      </c>
      <c r="AI368" s="5">
        <v>130</v>
      </c>
      <c r="AJ368" s="138">
        <v>34.26</v>
      </c>
      <c r="AK368" s="152">
        <f>IF(ISNUMBER( SnapshotTable[[#This Row],[EBF Target]]),(SnapshotTable[[#This Row],[EBF Target]] - SnapshotTable[[#This Row],[Last Price]]) / SnapshotTable[[#This Row],[Last Price]], "")</f>
        <v>2.02185030218503</v>
      </c>
      <c r="AL368" s="152"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2">
        <f>IF(AND(ISNUMBER( SnapshotTable[[#This Row],[Long Term Target]]), ISNUMBER(SnapshotTable[[#This Row],[Last Price]])),(SnapshotTable[[#This Row],[Long Term Target]] - SnapshotTable[[#This Row],[Last Price]]) / SnapshotTable[[#This Row],[Last Price]], "")</f>
        <v>-0.20362622036262215</v>
      </c>
      <c r="AP368" s="5"/>
      <c r="AQ368" s="38"/>
      <c r="AR368" s="5"/>
      <c r="AS368" s="38"/>
      <c r="AT368" s="146"/>
      <c r="AU368" s="187" t="str">
        <f>IF(OR(SnapshotTable[[#This Row],[LP No Fill]]="Y",SnapshotTable[[#This Row],[SP Is Filled]],SnapshotTable[[#This Row],[LC Not Filled]]="Y",SnapshotTable[[#This Row],[SC Is Filled]]),"Y","")</f>
        <v/>
      </c>
      <c r="AV368" s="219"/>
      <c r="AW368" s="225"/>
      <c r="AX368" s="220"/>
      <c r="AY368" s="219" t="str">
        <f>IF(SnapshotTable[[#This Row],[Implied Move]]&gt;0, SnapshotTable[[#This Row],[Last Price]]-SnapshotTable[[#This Row],[Implied Move]],"")</f>
        <v/>
      </c>
      <c r="AZ368" s="219" t="str">
        <f>IF(SnapshotTable[[#This Row],[Implied Move]]&gt;0, SnapshotTable[[#This Row],[Last Price]] + SnapshotTable[[#This Row],[Implied Move]],"")</f>
        <v/>
      </c>
      <c r="BA368" s="331"/>
      <c r="BB368" s="347"/>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51"/>
      <c r="BE368" s="5"/>
      <c r="BF368" s="14"/>
      <c r="BG368" s="13"/>
      <c r="BH368" s="13"/>
      <c r="BI368" s="5"/>
      <c r="BJ368" s="136">
        <f>IF(SnapshotTable[[#This Row],[LP Qty]] &gt; 0, SnapshotTable[[#This Row],[LP Qty]] * SnapshotTable[[#This Row],[LP Book Price]] * 100,0)</f>
        <v>0</v>
      </c>
      <c r="BK368" s="136">
        <f>IF(SnapshotTable[[#This Row],[LP Premium]] &gt; 0, SnapshotTable[[#This Row],[LP Qty]] * SnapshotTable[[#This Row],[LP Strike Price]] * 100,0)</f>
        <v>0</v>
      </c>
      <c r="BL368" s="154"/>
      <c r="BM368" s="385" t="str">
        <f>IF(SnapshotTable[[#This Row],[LP Premium]] &gt; 0,SnapshotTable[[#This Row],[LP Exp Date]]-MAX(SnapshotTable[[#This Row],[LP Book Date]], SnapshotTable[[#This Row],[LP Fill Date]]),"")</f>
        <v/>
      </c>
      <c r="BN368" s="385" t="str">
        <f>IF(ISNUMBER( SnapshotTable[[#This Row],[LP Term]]), SnapshotTable[[#This Row],[LP Exp Date]] - MockToday,"")</f>
        <v/>
      </c>
      <c r="BO368" s="163"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7"/>
      <c r="BU368" s="13"/>
      <c r="BV368" s="5"/>
      <c r="BW368" s="419" t="b">
        <f>AND(ISNUMBER(SnapshotTable[[#This Row],[SP Exp Date]]), ISNUMBER(SnapshotTable[[#This Row],[SP Strike Price]]), ISNUMBER(SnapshotTable[[#This Row],[SP Qty]]), ISNUMBER(SnapshotTable[[#This Row],[SP Book Date]]), ISNUMBER(SnapshotTable[[#This Row],[SP Book Price]]))</f>
        <v>0</v>
      </c>
      <c r="BX368" s="419" t="b">
        <f>AND(SnapshotTable[[#This Row],[SP Is Booked]], NOT(ISBLANK(SnapshotTable[[#This Row],[SP Fill Date]])))</f>
        <v>0</v>
      </c>
      <c r="BY368" s="33">
        <f>IF(SnapshotTable[[#This Row],[SP Is Booked]], SnapshotTable[[#This Row],[SP Qty]] * SnapshotTable[[#This Row],[SP Book Price]] * 100, 0)</f>
        <v>0</v>
      </c>
      <c r="BZ368" s="369"/>
      <c r="CA368" s="368">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3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44"/>
      <c r="CK368" s="31">
        <f>IF(ISNUMBER(SnapshotTable[[#This Row],[SP Potential Spend]]),IF(ISNUMBER(SnapshotTable[[#This Row],[SP POW]]), SnapshotTable[[#This Row],[SP POW]] * SnapshotTable[[#This Row],[SP Potential Spend]], SnapshotTable[[#This Row],[SP Potential Spend]]), "")</f>
        <v>0</v>
      </c>
      <c r="CL368" s="164">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78"/>
      <c r="CO368" s="369"/>
      <c r="CP368" s="4" t="str">
        <f>IF(SnapshotTable[[#This Row],[SP Is Filled]], btc_max_buyback_amount(SnapshotTable[[#This Row],[SP Fill Date]],SnapshotTable[[#This Row],[SP Exp Date]], SnapshotTable[[#This Row],[SP Book Price]]),"")</f>
        <v/>
      </c>
      <c r="CQ368" s="78"/>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5" t="str">
        <f>IF(SnapshotTable[[#This Row],[SP Is Filled]], btc_next_cutoff_date(SnapshotTable[[#This Row],[SP Fill Date]],SnapshotTable[[#This Row],[SP Exp Date]]),"")</f>
        <v/>
      </c>
      <c r="CT368" s="23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3"/>
      <c r="CV368" s="235"/>
      <c r="CW368" s="378"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294" t="str">
        <f>IF(ISNUMBER((SnapshotTable[[#This Row],[SP Total Value]])), SnapshotTable[[#This Row],[SP Gain Loss]] / SnapshotTable[[#This Row],[SP Premium]], "")</f>
        <v/>
      </c>
      <c r="DI368" s="406"/>
      <c r="DJ368" s="138"/>
      <c r="DK368" s="148"/>
      <c r="DL368" s="13"/>
      <c r="DM368" s="13"/>
      <c r="DO368" s="31">
        <f>IF(SnapshotTable[[#This Row],[LC Symbol Count]]=1, SnapshotTable[[#This Row],[LC Qty]] * SnapshotTable[[#This Row],[LC Book Price]] * 100, 0)</f>
        <v>0</v>
      </c>
      <c r="DP368" s="163" t="str">
        <f>IF(AND(SnapshotTable[[#This Row],[LC Exp Date]]&gt;0, SnapshotTable[[#This Row],[LC Strike Price]]&gt;0,SnapshotTable[[#This Row],[LC Qty]]&gt;0,SnapshotTable[[#This Row],[LC Book Date]]&gt;0,SnapshotTable[[#This Row],[LC Book Price]]&gt;0,SnapshotTable[[#This Row],[LC Fill Date]]=0),"Y","")</f>
        <v/>
      </c>
      <c r="DQ368" s="386" t="str">
        <f>IF(SnapshotTable[[#This Row],[LC Premium]] &gt; 0,SnapshotTable[[#This Row],[LC Exp Date]]-MAX(SnapshotTable[[#This Row],[LC Book Date]], SnapshotTable[[#This Row],[LC Fill Date]]),"")</f>
        <v/>
      </c>
      <c r="DR368" s="386" t="str">
        <f>IF(ISNUMBER(SnapshotTable[[#This Row],[LC Term]]), SnapshotTable[[#This Row],[LC Exp Date]] - MockToday, "")</f>
        <v/>
      </c>
      <c r="DS368" s="234" t="str">
        <f>IF(SnapshotTable[[#This Row],[LC Premium]]&gt;0,SnapshotTable[[#This Row],[LC Strike Price]] + SnapshotTable[[#This Row],[LC Book Price]],"")</f>
        <v/>
      </c>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40" t="str">
        <f>IF(ISNUMBER(SnapshotTable[[#This Row],[LC Actual Gain Loss]]), SnapshotTable[[#This Row],[LC Actual Gain Loss]] / SnapshotTable[[#This Row],[LC Premium]],"")</f>
        <v/>
      </c>
      <c r="DX368" s="284" t="str">
        <f>IF(ISNUMBER(SnapshotTable[[#This Row],[LC Book Price]]),SnapshotTable[[#This Row],[LC Book Price]] * 1.5,"")</f>
        <v/>
      </c>
      <c r="DY368" s="265" t="str">
        <f>IF(SnapshotTable[[#This Row],[LC Premium]]&gt;0, SnapshotTable[[#This Row],[LC Next Target]] * SnapshotTable[[#This Row],[LC Qty]] * 100,"")</f>
        <v/>
      </c>
      <c r="DZ368" s="265" t="str">
        <f>IF(ISNUMBER(SnapshotTable[[#This Row],[LC Target Gross]]), SnapshotTable[[#This Row],[LC Target Gross]] - SnapshotTable[[#This Row],[LC Premium]], "")</f>
        <v/>
      </c>
      <c r="EA368" s="305" t="str">
        <f>IF(ISNUMBER(SnapshotTable[[#This Row],[LC Target Gain Loss]]), SnapshotTable[[#This Row],[LC Target Gain Loss]]/SnapshotTable[[#This Row],[LC Premium]], "")</f>
        <v/>
      </c>
      <c r="EB368" s="262"/>
      <c r="EC368" s="283" t="str">
        <f>IF(SnapshotTable[[#This Row],[LC Premium]]&gt;0, SnapshotTable[[#This Row],[LC Book Price]] * (1 - LC_StopLoss_Pct),"")</f>
        <v/>
      </c>
      <c r="ED368" s="284"/>
      <c r="EE368" s="28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4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7"/>
      <c r="EL368" s="138"/>
      <c r="EM368" s="148"/>
      <c r="EN368" s="147"/>
      <c r="EO368" s="147"/>
      <c r="EP368" s="138"/>
      <c r="EQ368" s="419" t="b">
        <f>AND(ISNUMBER(SnapshotTable[[#This Row],[SC Exp Date]]), ISNUMBER(SnapshotTable[[#This Row],[SC Strike Price]]), ISNUMBER(SnapshotTable[[#This Row],[SC Qty]]), ISNUMBER(SnapshotTable[[#This Row],[SC Book Date]]), ISNUMBER(SnapshotTable[[#This Row],[SC Book Price]]))</f>
        <v>0</v>
      </c>
      <c r="ER368" s="419" t="b">
        <f>AND(SnapshotTable[[#This Row],[SC Is Booked]], NOT(ISBLANK(SnapshotTable[[#This Row],[SC Fill Date]])))</f>
        <v>0</v>
      </c>
      <c r="ES368" s="370"/>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3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283"/>
      <c r="FA368" s="218"/>
      <c r="FB368" s="370"/>
      <c r="FC368" s="4">
        <f>IF(SnapshotTable[[#This Row],[SC Is Filled]], btc_max_buyback_amount(SnapshotTable[[#This Row],[SC Fill Date]],SnapshotTable[[#This Row],[SC Exp Date]], SnapshotTable[[#This Row],[SC Book Price]]),0)</f>
        <v>0</v>
      </c>
      <c r="FD368" s="5"/>
      <c r="FE368" s="144"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382">
        <f>IF(SnapshotTable[[#This Row],[SC Is Filled]], IF(ISNUMBER(SnapshotTable[[#This Row],[SC Current Ask]]), SnapshotTable[[#This Row],[SC Current Ask]], SnapshotTable[[#This Row],[SC Book Price]]) - SnapshotTable[[#This Row],[SC Intrinsic Value]], 0)</f>
        <v>0</v>
      </c>
      <c r="FI368" s="143"/>
      <c r="FJ368" s="32" t="str">
        <f>IF(SnapshotTable[[#This Row],[SC Is Filled]],100 * SnapshotTable[[#This Row],[SC Qty]] * IF(ISNUMBER(SnapshotTable[[#This Row],[SC Buyback Override]]), SnapshotTable[[#This Row],[SC Buyback Override]], SnapshotTable[[#This Row],[SC Current Ask]]), "")</f>
        <v/>
      </c>
      <c r="FK368" s="250" t="str">
        <f>IF(SnapshotTable[[#This Row],[SC Time Val]]&gt;0, SnapshotTable[[#This Row],[SC Time Val]] / SnapshotTable[[#This Row],[Last Price]],"")</f>
        <v/>
      </c>
      <c r="FL368" s="302" t="str">
        <f>IF(SnapshotTable[[#This Row],[SC Is Booked]], ((SnapshotTable[[#This Row],[Last Price]] -SnapshotTable[[#This Row],[SC Strike Price]]) / SnapshotTable[[#This Row],[Last Price]]) * -1, "")</f>
        <v/>
      </c>
      <c r="FM368" s="157"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33"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36" t="str">
        <f>IF(AND(ISNUMBER(SnapshotTable[[#This Row],[SC Simple ROO]]),SnapshotTable[[#This Row],[SC Simple ROO]] &gt; 0), SnapshotTable[[#This Row],[SC Premium]] + (SnapshotTable[[#This Row],[SC Qty]] * SnapshotTable[[#This Row],[SC Upside Potential]]), "")</f>
        <v/>
      </c>
      <c r="FX368" s="302" t="str" cm="1">
        <f t="array" ref="FX368">IF(ISNUMBER(SnapshotTable[[#This Row],[SC Max Dollars]]), annualize(SnapshotTable[[#This Row],[SC Term]],(SnapshotTable[[#This Row],[SC Max Dollars]]/SnapshotTable[[#This Row],[SC Basis]])),"")</f>
        <v/>
      </c>
      <c r="FY368" s="23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29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32.546999999999997</v>
      </c>
      <c r="GD368" s="40">
        <f>SnapshotTable[[#This Row],[Last Price]] * (1+ SellingPriceToConsiderBasedOnTargetPercentage)</f>
        <v>83.88900000000001</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801</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31">
        <f>MAX(SnapshotTable[[#This Row],[Equity Basis Total]],SnapshotTable[[#This Row],[Equity Value]]) + (SnapshotTable[[#This Row],[SP Potential Spend]]- SnapshotTable[[#This Row],[SP Premium]] + SnapshotTable[[#This Row],[LP Premium]])+ (SnapshotTable[[#This Row],[LC Premium]] - SnapshotTable[[#This Row],[SC Premium]])</f>
        <v>0</v>
      </c>
      <c r="GW368" s="139" t="str">
        <f>IF(AND(SnapshotTable[[#This Row],[Exposure]] &lt;&gt; 0),SnapshotTable[[#This Row],[Exposure]] / SnapshotTable[[#Totals],[Exposure]], "")</f>
        <v/>
      </c>
      <c r="HK368" s="1"/>
      <c r="HL368" s="1"/>
      <c r="HM368" s="1"/>
      <c r="HN368" s="1"/>
      <c r="HO368" s="1"/>
      <c r="HP368" s="1"/>
    </row>
    <row r="369" spans="2:224" ht="12.75" hidden="1" customHeight="1" x14ac:dyDescent="0.25">
      <c r="B369" s="12" t="s">
        <v>946</v>
      </c>
      <c r="C369" s="422">
        <v>106.92</v>
      </c>
      <c r="D369" s="208"/>
      <c r="E369" s="39">
        <f>SnapshotTable[[#This Row],[Last Price]]*(1 -CrashDiscount)</f>
        <v>90.882000000000005</v>
      </c>
      <c r="F369" s="26" t="s">
        <v>5</v>
      </c>
      <c r="G369" s="26" t="s">
        <v>4</v>
      </c>
      <c r="H369" s="149"/>
      <c r="I369" s="194">
        <v>44770.694444444445</v>
      </c>
      <c r="J369" s="195">
        <v>44770.694444444445</v>
      </c>
      <c r="K369" s="196"/>
      <c r="L369" s="326"/>
      <c r="M369" s="140"/>
      <c r="N369" s="140"/>
      <c r="O369" s="140"/>
      <c r="P369" s="22"/>
      <c r="Q369" s="25"/>
      <c r="R369" s="4" t="str">
        <f>IF(SnapshotTable[[#This Row],[Equity Basis Total]] &gt; 0, SnapshotTable[[#This Row],[Equity Basis Total]] / SnapshotTable[[#This Row],[Equity Shares]], "")</f>
        <v/>
      </c>
      <c r="S369" s="269">
        <f>SnapshotTable[[#This Row],[Last Price]] * SnapshotTable[[#This Row],[Equity Shares]]</f>
        <v>0</v>
      </c>
      <c r="T369" s="269">
        <f>SnapshotTable[[#This Row],[Equity Value]] - SnapshotTable[[#This Row],[Equity Basis Total]]</f>
        <v>0</v>
      </c>
      <c r="U369" s="270" t="str">
        <f>IF(SnapshotTable[[#This Row],[Equity Basis Total]] &gt; 0, SnapshotTable[[#This Row],[Equity G/L]] / SnapshotTable[[#This Row],[Equity Basis Total]], "")</f>
        <v/>
      </c>
      <c r="V369" s="268">
        <v>65</v>
      </c>
      <c r="W369" s="268">
        <v>56.2</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7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0"/>
      <c r="AD369" s="151"/>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1"/>
      <c r="AI369" s="5"/>
      <c r="AJ369" s="138" t="s">
        <v>164</v>
      </c>
      <c r="AK369" s="152" t="str">
        <f>IF(ISNUMBER( SnapshotTable[[#This Row],[EBF Target]]),(SnapshotTable[[#This Row],[EBF Target]] - SnapshotTable[[#This Row],[Last Price]]) / SnapshotTable[[#This Row],[Last Price]], "")</f>
        <v/>
      </c>
      <c r="AL369" s="152"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2" t="str">
        <f>IF(AND(ISNUMBER( SnapshotTable[[#This Row],[Long Term Target]]), ISNUMBER(SnapshotTable[[#This Row],[Last Price]])),(SnapshotTable[[#This Row],[Long Term Target]] - SnapshotTable[[#This Row],[Last Price]]) / SnapshotTable[[#This Row],[Last Price]], "")</f>
        <v/>
      </c>
      <c r="AP369" s="5"/>
      <c r="AQ369" s="38"/>
      <c r="AR369" s="5"/>
      <c r="AS369" s="38"/>
      <c r="AT369" s="146"/>
      <c r="AU369" s="187" t="str">
        <f>IF(OR(SnapshotTable[[#This Row],[LP No Fill]]="Y",SnapshotTable[[#This Row],[SP Is Filled]],SnapshotTable[[#This Row],[LC Not Filled]]="Y",SnapshotTable[[#This Row],[SC Is Filled]]),"Y","")</f>
        <v/>
      </c>
      <c r="AV369" s="219"/>
      <c r="AW369" s="225"/>
      <c r="AX369" s="220"/>
      <c r="AY369" s="219" t="str">
        <f>IF(SnapshotTable[[#This Row],[Implied Move]]&gt;0, SnapshotTable[[#This Row],[Last Price]]-SnapshotTable[[#This Row],[Implied Move]],"")</f>
        <v/>
      </c>
      <c r="AZ369" s="219" t="str">
        <f>IF(SnapshotTable[[#This Row],[Implied Move]]&gt;0, SnapshotTable[[#This Row],[Last Price]] + SnapshotTable[[#This Row],[Implied Move]],"")</f>
        <v/>
      </c>
      <c r="BA369" s="331"/>
      <c r="BB369" s="347"/>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51"/>
      <c r="BE369" s="5"/>
      <c r="BF369" s="14"/>
      <c r="BG369" s="13"/>
      <c r="BH369" s="13"/>
      <c r="BI369" s="5"/>
      <c r="BJ369" s="136">
        <f>IF(SnapshotTable[[#This Row],[LP Qty]] &gt; 0, SnapshotTable[[#This Row],[LP Qty]] * SnapshotTable[[#This Row],[LP Book Price]] * 100,0)</f>
        <v>0</v>
      </c>
      <c r="BK369" s="136">
        <f>IF(SnapshotTable[[#This Row],[LP Premium]] &gt; 0, SnapshotTable[[#This Row],[LP Qty]] * SnapshotTable[[#This Row],[LP Strike Price]] * 100,0)</f>
        <v>0</v>
      </c>
      <c r="BL369" s="154"/>
      <c r="BM369" s="385" t="str">
        <f>IF(SnapshotTable[[#This Row],[LP Premium]] &gt; 0,SnapshotTable[[#This Row],[LP Exp Date]]-MAX(SnapshotTable[[#This Row],[LP Book Date]], SnapshotTable[[#This Row],[LP Fill Date]]),"")</f>
        <v/>
      </c>
      <c r="BN369" s="385" t="str">
        <f>IF(ISNUMBER( SnapshotTable[[#This Row],[LP Term]]), SnapshotTable[[#This Row],[LP Exp Date]] - MockToday,"")</f>
        <v/>
      </c>
      <c r="BO369" s="163"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7"/>
      <c r="BU369" s="13"/>
      <c r="BV369" s="5"/>
      <c r="BW369" s="419" t="b">
        <f>AND(ISNUMBER(SnapshotTable[[#This Row],[SP Exp Date]]), ISNUMBER(SnapshotTable[[#This Row],[SP Strike Price]]), ISNUMBER(SnapshotTable[[#This Row],[SP Qty]]), ISNUMBER(SnapshotTable[[#This Row],[SP Book Date]]), ISNUMBER(SnapshotTable[[#This Row],[SP Book Price]]))</f>
        <v>0</v>
      </c>
      <c r="BX369" s="419" t="b">
        <f>AND(SnapshotTable[[#This Row],[SP Is Booked]], NOT(ISBLANK(SnapshotTable[[#This Row],[SP Fill Date]])))</f>
        <v>0</v>
      </c>
      <c r="BY369" s="33">
        <f>IF(SnapshotTable[[#This Row],[SP Is Booked]], SnapshotTable[[#This Row],[SP Qty]] * SnapshotTable[[#This Row],[SP Book Price]] * 100, 0)</f>
        <v>0</v>
      </c>
      <c r="BZ369" s="369"/>
      <c r="CA369" s="368">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3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44"/>
      <c r="CK369" s="31">
        <f>IF(ISNUMBER(SnapshotTable[[#This Row],[SP Potential Spend]]),IF(ISNUMBER(SnapshotTable[[#This Row],[SP POW]]), SnapshotTable[[#This Row],[SP POW]] * SnapshotTable[[#This Row],[SP Potential Spend]], SnapshotTable[[#This Row],[SP Potential Spend]]), "")</f>
        <v>0</v>
      </c>
      <c r="CL369" s="164">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8"/>
      <c r="CO369" s="369"/>
      <c r="CP369" s="4" t="str">
        <f>IF(SnapshotTable[[#This Row],[SP Is Filled]], btc_max_buyback_amount(SnapshotTable[[#This Row],[SP Fill Date]],SnapshotTable[[#This Row],[SP Exp Date]], SnapshotTable[[#This Row],[SP Book Price]]),"")</f>
        <v/>
      </c>
      <c r="CQ369" s="78"/>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5" t="str">
        <f>IF(SnapshotTable[[#This Row],[SP Is Filled]], btc_next_cutoff_date(SnapshotTable[[#This Row],[SP Fill Date]],SnapshotTable[[#This Row],[SP Exp Date]]),"")</f>
        <v/>
      </c>
      <c r="CT369" s="23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3"/>
      <c r="CV369" s="235"/>
      <c r="CW369" s="378"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294" t="str">
        <f>IF(ISNUMBER((SnapshotTable[[#This Row],[SP Total Value]])), SnapshotTable[[#This Row],[SP Gain Loss]] / SnapshotTable[[#This Row],[SP Premium]], "")</f>
        <v/>
      </c>
      <c r="DI369" s="406"/>
      <c r="DJ369" s="138"/>
      <c r="DK369" s="148"/>
      <c r="DL369" s="13"/>
      <c r="DM369" s="13"/>
      <c r="DO369" s="31">
        <f>IF(SnapshotTable[[#This Row],[LC Symbol Count]]=1, SnapshotTable[[#This Row],[LC Qty]] * SnapshotTable[[#This Row],[LC Book Price]] * 100, 0)</f>
        <v>0</v>
      </c>
      <c r="DP369" s="163" t="str">
        <f>IF(AND(SnapshotTable[[#This Row],[LC Exp Date]]&gt;0, SnapshotTable[[#This Row],[LC Strike Price]]&gt;0,SnapshotTable[[#This Row],[LC Qty]]&gt;0,SnapshotTable[[#This Row],[LC Book Date]]&gt;0,SnapshotTable[[#This Row],[LC Book Price]]&gt;0,SnapshotTable[[#This Row],[LC Fill Date]]=0),"Y","")</f>
        <v/>
      </c>
      <c r="DQ369" s="386" t="str">
        <f>IF(SnapshotTable[[#This Row],[LC Premium]] &gt; 0,SnapshotTable[[#This Row],[LC Exp Date]]-MAX(SnapshotTable[[#This Row],[LC Book Date]], SnapshotTable[[#This Row],[LC Fill Date]]),"")</f>
        <v/>
      </c>
      <c r="DR369" s="386" t="str">
        <f>IF(ISNUMBER(SnapshotTable[[#This Row],[LC Term]]), SnapshotTable[[#This Row],[LC Exp Date]] - MockToday, "")</f>
        <v/>
      </c>
      <c r="DS369" s="234" t="str">
        <f>IF(SnapshotTable[[#This Row],[LC Premium]]&gt;0,SnapshotTable[[#This Row],[LC Strike Price]] + SnapshotTable[[#This Row],[LC Book Price]],"")</f>
        <v/>
      </c>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40" t="str">
        <f>IF(ISNUMBER(SnapshotTable[[#This Row],[LC Actual Gain Loss]]), SnapshotTable[[#This Row],[LC Actual Gain Loss]] / SnapshotTable[[#This Row],[LC Premium]],"")</f>
        <v/>
      </c>
      <c r="DX369" s="284" t="str">
        <f>IF(ISNUMBER(SnapshotTable[[#This Row],[LC Book Price]]),SnapshotTable[[#This Row],[LC Book Price]] * 1.5,"")</f>
        <v/>
      </c>
      <c r="DY369" s="265" t="str">
        <f>IF(SnapshotTable[[#This Row],[LC Premium]]&gt;0, SnapshotTable[[#This Row],[LC Next Target]] * SnapshotTable[[#This Row],[LC Qty]] * 100,"")</f>
        <v/>
      </c>
      <c r="DZ369" s="265" t="str">
        <f>IF(ISNUMBER(SnapshotTable[[#This Row],[LC Target Gross]]), SnapshotTable[[#This Row],[LC Target Gross]] - SnapshotTable[[#This Row],[LC Premium]], "")</f>
        <v/>
      </c>
      <c r="EA369" s="305" t="str">
        <f>IF(ISNUMBER(SnapshotTable[[#This Row],[LC Target Gain Loss]]), SnapshotTable[[#This Row],[LC Target Gain Loss]]/SnapshotTable[[#This Row],[LC Premium]], "")</f>
        <v/>
      </c>
      <c r="EB369" s="262"/>
      <c r="EC369" s="283" t="str">
        <f>IF(SnapshotTable[[#This Row],[LC Premium]]&gt;0, SnapshotTable[[#This Row],[LC Book Price]] * (1 - LC_StopLoss_Pct),"")</f>
        <v/>
      </c>
      <c r="ED369" s="284"/>
      <c r="EE369" s="28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4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7"/>
      <c r="EL369" s="138"/>
      <c r="EM369" s="148"/>
      <c r="EN369" s="147"/>
      <c r="EO369" s="147"/>
      <c r="EP369" s="138"/>
      <c r="EQ369" s="419" t="b">
        <f>AND(ISNUMBER(SnapshotTable[[#This Row],[SC Exp Date]]), ISNUMBER(SnapshotTable[[#This Row],[SC Strike Price]]), ISNUMBER(SnapshotTable[[#This Row],[SC Qty]]), ISNUMBER(SnapshotTable[[#This Row],[SC Book Date]]), ISNUMBER(SnapshotTable[[#This Row],[SC Book Price]]))</f>
        <v>0</v>
      </c>
      <c r="ER369" s="419" t="b">
        <f>AND(SnapshotTable[[#This Row],[SC Is Booked]], NOT(ISBLANK(SnapshotTable[[#This Row],[SC Fill Date]])))</f>
        <v>0</v>
      </c>
      <c r="ES369" s="370"/>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3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283"/>
      <c r="FA369" s="218"/>
      <c r="FB369" s="370"/>
      <c r="FC369" s="4">
        <f>IF(SnapshotTable[[#This Row],[SC Is Filled]], btc_max_buyback_amount(SnapshotTable[[#This Row],[SC Fill Date]],SnapshotTable[[#This Row],[SC Exp Date]], SnapshotTable[[#This Row],[SC Book Price]]),0)</f>
        <v>0</v>
      </c>
      <c r="FD369" s="5"/>
      <c r="FE369" s="144"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382">
        <f>IF(SnapshotTable[[#This Row],[SC Is Filled]], IF(ISNUMBER(SnapshotTable[[#This Row],[SC Current Ask]]), SnapshotTable[[#This Row],[SC Current Ask]], SnapshotTable[[#This Row],[SC Book Price]]) - SnapshotTable[[#This Row],[SC Intrinsic Value]], 0)</f>
        <v>0</v>
      </c>
      <c r="FI369" s="143"/>
      <c r="FJ369" s="32" t="str">
        <f>IF(SnapshotTable[[#This Row],[SC Is Filled]],100 * SnapshotTable[[#This Row],[SC Qty]] * IF(ISNUMBER(SnapshotTable[[#This Row],[SC Buyback Override]]), SnapshotTable[[#This Row],[SC Buyback Override]], SnapshotTable[[#This Row],[SC Current Ask]]), "")</f>
        <v/>
      </c>
      <c r="FK369" s="250" t="str">
        <f>IF(SnapshotTable[[#This Row],[SC Time Val]]&gt;0, SnapshotTable[[#This Row],[SC Time Val]] / SnapshotTable[[#This Row],[Last Price]],"")</f>
        <v/>
      </c>
      <c r="FL369" s="302" t="str">
        <f>IF(SnapshotTable[[#This Row],[SC Is Booked]], ((SnapshotTable[[#This Row],[Last Price]] -SnapshotTable[[#This Row],[SC Strike Price]]) / SnapshotTable[[#This Row],[Last Price]]) * -1, "")</f>
        <v/>
      </c>
      <c r="FM369" s="157"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33"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36" t="str">
        <f>IF(AND(ISNUMBER(SnapshotTable[[#This Row],[SC Simple ROO]]),SnapshotTable[[#This Row],[SC Simple ROO]] &gt; 0), SnapshotTable[[#This Row],[SC Premium]] + (SnapshotTable[[#This Row],[SC Qty]] * SnapshotTable[[#This Row],[SC Upside Potential]]), "")</f>
        <v/>
      </c>
      <c r="FX369" s="302" t="str" cm="1">
        <f t="array" ref="FX369">IF(ISNUMBER(SnapshotTable[[#This Row],[SC Max Dollars]]), annualize(SnapshotTable[[#This Row],[SC Term]],(SnapshotTable[[#This Row],[SC Max Dollars]]/SnapshotTable[[#This Row],[SC Basis]])),"")</f>
        <v/>
      </c>
      <c r="FY369" s="23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294" t="str">
        <f>IFERROR( IF(ISNUMBER((SnapshotTable[[#This Row],[SC Current Value]])), SnapshotTable[[#This Row],[SC Gain Loss]] / SnapshotTable[[#This Row],[SC Premium]], ""), "")</f>
        <v/>
      </c>
      <c r="GB369" s="42">
        <f>SnapshotTable[[#This Row],[Equity Shares]] * SaleSharesToConsiderPercentage</f>
        <v>0</v>
      </c>
      <c r="GC369" s="40" t="e">
        <f>SnapshotTable[[#This Row],[Long Term Target]] * SellingPriceToConsiderBasedOnTargetPercentage</f>
        <v>#VALUE!</v>
      </c>
      <c r="GD369" s="40">
        <f>SnapshotTable[[#This Row],[Last Price]] * (1+ SellingPriceToConsiderBasedOnTargetPercentage)</f>
        <v>208.494</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31">
        <f>MAX(SnapshotTable[[#This Row],[Equity Basis Total]],SnapshotTable[[#This Row],[Equity Value]]) + (SnapshotTable[[#This Row],[SP Potential Spend]]- SnapshotTable[[#This Row],[SP Premium]] + SnapshotTable[[#This Row],[LP Premium]])+ (SnapshotTable[[#This Row],[LC Premium]] - SnapshotTable[[#This Row],[SC Premium]])</f>
        <v>0</v>
      </c>
      <c r="GW369" s="139" t="str">
        <f>IF(AND(SnapshotTable[[#This Row],[Exposure]] &lt;&gt; 0),SnapshotTable[[#This Row],[Exposure]] / SnapshotTable[[#Totals],[Exposure]], "")</f>
        <v/>
      </c>
      <c r="HK369" s="1"/>
      <c r="HL369" s="1"/>
      <c r="HM369" s="1"/>
      <c r="HN369" s="1"/>
      <c r="HO369" s="1"/>
      <c r="HP369" s="1"/>
    </row>
    <row r="370" spans="2:224" ht="12.75" hidden="1" customHeight="1" x14ac:dyDescent="0.25">
      <c r="B370" s="12" t="s">
        <v>166</v>
      </c>
      <c r="C370" s="422">
        <v>50.82</v>
      </c>
      <c r="D370" s="208"/>
      <c r="E370" s="39">
        <f>SnapshotTable[[#This Row],[Last Price]]*(1 -CrashDiscount)</f>
        <v>43.196999999999996</v>
      </c>
      <c r="F370" s="26" t="s">
        <v>5</v>
      </c>
      <c r="G370" s="26" t="s">
        <v>4</v>
      </c>
      <c r="H370" s="149"/>
      <c r="I370" s="194">
        <v>44770.694444444445</v>
      </c>
      <c r="J370" s="195">
        <v>44770.694444444445</v>
      </c>
      <c r="K370" s="196"/>
      <c r="L370" s="326"/>
      <c r="M370" s="140"/>
      <c r="N370" s="140"/>
      <c r="O370" s="140"/>
      <c r="P370" s="22"/>
      <c r="Q370" s="25"/>
      <c r="R370" s="4" t="str">
        <f>IF(SnapshotTable[[#This Row],[Equity Basis Total]] &gt; 0, SnapshotTable[[#This Row],[Equity Basis Total]] / SnapshotTable[[#This Row],[Equity Shares]], "")</f>
        <v/>
      </c>
      <c r="S370" s="269">
        <f>SnapshotTable[[#This Row],[Last Price]] * SnapshotTable[[#This Row],[Equity Shares]]</f>
        <v>0</v>
      </c>
      <c r="T370" s="269">
        <f>SnapshotTable[[#This Row],[Equity Value]] - SnapshotTable[[#This Row],[Equity Basis Total]]</f>
        <v>0</v>
      </c>
      <c r="U370" s="270" t="str">
        <f>IF(SnapshotTable[[#This Row],[Equity Basis Total]] &gt; 0, SnapshotTable[[#This Row],[Equity G/L]] / SnapshotTable[[#This Row],[Equity Basis Total]], "")</f>
        <v/>
      </c>
      <c r="V370" s="268"/>
      <c r="W370" s="26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7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0">
        <v>0</v>
      </c>
      <c r="AD370" s="151" t="s">
        <v>2</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1" t="s">
        <v>2</v>
      </c>
      <c r="AI370" s="5"/>
      <c r="AJ370" s="138" t="s">
        <v>164</v>
      </c>
      <c r="AK370" s="152" t="str">
        <f>IF(ISNUMBER( SnapshotTable[[#This Row],[EBF Target]]),(SnapshotTable[[#This Row],[EBF Target]] - SnapshotTable[[#This Row],[Last Price]]) / SnapshotTable[[#This Row],[Last Price]], "")</f>
        <v/>
      </c>
      <c r="AL370" s="152"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2" t="str">
        <f>IF(AND(ISNUMBER( SnapshotTable[[#This Row],[Long Term Target]]), ISNUMBER(SnapshotTable[[#This Row],[Last Price]])),(SnapshotTable[[#This Row],[Long Term Target]] - SnapshotTable[[#This Row],[Last Price]]) / SnapshotTable[[#This Row],[Last Price]], "")</f>
        <v/>
      </c>
      <c r="AP370" s="5"/>
      <c r="AQ370" s="38"/>
      <c r="AR370" s="5"/>
      <c r="AS370" s="38"/>
      <c r="AT370" s="146"/>
      <c r="AU370" s="187" t="str">
        <f>IF(OR(SnapshotTable[[#This Row],[LP No Fill]]="Y",SnapshotTable[[#This Row],[SP Is Filled]],SnapshotTable[[#This Row],[LC Not Filled]]="Y",SnapshotTable[[#This Row],[SC Is Filled]]),"Y","")</f>
        <v/>
      </c>
      <c r="AV370" s="219"/>
      <c r="AW370" s="225"/>
      <c r="AX370" s="220"/>
      <c r="AY370" s="219" t="str">
        <f>IF(SnapshotTable[[#This Row],[Implied Move]]&gt;0, SnapshotTable[[#This Row],[Last Price]]-SnapshotTable[[#This Row],[Implied Move]],"")</f>
        <v/>
      </c>
      <c r="AZ370" s="219" t="str">
        <f>IF(SnapshotTable[[#This Row],[Implied Move]]&gt;0, SnapshotTable[[#This Row],[Last Price]] + SnapshotTable[[#This Row],[Implied Move]],"")</f>
        <v/>
      </c>
      <c r="BA370" s="331">
        <v>92.21</v>
      </c>
      <c r="BB370" s="347"/>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51"/>
      <c r="BE370" s="5"/>
      <c r="BF370" s="14"/>
      <c r="BG370" s="13"/>
      <c r="BH370" s="13"/>
      <c r="BI370" s="5"/>
      <c r="BJ370" s="136">
        <f>IF(SnapshotTable[[#This Row],[LP Qty]] &gt; 0, SnapshotTable[[#This Row],[LP Qty]] * SnapshotTable[[#This Row],[LP Book Price]] * 100,0)</f>
        <v>0</v>
      </c>
      <c r="BK370" s="136">
        <f>IF(SnapshotTable[[#This Row],[LP Premium]] &gt; 0, SnapshotTable[[#This Row],[LP Qty]] * SnapshotTable[[#This Row],[LP Strike Price]] * 100,0)</f>
        <v>0</v>
      </c>
      <c r="BL370" s="154"/>
      <c r="BM370" s="385" t="str">
        <f>IF(SnapshotTable[[#This Row],[LP Premium]] &gt; 0,SnapshotTable[[#This Row],[LP Exp Date]]-MAX(SnapshotTable[[#This Row],[LP Book Date]], SnapshotTable[[#This Row],[LP Fill Date]]),"")</f>
        <v/>
      </c>
      <c r="BN370" s="385" t="str">
        <f>IF(ISNUMBER( SnapshotTable[[#This Row],[LP Term]]), SnapshotTable[[#This Row],[LP Exp Date]] - MockToday,"")</f>
        <v/>
      </c>
      <c r="BO370" s="163"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7"/>
      <c r="BU370" s="13"/>
      <c r="BV370" s="5"/>
      <c r="BW370" s="419" t="b">
        <f>AND(ISNUMBER(SnapshotTable[[#This Row],[SP Exp Date]]), ISNUMBER(SnapshotTable[[#This Row],[SP Strike Price]]), ISNUMBER(SnapshotTable[[#This Row],[SP Qty]]), ISNUMBER(SnapshotTable[[#This Row],[SP Book Date]]), ISNUMBER(SnapshotTable[[#This Row],[SP Book Price]]))</f>
        <v>0</v>
      </c>
      <c r="BX370" s="419" t="b">
        <f>AND(SnapshotTable[[#This Row],[SP Is Booked]], NOT(ISBLANK(SnapshotTable[[#This Row],[SP Fill Date]])))</f>
        <v>0</v>
      </c>
      <c r="BY370" s="33">
        <f>IF(SnapshotTable[[#This Row],[SP Is Booked]], SnapshotTable[[#This Row],[SP Qty]] * SnapshotTable[[#This Row],[SP Book Price]] * 100, 0)</f>
        <v>0</v>
      </c>
      <c r="BZ370" s="369"/>
      <c r="CA370" s="368">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3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44"/>
      <c r="CK370" s="31">
        <f>IF(ISNUMBER(SnapshotTable[[#This Row],[SP Potential Spend]]),IF(ISNUMBER(SnapshotTable[[#This Row],[SP POW]]), SnapshotTable[[#This Row],[SP POW]] * SnapshotTable[[#This Row],[SP Potential Spend]], SnapshotTable[[#This Row],[SP Potential Spend]]), "")</f>
        <v>0</v>
      </c>
      <c r="CL370" s="164">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8"/>
      <c r="CO370" s="369"/>
      <c r="CP370" s="4" t="str">
        <f>IF(SnapshotTable[[#This Row],[SP Is Filled]], btc_max_buyback_amount(SnapshotTable[[#This Row],[SP Fill Date]],SnapshotTable[[#This Row],[SP Exp Date]], SnapshotTable[[#This Row],[SP Book Price]]),"")</f>
        <v/>
      </c>
      <c r="CQ370" s="78"/>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5" t="str">
        <f>IF(SnapshotTable[[#This Row],[SP Is Filled]], btc_next_cutoff_date(SnapshotTable[[#This Row],[SP Fill Date]],SnapshotTable[[#This Row],[SP Exp Date]]),"")</f>
        <v/>
      </c>
      <c r="CT370" s="23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3"/>
      <c r="CV370" s="235"/>
      <c r="CW370" s="378"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294" t="str">
        <f>IF(ISNUMBER((SnapshotTable[[#This Row],[SP Total Value]])), SnapshotTable[[#This Row],[SP Gain Loss]] / SnapshotTable[[#This Row],[SP Premium]], "")</f>
        <v/>
      </c>
      <c r="DI370" s="406"/>
      <c r="DJ370" s="138"/>
      <c r="DK370" s="148"/>
      <c r="DL370" s="13"/>
      <c r="DM370" s="13"/>
      <c r="DO370" s="31">
        <f>IF(SnapshotTable[[#This Row],[LC Symbol Count]]=1, SnapshotTable[[#This Row],[LC Qty]] * SnapshotTable[[#This Row],[LC Book Price]] * 100, 0)</f>
        <v>0</v>
      </c>
      <c r="DP370" s="163" t="str">
        <f>IF(AND(SnapshotTable[[#This Row],[LC Exp Date]]&gt;0, SnapshotTable[[#This Row],[LC Strike Price]]&gt;0,SnapshotTable[[#This Row],[LC Qty]]&gt;0,SnapshotTable[[#This Row],[LC Book Date]]&gt;0,SnapshotTable[[#This Row],[LC Book Price]]&gt;0,SnapshotTable[[#This Row],[LC Fill Date]]=0),"Y","")</f>
        <v/>
      </c>
      <c r="DQ370" s="386" t="str">
        <f>IF(SnapshotTable[[#This Row],[LC Premium]] &gt; 0,SnapshotTable[[#This Row],[LC Exp Date]]-MAX(SnapshotTable[[#This Row],[LC Book Date]], SnapshotTable[[#This Row],[LC Fill Date]]),"")</f>
        <v/>
      </c>
      <c r="DR370" s="386" t="str">
        <f>IF(ISNUMBER(SnapshotTable[[#This Row],[LC Term]]), SnapshotTable[[#This Row],[LC Exp Date]] - MockToday, "")</f>
        <v/>
      </c>
      <c r="DS370" s="234" t="str">
        <f>IF(SnapshotTable[[#This Row],[LC Premium]]&gt;0,SnapshotTable[[#This Row],[LC Strike Price]] + SnapshotTable[[#This Row],[LC Book Price]],"")</f>
        <v/>
      </c>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40" t="str">
        <f>IF(ISNUMBER(SnapshotTable[[#This Row],[LC Actual Gain Loss]]), SnapshotTable[[#This Row],[LC Actual Gain Loss]] / SnapshotTable[[#This Row],[LC Premium]],"")</f>
        <v/>
      </c>
      <c r="DX370" s="284" t="str">
        <f>IF(ISNUMBER(SnapshotTable[[#This Row],[LC Book Price]]),SnapshotTable[[#This Row],[LC Book Price]] * 1.5,"")</f>
        <v/>
      </c>
      <c r="DY370" s="265" t="str">
        <f>IF(SnapshotTable[[#This Row],[LC Premium]]&gt;0, SnapshotTable[[#This Row],[LC Next Target]] * SnapshotTable[[#This Row],[LC Qty]] * 100,"")</f>
        <v/>
      </c>
      <c r="DZ370" s="265" t="str">
        <f>IF(ISNUMBER(SnapshotTable[[#This Row],[LC Target Gross]]), SnapshotTable[[#This Row],[LC Target Gross]] - SnapshotTable[[#This Row],[LC Premium]], "")</f>
        <v/>
      </c>
      <c r="EA370" s="305" t="str">
        <f>IF(ISNUMBER(SnapshotTable[[#This Row],[LC Target Gain Loss]]), SnapshotTable[[#This Row],[LC Target Gain Loss]]/SnapshotTable[[#This Row],[LC Premium]], "")</f>
        <v/>
      </c>
      <c r="EB370" s="262"/>
      <c r="EC370" s="283" t="str">
        <f>IF(SnapshotTable[[#This Row],[LC Premium]]&gt;0, SnapshotTable[[#This Row],[LC Book Price]] * (1 - LC_StopLoss_Pct),"")</f>
        <v/>
      </c>
      <c r="ED370" s="284"/>
      <c r="EE370" s="28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4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7"/>
      <c r="EL370" s="138">
        <v>89</v>
      </c>
      <c r="EM370" s="148">
        <v>0</v>
      </c>
      <c r="EN370" s="147">
        <v>45076</v>
      </c>
      <c r="EO370" s="147"/>
      <c r="EP370" s="138">
        <v>4.95</v>
      </c>
      <c r="EQ370" s="419" t="b">
        <f>AND(ISNUMBER(SnapshotTable[[#This Row],[SC Exp Date]]), ISNUMBER(SnapshotTable[[#This Row],[SC Strike Price]]), ISNUMBER(SnapshotTable[[#This Row],[SC Qty]]), ISNUMBER(SnapshotTable[[#This Row],[SC Book Date]]), ISNUMBER(SnapshotTable[[#This Row],[SC Book Price]]))</f>
        <v>0</v>
      </c>
      <c r="ER370" s="419" t="b">
        <f>AND(SnapshotTable[[#This Row],[SC Is Booked]], NOT(ISBLANK(SnapshotTable[[#This Row],[SC Fill Date]])))</f>
        <v>0</v>
      </c>
      <c r="ES370" s="370"/>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f>IF(AND(ISNUMBER(SnapshotTable[[#This Row],[Last Price]]), ISNUMBER( SnapshotTable[[#This Row],[SC Book Price]])), SnapshotTable[[#This Row],[Last Price]] - SnapshotTable[[#This Row],[SC Book Price]],"")</f>
        <v>45.87</v>
      </c>
      <c r="EX370" s="23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283"/>
      <c r="FA370" s="423"/>
      <c r="FB370" s="370"/>
      <c r="FC370" s="4">
        <f>IF(SnapshotTable[[#This Row],[SC Is Filled]], btc_max_buyback_amount(SnapshotTable[[#This Row],[SC Fill Date]],SnapshotTable[[#This Row],[SC Exp Date]], SnapshotTable[[#This Row],[SC Book Price]]),0)</f>
        <v>0</v>
      </c>
      <c r="FD370" s="5"/>
      <c r="FE370" s="144"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382">
        <f>IF(SnapshotTable[[#This Row],[SC Is Filled]], IF(ISNUMBER(SnapshotTable[[#This Row],[SC Current Ask]]), SnapshotTable[[#This Row],[SC Current Ask]], SnapshotTable[[#This Row],[SC Book Price]]) - SnapshotTable[[#This Row],[SC Intrinsic Value]], 0)</f>
        <v>0</v>
      </c>
      <c r="FI370" s="143"/>
      <c r="FJ370" s="32" t="str">
        <f>IF(SnapshotTable[[#This Row],[SC Is Filled]],100 * SnapshotTable[[#This Row],[SC Qty]] * IF(ISNUMBER(SnapshotTable[[#This Row],[SC Buyback Override]]), SnapshotTable[[#This Row],[SC Buyback Override]], SnapshotTable[[#This Row],[SC Current Ask]]), "")</f>
        <v/>
      </c>
      <c r="FK370" s="250" t="str">
        <f>IF(SnapshotTable[[#This Row],[SC Time Val]]&gt;0, SnapshotTable[[#This Row],[SC Time Val]] / SnapshotTable[[#This Row],[Last Price]],"")</f>
        <v/>
      </c>
      <c r="FL370" s="302" t="str">
        <f>IF(SnapshotTable[[#This Row],[SC Is Booked]], ((SnapshotTable[[#This Row],[Last Price]] -SnapshotTable[[#This Row],[SC Strike Price]]) / SnapshotTable[[#This Row],[Last Price]]) * -1, "")</f>
        <v/>
      </c>
      <c r="FM370" s="157"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38.18</v>
      </c>
      <c r="FT370" s="27">
        <f>IF(AND(ISNUMBER(SnapshotTable[[#This Row],[SC Upside Potential]]), SnapshotTable[[#This Row],[SC Upside Potential]] &gt; 0),(SnapshotTable[[#This Row],[SC Upside Potential]]/ SnapshotTable[[#This Row],[ACB]]),"")</f>
        <v>0.4140548747424358</v>
      </c>
      <c r="FU370" s="333"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36" t="str">
        <f>IF(AND(ISNUMBER(SnapshotTable[[#This Row],[SC Simple ROO]]),SnapshotTable[[#This Row],[SC Simple ROO]] &gt; 0), SnapshotTable[[#This Row],[SC Premium]] + (SnapshotTable[[#This Row],[SC Qty]] * SnapshotTable[[#This Row],[SC Upside Potential]]), "")</f>
        <v/>
      </c>
      <c r="FX370" s="302" t="str" cm="1">
        <f t="array" ref="FX370">IF(ISNUMBER(SnapshotTable[[#This Row],[SC Max Dollars]]), annualize(SnapshotTable[[#This Row],[SC Term]],(SnapshotTable[[#This Row],[SC Max Dollars]]/SnapshotTable[[#This Row],[SC Basis]])),"")</f>
        <v/>
      </c>
      <c r="FY370" s="23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294" t="str">
        <f>IFERROR( IF(ISNUMBER((SnapshotTable[[#This Row],[SC Current Value]])), SnapshotTable[[#This Row],[SC Gain Loss]] / SnapshotTable[[#This Row],[SC Premium]], ""), "")</f>
        <v/>
      </c>
      <c r="GB370" s="42">
        <f>SnapshotTable[[#This Row],[Equity Shares]] * SaleSharesToConsiderPercentage</f>
        <v>0</v>
      </c>
      <c r="GC370" s="40" t="e">
        <f>SnapshotTable[[#This Row],[Long Term Target]] * SellingPriceToConsiderBasedOnTargetPercentage</f>
        <v>#VALUE!</v>
      </c>
      <c r="GD370" s="40">
        <f>SnapshotTable[[#This Row],[Last Price]] * (1+ SellingPriceToConsiderBasedOnTargetPercentage)</f>
        <v>99.099000000000004</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802</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31">
        <f>MAX(SnapshotTable[[#This Row],[Equity Basis Total]],SnapshotTable[[#This Row],[Equity Value]]) + (SnapshotTable[[#This Row],[SP Potential Spend]]- SnapshotTable[[#This Row],[SP Premium]] + SnapshotTable[[#This Row],[LP Premium]])+ (SnapshotTable[[#This Row],[LC Premium]] - SnapshotTable[[#This Row],[SC Premium]])</f>
        <v>0</v>
      </c>
      <c r="GW370" s="139" t="str">
        <f>IF(AND(SnapshotTable[[#This Row],[Exposure]] &lt;&gt; 0),SnapshotTable[[#This Row],[Exposure]] / SnapshotTable[[#Totals],[Exposure]], "")</f>
        <v/>
      </c>
      <c r="HK370" s="1"/>
      <c r="HL370" s="1"/>
      <c r="HM370" s="1"/>
      <c r="HN370" s="1"/>
      <c r="HO370" s="1"/>
      <c r="HP370" s="1"/>
    </row>
    <row r="371" spans="2:224" ht="12.75" hidden="1" customHeight="1" x14ac:dyDescent="0.25">
      <c r="B371" s="12" t="s">
        <v>165</v>
      </c>
      <c r="C371" s="422">
        <v>59.2</v>
      </c>
      <c r="D371" s="208" t="s">
        <v>578</v>
      </c>
      <c r="E371" s="39">
        <f>SnapshotTable[[#This Row],[Last Price]]*(1 -CrashDiscount)</f>
        <v>50.32</v>
      </c>
      <c r="F371" s="26" t="s">
        <v>5</v>
      </c>
      <c r="G371" s="26" t="s">
        <v>4</v>
      </c>
      <c r="H371" s="149"/>
      <c r="I371" s="194">
        <v>44770.694444444445</v>
      </c>
      <c r="J371" s="195">
        <v>44770.694444444445</v>
      </c>
      <c r="K371" s="196"/>
      <c r="L371" s="326"/>
      <c r="M371" s="140"/>
      <c r="N371" s="140"/>
      <c r="O371" s="140">
        <v>3</v>
      </c>
      <c r="P371" s="22"/>
      <c r="Q371" s="25"/>
      <c r="R371" s="4" t="str">
        <f>IF(SnapshotTable[[#This Row],[Equity Basis Total]] &gt; 0, SnapshotTable[[#This Row],[Equity Basis Total]] / SnapshotTable[[#This Row],[Equity Shares]], "")</f>
        <v/>
      </c>
      <c r="S371" s="269">
        <f>SnapshotTable[[#This Row],[Last Price]] * SnapshotTable[[#This Row],[Equity Shares]]</f>
        <v>0</v>
      </c>
      <c r="T371" s="269">
        <f>SnapshotTable[[#This Row],[Equity Value]] - SnapshotTable[[#This Row],[Equity Basis Total]]</f>
        <v>0</v>
      </c>
      <c r="U371" s="270" t="str">
        <f>IF(SnapshotTable[[#This Row],[Equity Basis Total]] &gt; 0, SnapshotTable[[#This Row],[Equity G/L]] / SnapshotTable[[#This Row],[Equity Basis Total]], "")</f>
        <v/>
      </c>
      <c r="V371" s="268"/>
      <c r="W371" s="26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7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0"/>
      <c r="AD371" s="151" t="s">
        <v>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0</v>
      </c>
      <c r="AH371" s="151"/>
      <c r="AI371" s="5"/>
      <c r="AJ371" s="138" t="s">
        <v>164</v>
      </c>
      <c r="AK371" s="152" t="str">
        <f>IF(ISNUMBER( SnapshotTable[[#This Row],[EBF Target]]),(SnapshotTable[[#This Row],[EBF Target]] - SnapshotTable[[#This Row],[Last Price]]) / SnapshotTable[[#This Row],[Last Price]], "")</f>
        <v/>
      </c>
      <c r="AL371" s="152"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2" t="str">
        <f>IF(AND(ISNUMBER( SnapshotTable[[#This Row],[Long Term Target]]), ISNUMBER(SnapshotTable[[#This Row],[Last Price]])),(SnapshotTable[[#This Row],[Long Term Target]] - SnapshotTable[[#This Row],[Last Price]]) / SnapshotTable[[#This Row],[Last Price]], "")</f>
        <v/>
      </c>
      <c r="AP371" s="5"/>
      <c r="AQ371" s="38"/>
      <c r="AR371" s="5"/>
      <c r="AS371" s="38"/>
      <c r="AT371" s="146"/>
      <c r="AU371" s="187" t="str">
        <f>IF(OR(SnapshotTable[[#This Row],[LP No Fill]]="Y",SnapshotTable[[#This Row],[SP Is Filled]],SnapshotTable[[#This Row],[LC Not Filled]]="Y",SnapshotTable[[#This Row],[SC Is Filled]]),"Y","")</f>
        <v/>
      </c>
      <c r="AV371" s="219"/>
      <c r="AW371" s="225">
        <v>3.8820000000000001</v>
      </c>
      <c r="AX371" s="220">
        <v>44302</v>
      </c>
      <c r="AY371" s="219">
        <f>IF(SnapshotTable[[#This Row],[Implied Move]]&gt;0, SnapshotTable[[#This Row],[Last Price]]-SnapshotTable[[#This Row],[Implied Move]],"")</f>
        <v>55.318000000000005</v>
      </c>
      <c r="AZ371" s="219">
        <f>IF(SnapshotTable[[#This Row],[Implied Move]]&gt;0, SnapshotTable[[#This Row],[Last Price]] + SnapshotTable[[#This Row],[Implied Move]],"")</f>
        <v>63.082000000000001</v>
      </c>
      <c r="BA371" s="331">
        <v>92.21</v>
      </c>
      <c r="BB371" s="347"/>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51"/>
      <c r="BE371" s="5"/>
      <c r="BF371" s="14"/>
      <c r="BG371" s="13"/>
      <c r="BH371" s="13"/>
      <c r="BI371" s="5"/>
      <c r="BJ371" s="136">
        <f>IF(SnapshotTable[[#This Row],[LP Qty]] &gt; 0, SnapshotTable[[#This Row],[LP Qty]] * SnapshotTable[[#This Row],[LP Book Price]] * 100,0)</f>
        <v>0</v>
      </c>
      <c r="BK371" s="136">
        <f>IF(SnapshotTable[[#This Row],[LP Premium]] &gt; 0, SnapshotTable[[#This Row],[LP Qty]] * SnapshotTable[[#This Row],[LP Strike Price]] * 100,0)</f>
        <v>0</v>
      </c>
      <c r="BL371" s="154"/>
      <c r="BM371" s="385" t="str">
        <f>IF(SnapshotTable[[#This Row],[LP Premium]] &gt; 0,SnapshotTable[[#This Row],[LP Exp Date]]-MAX(SnapshotTable[[#This Row],[LP Book Date]], SnapshotTable[[#This Row],[LP Fill Date]]),"")</f>
        <v/>
      </c>
      <c r="BN371" s="385" t="str">
        <f>IF(ISNUMBER( SnapshotTable[[#This Row],[LP Term]]), SnapshotTable[[#This Row],[LP Exp Date]] - MockToday,"")</f>
        <v/>
      </c>
      <c r="BO371" s="163"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7"/>
      <c r="BU371" s="13"/>
      <c r="BV371" s="5"/>
      <c r="BW371" s="419" t="b">
        <f>AND(ISNUMBER(SnapshotTable[[#This Row],[SP Exp Date]]), ISNUMBER(SnapshotTable[[#This Row],[SP Strike Price]]), ISNUMBER(SnapshotTable[[#This Row],[SP Qty]]), ISNUMBER(SnapshotTable[[#This Row],[SP Book Date]]), ISNUMBER(SnapshotTable[[#This Row],[SP Book Price]]))</f>
        <v>0</v>
      </c>
      <c r="BX371" s="419" t="b">
        <f>AND(SnapshotTable[[#This Row],[SP Is Booked]], NOT(ISBLANK(SnapshotTable[[#This Row],[SP Fill Date]])))</f>
        <v>0</v>
      </c>
      <c r="BY371" s="33">
        <f>IF(SnapshotTable[[#This Row],[SP Is Booked]], SnapshotTable[[#This Row],[SP Qty]] * SnapshotTable[[#This Row],[SP Book Price]] * 100, 0)</f>
        <v>0</v>
      </c>
      <c r="BZ371" s="369"/>
      <c r="CA371" s="368">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3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44"/>
      <c r="CK371" s="31">
        <f>IF(ISNUMBER(SnapshotTable[[#This Row],[SP Potential Spend]]),IF(ISNUMBER(SnapshotTable[[#This Row],[SP POW]]), SnapshotTable[[#This Row],[SP POW]] * SnapshotTable[[#This Row],[SP Potential Spend]], SnapshotTable[[#This Row],[SP Potential Spend]]), "")</f>
        <v>0</v>
      </c>
      <c r="CL371" s="164">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78"/>
      <c r="CO371" s="369"/>
      <c r="CP371" s="4" t="str">
        <f>IF(SnapshotTable[[#This Row],[SP Is Filled]], btc_max_buyback_amount(SnapshotTable[[#This Row],[SP Fill Date]],SnapshotTable[[#This Row],[SP Exp Date]], SnapshotTable[[#This Row],[SP Book Price]]),"")</f>
        <v/>
      </c>
      <c r="CQ371" s="78"/>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5" t="str">
        <f>IF(SnapshotTable[[#This Row],[SP Is Filled]], btc_next_cutoff_date(SnapshotTable[[#This Row],[SP Fill Date]],SnapshotTable[[#This Row],[SP Exp Date]]),"")</f>
        <v/>
      </c>
      <c r="CT371" s="23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3"/>
      <c r="CV371" s="235"/>
      <c r="CW371" s="378"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294" t="str">
        <f>IF(ISNUMBER((SnapshotTable[[#This Row],[SP Total Value]])), SnapshotTable[[#This Row],[SP Gain Loss]] / SnapshotTable[[#This Row],[SP Premium]], "")</f>
        <v/>
      </c>
      <c r="DI371" s="406"/>
      <c r="DJ371" s="138"/>
      <c r="DK371" s="148"/>
      <c r="DL371" s="13"/>
      <c r="DM371" s="13"/>
      <c r="DO371" s="31">
        <f>IF(SnapshotTable[[#This Row],[LC Symbol Count]]=1, SnapshotTable[[#This Row],[LC Qty]] * SnapshotTable[[#This Row],[LC Book Price]] * 100, 0)</f>
        <v>0</v>
      </c>
      <c r="DP371" s="163" t="str">
        <f>IF(AND(SnapshotTable[[#This Row],[LC Exp Date]]&gt;0, SnapshotTable[[#This Row],[LC Strike Price]]&gt;0,SnapshotTable[[#This Row],[LC Qty]]&gt;0,SnapshotTable[[#This Row],[LC Book Date]]&gt;0,SnapshotTable[[#This Row],[LC Book Price]]&gt;0,SnapshotTable[[#This Row],[LC Fill Date]]=0),"Y","")</f>
        <v/>
      </c>
      <c r="DQ371" s="386" t="str">
        <f>IF(SnapshotTable[[#This Row],[LC Premium]] &gt; 0,SnapshotTable[[#This Row],[LC Exp Date]]-MAX(SnapshotTable[[#This Row],[LC Book Date]], SnapshotTable[[#This Row],[LC Fill Date]]),"")</f>
        <v/>
      </c>
      <c r="DR371" s="386" t="str">
        <f>IF(ISNUMBER(SnapshotTable[[#This Row],[LC Term]]), SnapshotTable[[#This Row],[LC Exp Date]] - MockToday, "")</f>
        <v/>
      </c>
      <c r="DS371" s="234" t="str">
        <f>IF(SnapshotTable[[#This Row],[LC Premium]]&gt;0,SnapshotTable[[#This Row],[LC Strike Price]] + SnapshotTable[[#This Row],[LC Book Price]],"")</f>
        <v/>
      </c>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40" t="str">
        <f>IF(ISNUMBER(SnapshotTable[[#This Row],[LC Actual Gain Loss]]), SnapshotTable[[#This Row],[LC Actual Gain Loss]] / SnapshotTable[[#This Row],[LC Premium]],"")</f>
        <v/>
      </c>
      <c r="DX371" s="284" t="str">
        <f>IF(ISNUMBER(SnapshotTable[[#This Row],[LC Book Price]]),SnapshotTable[[#This Row],[LC Book Price]] * 1.5,"")</f>
        <v/>
      </c>
      <c r="DY371" s="265" t="str">
        <f>IF(SnapshotTable[[#This Row],[LC Premium]]&gt;0, SnapshotTable[[#This Row],[LC Next Target]] * SnapshotTable[[#This Row],[LC Qty]] * 100,"")</f>
        <v/>
      </c>
      <c r="DZ371" s="265" t="str">
        <f>IF(ISNUMBER(SnapshotTable[[#This Row],[LC Target Gross]]), SnapshotTable[[#This Row],[LC Target Gross]] - SnapshotTable[[#This Row],[LC Premium]], "")</f>
        <v/>
      </c>
      <c r="EA371" s="305" t="str">
        <f>IF(ISNUMBER(SnapshotTable[[#This Row],[LC Target Gain Loss]]), SnapshotTable[[#This Row],[LC Target Gain Loss]]/SnapshotTable[[#This Row],[LC Premium]], "")</f>
        <v/>
      </c>
      <c r="EB371" s="262"/>
      <c r="EC371" s="283" t="str">
        <f>IF(SnapshotTable[[#This Row],[LC Premium]]&gt;0, SnapshotTable[[#This Row],[LC Book Price]] * (1 - LC_StopLoss_Pct),"")</f>
        <v/>
      </c>
      <c r="ED371" s="284"/>
      <c r="EE371" s="28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4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7"/>
      <c r="EL371" s="138">
        <v>95</v>
      </c>
      <c r="EM371" s="148">
        <v>0</v>
      </c>
      <c r="EN371" s="147">
        <v>45076</v>
      </c>
      <c r="EO371" s="147"/>
      <c r="EP371" s="138">
        <v>1.77</v>
      </c>
      <c r="EQ371" s="419" t="b">
        <f>AND(ISNUMBER(SnapshotTable[[#This Row],[SC Exp Date]]), ISNUMBER(SnapshotTable[[#This Row],[SC Strike Price]]), ISNUMBER(SnapshotTable[[#This Row],[SC Qty]]), ISNUMBER(SnapshotTable[[#This Row],[SC Book Date]]), ISNUMBER(SnapshotTable[[#This Row],[SC Book Price]]))</f>
        <v>0</v>
      </c>
      <c r="ER371" s="419" t="b">
        <f>AND(SnapshotTable[[#This Row],[SC Is Booked]], NOT(ISBLANK(SnapshotTable[[#This Row],[SC Fill Date]])))</f>
        <v>0</v>
      </c>
      <c r="ES371" s="370"/>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f>IF(AND(ISNUMBER(SnapshotTable[[#This Row],[Last Price]]), ISNUMBER( SnapshotTable[[#This Row],[SC Book Price]])), SnapshotTable[[#This Row],[Last Price]] - SnapshotTable[[#This Row],[SC Book Price]],"")</f>
        <v>57.43</v>
      </c>
      <c r="EX371" s="23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283"/>
      <c r="FA371" s="423"/>
      <c r="FB371" s="370"/>
      <c r="FC371" s="4">
        <f>IF(SnapshotTable[[#This Row],[SC Is Filled]], btc_max_buyback_amount(SnapshotTable[[#This Row],[SC Fill Date]],SnapshotTable[[#This Row],[SC Exp Date]], SnapshotTable[[#This Row],[SC Book Price]]),0)</f>
        <v>0</v>
      </c>
      <c r="FD371" s="5"/>
      <c r="FE371" s="144"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382">
        <f>IF(SnapshotTable[[#This Row],[SC Is Filled]], IF(ISNUMBER(SnapshotTable[[#This Row],[SC Current Ask]]), SnapshotTable[[#This Row],[SC Current Ask]], SnapshotTable[[#This Row],[SC Book Price]]) - SnapshotTable[[#This Row],[SC Intrinsic Value]], 0)</f>
        <v>0</v>
      </c>
      <c r="FI371" s="143"/>
      <c r="FJ371" s="32" t="str">
        <f>IF(SnapshotTable[[#This Row],[SC Is Filled]],100 * SnapshotTable[[#This Row],[SC Qty]] * IF(ISNUMBER(SnapshotTable[[#This Row],[SC Buyback Override]]), SnapshotTable[[#This Row],[SC Buyback Override]], SnapshotTable[[#This Row],[SC Current Ask]]), "")</f>
        <v/>
      </c>
      <c r="FK371" s="250" t="str">
        <f>IF(SnapshotTable[[#This Row],[SC Time Val]]&gt;0, SnapshotTable[[#This Row],[SC Time Val]] / SnapshotTable[[#This Row],[Last Price]],"")</f>
        <v/>
      </c>
      <c r="FL371" s="302" t="str">
        <f>IF(SnapshotTable[[#This Row],[SC Is Booked]], ((SnapshotTable[[#This Row],[Last Price]] -SnapshotTable[[#This Row],[SC Strike Price]]) / SnapshotTable[[#This Row],[Last Price]]) * -1, "")</f>
        <v/>
      </c>
      <c r="FM371" s="157"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35.799999999999997</v>
      </c>
      <c r="FT371" s="27">
        <f>IF(AND(ISNUMBER(SnapshotTable[[#This Row],[SC Upside Potential]]), SnapshotTable[[#This Row],[SC Upside Potential]] &gt; 0),(SnapshotTable[[#This Row],[SC Upside Potential]]/ SnapshotTable[[#This Row],[ACB]]),"")</f>
        <v>0.38824422513827134</v>
      </c>
      <c r="FU371" s="333"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36" t="str">
        <f>IF(AND(ISNUMBER(SnapshotTable[[#This Row],[SC Simple ROO]]),SnapshotTable[[#This Row],[SC Simple ROO]] &gt; 0), SnapshotTable[[#This Row],[SC Premium]] + (SnapshotTable[[#This Row],[SC Qty]] * SnapshotTable[[#This Row],[SC Upside Potential]]), "")</f>
        <v/>
      </c>
      <c r="FX371" s="302" t="str" cm="1">
        <f t="array" ref="FX371">IF(ISNUMBER(SnapshotTable[[#This Row],[SC Max Dollars]]), annualize(SnapshotTable[[#This Row],[SC Term]],(SnapshotTable[[#This Row],[SC Max Dollars]]/SnapshotTable[[#This Row],[SC Basis]])),"")</f>
        <v/>
      </c>
      <c r="FY371" s="23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294" t="str">
        <f>IFERROR( IF(ISNUMBER((SnapshotTable[[#This Row],[SC Current Value]])), SnapshotTable[[#This Row],[SC Gain Loss]] / SnapshotTable[[#This Row],[SC Premium]], ""), "")</f>
        <v/>
      </c>
      <c r="GB371" s="42">
        <f>SnapshotTable[[#This Row],[Equity Shares]] * SaleSharesToConsiderPercentage</f>
        <v>0</v>
      </c>
      <c r="GC371" s="40" t="e">
        <f>SnapshotTable[[#This Row],[Long Term Target]] * SellingPriceToConsiderBasedOnTargetPercentage</f>
        <v>#VALUE!</v>
      </c>
      <c r="GD371" s="40">
        <f>SnapshotTable[[#This Row],[Last Price]] * (1+ SellingPriceToConsiderBasedOnTargetPercentage)</f>
        <v>115.44</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803</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31">
        <f>MAX(SnapshotTable[[#This Row],[Equity Basis Total]],SnapshotTable[[#This Row],[Equity Value]]) + (SnapshotTable[[#This Row],[SP Potential Spend]]- SnapshotTable[[#This Row],[SP Premium]] + SnapshotTable[[#This Row],[LP Premium]])+ (SnapshotTable[[#This Row],[LC Premium]] - SnapshotTable[[#This Row],[SC Premium]])</f>
        <v>0</v>
      </c>
      <c r="GW371" s="139" t="str">
        <f>IF(AND(SnapshotTable[[#This Row],[Exposure]] &lt;&gt; 0),SnapshotTable[[#This Row],[Exposure]] / SnapshotTable[[#Totals],[Exposure]], "")</f>
        <v/>
      </c>
      <c r="HK371" s="1"/>
      <c r="HL371" s="1"/>
      <c r="HM371" s="1"/>
      <c r="HN371" s="1"/>
      <c r="HO371" s="1"/>
      <c r="HP371" s="1"/>
    </row>
    <row r="372" spans="2:224" ht="12.75" hidden="1" customHeight="1" x14ac:dyDescent="0.25">
      <c r="B372" s="12" t="s">
        <v>163</v>
      </c>
      <c r="C372" s="422">
        <v>178.85</v>
      </c>
      <c r="D372" s="208"/>
      <c r="E372" s="39">
        <f>SnapshotTable[[#This Row],[Last Price]]*(1 -CrashDiscount)</f>
        <v>152.02249999999998</v>
      </c>
      <c r="F372" s="26" t="s">
        <v>5</v>
      </c>
      <c r="G372" s="26" t="s">
        <v>4</v>
      </c>
      <c r="H372" s="149"/>
      <c r="I372" s="194">
        <v>44770.694444444445</v>
      </c>
      <c r="J372" s="195">
        <v>44770.694444444445</v>
      </c>
      <c r="K372" s="196"/>
      <c r="L372" s="326"/>
      <c r="M372" s="140"/>
      <c r="N372" s="140"/>
      <c r="O372" s="140">
        <v>1</v>
      </c>
      <c r="P372" s="22"/>
      <c r="Q372" s="25"/>
      <c r="R372" s="4" t="str">
        <f>IF(SnapshotTable[[#This Row],[Equity Basis Total]] &gt; 0, SnapshotTable[[#This Row],[Equity Basis Total]] / SnapshotTable[[#This Row],[Equity Shares]], "")</f>
        <v/>
      </c>
      <c r="S372" s="269">
        <f>SnapshotTable[[#This Row],[Last Price]] * SnapshotTable[[#This Row],[Equity Shares]]</f>
        <v>0</v>
      </c>
      <c r="T372" s="269">
        <f>SnapshotTable[[#This Row],[Equity Value]] - SnapshotTable[[#This Row],[Equity Basis Total]]</f>
        <v>0</v>
      </c>
      <c r="U372" s="270" t="str">
        <f>IF(SnapshotTable[[#This Row],[Equity Basis Total]] &gt; 0, SnapshotTable[[#This Row],[Equity G/L]] / SnapshotTable[[#This Row],[Equity Basis Total]], "")</f>
        <v/>
      </c>
      <c r="V372" s="268"/>
      <c r="W372" s="26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7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0">
        <v>0</v>
      </c>
      <c r="AD372" s="151" t="s">
        <v>2</v>
      </c>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1" t="s">
        <v>2</v>
      </c>
      <c r="AI372" s="5"/>
      <c r="AJ372" s="138" t="s">
        <v>164</v>
      </c>
      <c r="AK372" s="152" t="str">
        <f>IF(ISNUMBER( SnapshotTable[[#This Row],[EBF Target]]),(SnapshotTable[[#This Row],[EBF Target]] - SnapshotTable[[#This Row],[Last Price]]) / SnapshotTable[[#This Row],[Last Price]], "")</f>
        <v/>
      </c>
      <c r="AL372" s="152"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2" t="str">
        <f>IF(AND(ISNUMBER( SnapshotTable[[#This Row],[Long Term Target]]), ISNUMBER(SnapshotTable[[#This Row],[Last Price]])),(SnapshotTable[[#This Row],[Long Term Target]] - SnapshotTable[[#This Row],[Last Price]]) / SnapshotTable[[#This Row],[Last Price]], "")</f>
        <v/>
      </c>
      <c r="AP372" s="5"/>
      <c r="AQ372" s="38"/>
      <c r="AR372" s="5"/>
      <c r="AS372" s="38"/>
      <c r="AT372" s="146"/>
      <c r="AU372" s="187" t="str">
        <f>IF(OR(SnapshotTable[[#This Row],[LP No Fill]]="Y",SnapshotTable[[#This Row],[SP Is Filled]],SnapshotTable[[#This Row],[LC Not Filled]]="Y",SnapshotTable[[#This Row],[SC Is Filled]]),"Y","")</f>
        <v/>
      </c>
      <c r="AV372" s="219"/>
      <c r="AW372" s="225"/>
      <c r="AX372" s="220"/>
      <c r="AY372" s="219" t="str">
        <f>IF(SnapshotTable[[#This Row],[Implied Move]]&gt;0, SnapshotTable[[#This Row],[Last Price]]-SnapshotTable[[#This Row],[Implied Move]],"")</f>
        <v/>
      </c>
      <c r="AZ372" s="219" t="str">
        <f>IF(SnapshotTable[[#This Row],[Implied Move]]&gt;0, SnapshotTable[[#This Row],[Last Price]] + SnapshotTable[[#This Row],[Implied Move]],"")</f>
        <v/>
      </c>
      <c r="BA372" s="331">
        <v>532.09</v>
      </c>
      <c r="BB372" s="347"/>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51"/>
      <c r="BE372" s="5"/>
      <c r="BF372" s="14"/>
      <c r="BG372" s="13"/>
      <c r="BH372" s="13"/>
      <c r="BI372" s="5"/>
      <c r="BJ372" s="136">
        <f>IF(SnapshotTable[[#This Row],[LP Qty]] &gt; 0, SnapshotTable[[#This Row],[LP Qty]] * SnapshotTable[[#This Row],[LP Book Price]] * 100,0)</f>
        <v>0</v>
      </c>
      <c r="BK372" s="136">
        <f>IF(SnapshotTable[[#This Row],[LP Premium]] &gt; 0, SnapshotTable[[#This Row],[LP Qty]] * SnapshotTable[[#This Row],[LP Strike Price]] * 100,0)</f>
        <v>0</v>
      </c>
      <c r="BL372" s="154"/>
      <c r="BM372" s="385" t="str">
        <f>IF(SnapshotTable[[#This Row],[LP Premium]] &gt; 0,SnapshotTable[[#This Row],[LP Exp Date]]-MAX(SnapshotTable[[#This Row],[LP Book Date]], SnapshotTable[[#This Row],[LP Fill Date]]),"")</f>
        <v/>
      </c>
      <c r="BN372" s="385" t="str">
        <f>IF(ISNUMBER( SnapshotTable[[#This Row],[LP Term]]), SnapshotTable[[#This Row],[LP Exp Date]] - MockToday,"")</f>
        <v/>
      </c>
      <c r="BO372" s="163"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7"/>
      <c r="BU372" s="13"/>
      <c r="BV372" s="5"/>
      <c r="BW372" s="419" t="b">
        <f>AND(ISNUMBER(SnapshotTable[[#This Row],[SP Exp Date]]), ISNUMBER(SnapshotTable[[#This Row],[SP Strike Price]]), ISNUMBER(SnapshotTable[[#This Row],[SP Qty]]), ISNUMBER(SnapshotTable[[#This Row],[SP Book Date]]), ISNUMBER(SnapshotTable[[#This Row],[SP Book Price]]))</f>
        <v>0</v>
      </c>
      <c r="BX372" s="419" t="b">
        <f>AND(SnapshotTable[[#This Row],[SP Is Booked]], NOT(ISBLANK(SnapshotTable[[#This Row],[SP Fill Date]])))</f>
        <v>0</v>
      </c>
      <c r="BY372" s="33">
        <f>IF(SnapshotTable[[#This Row],[SP Is Booked]], SnapshotTable[[#This Row],[SP Qty]] * SnapshotTable[[#This Row],[SP Book Price]] * 100, 0)</f>
        <v>0</v>
      </c>
      <c r="BZ372" s="369"/>
      <c r="CA372" s="368">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3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44"/>
      <c r="CK372" s="31">
        <f>IF(ISNUMBER(SnapshotTable[[#This Row],[SP Potential Spend]]),IF(ISNUMBER(SnapshotTable[[#This Row],[SP POW]]), SnapshotTable[[#This Row],[SP POW]] * SnapshotTable[[#This Row],[SP Potential Spend]], SnapshotTable[[#This Row],[SP Potential Spend]]), "")</f>
        <v>0</v>
      </c>
      <c r="CL372" s="164">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78"/>
      <c r="CO372" s="369"/>
      <c r="CP372" s="4" t="str">
        <f>IF(SnapshotTable[[#This Row],[SP Is Filled]], btc_max_buyback_amount(SnapshotTable[[#This Row],[SP Fill Date]],SnapshotTable[[#This Row],[SP Exp Date]], SnapshotTable[[#This Row],[SP Book Price]]),"")</f>
        <v/>
      </c>
      <c r="CQ372" s="78"/>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5" t="str">
        <f>IF(SnapshotTable[[#This Row],[SP Is Filled]], btc_next_cutoff_date(SnapshotTable[[#This Row],[SP Fill Date]],SnapshotTable[[#This Row],[SP Exp Date]]),"")</f>
        <v/>
      </c>
      <c r="CT372" s="23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43"/>
      <c r="CV372" s="235"/>
      <c r="CW372" s="378"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294" t="str">
        <f>IF(ISNUMBER((SnapshotTable[[#This Row],[SP Total Value]])), SnapshotTable[[#This Row],[SP Gain Loss]] / SnapshotTable[[#This Row],[SP Premium]], "")</f>
        <v/>
      </c>
      <c r="DI372" s="406"/>
      <c r="DJ372" s="138"/>
      <c r="DK372" s="148"/>
      <c r="DL372" s="13"/>
      <c r="DM372" s="13"/>
      <c r="DO372" s="31">
        <f>IF(SnapshotTable[[#This Row],[LC Symbol Count]]=1, SnapshotTable[[#This Row],[LC Qty]] * SnapshotTable[[#This Row],[LC Book Price]] * 100, 0)</f>
        <v>0</v>
      </c>
      <c r="DP372" s="163" t="str">
        <f>IF(AND(SnapshotTable[[#This Row],[LC Exp Date]]&gt;0, SnapshotTable[[#This Row],[LC Strike Price]]&gt;0,SnapshotTable[[#This Row],[LC Qty]]&gt;0,SnapshotTable[[#This Row],[LC Book Date]]&gt;0,SnapshotTable[[#This Row],[LC Book Price]]&gt;0,SnapshotTable[[#This Row],[LC Fill Date]]=0),"Y","")</f>
        <v/>
      </c>
      <c r="DQ372" s="386" t="str">
        <f>IF(SnapshotTable[[#This Row],[LC Premium]] &gt; 0,SnapshotTable[[#This Row],[LC Exp Date]]-MAX(SnapshotTable[[#This Row],[LC Book Date]], SnapshotTable[[#This Row],[LC Fill Date]]),"")</f>
        <v/>
      </c>
      <c r="DR372" s="386" t="str">
        <f>IF(ISNUMBER(SnapshotTable[[#This Row],[LC Term]]), SnapshotTable[[#This Row],[LC Exp Date]] - MockToday, "")</f>
        <v/>
      </c>
      <c r="DS372" s="234" t="str">
        <f>IF(SnapshotTable[[#This Row],[LC Premium]]&gt;0,SnapshotTable[[#This Row],[LC Strike Price]] + SnapshotTable[[#This Row],[LC Book Price]],"")</f>
        <v/>
      </c>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40" t="str">
        <f>IF(ISNUMBER(SnapshotTable[[#This Row],[LC Actual Gain Loss]]), SnapshotTable[[#This Row],[LC Actual Gain Loss]] / SnapshotTable[[#This Row],[LC Premium]],"")</f>
        <v/>
      </c>
      <c r="DX372" s="284" t="str">
        <f>IF(ISNUMBER(SnapshotTable[[#This Row],[LC Book Price]]),SnapshotTable[[#This Row],[LC Book Price]] * 1.5,"")</f>
        <v/>
      </c>
      <c r="DY372" s="265" t="str">
        <f>IF(SnapshotTable[[#This Row],[LC Premium]]&gt;0, SnapshotTable[[#This Row],[LC Next Target]] * SnapshotTable[[#This Row],[LC Qty]] * 100,"")</f>
        <v/>
      </c>
      <c r="DZ372" s="265" t="str">
        <f>IF(ISNUMBER(SnapshotTable[[#This Row],[LC Target Gross]]), SnapshotTable[[#This Row],[LC Target Gross]] - SnapshotTable[[#This Row],[LC Premium]], "")</f>
        <v/>
      </c>
      <c r="EA372" s="305" t="str">
        <f>IF(ISNUMBER(SnapshotTable[[#This Row],[LC Target Gain Loss]]), SnapshotTable[[#This Row],[LC Target Gain Loss]]/SnapshotTable[[#This Row],[LC Premium]], "")</f>
        <v/>
      </c>
      <c r="EB372" s="262"/>
      <c r="EC372" s="283" t="str">
        <f>IF(SnapshotTable[[#This Row],[LC Premium]]&gt;0, SnapshotTable[[#This Row],[LC Book Price]] * (1 - LC_StopLoss_Pct),"")</f>
        <v/>
      </c>
      <c r="ED372" s="284"/>
      <c r="EE372" s="28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4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7"/>
      <c r="EL372" s="138">
        <v>530</v>
      </c>
      <c r="EM372" s="148"/>
      <c r="EN372" s="147">
        <v>45076</v>
      </c>
      <c r="EO372" s="147"/>
      <c r="EP372" s="138">
        <v>26.5</v>
      </c>
      <c r="EQ372" s="419" t="b">
        <f>AND(ISNUMBER(SnapshotTable[[#This Row],[SC Exp Date]]), ISNUMBER(SnapshotTable[[#This Row],[SC Strike Price]]), ISNUMBER(SnapshotTable[[#This Row],[SC Qty]]), ISNUMBER(SnapshotTable[[#This Row],[SC Book Date]]), ISNUMBER(SnapshotTable[[#This Row],[SC Book Price]]))</f>
        <v>0</v>
      </c>
      <c r="ER372" s="419" t="b">
        <f>AND(SnapshotTable[[#This Row],[SC Is Booked]], NOT(ISBLANK(SnapshotTable[[#This Row],[SC Fill Date]])))</f>
        <v>0</v>
      </c>
      <c r="ES372" s="370"/>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f>IF(AND(ISNUMBER(SnapshotTable[[#This Row],[Last Price]]), ISNUMBER( SnapshotTable[[#This Row],[SC Book Price]])), SnapshotTable[[#This Row],[Last Price]] - SnapshotTable[[#This Row],[SC Book Price]],"")</f>
        <v>152.35</v>
      </c>
      <c r="EX372" s="23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283"/>
      <c r="FA372" s="423"/>
      <c r="FB372" s="370"/>
      <c r="FC372" s="4">
        <f>IF(SnapshotTable[[#This Row],[SC Is Filled]], btc_max_buyback_amount(SnapshotTable[[#This Row],[SC Fill Date]],SnapshotTable[[#This Row],[SC Exp Date]], SnapshotTable[[#This Row],[SC Book Price]]),0)</f>
        <v>0</v>
      </c>
      <c r="FD372" s="5"/>
      <c r="FE372" s="144"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382">
        <f>IF(SnapshotTable[[#This Row],[SC Is Filled]], IF(ISNUMBER(SnapshotTable[[#This Row],[SC Current Ask]]), SnapshotTable[[#This Row],[SC Current Ask]], SnapshotTable[[#This Row],[SC Book Price]]) - SnapshotTable[[#This Row],[SC Intrinsic Value]], 0)</f>
        <v>0</v>
      </c>
      <c r="FI372" s="143"/>
      <c r="FJ372" s="32" t="str">
        <f>IF(SnapshotTable[[#This Row],[SC Is Filled]],100 * SnapshotTable[[#This Row],[SC Qty]] * IF(ISNUMBER(SnapshotTable[[#This Row],[SC Buyback Override]]), SnapshotTable[[#This Row],[SC Buyback Override]], SnapshotTable[[#This Row],[SC Current Ask]]), "")</f>
        <v/>
      </c>
      <c r="FK372" s="250" t="str">
        <f>IF(SnapshotTable[[#This Row],[SC Time Val]]&gt;0, SnapshotTable[[#This Row],[SC Time Val]] / SnapshotTable[[#This Row],[Last Price]],"")</f>
        <v/>
      </c>
      <c r="FL372" s="302" t="str">
        <f>IF(SnapshotTable[[#This Row],[SC Is Booked]], ((SnapshotTable[[#This Row],[Last Price]] -SnapshotTable[[#This Row],[SC Strike Price]]) / SnapshotTable[[#This Row],[Last Price]]) * -1, "")</f>
        <v/>
      </c>
      <c r="FM372" s="157" t="str">
        <f>IF(SnapshotTable[[#This Row],[SC Is Booked]],  (SnapshotTable[[#This Row],[SC Qty]] * 100 * SnapshotTable[[#This Row],[SC Strike Price]]) - SnapshotTable[[#This Row],[SC Current Ask]], "")</f>
        <v/>
      </c>
      <c r="FN3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31"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351.15</v>
      </c>
      <c r="FT372" s="27">
        <f>IF(AND(ISNUMBER(SnapshotTable[[#This Row],[SC Upside Potential]]), SnapshotTable[[#This Row],[SC Upside Potential]] &gt; 0),(SnapshotTable[[#This Row],[SC Upside Potential]]/ SnapshotTable[[#This Row],[ACB]]),"")</f>
        <v>0.65994474618955434</v>
      </c>
      <c r="FU372" s="333"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36" t="str">
        <f>IF(AND(ISNUMBER(SnapshotTable[[#This Row],[SC Simple ROO]]),SnapshotTable[[#This Row],[SC Simple ROO]] &gt; 0), SnapshotTable[[#This Row],[SC Premium]] + (SnapshotTable[[#This Row],[SC Qty]] * SnapshotTable[[#This Row],[SC Upside Potential]]), "")</f>
        <v/>
      </c>
      <c r="FX372" s="302" t="str" cm="1">
        <f t="array" ref="FX372">IF(ISNUMBER(SnapshotTable[[#This Row],[SC Max Dollars]]), annualize(SnapshotTable[[#This Row],[SC Term]],(SnapshotTable[[#This Row],[SC Max Dollars]]/SnapshotTable[[#This Row],[SC Basis]])),"")</f>
        <v/>
      </c>
      <c r="FY372" s="236" t="str">
        <f>IF(AND(SnapshotTable[[#This Row],[SC Qty]]&gt;0,SnapshotTable[[#This Row],[SC Current Ask]]&gt;0), SnapshotTable[[#This Row],[SC Qty]] * SnapshotTable[[#This Row],[SC Current Ask]] * -100, "")</f>
        <v/>
      </c>
      <c r="FZ372" s="31" t="str">
        <f>IF(ISNUMBER((SnapshotTable[[#This Row],[SC Current Value]])), SnapshotTable[[#This Row],[SC Premium]] + SnapshotTable[[#This Row],[SC Current Value]], "")</f>
        <v/>
      </c>
      <c r="GA372" s="294" t="str">
        <f>IFERROR( IF(ISNUMBER((SnapshotTable[[#This Row],[SC Current Value]])), SnapshotTable[[#This Row],[SC Gain Loss]] / SnapshotTable[[#This Row],[SC Premium]], ""), "")</f>
        <v/>
      </c>
      <c r="GB372" s="42">
        <f>SnapshotTable[[#This Row],[Equity Shares]] * SaleSharesToConsiderPercentage</f>
        <v>0</v>
      </c>
      <c r="GC372" s="40" t="e">
        <f>SnapshotTable[[#This Row],[Long Term Target]] * SellingPriceToConsiderBasedOnTargetPercentage</f>
        <v>#VALUE!</v>
      </c>
      <c r="GD372" s="40">
        <f>SnapshotTable[[#This Row],[Last Price]] * (1+ SellingPriceToConsiderBasedOnTargetPercentage)</f>
        <v>348.75749999999999</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27" t="str">
        <f>IF(SnapshotTable[[#This Row],[Sale G/L]]&gt;0, SnapshotTable[[#This Row],[Sale G/L]] / SnapshotTable[[#This Row],[Sale Basis]], IF(ISNUMBER(SnapshotTable[[#This Row],[SC Exercise P&amp;L (TAX)]]), SnapshotTable[[#This Row],[SC Exercise P&amp;L (TAX)]] / SnapshotTable[[#This Row],[SC Basis]], ""))</f>
        <v/>
      </c>
      <c r="GK372" s="27" t="s">
        <v>804</v>
      </c>
      <c r="GL372" s="43"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43" t="str">
        <f>IF(AND(SnapshotTable[[#This Row],[LC Exp Date]]&gt;0,SnapshotTable[[#This Row],[LC Strike Price]]&gt;0), [1]!ToOptionSymbol(SnapshotTable[[#This Row],[Symbol]], SnapshotTable[[#This Row],[LC Strike Price]],SnapshotTable[[#This Row],[LC Exp Date]],0), "")</f>
        <v/>
      </c>
      <c r="GQ372" s="30" t="str">
        <f>IF(LEN(SnapshotTable[[#This Row],[LC Symbol]])&gt;0, 1, "")</f>
        <v/>
      </c>
      <c r="GR372" s="43" t="str">
        <f>IF(AND(SnapshotTable[[#This Row],[SC Exp Date]]&gt;0,SnapshotTable[[#This Row],[SC Strike Price]]&gt;0), [1]!ToOptionSymbol(SnapshotTable[[#This Row],[Symbol]], SnapshotTable[[#This Row],[SC Strike Price]],SnapshotTable[[#This Row],[SC Exp Date]],0), "")</f>
        <v/>
      </c>
      <c r="GS372" s="30" t="str">
        <f>IF(LEN(SnapshotTable[[#This Row],[SC Symbol]])&gt;0, 1, "")</f>
        <v/>
      </c>
      <c r="GT372" s="29"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31">
        <f>MAX(SnapshotTable[[#This Row],[Equity Basis Total]],SnapshotTable[[#This Row],[Equity Value]]) + (SnapshotTable[[#This Row],[SP Potential Spend]]- SnapshotTable[[#This Row],[SP Premium]] + SnapshotTable[[#This Row],[LP Premium]])+ (SnapshotTable[[#This Row],[LC Premium]] - SnapshotTable[[#This Row],[SC Premium]])</f>
        <v>0</v>
      </c>
      <c r="GW372" s="139" t="str">
        <f>IF(AND(SnapshotTable[[#This Row],[Exposure]] &lt;&gt; 0),SnapshotTable[[#This Row],[Exposure]] / SnapshotTable[[#Totals],[Exposure]], "")</f>
        <v/>
      </c>
      <c r="HK372" s="1"/>
      <c r="HL372" s="1"/>
      <c r="HM372" s="1"/>
      <c r="HN372" s="1"/>
      <c r="HO372" s="1"/>
      <c r="HP372" s="1"/>
    </row>
    <row r="373" spans="2:224" ht="12.75" hidden="1" customHeight="1" x14ac:dyDescent="0.25">
      <c r="B373" s="12" t="s">
        <v>11</v>
      </c>
      <c r="C373" s="422">
        <v>104.23</v>
      </c>
      <c r="D373" s="208"/>
      <c r="E373" s="39">
        <f>SnapshotTable[[#This Row],[Last Price]]*(1 -CrashDiscount)</f>
        <v>88.595500000000001</v>
      </c>
      <c r="F373" s="26" t="s">
        <v>10</v>
      </c>
      <c r="G373" s="26" t="s">
        <v>9</v>
      </c>
      <c r="H373" s="149"/>
      <c r="I373" s="194">
        <v>44770.694444444445</v>
      </c>
      <c r="J373" s="195">
        <v>44770.694444444445</v>
      </c>
      <c r="K373" s="196"/>
      <c r="L373" s="326"/>
      <c r="M373" s="140"/>
      <c r="N373" s="140"/>
      <c r="O373" s="140">
        <v>3</v>
      </c>
      <c r="P373" s="22"/>
      <c r="Q373" s="25"/>
      <c r="R373" s="4" t="str">
        <f>IF(SnapshotTable[[#This Row],[Equity Basis Total]] &gt; 0, SnapshotTable[[#This Row],[Equity Basis Total]] / SnapshotTable[[#This Row],[Equity Shares]], "")</f>
        <v/>
      </c>
      <c r="S373" s="269">
        <f>SnapshotTable[[#This Row],[Last Price]] * SnapshotTable[[#This Row],[Equity Shares]]</f>
        <v>0</v>
      </c>
      <c r="T373" s="269">
        <f>SnapshotTable[[#This Row],[Equity Value]] - SnapshotTable[[#This Row],[Equity Basis Total]]</f>
        <v>0</v>
      </c>
      <c r="U373" s="270" t="str">
        <f>IF(SnapshotTable[[#This Row],[Equity Basis Total]] &gt; 0, SnapshotTable[[#This Row],[Equity G/L]] / SnapshotTable[[#This Row],[Equity Basis Total]], "")</f>
        <v/>
      </c>
      <c r="V373" s="268"/>
      <c r="W373" s="26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7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0">
        <v>1.32</v>
      </c>
      <c r="AD373" s="151">
        <v>42789</v>
      </c>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1.2664300105535835E-2</v>
      </c>
      <c r="AH373" s="151">
        <v>42859</v>
      </c>
      <c r="AI373" s="5"/>
      <c r="AJ373" s="138">
        <v>95.95</v>
      </c>
      <c r="AK373" s="152" t="str">
        <f>IF(ISNUMBER( SnapshotTable[[#This Row],[EBF Target]]),(SnapshotTable[[#This Row],[EBF Target]] - SnapshotTable[[#This Row],[Last Price]]) / SnapshotTable[[#This Row],[Last Price]], "")</f>
        <v/>
      </c>
      <c r="AL373" s="152"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2">
        <f>IF(AND(ISNUMBER( SnapshotTable[[#This Row],[Long Term Target]]), ISNUMBER(SnapshotTable[[#This Row],[Last Price]])),(SnapshotTable[[#This Row],[Long Term Target]] - SnapshotTable[[#This Row],[Last Price]]) / SnapshotTable[[#This Row],[Last Price]], "")</f>
        <v>-7.9439700661997514E-2</v>
      </c>
      <c r="AP373" s="5"/>
      <c r="AQ373" s="38"/>
      <c r="AR373" s="5"/>
      <c r="AS373" s="38"/>
      <c r="AT373" s="146"/>
      <c r="AU373" s="187" t="str">
        <f>IF(OR(SnapshotTable[[#This Row],[LP No Fill]]="Y",SnapshotTable[[#This Row],[SP Is Filled]],SnapshotTable[[#This Row],[LC Not Filled]]="Y",SnapshotTable[[#This Row],[SC Is Filled]]),"Y","")</f>
        <v/>
      </c>
      <c r="AV373" s="219"/>
      <c r="AW373" s="225"/>
      <c r="AX373" s="220"/>
      <c r="AY373" s="219" t="str">
        <f>IF(SnapshotTable[[#This Row],[Implied Move]]&gt;0, SnapshotTable[[#This Row],[Last Price]]-SnapshotTable[[#This Row],[Implied Move]],"")</f>
        <v/>
      </c>
      <c r="AZ373" s="219" t="str">
        <f>IF(SnapshotTable[[#This Row],[Implied Move]]&gt;0, SnapshotTable[[#This Row],[Last Price]] + SnapshotTable[[#This Row],[Implied Move]],"")</f>
        <v/>
      </c>
      <c r="BA373" s="331"/>
      <c r="BB373" s="347"/>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51"/>
      <c r="BE373" s="5"/>
      <c r="BF373" s="14"/>
      <c r="BG373" s="13"/>
      <c r="BH373" s="13"/>
      <c r="BI373" s="5"/>
      <c r="BJ373" s="136">
        <f>IF(SnapshotTable[[#This Row],[LP Qty]] &gt; 0, SnapshotTable[[#This Row],[LP Qty]] * SnapshotTable[[#This Row],[LP Book Price]] * 100,0)</f>
        <v>0</v>
      </c>
      <c r="BK373" s="136">
        <f>IF(SnapshotTable[[#This Row],[LP Premium]] &gt; 0, SnapshotTable[[#This Row],[LP Qty]] * SnapshotTable[[#This Row],[LP Strike Price]] * 100,0)</f>
        <v>0</v>
      </c>
      <c r="BL373" s="154"/>
      <c r="BM373" s="385" t="str">
        <f>IF(SnapshotTable[[#This Row],[LP Premium]] &gt; 0,SnapshotTable[[#This Row],[LP Exp Date]]-MAX(SnapshotTable[[#This Row],[LP Book Date]], SnapshotTable[[#This Row],[LP Fill Date]]),"")</f>
        <v/>
      </c>
      <c r="BN373" s="385" t="str">
        <f>IF(ISNUMBER( SnapshotTable[[#This Row],[LP Term]]), SnapshotTable[[#This Row],[LP Exp Date]] - MockToday,"")</f>
        <v/>
      </c>
      <c r="BO373" s="163"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7"/>
      <c r="BU373" s="13"/>
      <c r="BV373" s="5"/>
      <c r="BW373" s="419" t="b">
        <f>AND(ISNUMBER(SnapshotTable[[#This Row],[SP Exp Date]]), ISNUMBER(SnapshotTable[[#This Row],[SP Strike Price]]), ISNUMBER(SnapshotTable[[#This Row],[SP Qty]]), ISNUMBER(SnapshotTable[[#This Row],[SP Book Date]]), ISNUMBER(SnapshotTable[[#This Row],[SP Book Price]]))</f>
        <v>0</v>
      </c>
      <c r="BX373" s="419" t="b">
        <f>AND(SnapshotTable[[#This Row],[SP Is Booked]], NOT(ISBLANK(SnapshotTable[[#This Row],[SP Fill Date]])))</f>
        <v>0</v>
      </c>
      <c r="BY373" s="33">
        <f>IF(SnapshotTable[[#This Row],[SP Is Booked]], SnapshotTable[[#This Row],[SP Qty]] * SnapshotTable[[#This Row],[SP Book Price]] * 100, 0)</f>
        <v>0</v>
      </c>
      <c r="BZ373" s="369"/>
      <c r="CA373" s="368">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3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44"/>
      <c r="CK373" s="31">
        <f>IF(ISNUMBER(SnapshotTable[[#This Row],[SP Potential Spend]]),IF(ISNUMBER(SnapshotTable[[#This Row],[SP POW]]), SnapshotTable[[#This Row],[SP POW]] * SnapshotTable[[#This Row],[SP Potential Spend]], SnapshotTable[[#This Row],[SP Potential Spend]]), "")</f>
        <v>0</v>
      </c>
      <c r="CL373" s="164">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78"/>
      <c r="CO373" s="369"/>
      <c r="CP373" s="4" t="str">
        <f>IF(SnapshotTable[[#This Row],[SP Is Filled]], btc_max_buyback_amount(SnapshotTable[[#This Row],[SP Fill Date]],SnapshotTable[[#This Row],[SP Exp Date]], SnapshotTable[[#This Row],[SP Book Price]]),"")</f>
        <v/>
      </c>
      <c r="CQ373" s="78"/>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5" t="str">
        <f>IF(SnapshotTable[[#This Row],[SP Is Filled]], btc_next_cutoff_date(SnapshotTable[[#This Row],[SP Fill Date]],SnapshotTable[[#This Row],[SP Exp Date]]),"")</f>
        <v/>
      </c>
      <c r="CT373" s="23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3"/>
      <c r="CV373" s="235"/>
      <c r="CW373" s="378"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294" t="str">
        <f>IF(ISNUMBER((SnapshotTable[[#This Row],[SP Total Value]])), SnapshotTable[[#This Row],[SP Gain Loss]] / SnapshotTable[[#This Row],[SP Premium]], "")</f>
        <v/>
      </c>
      <c r="DI373" s="406"/>
      <c r="DJ373" s="138"/>
      <c r="DK373" s="148"/>
      <c r="DL373" s="13"/>
      <c r="DM373" s="13"/>
      <c r="DO373" s="31">
        <f>IF(SnapshotTable[[#This Row],[LC Symbol Count]]=1, SnapshotTable[[#This Row],[LC Qty]] * SnapshotTable[[#This Row],[LC Book Price]] * 100, 0)</f>
        <v>0</v>
      </c>
      <c r="DP373" s="163" t="str">
        <f>IF(AND(SnapshotTable[[#This Row],[LC Exp Date]]&gt;0, SnapshotTable[[#This Row],[LC Strike Price]]&gt;0,SnapshotTable[[#This Row],[LC Qty]]&gt;0,SnapshotTable[[#This Row],[LC Book Date]]&gt;0,SnapshotTable[[#This Row],[LC Book Price]]&gt;0,SnapshotTable[[#This Row],[LC Fill Date]]=0),"Y","")</f>
        <v/>
      </c>
      <c r="DQ373" s="386" t="str">
        <f>IF(SnapshotTable[[#This Row],[LC Premium]] &gt; 0,SnapshotTable[[#This Row],[LC Exp Date]]-MAX(SnapshotTable[[#This Row],[LC Book Date]], SnapshotTable[[#This Row],[LC Fill Date]]),"")</f>
        <v/>
      </c>
      <c r="DR373" s="386" t="str">
        <f>IF(ISNUMBER(SnapshotTable[[#This Row],[LC Term]]), SnapshotTable[[#This Row],[LC Exp Date]] - MockToday, "")</f>
        <v/>
      </c>
      <c r="DS373" s="234" t="str">
        <f>IF(SnapshotTable[[#This Row],[LC Premium]]&gt;0,SnapshotTable[[#This Row],[LC Strike Price]] + SnapshotTable[[#This Row],[LC Book Price]],"")</f>
        <v/>
      </c>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40" t="str">
        <f>IF(ISNUMBER(SnapshotTable[[#This Row],[LC Actual Gain Loss]]), SnapshotTable[[#This Row],[LC Actual Gain Loss]] / SnapshotTable[[#This Row],[LC Premium]],"")</f>
        <v/>
      </c>
      <c r="DX373" s="284" t="str">
        <f>IF(ISNUMBER(SnapshotTable[[#This Row],[LC Book Price]]),SnapshotTable[[#This Row],[LC Book Price]] * 1.5,"")</f>
        <v/>
      </c>
      <c r="DY373" s="265" t="str">
        <f>IF(SnapshotTable[[#This Row],[LC Premium]]&gt;0, SnapshotTable[[#This Row],[LC Next Target]] * SnapshotTable[[#This Row],[LC Qty]] * 100,"")</f>
        <v/>
      </c>
      <c r="DZ373" s="265" t="str">
        <f>IF(ISNUMBER(SnapshotTable[[#This Row],[LC Target Gross]]), SnapshotTable[[#This Row],[LC Target Gross]] - SnapshotTable[[#This Row],[LC Premium]], "")</f>
        <v/>
      </c>
      <c r="EA373" s="305" t="str">
        <f>IF(ISNUMBER(SnapshotTable[[#This Row],[LC Target Gain Loss]]), SnapshotTable[[#This Row],[LC Target Gain Loss]]/SnapshotTable[[#This Row],[LC Premium]], "")</f>
        <v/>
      </c>
      <c r="EB373" s="262"/>
      <c r="EC373" s="283" t="str">
        <f>IF(SnapshotTable[[#This Row],[LC Premium]]&gt;0, SnapshotTable[[#This Row],[LC Book Price]] * (1 - LC_StopLoss_Pct),"")</f>
        <v/>
      </c>
      <c r="ED373" s="284"/>
      <c r="EE373" s="28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4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7"/>
      <c r="EL373" s="138"/>
      <c r="EM373" s="148"/>
      <c r="EN373" s="147"/>
      <c r="EO373" s="147"/>
      <c r="EP373" s="138"/>
      <c r="EQ373" s="419" t="b">
        <f>AND(ISNUMBER(SnapshotTable[[#This Row],[SC Exp Date]]), ISNUMBER(SnapshotTable[[#This Row],[SC Strike Price]]), ISNUMBER(SnapshotTable[[#This Row],[SC Qty]]), ISNUMBER(SnapshotTable[[#This Row],[SC Book Date]]), ISNUMBER(SnapshotTable[[#This Row],[SC Book Price]]))</f>
        <v>0</v>
      </c>
      <c r="ER373" s="419" t="b">
        <f>AND(SnapshotTable[[#This Row],[SC Is Booked]], NOT(ISBLANK(SnapshotTable[[#This Row],[SC Fill Date]])))</f>
        <v>0</v>
      </c>
      <c r="ES373" s="370"/>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3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283"/>
      <c r="FA373" s="218"/>
      <c r="FB373" s="370"/>
      <c r="FC373" s="4">
        <f>IF(SnapshotTable[[#This Row],[SC Is Filled]], btc_max_buyback_amount(SnapshotTable[[#This Row],[SC Fill Date]],SnapshotTable[[#This Row],[SC Exp Date]], SnapshotTable[[#This Row],[SC Book Price]]),0)</f>
        <v>0</v>
      </c>
      <c r="FD373" s="5"/>
      <c r="FE373" s="144"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382">
        <f>IF(SnapshotTable[[#This Row],[SC Is Filled]], IF(ISNUMBER(SnapshotTable[[#This Row],[SC Current Ask]]), SnapshotTable[[#This Row],[SC Current Ask]], SnapshotTable[[#This Row],[SC Book Price]]) - SnapshotTable[[#This Row],[SC Intrinsic Value]], 0)</f>
        <v>0</v>
      </c>
      <c r="FI373" s="143"/>
      <c r="FJ373" s="32" t="str">
        <f>IF(SnapshotTable[[#This Row],[SC Is Filled]],100 * SnapshotTable[[#This Row],[SC Qty]] * IF(ISNUMBER(SnapshotTable[[#This Row],[SC Buyback Override]]), SnapshotTable[[#This Row],[SC Buyback Override]], SnapshotTable[[#This Row],[SC Current Ask]]), "")</f>
        <v/>
      </c>
      <c r="FK373" s="250" t="str">
        <f>IF(SnapshotTable[[#This Row],[SC Time Val]]&gt;0, SnapshotTable[[#This Row],[SC Time Val]] / SnapshotTable[[#This Row],[Last Price]],"")</f>
        <v/>
      </c>
      <c r="FL373" s="302" t="str">
        <f>IF(SnapshotTable[[#This Row],[SC Is Booked]], ((SnapshotTable[[#This Row],[Last Price]] -SnapshotTable[[#This Row],[SC Strike Price]]) / SnapshotTable[[#This Row],[Last Price]]) * -1, "")</f>
        <v/>
      </c>
      <c r="FM373" s="157"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33"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36" t="str">
        <f>IF(AND(ISNUMBER(SnapshotTable[[#This Row],[SC Simple ROO]]),SnapshotTable[[#This Row],[SC Simple ROO]] &gt; 0), SnapshotTable[[#This Row],[SC Premium]] + (SnapshotTable[[#This Row],[SC Qty]] * SnapshotTable[[#This Row],[SC Upside Potential]]), "")</f>
        <v/>
      </c>
      <c r="FX373" s="302" t="str" cm="1">
        <f t="array" ref="FX373">IF(ISNUMBER(SnapshotTable[[#This Row],[SC Max Dollars]]), annualize(SnapshotTable[[#This Row],[SC Term]],(SnapshotTable[[#This Row],[SC Max Dollars]]/SnapshotTable[[#This Row],[SC Basis]])),"")</f>
        <v/>
      </c>
      <c r="FY373" s="23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29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91.152500000000003</v>
      </c>
      <c r="GD373" s="40">
        <f>SnapshotTable[[#This Row],[Last Price]] * (1+ SellingPriceToConsiderBasedOnTargetPercentage)</f>
        <v>203.24850000000001</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t="s">
        <v>805</v>
      </c>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31">
        <f>MAX(SnapshotTable[[#This Row],[Equity Basis Total]],SnapshotTable[[#This Row],[Equity Value]]) + (SnapshotTable[[#This Row],[SP Potential Spend]]- SnapshotTable[[#This Row],[SP Premium]] + SnapshotTable[[#This Row],[LP Premium]])+ (SnapshotTable[[#This Row],[LC Premium]] - SnapshotTable[[#This Row],[SC Premium]])</f>
        <v>0</v>
      </c>
      <c r="GW373" s="139" t="str">
        <f>IF(AND(SnapshotTable[[#This Row],[Exposure]] &lt;&gt; 0),SnapshotTable[[#This Row],[Exposure]] / SnapshotTable[[#Totals],[Exposure]], "")</f>
        <v/>
      </c>
      <c r="HK373" s="1"/>
      <c r="HL373" s="1"/>
      <c r="HM373" s="1"/>
      <c r="HN373" s="1"/>
      <c r="HO373" s="1"/>
      <c r="HP373" s="1"/>
    </row>
    <row r="374" spans="2:224" ht="12.75" hidden="1" customHeight="1" x14ac:dyDescent="0.25">
      <c r="B374" s="12" t="s">
        <v>7</v>
      </c>
      <c r="C374" s="422">
        <v>45.93</v>
      </c>
      <c r="D374" s="208" t="s">
        <v>587</v>
      </c>
      <c r="E374" s="39">
        <f>SnapshotTable[[#This Row],[Last Price]]*(1 -CrashDiscount)</f>
        <v>39.040500000000002</v>
      </c>
      <c r="F374" s="26" t="s">
        <v>5</v>
      </c>
      <c r="G374" s="26" t="s">
        <v>4</v>
      </c>
      <c r="H374" s="149"/>
      <c r="I374" s="194">
        <v>44770.694444444445</v>
      </c>
      <c r="J374" s="195">
        <v>44770.694444444445</v>
      </c>
      <c r="K374" s="196"/>
      <c r="L374" s="326"/>
      <c r="M374" s="140"/>
      <c r="N374" s="140"/>
      <c r="O374" s="140"/>
      <c r="P374" s="22"/>
      <c r="Q374" s="25"/>
      <c r="R374" s="4" t="str">
        <f>IF(SnapshotTable[[#This Row],[Equity Basis Total]] &gt; 0, SnapshotTable[[#This Row],[Equity Basis Total]] / SnapshotTable[[#This Row],[Equity Shares]], "")</f>
        <v/>
      </c>
      <c r="S374" s="269">
        <f>SnapshotTable[[#This Row],[Last Price]] * SnapshotTable[[#This Row],[Equity Shares]]</f>
        <v>0</v>
      </c>
      <c r="T374" s="269">
        <f>SnapshotTable[[#This Row],[Equity Value]] - SnapshotTable[[#This Row],[Equity Basis Total]]</f>
        <v>0</v>
      </c>
      <c r="U374" s="270" t="str">
        <f>IF(SnapshotTable[[#This Row],[Equity Basis Total]] &gt; 0, SnapshotTable[[#This Row],[Equity G/L]] / SnapshotTable[[#This Row],[Equity Basis Total]], "")</f>
        <v/>
      </c>
      <c r="V374" s="268"/>
      <c r="W374" s="26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7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0">
        <v>0</v>
      </c>
      <c r="AD374" s="151" t="s">
        <v>2</v>
      </c>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1" t="s">
        <v>2</v>
      </c>
      <c r="AI374" s="5"/>
      <c r="AJ374" s="138" t="s">
        <v>164</v>
      </c>
      <c r="AK374" s="152" t="str">
        <f>IF(ISNUMBER( SnapshotTable[[#This Row],[EBF Target]]),(SnapshotTable[[#This Row],[EBF Target]] - SnapshotTable[[#This Row],[Last Price]]) / SnapshotTable[[#This Row],[Last Price]], "")</f>
        <v/>
      </c>
      <c r="AL374" s="152"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2" t="str">
        <f>IF(AND(ISNUMBER( SnapshotTable[[#This Row],[Long Term Target]]), ISNUMBER(SnapshotTable[[#This Row],[Last Price]])),(SnapshotTable[[#This Row],[Long Term Target]] - SnapshotTable[[#This Row],[Last Price]]) / SnapshotTable[[#This Row],[Last Price]], "")</f>
        <v/>
      </c>
      <c r="AP374" s="5"/>
      <c r="AQ374" s="38"/>
      <c r="AR374" s="5"/>
      <c r="AS374" s="38"/>
      <c r="AT374" s="146"/>
      <c r="AU374" s="187" t="str">
        <f>IF(OR(SnapshotTable[[#This Row],[LP No Fill]]="Y",SnapshotTable[[#This Row],[SP Is Filled]],SnapshotTable[[#This Row],[LC Not Filled]]="Y",SnapshotTable[[#This Row],[SC Is Filled]]),"Y","")</f>
        <v/>
      </c>
      <c r="AV374" s="219"/>
      <c r="AW374" s="225"/>
      <c r="AX374" s="220"/>
      <c r="AY374" s="219" t="str">
        <f>IF(SnapshotTable[[#This Row],[Implied Move]]&gt;0, SnapshotTable[[#This Row],[Last Price]]-SnapshotTable[[#This Row],[Implied Move]],"")</f>
        <v/>
      </c>
      <c r="AZ374" s="219" t="str">
        <f>IF(SnapshotTable[[#This Row],[Implied Move]]&gt;0, SnapshotTable[[#This Row],[Last Price]] + SnapshotTable[[#This Row],[Implied Move]],"")</f>
        <v/>
      </c>
      <c r="BA374" s="331">
        <v>66.42</v>
      </c>
      <c r="BB374" s="347"/>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51"/>
      <c r="BE374" s="5"/>
      <c r="BF374" s="14"/>
      <c r="BG374" s="13"/>
      <c r="BH374" s="13"/>
      <c r="BI374" s="5"/>
      <c r="BJ374" s="136">
        <f>IF(SnapshotTable[[#This Row],[LP Qty]] &gt; 0, SnapshotTable[[#This Row],[LP Qty]] * SnapshotTable[[#This Row],[LP Book Price]] * 100,0)</f>
        <v>0</v>
      </c>
      <c r="BK374" s="136">
        <f>IF(SnapshotTable[[#This Row],[LP Premium]] &gt; 0, SnapshotTable[[#This Row],[LP Qty]] * SnapshotTable[[#This Row],[LP Strike Price]] * 100,0)</f>
        <v>0</v>
      </c>
      <c r="BL374" s="154"/>
      <c r="BM374" s="385" t="str">
        <f>IF(SnapshotTable[[#This Row],[LP Premium]] &gt; 0,SnapshotTable[[#This Row],[LP Exp Date]]-MAX(SnapshotTable[[#This Row],[LP Book Date]], SnapshotTable[[#This Row],[LP Fill Date]]),"")</f>
        <v/>
      </c>
      <c r="BN374" s="385" t="str">
        <f>IF(ISNUMBER( SnapshotTable[[#This Row],[LP Term]]), SnapshotTable[[#This Row],[LP Exp Date]] - MockToday,"")</f>
        <v/>
      </c>
      <c r="BO374" s="163"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7"/>
      <c r="BU374" s="13"/>
      <c r="BV374" s="5"/>
      <c r="BW374" s="419" t="b">
        <f>AND(ISNUMBER(SnapshotTable[[#This Row],[SP Exp Date]]), ISNUMBER(SnapshotTable[[#This Row],[SP Strike Price]]), ISNUMBER(SnapshotTable[[#This Row],[SP Qty]]), ISNUMBER(SnapshotTable[[#This Row],[SP Book Date]]), ISNUMBER(SnapshotTable[[#This Row],[SP Book Price]]))</f>
        <v>0</v>
      </c>
      <c r="BX374" s="419" t="b">
        <f>AND(SnapshotTable[[#This Row],[SP Is Booked]], NOT(ISBLANK(SnapshotTable[[#This Row],[SP Fill Date]])))</f>
        <v>0</v>
      </c>
      <c r="BY374" s="33">
        <f>IF(SnapshotTable[[#This Row],[SP Is Booked]], SnapshotTable[[#This Row],[SP Qty]] * SnapshotTable[[#This Row],[SP Book Price]] * 100, 0)</f>
        <v>0</v>
      </c>
      <c r="BZ374" s="369"/>
      <c r="CA374" s="368">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3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44"/>
      <c r="CK374" s="31">
        <f>IF(ISNUMBER(SnapshotTable[[#This Row],[SP Potential Spend]]),IF(ISNUMBER(SnapshotTable[[#This Row],[SP POW]]), SnapshotTable[[#This Row],[SP POW]] * SnapshotTable[[#This Row],[SP Potential Spend]], SnapshotTable[[#This Row],[SP Potential Spend]]), "")</f>
        <v>0</v>
      </c>
      <c r="CL374" s="164">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78"/>
      <c r="CO374" s="369"/>
      <c r="CP374" s="4" t="str">
        <f>IF(SnapshotTable[[#This Row],[SP Is Filled]], btc_max_buyback_amount(SnapshotTable[[#This Row],[SP Fill Date]],SnapshotTable[[#This Row],[SP Exp Date]], SnapshotTable[[#This Row],[SP Book Price]]),"")</f>
        <v/>
      </c>
      <c r="CQ374" s="78"/>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5" t="str">
        <f>IF(SnapshotTable[[#This Row],[SP Is Filled]], btc_next_cutoff_date(SnapshotTable[[#This Row],[SP Fill Date]],SnapshotTable[[#This Row],[SP Exp Date]]),"")</f>
        <v/>
      </c>
      <c r="CT374" s="23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43"/>
      <c r="CV374" s="235"/>
      <c r="CW374" s="378"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294" t="str">
        <f>IF(ISNUMBER((SnapshotTable[[#This Row],[SP Total Value]])), SnapshotTable[[#This Row],[SP Gain Loss]] / SnapshotTable[[#This Row],[SP Premium]], "")</f>
        <v/>
      </c>
      <c r="DI374" s="406"/>
      <c r="DJ374" s="138"/>
      <c r="DK374" s="148"/>
      <c r="DL374" s="13"/>
      <c r="DM374" s="13"/>
      <c r="DO374" s="31">
        <f>IF(SnapshotTable[[#This Row],[LC Symbol Count]]=1, SnapshotTable[[#This Row],[LC Qty]] * SnapshotTable[[#This Row],[LC Book Price]] * 100, 0)</f>
        <v>0</v>
      </c>
      <c r="DP374" s="163" t="str">
        <f>IF(AND(SnapshotTable[[#This Row],[LC Exp Date]]&gt;0, SnapshotTable[[#This Row],[LC Strike Price]]&gt;0,SnapshotTable[[#This Row],[LC Qty]]&gt;0,SnapshotTable[[#This Row],[LC Book Date]]&gt;0,SnapshotTable[[#This Row],[LC Book Price]]&gt;0,SnapshotTable[[#This Row],[LC Fill Date]]=0),"Y","")</f>
        <v/>
      </c>
      <c r="DQ374" s="386" t="str">
        <f>IF(SnapshotTable[[#This Row],[LC Premium]] &gt; 0,SnapshotTable[[#This Row],[LC Exp Date]]-MAX(SnapshotTable[[#This Row],[LC Book Date]], SnapshotTable[[#This Row],[LC Fill Date]]),"")</f>
        <v/>
      </c>
      <c r="DR374" s="386" t="str">
        <f>IF(ISNUMBER(SnapshotTable[[#This Row],[LC Term]]), SnapshotTable[[#This Row],[LC Exp Date]] - MockToday, "")</f>
        <v/>
      </c>
      <c r="DS374" s="234" t="str">
        <f>IF(SnapshotTable[[#This Row],[LC Premium]]&gt;0,SnapshotTable[[#This Row],[LC Strike Price]] + SnapshotTable[[#This Row],[LC Book Price]],"")</f>
        <v/>
      </c>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40" t="str">
        <f>IF(ISNUMBER(SnapshotTable[[#This Row],[LC Actual Gain Loss]]), SnapshotTable[[#This Row],[LC Actual Gain Loss]] / SnapshotTable[[#This Row],[LC Premium]],"")</f>
        <v/>
      </c>
      <c r="DX374" s="284" t="str">
        <f>IF(ISNUMBER(SnapshotTable[[#This Row],[LC Book Price]]),SnapshotTable[[#This Row],[LC Book Price]] * 1.5,"")</f>
        <v/>
      </c>
      <c r="DY374" s="265" t="str">
        <f>IF(SnapshotTable[[#This Row],[LC Premium]]&gt;0, SnapshotTable[[#This Row],[LC Next Target]] * SnapshotTable[[#This Row],[LC Qty]] * 100,"")</f>
        <v/>
      </c>
      <c r="DZ374" s="265" t="str">
        <f>IF(ISNUMBER(SnapshotTable[[#This Row],[LC Target Gross]]), SnapshotTable[[#This Row],[LC Target Gross]] - SnapshotTable[[#This Row],[LC Premium]], "")</f>
        <v/>
      </c>
      <c r="EA374" s="305" t="str">
        <f>IF(ISNUMBER(SnapshotTable[[#This Row],[LC Target Gain Loss]]), SnapshotTable[[#This Row],[LC Target Gain Loss]]/SnapshotTable[[#This Row],[LC Premium]], "")</f>
        <v/>
      </c>
      <c r="EB374" s="262"/>
      <c r="EC374" s="283" t="str">
        <f>IF(SnapshotTable[[#This Row],[LC Premium]]&gt;0, SnapshotTable[[#This Row],[LC Book Price]] * (1 - LC_StopLoss_Pct),"")</f>
        <v/>
      </c>
      <c r="ED374" s="284"/>
      <c r="EE374" s="28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4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7"/>
      <c r="EL374" s="138">
        <v>64</v>
      </c>
      <c r="EM374" s="148"/>
      <c r="EN374" s="147">
        <v>45092</v>
      </c>
      <c r="EO374" s="147"/>
      <c r="EP374" s="138">
        <v>3.8</v>
      </c>
      <c r="EQ374" s="419" t="b">
        <f>AND(ISNUMBER(SnapshotTable[[#This Row],[SC Exp Date]]), ISNUMBER(SnapshotTable[[#This Row],[SC Strike Price]]), ISNUMBER(SnapshotTable[[#This Row],[SC Qty]]), ISNUMBER(SnapshotTable[[#This Row],[SC Book Date]]), ISNUMBER(SnapshotTable[[#This Row],[SC Book Price]]))</f>
        <v>0</v>
      </c>
      <c r="ER374" s="419" t="b">
        <f>AND(SnapshotTable[[#This Row],[SC Is Booked]], NOT(ISBLANK(SnapshotTable[[#This Row],[SC Fill Date]])))</f>
        <v>0</v>
      </c>
      <c r="ES374" s="370"/>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f>IF(AND(ISNUMBER(SnapshotTable[[#This Row],[Last Price]]), ISNUMBER( SnapshotTable[[#This Row],[SC Book Price]])), SnapshotTable[[#This Row],[Last Price]] - SnapshotTable[[#This Row],[SC Book Price]],"")</f>
        <v>42.13</v>
      </c>
      <c r="EX374" s="23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283"/>
      <c r="FA374" s="218"/>
      <c r="FB374" s="370"/>
      <c r="FC374" s="4">
        <f>IF(SnapshotTable[[#This Row],[SC Is Filled]], btc_max_buyback_amount(SnapshotTable[[#This Row],[SC Fill Date]],SnapshotTable[[#This Row],[SC Exp Date]], SnapshotTable[[#This Row],[SC Book Price]]),0)</f>
        <v>0</v>
      </c>
      <c r="FD374" s="5"/>
      <c r="FE374" s="144"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382">
        <f>IF(SnapshotTable[[#This Row],[SC Is Filled]], IF(ISNUMBER(SnapshotTable[[#This Row],[SC Current Ask]]), SnapshotTable[[#This Row],[SC Current Ask]], SnapshotTable[[#This Row],[SC Book Price]]) - SnapshotTable[[#This Row],[SC Intrinsic Value]], 0)</f>
        <v>0</v>
      </c>
      <c r="FI374" s="143"/>
      <c r="FJ374" s="32" t="str">
        <f>IF(SnapshotTable[[#This Row],[SC Is Filled]],100 * SnapshotTable[[#This Row],[SC Qty]] * IF(ISNUMBER(SnapshotTable[[#This Row],[SC Buyback Override]]), SnapshotTable[[#This Row],[SC Buyback Override]], SnapshotTable[[#This Row],[SC Current Ask]]), "")</f>
        <v/>
      </c>
      <c r="FK374" s="250" t="str">
        <f>IF(SnapshotTable[[#This Row],[SC Time Val]]&gt;0, SnapshotTable[[#This Row],[SC Time Val]] / SnapshotTable[[#This Row],[Last Price]],"")</f>
        <v/>
      </c>
      <c r="FL374" s="302" t="str">
        <f>IF(SnapshotTable[[#This Row],[SC Is Booked]], ((SnapshotTable[[#This Row],[Last Price]] -SnapshotTable[[#This Row],[SC Strike Price]]) / SnapshotTable[[#This Row],[Last Price]]) * -1, "")</f>
        <v/>
      </c>
      <c r="FM374" s="157" t="str">
        <f>IF(SnapshotTable[[#This Row],[SC Is Booked]],  (SnapshotTable[[#This Row],[SC Qty]] * 100 * SnapshotTable[[#This Row],[SC Strike Price]]) - SnapshotTable[[#This Row],[SC Current Ask]], "")</f>
        <v/>
      </c>
      <c r="FN3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31"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18.07</v>
      </c>
      <c r="FT374" s="27">
        <f>IF(AND(ISNUMBER(SnapshotTable[[#This Row],[SC Upside Potential]]), SnapshotTable[[#This Row],[SC Upside Potential]] &gt; 0),(SnapshotTable[[#This Row],[SC Upside Potential]]/ SnapshotTable[[#This Row],[ACB]]),"")</f>
        <v>0.27205660945498344</v>
      </c>
      <c r="FU374" s="333"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36" t="str">
        <f>IF(AND(ISNUMBER(SnapshotTable[[#This Row],[SC Simple ROO]]),SnapshotTable[[#This Row],[SC Simple ROO]] &gt; 0), SnapshotTable[[#This Row],[SC Premium]] + (SnapshotTable[[#This Row],[SC Qty]] * SnapshotTable[[#This Row],[SC Upside Potential]]), "")</f>
        <v/>
      </c>
      <c r="FX374" s="302" t="str" cm="1">
        <f t="array" ref="FX374">IF(ISNUMBER(SnapshotTable[[#This Row],[SC Max Dollars]]), annualize(SnapshotTable[[#This Row],[SC Term]],(SnapshotTable[[#This Row],[SC Max Dollars]]/SnapshotTable[[#This Row],[SC Basis]])),"")</f>
        <v/>
      </c>
      <c r="FY374" s="23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294" t="str">
        <f>IFERROR( IF(ISNUMBER((SnapshotTable[[#This Row],[SC Current Value]])), SnapshotTable[[#This Row],[SC Gain Loss]] / SnapshotTable[[#This Row],[SC Premium]], ""), "")</f>
        <v/>
      </c>
      <c r="GB374" s="42">
        <f>SnapshotTable[[#This Row],[Equity Shares]] * SaleSharesToConsiderPercentage</f>
        <v>0</v>
      </c>
      <c r="GC374" s="40" t="e">
        <f>SnapshotTable[[#This Row],[Long Term Target]] * SellingPriceToConsiderBasedOnTargetPercentage</f>
        <v>#VALUE!</v>
      </c>
      <c r="GD374" s="40">
        <f>SnapshotTable[[#This Row],[Last Price]] * (1+ SellingPriceToConsiderBasedOnTargetPercentage)</f>
        <v>89.563499999999991</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27" t="str">
        <f>IF(SnapshotTable[[#This Row],[Sale G/L]]&gt;0, SnapshotTable[[#This Row],[Sale G/L]] / SnapshotTable[[#This Row],[Sale Basis]], IF(ISNUMBER(SnapshotTable[[#This Row],[SC Exercise P&amp;L (TAX)]]), SnapshotTable[[#This Row],[SC Exercise P&amp;L (TAX)]] / SnapshotTable[[#This Row],[SC Basis]], ""))</f>
        <v/>
      </c>
      <c r="GK374" s="27" t="s">
        <v>806</v>
      </c>
      <c r="GL374" s="43"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43" t="str">
        <f>IF(AND(SnapshotTable[[#This Row],[LC Exp Date]]&gt;0,SnapshotTable[[#This Row],[LC Strike Price]]&gt;0), [1]!ToOptionSymbol(SnapshotTable[[#This Row],[Symbol]], SnapshotTable[[#This Row],[LC Strike Price]],SnapshotTable[[#This Row],[LC Exp Date]],0), "")</f>
        <v/>
      </c>
      <c r="GQ374" s="30" t="str">
        <f>IF(LEN(SnapshotTable[[#This Row],[LC Symbol]])&gt;0, 1, "")</f>
        <v/>
      </c>
      <c r="GR374" s="43" t="str">
        <f>IF(AND(SnapshotTable[[#This Row],[SC Exp Date]]&gt;0,SnapshotTable[[#This Row],[SC Strike Price]]&gt;0), [1]!ToOptionSymbol(SnapshotTable[[#This Row],[Symbol]], SnapshotTable[[#This Row],[SC Strike Price]],SnapshotTable[[#This Row],[SC Exp Date]],0), "")</f>
        <v/>
      </c>
      <c r="GS374" s="30" t="str">
        <f>IF(LEN(SnapshotTable[[#This Row],[SC Symbol]])&gt;0, 1, "")</f>
        <v/>
      </c>
      <c r="GT374" s="29"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31">
        <f>MAX(SnapshotTable[[#This Row],[Equity Basis Total]],SnapshotTable[[#This Row],[Equity Value]]) + (SnapshotTable[[#This Row],[SP Potential Spend]]- SnapshotTable[[#This Row],[SP Premium]] + SnapshotTable[[#This Row],[LP Premium]])+ (SnapshotTable[[#This Row],[LC Premium]] - SnapshotTable[[#This Row],[SC Premium]])</f>
        <v>0</v>
      </c>
      <c r="GW374" s="139" t="str">
        <f>IF(AND(SnapshotTable[[#This Row],[Exposure]] &lt;&gt; 0),SnapshotTable[[#This Row],[Exposure]] / SnapshotTable[[#Totals],[Exposure]], "")</f>
        <v/>
      </c>
      <c r="HK374" s="1"/>
      <c r="HL374" s="1"/>
      <c r="HM374" s="1"/>
      <c r="HN374" s="1"/>
      <c r="HO374" s="1"/>
      <c r="HP374" s="1"/>
    </row>
    <row r="375" spans="2:224" ht="12.75" hidden="1" customHeight="1" x14ac:dyDescent="0.25">
      <c r="B375" s="12" t="s">
        <v>989</v>
      </c>
      <c r="C375" s="422">
        <v>159.43</v>
      </c>
      <c r="D375" s="208"/>
      <c r="E375" s="39">
        <f>SnapshotTable[[#This Row],[Last Price]]*(1 -CrashDiscount)</f>
        <v>135.5155</v>
      </c>
      <c r="F375" s="26" t="s">
        <v>5</v>
      </c>
      <c r="G375" s="26" t="s">
        <v>4</v>
      </c>
      <c r="H375" s="149"/>
      <c r="I375" s="194">
        <v>44770.694444444445</v>
      </c>
      <c r="J375" s="195">
        <v>44770.694444444445</v>
      </c>
      <c r="K375" s="196"/>
      <c r="L375" s="326"/>
      <c r="M375" s="140"/>
      <c r="N375" s="140"/>
      <c r="O375" s="140"/>
      <c r="P375" s="22"/>
      <c r="Q375" s="25"/>
      <c r="R375" s="4" t="str">
        <f>IF(SnapshotTable[[#This Row],[Equity Basis Total]] &gt; 0, SnapshotTable[[#This Row],[Equity Basis Total]] / SnapshotTable[[#This Row],[Equity Shares]], "")</f>
        <v/>
      </c>
      <c r="S375" s="269">
        <f>SnapshotTable[[#This Row],[Last Price]] * SnapshotTable[[#This Row],[Equity Shares]]</f>
        <v>0</v>
      </c>
      <c r="T375" s="269">
        <f>SnapshotTable[[#This Row],[Equity Value]] - SnapshotTable[[#This Row],[Equity Basis Total]]</f>
        <v>0</v>
      </c>
      <c r="U375" s="270" t="str">
        <f>IF(SnapshotTable[[#This Row],[Equity Basis Total]] &gt; 0, SnapshotTable[[#This Row],[Equity G/L]] / SnapshotTable[[#This Row],[Equity Basis Total]], "")</f>
        <v/>
      </c>
      <c r="V375" s="268"/>
      <c r="W375" s="26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7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0"/>
      <c r="AD375" s="151"/>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1"/>
      <c r="AI375" s="5"/>
      <c r="AJ375" s="138"/>
      <c r="AK375" s="152" t="str">
        <f>IF(ISNUMBER( SnapshotTable[[#This Row],[EBF Target]]),(SnapshotTable[[#This Row],[EBF Target]] - SnapshotTable[[#This Row],[Last Price]]) / SnapshotTable[[#This Row],[Last Price]], "")</f>
        <v/>
      </c>
      <c r="AL375" s="152"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2" t="str">
        <f>IF(AND(ISNUMBER( SnapshotTable[[#This Row],[Long Term Target]]), ISNUMBER(SnapshotTable[[#This Row],[Last Price]])),(SnapshotTable[[#This Row],[Long Term Target]] - SnapshotTable[[#This Row],[Last Price]]) / SnapshotTable[[#This Row],[Last Price]], "")</f>
        <v/>
      </c>
      <c r="AP375" s="5"/>
      <c r="AQ375" s="38"/>
      <c r="AR375" s="5"/>
      <c r="AS375" s="38"/>
      <c r="AT375" s="146"/>
      <c r="AU375" s="187" t="str">
        <f>IF(OR(SnapshotTable[[#This Row],[LP No Fill]]="Y",SnapshotTable[[#This Row],[SP Is Filled]],SnapshotTable[[#This Row],[LC Not Filled]]="Y",SnapshotTable[[#This Row],[SC Is Filled]]),"Y","")</f>
        <v/>
      </c>
      <c r="AV375" s="219"/>
      <c r="AW375" s="225"/>
      <c r="AX375" s="220"/>
      <c r="AY375" s="219" t="str">
        <f>IF(SnapshotTable[[#This Row],[Implied Move]]&gt;0, SnapshotTable[[#This Row],[Last Price]]-SnapshotTable[[#This Row],[Implied Move]],"")</f>
        <v/>
      </c>
      <c r="AZ375" s="219" t="str">
        <f>IF(SnapshotTable[[#This Row],[Implied Move]]&gt;0, SnapshotTable[[#This Row],[Last Price]] + SnapshotTable[[#This Row],[Implied Move]],"")</f>
        <v/>
      </c>
      <c r="BA375" s="331"/>
      <c r="BB375" s="347"/>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51"/>
      <c r="BE375" s="138"/>
      <c r="BF375" s="166"/>
      <c r="BG375" s="167"/>
      <c r="BH375" s="167"/>
      <c r="BI375" s="221"/>
      <c r="BJ375" s="153">
        <f>IF(SnapshotTable[[#This Row],[LP Qty]] &gt; 0, SnapshotTable[[#This Row],[LP Qty]] * SnapshotTable[[#This Row],[LP Book Price]] * 100,0)</f>
        <v>0</v>
      </c>
      <c r="BK375" s="136">
        <f>IF(SnapshotTable[[#This Row],[LP Premium]] &gt; 0, SnapshotTable[[#This Row],[LP Qty]] * SnapshotTable[[#This Row],[LP Strike Price]] * 100,0)</f>
        <v>0</v>
      </c>
      <c r="BL375" s="154"/>
      <c r="BM375" s="385" t="str">
        <f>IF(SnapshotTable[[#This Row],[LP Premium]] &gt; 0,SnapshotTable[[#This Row],[LP Exp Date]]-MAX(SnapshotTable[[#This Row],[LP Book Date]], SnapshotTable[[#This Row],[LP Fill Date]]),"")</f>
        <v/>
      </c>
      <c r="BN375" s="385" t="str">
        <f>IF(ISNUMBER( SnapshotTable[[#This Row],[LP Term]]), SnapshotTable[[#This Row],[LP Exp Date]] - MockToday,"")</f>
        <v/>
      </c>
      <c r="BO375" s="163"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7"/>
      <c r="BU375" s="13"/>
      <c r="BV375" s="5"/>
      <c r="BW375" s="419" t="b">
        <f>AND(ISNUMBER(SnapshotTable[[#This Row],[SP Exp Date]]), ISNUMBER(SnapshotTable[[#This Row],[SP Strike Price]]), ISNUMBER(SnapshotTable[[#This Row],[SP Qty]]), ISNUMBER(SnapshotTable[[#This Row],[SP Book Date]]), ISNUMBER(SnapshotTable[[#This Row],[SP Book Price]]))</f>
        <v>0</v>
      </c>
      <c r="BX375" s="419" t="b">
        <f>AND(SnapshotTable[[#This Row],[SP Is Booked]], NOT(ISBLANK(SnapshotTable[[#This Row],[SP Fill Date]])))</f>
        <v>0</v>
      </c>
      <c r="BY375" s="33">
        <f>IF(SnapshotTable[[#This Row],[SP Is Booked]], SnapshotTable[[#This Row],[SP Qty]] * SnapshotTable[[#This Row],[SP Book Price]] * 100, 0)</f>
        <v>0</v>
      </c>
      <c r="BZ375" s="369"/>
      <c r="CA375" s="368">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3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44"/>
      <c r="CK375" s="31">
        <f>IF(ISNUMBER(SnapshotTable[[#This Row],[SP Potential Spend]]),IF(ISNUMBER(SnapshotTable[[#This Row],[SP POW]]), SnapshotTable[[#This Row],[SP POW]] * SnapshotTable[[#This Row],[SP Potential Spend]], SnapshotTable[[#This Row],[SP Potential Spend]]), "")</f>
        <v>0</v>
      </c>
      <c r="CL375" s="164">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4"/>
      <c r="CO375" s="369"/>
      <c r="CP375" s="4" t="str">
        <f>IF(SnapshotTable[[#This Row],[SP Is Filled]], btc_max_buyback_amount(SnapshotTable[[#This Row],[SP Fill Date]],SnapshotTable[[#This Row],[SP Exp Date]], SnapshotTable[[#This Row],[SP Book Price]]),"")</f>
        <v/>
      </c>
      <c r="CQ375" s="78"/>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5" t="str">
        <f>IF(SnapshotTable[[#This Row],[SP Is Filled]], btc_next_cutoff_date(SnapshotTable[[#This Row],[SP Fill Date]],SnapshotTable[[#This Row],[SP Exp Date]]),"")</f>
        <v/>
      </c>
      <c r="CT375" s="23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43"/>
      <c r="CV375" s="235"/>
      <c r="CW375" s="378"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294" t="str">
        <f>IF(ISNUMBER((SnapshotTable[[#This Row],[SP Total Value]])), SnapshotTable[[#This Row],[SP Gain Loss]] / SnapshotTable[[#This Row],[SP Premium]], "")</f>
        <v/>
      </c>
      <c r="DI375" s="406"/>
      <c r="DJ375" s="138"/>
      <c r="DK375" s="148"/>
      <c r="DL375" s="147"/>
      <c r="DM375" s="147"/>
      <c r="DO375" s="31">
        <f>IF(SnapshotTable[[#This Row],[LC Symbol Count]]=1, SnapshotTable[[#This Row],[LC Qty]] * SnapshotTable[[#This Row],[LC Book Price]] * 100, 0)</f>
        <v>0</v>
      </c>
      <c r="DP375" s="163" t="str">
        <f>IF(AND(SnapshotTable[[#This Row],[LC Exp Date]]&gt;0, SnapshotTable[[#This Row],[LC Strike Price]]&gt;0,SnapshotTable[[#This Row],[LC Qty]]&gt;0,SnapshotTable[[#This Row],[LC Book Date]]&gt;0,SnapshotTable[[#This Row],[LC Book Price]]&gt;0,SnapshotTable[[#This Row],[LC Fill Date]]=0),"Y","")</f>
        <v/>
      </c>
      <c r="DQ375" s="386" t="str">
        <f>IF(SnapshotTable[[#This Row],[LC Premium]] &gt; 0,SnapshotTable[[#This Row],[LC Exp Date]]-MAX(SnapshotTable[[#This Row],[LC Book Date]], SnapshotTable[[#This Row],[LC Fill Date]]),"")</f>
        <v/>
      </c>
      <c r="DR375" s="386" t="str">
        <f>IF(ISNUMBER(SnapshotTable[[#This Row],[LC Term]]), SnapshotTable[[#This Row],[LC Exp Date]] - MockToday, "")</f>
        <v/>
      </c>
      <c r="DS375" s="23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40" t="str">
        <f>IF(ISNUMBER(SnapshotTable[[#This Row],[LC Actual Gain Loss]]), SnapshotTable[[#This Row],[LC Actual Gain Loss]] / SnapshotTable[[#This Row],[LC Premium]],"")</f>
        <v/>
      </c>
      <c r="DX375" s="284" t="str">
        <f>IF(ISNUMBER(SnapshotTable[[#This Row],[LC Book Price]]),SnapshotTable[[#This Row],[LC Book Price]] * 1.5,"")</f>
        <v/>
      </c>
      <c r="DY375" s="265" t="str">
        <f>IF(SnapshotTable[[#This Row],[LC Premium]]&gt;0, SnapshotTable[[#This Row],[LC Next Target]] * SnapshotTable[[#This Row],[LC Qty]] * 100,"")</f>
        <v/>
      </c>
      <c r="DZ375" s="265" t="str">
        <f>IF(ISNUMBER(SnapshotTable[[#This Row],[LC Target Gross]]), SnapshotTable[[#This Row],[LC Target Gross]] - SnapshotTable[[#This Row],[LC Premium]], "")</f>
        <v/>
      </c>
      <c r="EA375" s="305" t="str">
        <f>IF(ISNUMBER(SnapshotTable[[#This Row],[LC Target Gain Loss]]), SnapshotTable[[#This Row],[LC Target Gain Loss]]/SnapshotTable[[#This Row],[LC Premium]], "")</f>
        <v/>
      </c>
      <c r="EB375" s="262"/>
      <c r="EC375" s="283" t="str">
        <f>IF(SnapshotTable[[#This Row],[LC Premium]]&gt;0, SnapshotTable[[#This Row],[LC Book Price]] * (1 - LC_StopLoss_Pct),"")</f>
        <v/>
      </c>
      <c r="ED375" s="284"/>
      <c r="EE375" s="28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4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7"/>
      <c r="EL375" s="138"/>
      <c r="EM375" s="148"/>
      <c r="EN375" s="147"/>
      <c r="EO375" s="147"/>
      <c r="EP375" s="138"/>
      <c r="EQ375" s="419" t="b">
        <f>AND(ISNUMBER(SnapshotTable[[#This Row],[SC Exp Date]]), ISNUMBER(SnapshotTable[[#This Row],[SC Strike Price]]), ISNUMBER(SnapshotTable[[#This Row],[SC Qty]]), ISNUMBER(SnapshotTable[[#This Row],[SC Book Date]]), ISNUMBER(SnapshotTable[[#This Row],[SC Book Price]]))</f>
        <v>0</v>
      </c>
      <c r="ER375" s="419" t="b">
        <f>AND(SnapshotTable[[#This Row],[SC Is Booked]], NOT(ISBLANK(SnapshotTable[[#This Row],[SC Fill Date]])))</f>
        <v>0</v>
      </c>
      <c r="ES375" s="370"/>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3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283"/>
      <c r="FA375" s="218"/>
      <c r="FB375" s="370"/>
      <c r="FC375" s="4">
        <f>IF(SnapshotTable[[#This Row],[SC Is Filled]], btc_max_buyback_amount(SnapshotTable[[#This Row],[SC Fill Date]],SnapshotTable[[#This Row],[SC Exp Date]], SnapshotTable[[#This Row],[SC Book Price]]),0)</f>
        <v>0</v>
      </c>
      <c r="FD375" s="5"/>
      <c r="FE375" s="144"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382">
        <f>IF(SnapshotTable[[#This Row],[SC Is Filled]], IF(ISNUMBER(SnapshotTable[[#This Row],[SC Current Ask]]), SnapshotTable[[#This Row],[SC Current Ask]], SnapshotTable[[#This Row],[SC Book Price]]) - SnapshotTable[[#This Row],[SC Intrinsic Value]], 0)</f>
        <v>0</v>
      </c>
      <c r="FI375" s="143"/>
      <c r="FJ375" s="32" t="str">
        <f>IF(SnapshotTable[[#This Row],[SC Is Filled]],100 * SnapshotTable[[#This Row],[SC Qty]] * IF(ISNUMBER(SnapshotTable[[#This Row],[SC Buyback Override]]), SnapshotTable[[#This Row],[SC Buyback Override]], SnapshotTable[[#This Row],[SC Current Ask]]), "")</f>
        <v/>
      </c>
      <c r="FK375" s="250" t="str">
        <f>IF(SnapshotTable[[#This Row],[SC Time Val]]&gt;0, SnapshotTable[[#This Row],[SC Time Val]] / SnapshotTable[[#This Row],[Last Price]],"")</f>
        <v/>
      </c>
      <c r="FL375" s="302" t="str">
        <f>IF(SnapshotTable[[#This Row],[SC Is Booked]], ((SnapshotTable[[#This Row],[Last Price]] -SnapshotTable[[#This Row],[SC Strike Price]]) / SnapshotTable[[#This Row],[Last Price]]) * -1, "")</f>
        <v/>
      </c>
      <c r="FM375" s="157" t="str">
        <f>IF(SnapshotTable[[#This Row],[SC Is Booked]],  (SnapshotTable[[#This Row],[SC Qty]] * 100 * SnapshotTable[[#This Row],[SC Strike Price]]) - SnapshotTable[[#This Row],[SC Current Ask]], "")</f>
        <v/>
      </c>
      <c r="FN375"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7"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33"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36" t="str">
        <f>IF(AND(ISNUMBER(SnapshotTable[[#This Row],[SC Simple ROO]]),SnapshotTable[[#This Row],[SC Simple ROO]] &gt; 0), SnapshotTable[[#This Row],[SC Premium]] + (SnapshotTable[[#This Row],[SC Qty]] * SnapshotTable[[#This Row],[SC Upside Potential]]), "")</f>
        <v/>
      </c>
      <c r="FX375" s="302" t="str" cm="1">
        <f t="array" ref="FX375">IF(ISNUMBER(SnapshotTable[[#This Row],[SC Max Dollars]]), annualize(SnapshotTable[[#This Row],[SC Term]],(SnapshotTable[[#This Row],[SC Max Dollars]]/SnapshotTable[[#This Row],[SC Basis]])),"")</f>
        <v/>
      </c>
      <c r="FY375" s="236" t="str">
        <f>IF(AND(SnapshotTable[[#This Row],[SC Qty]]&gt;0,SnapshotTable[[#This Row],[SC Current Ask]]&gt;0), SnapshotTable[[#This Row],[SC Qty]] * SnapshotTable[[#This Row],[SC Current Ask]] * -100, "")</f>
        <v/>
      </c>
      <c r="FZ375" s="235" t="str">
        <f>IF(ISNUMBER((SnapshotTable[[#This Row],[SC Current Value]])), SnapshotTable[[#This Row],[SC Premium]] + SnapshotTable[[#This Row],[SC Current Value]], "")</f>
        <v/>
      </c>
      <c r="GA375" s="29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0</v>
      </c>
      <c r="GD375" s="40">
        <f>SnapshotTable[[#This Row],[Last Price]] * (1+ SellingPriceToConsiderBasedOnTargetPercentage)</f>
        <v>310.88850000000002</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8" t="str">
        <f>IF(SnapshotTable[[#This Row],[Sale G/L]]&gt;0, SnapshotTable[[#This Row],[Sale G/L]] / SnapshotTable[[#This Row],[Sale Basis]], IF(ISNUMBER(SnapshotTable[[#This Row],[SC Exercise P&amp;L (TAX)]]), SnapshotTable[[#This Row],[SC Exercise P&amp;L (TAX)]] / SnapshotTable[[#This Row],[SC Basis]], ""))</f>
        <v/>
      </c>
      <c r="GK375" s="27"/>
      <c r="GL375" s="159"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59" t="str">
        <f>IF(AND(SnapshotTable[[#This Row],[LC Exp Date]]&gt;0,SnapshotTable[[#This Row],[LC Strike Price]]&gt;0), [1]!ToOptionSymbol(SnapshotTable[[#This Row],[Symbol]], SnapshotTable[[#This Row],[LC Strike Price]],SnapshotTable[[#This Row],[LC Exp Date]],0), "")</f>
        <v/>
      </c>
      <c r="GQ375" s="160" t="str">
        <f>IF(LEN(SnapshotTable[[#This Row],[LC Symbol]])&gt;0, 1, "")</f>
        <v/>
      </c>
      <c r="GR375" s="159" t="str">
        <f>IF(AND(SnapshotTable[[#This Row],[SC Exp Date]]&gt;0,SnapshotTable[[#This Row],[SC Strike Price]]&gt;0), [1]!ToOptionSymbol(SnapshotTable[[#This Row],[Symbol]], SnapshotTable[[#This Row],[SC Strike Price]],SnapshotTable[[#This Row],[SC Exp Date]],0), "")</f>
        <v/>
      </c>
      <c r="GS375" s="160" t="str">
        <f>IF(LEN(SnapshotTable[[#This Row],[SC Symbol]])&gt;0, 1, "")</f>
        <v/>
      </c>
      <c r="GT375" s="161"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31">
        <f>MAX(SnapshotTable[[#This Row],[Equity Basis Total]],SnapshotTable[[#This Row],[Equity Value]]) + (SnapshotTable[[#This Row],[SP Potential Spend]]- SnapshotTable[[#This Row],[SP Premium]] + SnapshotTable[[#This Row],[LP Premium]])+ (SnapshotTable[[#This Row],[LC Premium]] - SnapshotTable[[#This Row],[SC Premium]])</f>
        <v>0</v>
      </c>
      <c r="GW375" s="139" t="str">
        <f>IF(AND(SnapshotTable[[#This Row],[Exposure]] &lt;&gt; 0),SnapshotTable[[#This Row],[Exposure]] / SnapshotTable[[#Totals],[Exposure]], "")</f>
        <v/>
      </c>
      <c r="GX375" s="2"/>
      <c r="GY375" s="387"/>
      <c r="GZ375"/>
      <c r="HA375" s="2"/>
      <c r="HB375" s="2"/>
      <c r="HK375" s="1"/>
      <c r="HL375" s="1"/>
      <c r="HM375" s="1"/>
      <c r="HN375" s="1"/>
      <c r="HO375" s="1"/>
      <c r="HP375" s="1"/>
    </row>
    <row r="376" spans="2:224" ht="12.75" hidden="1" customHeight="1" x14ac:dyDescent="0.25">
      <c r="B376" s="12" t="s">
        <v>115</v>
      </c>
      <c r="C376" s="422">
        <v>154.44999999999999</v>
      </c>
      <c r="D376" s="208"/>
      <c r="E376" s="39">
        <f>SnapshotTable[[#This Row],[Last Price]]*(1 -CrashDiscount)</f>
        <v>131.2825</v>
      </c>
      <c r="F376" s="26" t="s">
        <v>114</v>
      </c>
      <c r="G376" s="26" t="s">
        <v>41</v>
      </c>
      <c r="H376" s="149"/>
      <c r="I376" s="194">
        <v>44862.270833333336</v>
      </c>
      <c r="J376" s="195">
        <v>44862.270833333336</v>
      </c>
      <c r="K376" s="196" t="s">
        <v>3</v>
      </c>
      <c r="L376" s="326"/>
      <c r="M376" s="140"/>
      <c r="N376" s="140"/>
      <c r="O376" s="140"/>
      <c r="P376" s="22"/>
      <c r="Q376" s="25"/>
      <c r="R376" s="4" t="str">
        <f>IF(SnapshotTable[[#This Row],[Equity Basis Total]] &gt; 0, SnapshotTable[[#This Row],[Equity Basis Total]] / SnapshotTable[[#This Row],[Equity Shares]], "")</f>
        <v/>
      </c>
      <c r="S376" s="269">
        <f>SnapshotTable[[#This Row],[Last Price]] * SnapshotTable[[#This Row],[Equity Shares]]</f>
        <v>0</v>
      </c>
      <c r="T376" s="269">
        <f>SnapshotTable[[#This Row],[Equity Value]] - SnapshotTable[[#This Row],[Equity Basis Total]]</f>
        <v>0</v>
      </c>
      <c r="U376" s="270" t="str">
        <f>IF(SnapshotTable[[#This Row],[Equity Basis Total]] &gt; 0, SnapshotTable[[#This Row],[Equity G/L]] / SnapshotTable[[#This Row],[Equity Basis Total]], "")</f>
        <v/>
      </c>
      <c r="V376" s="268"/>
      <c r="W376" s="26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7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0">
        <v>3</v>
      </c>
      <c r="AD376" s="151">
        <v>42804</v>
      </c>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1.9423761735189383E-2</v>
      </c>
      <c r="AH376" s="151">
        <v>42859</v>
      </c>
      <c r="AI376" s="5"/>
      <c r="AJ376" s="138">
        <v>43.77</v>
      </c>
      <c r="AK376" s="152" t="str">
        <f>IF(ISNUMBER( SnapshotTable[[#This Row],[EBF Target]]),(SnapshotTable[[#This Row],[EBF Target]] - SnapshotTable[[#This Row],[Last Price]]) / SnapshotTable[[#This Row],[Last Price]], "")</f>
        <v/>
      </c>
      <c r="AL376" s="152"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2">
        <f>IF(AND(ISNUMBER( SnapshotTable[[#This Row],[Long Term Target]]), ISNUMBER(SnapshotTable[[#This Row],[Last Price]])),(SnapshotTable[[#This Row],[Long Term Target]] - SnapshotTable[[#This Row],[Last Price]]) / SnapshotTable[[#This Row],[Last Price]], "")</f>
        <v>-0.71660731628358687</v>
      </c>
      <c r="AP376" s="5">
        <v>95</v>
      </c>
      <c r="AQ376" s="38" t="s">
        <v>27</v>
      </c>
      <c r="AR376" s="5">
        <v>95</v>
      </c>
      <c r="AS376" s="38" t="s">
        <v>38</v>
      </c>
      <c r="AT376" s="146" t="s">
        <v>542</v>
      </c>
      <c r="AU376" s="187" t="str">
        <f>IF(OR(SnapshotTable[[#This Row],[LP No Fill]]="Y",SnapshotTable[[#This Row],[SP Is Filled]],SnapshotTable[[#This Row],[LC Not Filled]]="Y",SnapshotTable[[#This Row],[SC Is Filled]]),"Y","")</f>
        <v/>
      </c>
      <c r="AV376" s="219"/>
      <c r="AW376" s="225"/>
      <c r="AX376" s="220"/>
      <c r="AY376" s="219" t="str">
        <f>IF(SnapshotTable[[#This Row],[Implied Move]]&gt;0, SnapshotTable[[#This Row],[Last Price]]-SnapshotTable[[#This Row],[Implied Move]],"")</f>
        <v/>
      </c>
      <c r="AZ376" s="219" t="str">
        <f>IF(SnapshotTable[[#This Row],[Implied Move]]&gt;0, SnapshotTable[[#This Row],[Last Price]] + SnapshotTable[[#This Row],[Implied Move]],"")</f>
        <v/>
      </c>
      <c r="BA376" s="331">
        <v>75.77</v>
      </c>
      <c r="BB376" s="347"/>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51"/>
      <c r="BE376" s="5"/>
      <c r="BF376" s="14"/>
      <c r="BG376" s="13"/>
      <c r="BH376" s="13"/>
      <c r="BI376" s="5"/>
      <c r="BJ376" s="136">
        <f>IF(SnapshotTable[[#This Row],[LP Qty]] &gt; 0, SnapshotTable[[#This Row],[LP Qty]] * SnapshotTable[[#This Row],[LP Book Price]] * 100,0)</f>
        <v>0</v>
      </c>
      <c r="BK376" s="136">
        <f>IF(SnapshotTable[[#This Row],[LP Premium]] &gt; 0, SnapshotTable[[#This Row],[LP Qty]] * SnapshotTable[[#This Row],[LP Strike Price]] * 100,0)</f>
        <v>0</v>
      </c>
      <c r="BL376" s="154"/>
      <c r="BM376" s="385" t="str">
        <f>IF(SnapshotTable[[#This Row],[LP Premium]] &gt; 0,SnapshotTable[[#This Row],[LP Exp Date]]-MAX(SnapshotTable[[#This Row],[LP Book Date]], SnapshotTable[[#This Row],[LP Fill Date]]),"")</f>
        <v/>
      </c>
      <c r="BN376" s="385" t="str">
        <f>IF(ISNUMBER( SnapshotTable[[#This Row],[LP Term]]), SnapshotTable[[#This Row],[LP Exp Date]] - MockToday,"")</f>
        <v/>
      </c>
      <c r="BO376" s="163"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7"/>
      <c r="BU376" s="13"/>
      <c r="BV376" s="5"/>
      <c r="BW376" s="419" t="b">
        <f>AND(ISNUMBER(SnapshotTable[[#This Row],[SP Exp Date]]), ISNUMBER(SnapshotTable[[#This Row],[SP Strike Price]]), ISNUMBER(SnapshotTable[[#This Row],[SP Qty]]), ISNUMBER(SnapshotTable[[#This Row],[SP Book Date]]), ISNUMBER(SnapshotTable[[#This Row],[SP Book Price]]))</f>
        <v>0</v>
      </c>
      <c r="BX376" s="419" t="b">
        <f>AND(SnapshotTable[[#This Row],[SP Is Booked]], NOT(ISBLANK(SnapshotTable[[#This Row],[SP Fill Date]])))</f>
        <v>0</v>
      </c>
      <c r="BY376" s="33">
        <f>IF(SnapshotTable[[#This Row],[SP Is Booked]], SnapshotTable[[#This Row],[SP Qty]] * SnapshotTable[[#This Row],[SP Book Price]] * 100, 0)</f>
        <v>0</v>
      </c>
      <c r="BZ376" s="369"/>
      <c r="CA376" s="368">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3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44"/>
      <c r="CK376" s="31">
        <f>IF(ISNUMBER(SnapshotTable[[#This Row],[SP Potential Spend]]),IF(ISNUMBER(SnapshotTable[[#This Row],[SP POW]]), SnapshotTable[[#This Row],[SP POW]] * SnapshotTable[[#This Row],[SP Potential Spend]], SnapshotTable[[#This Row],[SP Potential Spend]]), "")</f>
        <v>0</v>
      </c>
      <c r="CL376" s="164">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78"/>
      <c r="CO376" s="369"/>
      <c r="CP376" s="4" t="str">
        <f>IF(SnapshotTable[[#This Row],[SP Is Filled]], btc_max_buyback_amount(SnapshotTable[[#This Row],[SP Fill Date]],SnapshotTable[[#This Row],[SP Exp Date]], SnapshotTable[[#This Row],[SP Book Price]]),"")</f>
        <v/>
      </c>
      <c r="CQ376" s="78"/>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5" t="str">
        <f>IF(SnapshotTable[[#This Row],[SP Is Filled]], btc_next_cutoff_date(SnapshotTable[[#This Row],[SP Fill Date]],SnapshotTable[[#This Row],[SP Exp Date]]),"")</f>
        <v/>
      </c>
      <c r="CT376" s="23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3"/>
      <c r="CV376" s="235"/>
      <c r="CW376" s="378"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294" t="str">
        <f>IF(ISNUMBER((SnapshotTable[[#This Row],[SP Total Value]])), SnapshotTable[[#This Row],[SP Gain Loss]] / SnapshotTable[[#This Row],[SP Premium]], "")</f>
        <v/>
      </c>
      <c r="DI376" s="406"/>
      <c r="DJ376" s="138"/>
      <c r="DK376" s="148"/>
      <c r="DL376" s="13"/>
      <c r="DM376" s="13"/>
      <c r="DO376" s="31">
        <f>IF(SnapshotTable[[#This Row],[LC Symbol Count]]=1, SnapshotTable[[#This Row],[LC Qty]] * SnapshotTable[[#This Row],[LC Book Price]] * 100, 0)</f>
        <v>0</v>
      </c>
      <c r="DP376" s="163" t="str">
        <f>IF(AND(SnapshotTable[[#This Row],[LC Exp Date]]&gt;0, SnapshotTable[[#This Row],[LC Strike Price]]&gt;0,SnapshotTable[[#This Row],[LC Qty]]&gt;0,SnapshotTable[[#This Row],[LC Book Date]]&gt;0,SnapshotTable[[#This Row],[LC Book Price]]&gt;0,SnapshotTable[[#This Row],[LC Fill Date]]=0),"Y","")</f>
        <v/>
      </c>
      <c r="DQ376" s="386" t="str">
        <f>IF(SnapshotTable[[#This Row],[LC Premium]] &gt; 0,SnapshotTable[[#This Row],[LC Exp Date]]-MAX(SnapshotTable[[#This Row],[LC Book Date]], SnapshotTable[[#This Row],[LC Fill Date]]),"")</f>
        <v/>
      </c>
      <c r="DR376" s="386" t="str">
        <f>IF(ISNUMBER(SnapshotTable[[#This Row],[LC Term]]), SnapshotTable[[#This Row],[LC Exp Date]] - MockToday, "")</f>
        <v/>
      </c>
      <c r="DS376" s="23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40" t="str">
        <f>IF(ISNUMBER(SnapshotTable[[#This Row],[LC Actual Gain Loss]]), SnapshotTable[[#This Row],[LC Actual Gain Loss]] / SnapshotTable[[#This Row],[LC Premium]],"")</f>
        <v/>
      </c>
      <c r="DX376" s="284" t="str">
        <f>IF(ISNUMBER(SnapshotTable[[#This Row],[LC Book Price]]),SnapshotTable[[#This Row],[LC Book Price]] * 1.5,"")</f>
        <v/>
      </c>
      <c r="DY376" s="265" t="str">
        <f>IF(SnapshotTable[[#This Row],[LC Premium]]&gt;0, SnapshotTable[[#This Row],[LC Next Target]] * SnapshotTable[[#This Row],[LC Qty]] * 100,"")</f>
        <v/>
      </c>
      <c r="DZ376" s="265" t="str">
        <f>IF(ISNUMBER(SnapshotTable[[#This Row],[LC Target Gross]]), SnapshotTable[[#This Row],[LC Target Gross]] - SnapshotTable[[#This Row],[LC Premium]], "")</f>
        <v/>
      </c>
      <c r="EA376" s="305" t="str">
        <f>IF(ISNUMBER(SnapshotTable[[#This Row],[LC Target Gain Loss]]), SnapshotTable[[#This Row],[LC Target Gain Loss]]/SnapshotTable[[#This Row],[LC Premium]], "")</f>
        <v/>
      </c>
      <c r="EB376" s="262"/>
      <c r="EC376" s="283" t="str">
        <f>IF(SnapshotTable[[#This Row],[LC Premium]]&gt;0, SnapshotTable[[#This Row],[LC Book Price]] * (1 - LC_StopLoss_Pct),"")</f>
        <v/>
      </c>
      <c r="ED376" s="284"/>
      <c r="EE376" s="28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4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7"/>
      <c r="EL376" s="138"/>
      <c r="EM376" s="148"/>
      <c r="EN376" s="147"/>
      <c r="EO376" s="147"/>
      <c r="EP376" s="138"/>
      <c r="EQ376" s="419" t="b">
        <f>AND(ISNUMBER(SnapshotTable[[#This Row],[SC Exp Date]]), ISNUMBER(SnapshotTable[[#This Row],[SC Strike Price]]), ISNUMBER(SnapshotTable[[#This Row],[SC Qty]]), ISNUMBER(SnapshotTable[[#This Row],[SC Book Date]]), ISNUMBER(SnapshotTable[[#This Row],[SC Book Price]]))</f>
        <v>0</v>
      </c>
      <c r="ER376" s="419" t="b">
        <f>AND(SnapshotTable[[#This Row],[SC Is Booked]], NOT(ISBLANK(SnapshotTable[[#This Row],[SC Fill Date]])))</f>
        <v>0</v>
      </c>
      <c r="ES376" s="370"/>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3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283"/>
      <c r="FA376" s="218"/>
      <c r="FB376" s="370"/>
      <c r="FC376" s="4">
        <f>IF(SnapshotTable[[#This Row],[SC Is Filled]], btc_max_buyback_amount(SnapshotTable[[#This Row],[SC Fill Date]],SnapshotTable[[#This Row],[SC Exp Date]], SnapshotTable[[#This Row],[SC Book Price]]),0)</f>
        <v>0</v>
      </c>
      <c r="FD376" s="5"/>
      <c r="FE376" s="144"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382">
        <f>IF(SnapshotTable[[#This Row],[SC Is Filled]], IF(ISNUMBER(SnapshotTable[[#This Row],[SC Current Ask]]), SnapshotTable[[#This Row],[SC Current Ask]], SnapshotTable[[#This Row],[SC Book Price]]) - SnapshotTable[[#This Row],[SC Intrinsic Value]], 0)</f>
        <v>0</v>
      </c>
      <c r="FI376" s="143"/>
      <c r="FJ376" s="32" t="str">
        <f>IF(SnapshotTable[[#This Row],[SC Is Filled]],100 * SnapshotTable[[#This Row],[SC Qty]] * IF(ISNUMBER(SnapshotTable[[#This Row],[SC Buyback Override]]), SnapshotTable[[#This Row],[SC Buyback Override]], SnapshotTable[[#This Row],[SC Current Ask]]), "")</f>
        <v/>
      </c>
      <c r="FK376" s="250" t="str">
        <f>IF(SnapshotTable[[#This Row],[SC Time Val]]&gt;0, SnapshotTable[[#This Row],[SC Time Val]] / SnapshotTable[[#This Row],[Last Price]],"")</f>
        <v/>
      </c>
      <c r="FL376" s="302" t="str">
        <f>IF(SnapshotTable[[#This Row],[SC Is Booked]], ((SnapshotTable[[#This Row],[Last Price]] -SnapshotTable[[#This Row],[SC Strike Price]]) / SnapshotTable[[#This Row],[Last Price]]) * -1, "")</f>
        <v/>
      </c>
      <c r="FM376" s="157"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33"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36" t="str">
        <f>IF(AND(ISNUMBER(SnapshotTable[[#This Row],[SC Simple ROO]]),SnapshotTable[[#This Row],[SC Simple ROO]] &gt; 0), SnapshotTable[[#This Row],[SC Premium]] + (SnapshotTable[[#This Row],[SC Qty]] * SnapshotTable[[#This Row],[SC Upside Potential]]), "")</f>
        <v/>
      </c>
      <c r="FX376" s="302" t="str" cm="1">
        <f t="array" ref="FX376">IF(ISNUMBER(SnapshotTable[[#This Row],[SC Max Dollars]]), annualize(SnapshotTable[[#This Row],[SC Term]],(SnapshotTable[[#This Row],[SC Max Dollars]]/SnapshotTable[[#This Row],[SC Basis]])),"")</f>
        <v/>
      </c>
      <c r="FY376" s="23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29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41.581499999999998</v>
      </c>
      <c r="GD376" s="40">
        <f>SnapshotTable[[#This Row],[Last Price]] * (1+ SellingPriceToConsiderBasedOnTargetPercentage)</f>
        <v>301.17749999999995</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t="s">
        <v>1057</v>
      </c>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31">
        <f>MAX(SnapshotTable[[#This Row],[Equity Basis Total]],SnapshotTable[[#This Row],[Equity Value]]) + (SnapshotTable[[#This Row],[SP Potential Spend]]- SnapshotTable[[#This Row],[SP Premium]] + SnapshotTable[[#This Row],[LP Premium]])+ (SnapshotTable[[#This Row],[LC Premium]] - SnapshotTable[[#This Row],[SC Premium]])</f>
        <v>0</v>
      </c>
      <c r="GW376" s="139" t="str">
        <f>IF(AND(SnapshotTable[[#This Row],[Exposure]] &lt;&gt; 0),SnapshotTable[[#This Row],[Exposure]] / SnapshotTable[[#Totals],[Exposure]], "")</f>
        <v/>
      </c>
      <c r="GX376" s="2"/>
      <c r="GY376" s="387"/>
      <c r="GZ376"/>
      <c r="HA376" s="2"/>
      <c r="HB376" s="2"/>
      <c r="HK376" s="1"/>
      <c r="HL376" s="1"/>
      <c r="HM376" s="1"/>
      <c r="HN376" s="1"/>
      <c r="HO376" s="1"/>
      <c r="HP376" s="1"/>
    </row>
    <row r="377" spans="2:224" ht="12.75" hidden="1" customHeight="1" x14ac:dyDescent="0.25">
      <c r="B377" s="12" t="s">
        <v>249</v>
      </c>
      <c r="C377" s="422">
        <v>213.65</v>
      </c>
      <c r="D377" s="208"/>
      <c r="E377" s="39">
        <f>SnapshotTable[[#This Row],[Last Price]]*(1 -CrashDiscount)</f>
        <v>181.60249999999999</v>
      </c>
      <c r="F377" s="26" t="s">
        <v>15</v>
      </c>
      <c r="G377" s="26" t="s">
        <v>14</v>
      </c>
      <c r="H377" s="149"/>
      <c r="I377" s="194">
        <v>44781.677083333336</v>
      </c>
      <c r="J377" s="195">
        <v>44781.677083333336</v>
      </c>
      <c r="K377" s="196"/>
      <c r="L377" s="326"/>
      <c r="M377" s="140"/>
      <c r="N377" s="140"/>
      <c r="O377" s="140"/>
      <c r="P377" s="22"/>
      <c r="Q377" s="25"/>
      <c r="R377" s="4" t="str">
        <f>IF(SnapshotTable[[#This Row],[Equity Basis Total]] &gt; 0, SnapshotTable[[#This Row],[Equity Basis Total]] / SnapshotTable[[#This Row],[Equity Shares]], "")</f>
        <v/>
      </c>
      <c r="S377" s="269">
        <f>SnapshotTable[[#This Row],[Last Price]] * SnapshotTable[[#This Row],[Equity Shares]]</f>
        <v>0</v>
      </c>
      <c r="T377" s="269">
        <f>SnapshotTable[[#This Row],[Equity Value]] - SnapshotTable[[#This Row],[Equity Basis Total]]</f>
        <v>0</v>
      </c>
      <c r="U377" s="270" t="str">
        <f>IF(SnapshotTable[[#This Row],[Equity Basis Total]] &gt; 0, SnapshotTable[[#This Row],[Equity G/L]] / SnapshotTable[[#This Row],[Equity Basis Total]], "")</f>
        <v/>
      </c>
      <c r="V377" s="268"/>
      <c r="W377" s="26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7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0"/>
      <c r="AD377" s="151"/>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1"/>
      <c r="AI377" s="5"/>
      <c r="AJ377" s="138">
        <v>91.72</v>
      </c>
      <c r="AK377" s="152" t="str">
        <f>IF(ISNUMBER( SnapshotTable[[#This Row],[EBF Target]]),(SnapshotTable[[#This Row],[EBF Target]] - SnapshotTable[[#This Row],[Last Price]]) / SnapshotTable[[#This Row],[Last Price]], "")</f>
        <v/>
      </c>
      <c r="AL377" s="152"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2">
        <f>IF(AND(ISNUMBER( SnapshotTable[[#This Row],[Long Term Target]]), ISNUMBER(SnapshotTable[[#This Row],[Last Price]])),(SnapshotTable[[#This Row],[Long Term Target]] - SnapshotTable[[#This Row],[Last Price]]) / SnapshotTable[[#This Row],[Last Price]], "")</f>
        <v>-0.57069974256962319</v>
      </c>
      <c r="AP377" s="5"/>
      <c r="AQ377" s="38"/>
      <c r="AR377" s="5"/>
      <c r="AS377" s="38"/>
      <c r="AT377" s="146"/>
      <c r="AU377" s="187" t="str">
        <f>IF(OR(SnapshotTable[[#This Row],[LP No Fill]]="Y",SnapshotTable[[#This Row],[SP Is Filled]],SnapshotTable[[#This Row],[LC Not Filled]]="Y",SnapshotTable[[#This Row],[SC Is Filled]]),"Y","")</f>
        <v/>
      </c>
      <c r="AV377" s="219"/>
      <c r="AW377" s="225"/>
      <c r="AX377" s="220"/>
      <c r="AY377" s="219" t="str">
        <f>IF(SnapshotTable[[#This Row],[Implied Move]]&gt;0, SnapshotTable[[#This Row],[Last Price]]-SnapshotTable[[#This Row],[Implied Move]],"")</f>
        <v/>
      </c>
      <c r="AZ377" s="219" t="str">
        <f>IF(SnapshotTable[[#This Row],[Implied Move]]&gt;0, SnapshotTable[[#This Row],[Last Price]] + SnapshotTable[[#This Row],[Implied Move]],"")</f>
        <v/>
      </c>
      <c r="BA377" s="331"/>
      <c r="BB377" s="347"/>
      <c r="BC3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7" s="351"/>
      <c r="BE377" s="5"/>
      <c r="BF377" s="14"/>
      <c r="BG377" s="13"/>
      <c r="BH377" s="13"/>
      <c r="BI377" s="5"/>
      <c r="BJ377" s="136">
        <f>IF(SnapshotTable[[#This Row],[LP Qty]] &gt; 0, SnapshotTable[[#This Row],[LP Qty]] * SnapshotTable[[#This Row],[LP Book Price]] * 100,0)</f>
        <v>0</v>
      </c>
      <c r="BK377" s="136">
        <f>IF(SnapshotTable[[#This Row],[LP Premium]] &gt; 0, SnapshotTable[[#This Row],[LP Qty]] * SnapshotTable[[#This Row],[LP Strike Price]] * 100,0)</f>
        <v>0</v>
      </c>
      <c r="BL377" s="154"/>
      <c r="BM377" s="385" t="str">
        <f>IF(SnapshotTable[[#This Row],[LP Premium]] &gt; 0,SnapshotTable[[#This Row],[LP Exp Date]]-MAX(SnapshotTable[[#This Row],[LP Book Date]], SnapshotTable[[#This Row],[LP Fill Date]]),"")</f>
        <v/>
      </c>
      <c r="BN377" s="385" t="str">
        <f>IF(ISNUMBER( SnapshotTable[[#This Row],[LP Term]]), SnapshotTable[[#This Row],[LP Exp Date]] - MockToday,"")</f>
        <v/>
      </c>
      <c r="BO377" s="163"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c r="BR377" s="5"/>
      <c r="BS377" s="36"/>
      <c r="BT377" s="147"/>
      <c r="BU377" s="13"/>
      <c r="BV377" s="5"/>
      <c r="BW377" s="419" t="b">
        <f>AND(ISNUMBER(SnapshotTable[[#This Row],[SP Exp Date]]), ISNUMBER(SnapshotTable[[#This Row],[SP Strike Price]]), ISNUMBER(SnapshotTable[[#This Row],[SP Qty]]), ISNUMBER(SnapshotTable[[#This Row],[SP Book Date]]), ISNUMBER(SnapshotTable[[#This Row],[SP Book Price]]))</f>
        <v>0</v>
      </c>
      <c r="BX377" s="419" t="b">
        <f>AND(SnapshotTable[[#This Row],[SP Is Booked]], NOT(ISBLANK(SnapshotTable[[#This Row],[SP Fill Date]])))</f>
        <v>0</v>
      </c>
      <c r="BY377" s="33">
        <f>IF(SnapshotTable[[#This Row],[SP Is Booked]], SnapshotTable[[#This Row],[SP Qty]] * SnapshotTable[[#This Row],[SP Book Price]] * 100, 0)</f>
        <v>0</v>
      </c>
      <c r="BZ377" s="369"/>
      <c r="CA377" s="368">
        <f>SnapshotTable[[#This Row],[LP Qty]]</f>
        <v>0</v>
      </c>
      <c r="CB377" s="4" t="str">
        <f>IF(SnapshotTable[[#This Row],[SP Is Booked]], SnapshotTable[[#This Row],[SP Strike Price]] - SnapshotTable[[#This Row],[SP Book Price]], "")</f>
        <v/>
      </c>
      <c r="CC377" s="19" t="str">
        <f>IF(SnapshotTable[[#This Row],[SP Is Booked]],SnapshotTable[[#This Row],[SP Exp Date]]-MAX(SnapshotTable[[#This Row],[SP Book Date]], SnapshotTable[[#This Row],[SP Fill Date]]),"")</f>
        <v/>
      </c>
      <c r="CD377" s="7" t="str">
        <f>IF(SnapshotTable[[#This Row],[SP Is Booked]], SnapshotTable[[#This Row],[SP Book Price]]/SnapshotTable[[#This Row],[SP Strike Price]], "")</f>
        <v/>
      </c>
      <c r="CE377" s="7" t="str">
        <f>IF(ISNUMBER(SnapshotTable[[#This Row],[SP ROO Term]]),SnapshotTable[[#This Row],[SP ROO Term]]*(365/SnapshotTable[[#This Row],[SP Term]]),"")</f>
        <v/>
      </c>
      <c r="CF377" s="236">
        <f>SnapshotTable[[#This Row],[LP Strike Price]] * SnapshotTable[[#This Row],[LP Qty]] * 100</f>
        <v>0</v>
      </c>
      <c r="CG377" s="31">
        <f>IF(ISNUMBER(SnapshotTable[[#This Row],[SP Premium]]), (SnapshotTable[[#This Row],[SP Qty]] * SnapshotTable[[#This Row],[SP Strike Price]]* 100) - SnapshotTable[[#This Row],[LP Protection]], 0)</f>
        <v>0</v>
      </c>
      <c r="CH377" s="7" t="str">
        <f>IF(ISNUMBER(SnapshotTable[[#This Row],[SP Break Even]]),-1 * (SnapshotTable[[#This Row],[SP Break Even]] - SnapshotTable[[#This Row],[Last Price]]) / SnapshotTable[[#This Row],[Last Price]], "")</f>
        <v/>
      </c>
      <c r="CI377" s="31">
        <f>IF(AND(ISNUMBER((SnapshotTable[[#This Row],[SP Potential Spend]])), SnapshotTable[[#This Row],[SP Strike Price]] &gt; SnapshotTable[[#This Row],[Last Price]], SnapshotTable[[#This Row],[SP Is Filled]]), SnapshotTable[[#This Row],[SP Potential Spend]] -  SnapshotTable[[#This Row],[LP Max Value]], 0)</f>
        <v>0</v>
      </c>
      <c r="CJ377" s="244"/>
      <c r="CK377" s="31">
        <f>IF(ISNUMBER(SnapshotTable[[#This Row],[SP Potential Spend]]),IF(ISNUMBER(SnapshotTable[[#This Row],[SP POW]]), SnapshotTable[[#This Row],[SP POW]] * SnapshotTable[[#This Row],[SP Potential Spend]], SnapshotTable[[#This Row],[SP Potential Spend]]), "")</f>
        <v>0</v>
      </c>
      <c r="CL377" s="164">
        <f>IF(NOT(SnapshotTable[[#This Row],[SP Is Filled]]),(SnapshotTable[[#This Row],[SP Qty]] * SnapshotTable[[#This Row],[SP Strike Price]] * 100) - SnapshotTable[[#This Row],[LP Max Value]],"")</f>
        <v>0</v>
      </c>
      <c r="CM377" s="31" t="str">
        <f>IF(SnapshotTable[[#This Row],[SP Actual Spend]]&lt;&gt;0, ((SnapshotTable[[#This Row],[SP Strike Price]]-SnapshotTable[[#This Row],[Last Price]]) *(SnapshotTable[[#This Row],[SP Qty]]*100) - SnapshotTable[[#This Row],[SP Premium]]) * - 1, "")</f>
        <v/>
      </c>
      <c r="CN377" s="78"/>
      <c r="CO377" s="369"/>
      <c r="CP377" s="4" t="str">
        <f>IF(SnapshotTable[[#This Row],[SP Is Filled]], btc_max_buyback_amount(SnapshotTable[[#This Row],[SP Fill Date]],SnapshotTable[[#This Row],[SP Exp Date]], SnapshotTable[[#This Row],[SP Book Price]]),"")</f>
        <v/>
      </c>
      <c r="CQ377" s="78"/>
      <c r="CR3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7" s="155" t="str">
        <f>IF(SnapshotTable[[#This Row],[SP Is Filled]], btc_next_cutoff_date(SnapshotTable[[#This Row],[SP Fill Date]],SnapshotTable[[#This Row],[SP Exp Date]]),"")</f>
        <v/>
      </c>
      <c r="CT377" s="235" t="str" cm="1">
        <f t="array" ref="CT377">IF(SnapshotTable[[#This Row],[SP Is Filled]], btc_should_buy_back(SnapshotTable[[#This Row],[SP Fill Date]], SnapshotTable[[#This Row],[SP Exp Date]], SnapshotTable[[#This Row],[SP Book Price]], SnapshotTable[[#This Row],[SP Current Ask]], MockToday, SnapshotTable[[#This Row],[SP Buyback Override]]),"")</f>
        <v/>
      </c>
      <c r="CU377" s="143"/>
      <c r="CV377" s="235"/>
      <c r="CW377" s="378" t="str">
        <f>IF(ISNUMBER( SnapshotTable[[#This Row],[SP Term]]), SnapshotTable[[#This Row],[SP Exp Date]] - MockToday,"")</f>
        <v/>
      </c>
      <c r="CX377" s="31" t="str">
        <f>IF(SnapshotTable[[#This Row],[SP Is Filled]],SnapshotTable[[#This Row],[SP Buyback Price to Use]] * 100 * SnapshotTable[[#This Row],[SP Qty]], "")</f>
        <v/>
      </c>
      <c r="CY377" s="4" t="str">
        <f>IF(ISNUMBER(SnapshotTable[[#This Row],[SP Strike Price]]), SnapshotTable[[#This Row],[SP Strike Price]] * (1 - SP_MaxLoss_StrikePct), "")</f>
        <v/>
      </c>
      <c r="CZ377" s="31" t="str">
        <f>IF(ISNUMBER(SnapshotTable[[#This Row],[SP Strike  Stop Per Share]]),SnapshotTable[[#This Row],[SP Premium]] - ((SnapshotTable[[#This Row],[SP Strike Price]]-SnapshotTable[[#This Row],[SP Strike  Stop Per Share]]) *(SnapshotTable[[#This Row],[SP Qty]] * 100)),"")</f>
        <v/>
      </c>
      <c r="DA377" s="4" t="str">
        <f>IF(AND(ISNUMBER(SnapshotTable[[#This Row],[SP Premium]]),SnapshotTable[[#This Row],[SP Premium]]&gt;0), SnapshotTable[[#This Row],[SP Book Price]] * (1 + SP_MaxLoss_OptionPct), "")</f>
        <v/>
      </c>
      <c r="DB377" s="31" t="str">
        <f>IF(ISNUMBER(SnapshotTable[[#This Row],[SP Option  Stop Contract]]),(SnapshotTable[[#This Row],[SP Option  Stop Contract]] *(SnapshotTable[[#This Row],[SP Qty]] * 100) - SnapshotTable[[#This Row],[SP Premium]]),"")</f>
        <v/>
      </c>
      <c r="DC377" s="4"/>
      <c r="DD377" s="4"/>
      <c r="DE377" s="4" t="str">
        <f>IF(AND(SnapshotTable[[#This Row],[SP Qty]]&gt;0, SnapshotTable[[#This Row],[SP Stop To Use]]&gt;0),SnapshotTable[[#This Row],[SP Premium]] - ( SnapshotTable[[#This Row],[SP Qty]] * SnapshotTable[[#This Row],[SP Stop To Use]] * 100), "")</f>
        <v/>
      </c>
      <c r="DF377" s="31" t="str">
        <f>IF(AND(SnapshotTable[[#This Row],[SP Qty]]&gt;0,SnapshotTable[[#This Row],[SP Current Ask]]&gt;0), SnapshotTable[[#This Row],[SP Qty]] * SnapshotTable[[#This Row],[SP Current Ask]] * -100, "")</f>
        <v/>
      </c>
      <c r="DG377" s="31" t="str">
        <f>IF(ISNUMBER((SnapshotTable[[#This Row],[SP Total Value]])), SnapshotTable[[#This Row],[SP Premium]] + SnapshotTable[[#This Row],[SP Total Value]], "")</f>
        <v/>
      </c>
      <c r="DH377" s="294" t="str">
        <f>IF(ISNUMBER((SnapshotTable[[#This Row],[SP Total Value]])), SnapshotTable[[#This Row],[SP Gain Loss]] / SnapshotTable[[#This Row],[SP Premium]], "")</f>
        <v/>
      </c>
      <c r="DI377" s="406"/>
      <c r="DJ377" s="138"/>
      <c r="DK377" s="148"/>
      <c r="DL377" s="13"/>
      <c r="DM377" s="13"/>
      <c r="DO377" s="31">
        <f>IF(SnapshotTable[[#This Row],[LC Symbol Count]]=1, SnapshotTable[[#This Row],[LC Qty]] * SnapshotTable[[#This Row],[LC Book Price]] * 100, 0)</f>
        <v>0</v>
      </c>
      <c r="DP377" s="163" t="str">
        <f>IF(AND(SnapshotTable[[#This Row],[LC Exp Date]]&gt;0, SnapshotTable[[#This Row],[LC Strike Price]]&gt;0,SnapshotTable[[#This Row],[LC Qty]]&gt;0,SnapshotTable[[#This Row],[LC Book Date]]&gt;0,SnapshotTable[[#This Row],[LC Book Price]]&gt;0,SnapshotTable[[#This Row],[LC Fill Date]]=0),"Y","")</f>
        <v/>
      </c>
      <c r="DQ377" s="386" t="str">
        <f>IF(SnapshotTable[[#This Row],[LC Premium]] &gt; 0,SnapshotTable[[#This Row],[LC Exp Date]]-MAX(SnapshotTable[[#This Row],[LC Book Date]], SnapshotTable[[#This Row],[LC Fill Date]]),"")</f>
        <v/>
      </c>
      <c r="DR377" s="386" t="str">
        <f>IF(ISNUMBER(SnapshotTable[[#This Row],[LC Term]]), SnapshotTable[[#This Row],[LC Exp Date]] - MockToday, "")</f>
        <v/>
      </c>
      <c r="DS377" s="23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40" t="str">
        <f>IF(ISNUMBER(SnapshotTable[[#This Row],[LC Actual Gain Loss]]), SnapshotTable[[#This Row],[LC Actual Gain Loss]] / SnapshotTable[[#This Row],[LC Premium]],"")</f>
        <v/>
      </c>
      <c r="DX377" s="284" t="str">
        <f>IF(ISNUMBER(SnapshotTable[[#This Row],[LC Book Price]]),SnapshotTable[[#This Row],[LC Book Price]] * 1.5,"")</f>
        <v/>
      </c>
      <c r="DY377" s="265" t="str">
        <f>IF(SnapshotTable[[#This Row],[LC Premium]]&gt;0, SnapshotTable[[#This Row],[LC Next Target]] * SnapshotTable[[#This Row],[LC Qty]] * 100,"")</f>
        <v/>
      </c>
      <c r="DZ377" s="265" t="str">
        <f>IF(ISNUMBER(SnapshotTable[[#This Row],[LC Target Gross]]), SnapshotTable[[#This Row],[LC Target Gross]] - SnapshotTable[[#This Row],[LC Premium]], "")</f>
        <v/>
      </c>
      <c r="EA377" s="305" t="str">
        <f>IF(ISNUMBER(SnapshotTable[[#This Row],[LC Target Gain Loss]]), SnapshotTable[[#This Row],[LC Target Gain Loss]]/SnapshotTable[[#This Row],[LC Premium]], "")</f>
        <v/>
      </c>
      <c r="EB377" s="262"/>
      <c r="EC377" s="283" t="str">
        <f>IF(SnapshotTable[[#This Row],[LC Premium]]&gt;0, SnapshotTable[[#This Row],[LC Book Price]] * (1 - LC_StopLoss_Pct),"")</f>
        <v/>
      </c>
      <c r="ED377" s="284"/>
      <c r="EE377" s="28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4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0</v>
      </c>
      <c r="EK377" s="147"/>
      <c r="EL377" s="138"/>
      <c r="EM377" s="148"/>
      <c r="EN377" s="147"/>
      <c r="EO377" s="147"/>
      <c r="EP377" s="138"/>
      <c r="EQ377" s="419" t="b">
        <f>AND(ISNUMBER(SnapshotTable[[#This Row],[SC Exp Date]]), ISNUMBER(SnapshotTable[[#This Row],[SC Strike Price]]), ISNUMBER(SnapshotTable[[#This Row],[SC Qty]]), ISNUMBER(SnapshotTable[[#This Row],[SC Book Date]]), ISNUMBER(SnapshotTable[[#This Row],[SC Book Price]]))</f>
        <v>0</v>
      </c>
      <c r="ER377" s="419" t="b">
        <f>AND(SnapshotTable[[#This Row],[SC Is Booked]], NOT(ISBLANK(SnapshotTable[[#This Row],[SC Fill Date]])))</f>
        <v>0</v>
      </c>
      <c r="ES377" s="370"/>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3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283"/>
      <c r="FA377" s="218"/>
      <c r="FB377" s="370"/>
      <c r="FC377" s="4">
        <f>IF(SnapshotTable[[#This Row],[SC Is Filled]], btc_max_buyback_amount(SnapshotTable[[#This Row],[SC Fill Date]],SnapshotTable[[#This Row],[SC Exp Date]], SnapshotTable[[#This Row],[SC Book Price]]),0)</f>
        <v>0</v>
      </c>
      <c r="FD377" s="5"/>
      <c r="FE377" s="144"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382">
        <f>IF(SnapshotTable[[#This Row],[SC Is Filled]], IF(ISNUMBER(SnapshotTable[[#This Row],[SC Current Ask]]), SnapshotTable[[#This Row],[SC Current Ask]], SnapshotTable[[#This Row],[SC Book Price]]) - SnapshotTable[[#This Row],[SC Intrinsic Value]], 0)</f>
        <v>0</v>
      </c>
      <c r="FI377" s="143"/>
      <c r="FJ377" s="32" t="str">
        <f>IF(SnapshotTable[[#This Row],[SC Is Filled]],100 * SnapshotTable[[#This Row],[SC Qty]] * IF(ISNUMBER(SnapshotTable[[#This Row],[SC Buyback Override]]), SnapshotTable[[#This Row],[SC Buyback Override]], SnapshotTable[[#This Row],[SC Current Ask]]), "")</f>
        <v/>
      </c>
      <c r="FK377" s="250" t="str">
        <f>IF(SnapshotTable[[#This Row],[SC Time Val]]&gt;0, SnapshotTable[[#This Row],[SC Time Val]] / SnapshotTable[[#This Row],[Last Price]],"")</f>
        <v/>
      </c>
      <c r="FL377" s="302" t="str">
        <f>IF(SnapshotTable[[#This Row],[SC Is Booked]], ((SnapshotTable[[#This Row],[Last Price]] -SnapshotTable[[#This Row],[SC Strike Price]]) / SnapshotTable[[#This Row],[Last Price]]) * -1, "")</f>
        <v/>
      </c>
      <c r="FM377" s="157"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33"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36" t="str">
        <f>IF(AND(ISNUMBER(SnapshotTable[[#This Row],[SC Simple ROO]]),SnapshotTable[[#This Row],[SC Simple ROO]] &gt; 0), SnapshotTable[[#This Row],[SC Premium]] + (SnapshotTable[[#This Row],[SC Qty]] * SnapshotTable[[#This Row],[SC Upside Potential]]), "")</f>
        <v/>
      </c>
      <c r="FX377" s="302" t="str" cm="1">
        <f t="array" ref="FX377">IF(ISNUMBER(SnapshotTable[[#This Row],[SC Max Dollars]]), annualize(SnapshotTable[[#This Row],[SC Term]],(SnapshotTable[[#This Row],[SC Max Dollars]]/SnapshotTable[[#This Row],[SC Basis]])),"")</f>
        <v/>
      </c>
      <c r="FY377" s="23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294" t="str">
        <f>IFERROR( IF(ISNUMBER((SnapshotTable[[#This Row],[SC Current Value]])), SnapshotTable[[#This Row],[SC Gain Loss]] / SnapshotTable[[#This Row],[SC Premium]], ""), "")</f>
        <v/>
      </c>
      <c r="GB377" s="42">
        <f>SnapshotTable[[#This Row],[Equity Shares]] * SaleSharesToConsiderPercentage</f>
        <v>0</v>
      </c>
      <c r="GC377" s="40">
        <f>SnapshotTable[[#This Row],[Long Term Target]] * SellingPriceToConsiderBasedOnTargetPercentage</f>
        <v>87.134</v>
      </c>
      <c r="GD377" s="40">
        <f>SnapshotTable[[#This Row],[Last Price]] * (1+ SellingPriceToConsiderBasedOnTargetPercentage)</f>
        <v>416.61750000000001</v>
      </c>
      <c r="GE377" s="41"/>
      <c r="GF377" s="40"/>
      <c r="GG377" s="31">
        <f>SnapshotTable[[#This Row],[Booked Sale Shares]] * SnapshotTable[[#This Row],[Booked Sale Price]]</f>
        <v>0</v>
      </c>
      <c r="GH377" s="31" t="str">
        <f>IF(SnapshotTable[[#This Row],[Equity Basis Total]] &gt; 0, SnapshotTable[[#This Row],[Equity Basis Per Share]] * SnapshotTable[[#This Row],[Booked Sale Shares]], "")</f>
        <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807</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
      </c>
      <c r="GO377" s="30" t="str">
        <f>IF(LEN(SnapshotTable[[#This Row],[SP Symbol]])&gt;0, 1, "")</f>
        <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7" s="231">
        <f>MAX(SnapshotTable[[#This Row],[Equity Basis Total]],SnapshotTable[[#This Row],[Equity Value]]) + (SnapshotTable[[#This Row],[SP Potential Spend]]- SnapshotTable[[#This Row],[SP Premium]] + SnapshotTable[[#This Row],[LP Premium]])+ (SnapshotTable[[#This Row],[LC Premium]] - SnapshotTable[[#This Row],[SC Premium]])</f>
        <v>0</v>
      </c>
      <c r="GW377" s="139" t="str">
        <f>IF(AND(SnapshotTable[[#This Row],[Exposure]] &lt;&gt; 0),SnapshotTable[[#This Row],[Exposure]] / SnapshotTable[[#Totals],[Exposure]], "")</f>
        <v/>
      </c>
      <c r="GX377" s="2"/>
      <c r="GY377" s="387"/>
      <c r="GZ377"/>
      <c r="HA377" s="2"/>
      <c r="HB377" s="2"/>
      <c r="HK377" s="1"/>
      <c r="HL377" s="1"/>
      <c r="HM377" s="1"/>
      <c r="HN377" s="1"/>
      <c r="HO377" s="1"/>
      <c r="HP377" s="1"/>
    </row>
    <row r="378" spans="2:224" ht="12.75" hidden="1" customHeight="1" x14ac:dyDescent="0.25">
      <c r="B378" s="12" t="s">
        <v>162</v>
      </c>
      <c r="C378" s="422">
        <v>88.74</v>
      </c>
      <c r="D378" s="208"/>
      <c r="E378" s="39">
        <f>SnapshotTable[[#This Row],[Last Price]]*(1 -CrashDiscount)</f>
        <v>75.428999999999988</v>
      </c>
      <c r="F378" s="26" t="s">
        <v>5</v>
      </c>
      <c r="G378" s="26" t="s">
        <v>4</v>
      </c>
      <c r="H378" s="149"/>
      <c r="I378" s="194">
        <v>44781.677083333336</v>
      </c>
      <c r="J378" s="195">
        <v>44781.677083333336</v>
      </c>
      <c r="K378" s="196"/>
      <c r="L378" s="326"/>
      <c r="M378" s="140"/>
      <c r="N378" s="140"/>
      <c r="O378" s="140"/>
      <c r="P378" s="22"/>
      <c r="Q378" s="25"/>
      <c r="R378" s="4" t="str">
        <f>IF(SnapshotTable[[#This Row],[Equity Basis Total]] &gt; 0, SnapshotTable[[#This Row],[Equity Basis Total]] / SnapshotTable[[#This Row],[Equity Shares]], "")</f>
        <v/>
      </c>
      <c r="S378" s="269">
        <f>SnapshotTable[[#This Row],[Last Price]] * SnapshotTable[[#This Row],[Equity Shares]]</f>
        <v>0</v>
      </c>
      <c r="T378" s="269">
        <f>SnapshotTable[[#This Row],[Equity Value]] - SnapshotTable[[#This Row],[Equity Basis Total]]</f>
        <v>0</v>
      </c>
      <c r="U378" s="270" t="str">
        <f>IF(SnapshotTable[[#This Row],[Equity Basis Total]] &gt; 0, SnapshotTable[[#This Row],[Equity G/L]] / SnapshotTable[[#This Row],[Equity Basis Total]], "")</f>
        <v/>
      </c>
      <c r="V378" s="268"/>
      <c r="W378" s="26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7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0">
        <v>0</v>
      </c>
      <c r="AD378" s="151" t="s">
        <v>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0</v>
      </c>
      <c r="AH378" s="151" t="s">
        <v>2</v>
      </c>
      <c r="AI378" s="5"/>
      <c r="AJ378" s="138" t="s">
        <v>164</v>
      </c>
      <c r="AK378" s="152" t="str">
        <f>IF(ISNUMBER( SnapshotTable[[#This Row],[EBF Target]]),(SnapshotTable[[#This Row],[EBF Target]] - SnapshotTable[[#This Row],[Last Price]]) / SnapshotTable[[#This Row],[Last Price]], "")</f>
        <v/>
      </c>
      <c r="AL378" s="152"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2" t="str">
        <f>IF(AND(ISNUMBER( SnapshotTable[[#This Row],[Long Term Target]]), ISNUMBER(SnapshotTable[[#This Row],[Last Price]])),(SnapshotTable[[#This Row],[Long Term Target]] - SnapshotTable[[#This Row],[Last Price]]) / SnapshotTable[[#This Row],[Last Price]], "")</f>
        <v/>
      </c>
      <c r="AP378" s="5"/>
      <c r="AQ378" s="38"/>
      <c r="AR378" s="5"/>
      <c r="AS378" s="38"/>
      <c r="AT378" s="146"/>
      <c r="AU378" s="187" t="str">
        <f>IF(OR(SnapshotTable[[#This Row],[LP No Fill]]="Y",SnapshotTable[[#This Row],[SP Is Filled]],SnapshotTable[[#This Row],[LC Not Filled]]="Y",SnapshotTable[[#This Row],[SC Is Filled]]),"Y","")</f>
        <v/>
      </c>
      <c r="AV378" s="219"/>
      <c r="AW378" s="225"/>
      <c r="AX378" s="220"/>
      <c r="AY378" s="219" t="str">
        <f>IF(SnapshotTable[[#This Row],[Implied Move]]&gt;0, SnapshotTable[[#This Row],[Last Price]]-SnapshotTable[[#This Row],[Implied Move]],"")</f>
        <v/>
      </c>
      <c r="AZ378" s="219" t="str">
        <f>IF(SnapshotTable[[#This Row],[Implied Move]]&gt;0, SnapshotTable[[#This Row],[Last Price]] + SnapshotTable[[#This Row],[Implied Move]],"")</f>
        <v/>
      </c>
      <c r="BA378" s="331"/>
      <c r="BB378" s="347"/>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51"/>
      <c r="BE378" s="5"/>
      <c r="BF378" s="14"/>
      <c r="BG378" s="13"/>
      <c r="BH378" s="13"/>
      <c r="BI378" s="5"/>
      <c r="BJ378" s="136">
        <f>IF(SnapshotTable[[#This Row],[LP Qty]] &gt; 0, SnapshotTable[[#This Row],[LP Qty]] * SnapshotTable[[#This Row],[LP Book Price]] * 100,0)</f>
        <v>0</v>
      </c>
      <c r="BK378" s="136">
        <f>IF(SnapshotTable[[#This Row],[LP Premium]] &gt; 0, SnapshotTable[[#This Row],[LP Qty]] * SnapshotTable[[#This Row],[LP Strike Price]] * 100,0)</f>
        <v>0</v>
      </c>
      <c r="BL378" s="154"/>
      <c r="BM378" s="385" t="str">
        <f>IF(SnapshotTable[[#This Row],[LP Premium]] &gt; 0,SnapshotTable[[#This Row],[LP Exp Date]]-MAX(SnapshotTable[[#This Row],[LP Book Date]], SnapshotTable[[#This Row],[LP Fill Date]]),"")</f>
        <v/>
      </c>
      <c r="BN378" s="385" t="str">
        <f>IF(ISNUMBER( SnapshotTable[[#This Row],[LP Term]]), SnapshotTable[[#This Row],[LP Exp Date]] - MockToday,"")</f>
        <v/>
      </c>
      <c r="BO378" s="163"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7"/>
      <c r="BU378" s="13"/>
      <c r="BV378" s="5"/>
      <c r="BW378" s="419" t="b">
        <f>AND(ISNUMBER(SnapshotTable[[#This Row],[SP Exp Date]]), ISNUMBER(SnapshotTable[[#This Row],[SP Strike Price]]), ISNUMBER(SnapshotTable[[#This Row],[SP Qty]]), ISNUMBER(SnapshotTable[[#This Row],[SP Book Date]]), ISNUMBER(SnapshotTable[[#This Row],[SP Book Price]]))</f>
        <v>0</v>
      </c>
      <c r="BX378" s="419" t="b">
        <f>AND(SnapshotTable[[#This Row],[SP Is Booked]], NOT(ISBLANK(SnapshotTable[[#This Row],[SP Fill Date]])))</f>
        <v>0</v>
      </c>
      <c r="BY378" s="33">
        <f>IF(SnapshotTable[[#This Row],[SP Is Booked]], SnapshotTable[[#This Row],[SP Qty]] * SnapshotTable[[#This Row],[SP Book Price]] * 100, 0)</f>
        <v>0</v>
      </c>
      <c r="BZ378" s="369"/>
      <c r="CA378" s="368">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3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44"/>
      <c r="CK378" s="31">
        <f>IF(ISNUMBER(SnapshotTable[[#This Row],[SP Potential Spend]]),IF(ISNUMBER(SnapshotTable[[#This Row],[SP POW]]), SnapshotTable[[#This Row],[SP POW]] * SnapshotTable[[#This Row],[SP Potential Spend]], SnapshotTable[[#This Row],[SP Potential Spend]]), "")</f>
        <v>0</v>
      </c>
      <c r="CL378" s="164">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8"/>
      <c r="CO378" s="369"/>
      <c r="CP378" s="4" t="str">
        <f>IF(SnapshotTable[[#This Row],[SP Is Filled]], btc_max_buyback_amount(SnapshotTable[[#This Row],[SP Fill Date]],SnapshotTable[[#This Row],[SP Exp Date]], SnapshotTable[[#This Row],[SP Book Price]]),"")</f>
        <v/>
      </c>
      <c r="CQ378" s="78"/>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5" t="str">
        <f>IF(SnapshotTable[[#This Row],[SP Is Filled]], btc_next_cutoff_date(SnapshotTable[[#This Row],[SP Fill Date]],SnapshotTable[[#This Row],[SP Exp Date]]),"")</f>
        <v/>
      </c>
      <c r="CT378" s="23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3"/>
      <c r="CV378" s="235"/>
      <c r="CW378" s="378"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294" t="str">
        <f>IF(ISNUMBER((SnapshotTable[[#This Row],[SP Total Value]])), SnapshotTable[[#This Row],[SP Gain Loss]] / SnapshotTable[[#This Row],[SP Premium]], "")</f>
        <v/>
      </c>
      <c r="DI378" s="406"/>
      <c r="DJ378" s="138"/>
      <c r="DK378" s="148"/>
      <c r="DL378" s="13"/>
      <c r="DM378" s="13"/>
      <c r="DO378" s="31">
        <f>IF(SnapshotTable[[#This Row],[LC Symbol Count]]=1, SnapshotTable[[#This Row],[LC Qty]] * SnapshotTable[[#This Row],[LC Book Price]] * 100, 0)</f>
        <v>0</v>
      </c>
      <c r="DP378" s="163" t="str">
        <f>IF(AND(SnapshotTable[[#This Row],[LC Exp Date]]&gt;0, SnapshotTable[[#This Row],[LC Strike Price]]&gt;0,SnapshotTable[[#This Row],[LC Qty]]&gt;0,SnapshotTable[[#This Row],[LC Book Date]]&gt;0,SnapshotTable[[#This Row],[LC Book Price]]&gt;0,SnapshotTable[[#This Row],[LC Fill Date]]=0),"Y","")</f>
        <v/>
      </c>
      <c r="DQ378" s="386" t="str">
        <f>IF(SnapshotTable[[#This Row],[LC Premium]] &gt; 0,SnapshotTable[[#This Row],[LC Exp Date]]-MAX(SnapshotTable[[#This Row],[LC Book Date]], SnapshotTable[[#This Row],[LC Fill Date]]),"")</f>
        <v/>
      </c>
      <c r="DR378" s="386" t="str">
        <f>IF(ISNUMBER(SnapshotTable[[#This Row],[LC Term]]), SnapshotTable[[#This Row],[LC Exp Date]] - MockToday, "")</f>
        <v/>
      </c>
      <c r="DS378" s="234" t="str">
        <f>IF(SnapshotTable[[#This Row],[LC Premium]]&gt;0,SnapshotTable[[#This Row],[LC Strike Price]] + SnapshotTable[[#This Row],[LC Book Price]],"")</f>
        <v/>
      </c>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40" t="str">
        <f>IF(ISNUMBER(SnapshotTable[[#This Row],[LC Actual Gain Loss]]), SnapshotTable[[#This Row],[LC Actual Gain Loss]] / SnapshotTable[[#This Row],[LC Premium]],"")</f>
        <v/>
      </c>
      <c r="DX378" s="284" t="str">
        <f>IF(ISNUMBER(SnapshotTable[[#This Row],[LC Book Price]]),SnapshotTable[[#This Row],[LC Book Price]] * 1.5,"")</f>
        <v/>
      </c>
      <c r="DY378" s="265" t="str">
        <f>IF(SnapshotTable[[#This Row],[LC Premium]]&gt;0, SnapshotTable[[#This Row],[LC Next Target]] * SnapshotTable[[#This Row],[LC Qty]] * 100,"")</f>
        <v/>
      </c>
      <c r="DZ378" s="265" t="str">
        <f>IF(ISNUMBER(SnapshotTable[[#This Row],[LC Target Gross]]), SnapshotTable[[#This Row],[LC Target Gross]] - SnapshotTable[[#This Row],[LC Premium]], "")</f>
        <v/>
      </c>
      <c r="EA378" s="305" t="str">
        <f>IF(ISNUMBER(SnapshotTable[[#This Row],[LC Target Gain Loss]]), SnapshotTable[[#This Row],[LC Target Gain Loss]]/SnapshotTable[[#This Row],[LC Premium]], "")</f>
        <v/>
      </c>
      <c r="EB378" s="262"/>
      <c r="EC378" s="283" t="str">
        <f>IF(SnapshotTable[[#This Row],[LC Premium]]&gt;0, SnapshotTable[[#This Row],[LC Book Price]] * (1 - LC_StopLoss_Pct),"")</f>
        <v/>
      </c>
      <c r="ED378" s="284"/>
      <c r="EE378" s="28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4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7"/>
      <c r="EL378" s="138"/>
      <c r="EM378" s="148"/>
      <c r="EN378" s="147"/>
      <c r="EO378" s="147"/>
      <c r="EP378" s="138"/>
      <c r="EQ378" s="419" t="b">
        <f>AND(ISNUMBER(SnapshotTable[[#This Row],[SC Exp Date]]), ISNUMBER(SnapshotTable[[#This Row],[SC Strike Price]]), ISNUMBER(SnapshotTable[[#This Row],[SC Qty]]), ISNUMBER(SnapshotTable[[#This Row],[SC Book Date]]), ISNUMBER(SnapshotTable[[#This Row],[SC Book Price]]))</f>
        <v>0</v>
      </c>
      <c r="ER378" s="419" t="b">
        <f>AND(SnapshotTable[[#This Row],[SC Is Booked]], NOT(ISBLANK(SnapshotTable[[#This Row],[SC Fill Date]])))</f>
        <v>0</v>
      </c>
      <c r="ES378" s="370"/>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3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283"/>
      <c r="FA378" s="218"/>
      <c r="FB378" s="370"/>
      <c r="FC378" s="4">
        <f>IF(SnapshotTable[[#This Row],[SC Is Filled]], btc_max_buyback_amount(SnapshotTable[[#This Row],[SC Fill Date]],SnapshotTable[[#This Row],[SC Exp Date]], SnapshotTable[[#This Row],[SC Book Price]]),0)</f>
        <v>0</v>
      </c>
      <c r="FD378" s="5">
        <v>0.8</v>
      </c>
      <c r="FE378" s="144"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382">
        <f>IF(SnapshotTable[[#This Row],[SC Is Filled]], IF(ISNUMBER(SnapshotTable[[#This Row],[SC Current Ask]]), SnapshotTable[[#This Row],[SC Current Ask]], SnapshotTable[[#This Row],[SC Book Price]]) - SnapshotTable[[#This Row],[SC Intrinsic Value]], 0)</f>
        <v>0</v>
      </c>
      <c r="FI378" s="143"/>
      <c r="FJ378" s="32" t="str">
        <f>IF(SnapshotTable[[#This Row],[SC Is Filled]],100 * SnapshotTable[[#This Row],[SC Qty]] * IF(ISNUMBER(SnapshotTable[[#This Row],[SC Buyback Override]]), SnapshotTable[[#This Row],[SC Buyback Override]], SnapshotTable[[#This Row],[SC Current Ask]]), "")</f>
        <v/>
      </c>
      <c r="FK378" s="250" t="str">
        <f>IF(SnapshotTable[[#This Row],[SC Time Val]]&gt;0, SnapshotTable[[#This Row],[SC Time Val]] / SnapshotTable[[#This Row],[Last Price]],"")</f>
        <v/>
      </c>
      <c r="FL378" s="302" t="str">
        <f>IF(SnapshotTable[[#This Row],[SC Is Booked]], ((SnapshotTable[[#This Row],[Last Price]] -SnapshotTable[[#This Row],[SC Strike Price]]) / SnapshotTable[[#This Row],[Last Price]]) * -1, "")</f>
        <v/>
      </c>
      <c r="FM378" s="157"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33"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36" t="str">
        <f>IF(AND(ISNUMBER(SnapshotTable[[#This Row],[SC Simple ROO]]),SnapshotTable[[#This Row],[SC Simple ROO]] &gt; 0), SnapshotTable[[#This Row],[SC Premium]] + (SnapshotTable[[#This Row],[SC Qty]] * SnapshotTable[[#This Row],[SC Upside Potential]]), "")</f>
        <v/>
      </c>
      <c r="FX378" s="302" t="str" cm="1">
        <f t="array" ref="FX378">IF(ISNUMBER(SnapshotTable[[#This Row],[SC Max Dollars]]), annualize(SnapshotTable[[#This Row],[SC Term]],(SnapshotTable[[#This Row],[SC Max Dollars]]/SnapshotTable[[#This Row],[SC Basis]])),"")</f>
        <v/>
      </c>
      <c r="FY378" s="23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294" t="str">
        <f>IFERROR( IF(ISNUMBER((SnapshotTable[[#This Row],[SC Current Value]])), SnapshotTable[[#This Row],[SC Gain Loss]] / SnapshotTable[[#This Row],[SC Premium]], ""), "")</f>
        <v/>
      </c>
      <c r="GB378" s="42">
        <f>SnapshotTable[[#This Row],[Equity Shares]] * SaleSharesToConsiderPercentage</f>
        <v>0</v>
      </c>
      <c r="GC378" s="40" t="e">
        <f>SnapshotTable[[#This Row],[Long Term Target]] * SellingPriceToConsiderBasedOnTargetPercentage</f>
        <v>#VALUE!</v>
      </c>
      <c r="GD378" s="40">
        <f>SnapshotTable[[#This Row],[Last Price]] * (1+ SellingPriceToConsiderBasedOnTargetPercentage)</f>
        <v>173.04299999999998</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808</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31">
        <f>MAX(SnapshotTable[[#This Row],[Equity Basis Total]],SnapshotTable[[#This Row],[Equity Value]]) + (SnapshotTable[[#This Row],[SP Potential Spend]]- SnapshotTable[[#This Row],[SP Premium]] + SnapshotTable[[#This Row],[LP Premium]])+ (SnapshotTable[[#This Row],[LC Premium]] - SnapshotTable[[#This Row],[SC Premium]])</f>
        <v>0</v>
      </c>
      <c r="GW378" s="139" t="str">
        <f>IF(AND(SnapshotTable[[#This Row],[Exposure]] &lt;&gt; 0),SnapshotTable[[#This Row],[Exposure]] / SnapshotTable[[#Totals],[Exposure]], "")</f>
        <v/>
      </c>
      <c r="GX378" s="2"/>
      <c r="GY378" s="387"/>
      <c r="GZ378"/>
      <c r="HA378" s="2"/>
      <c r="HB378" s="2"/>
      <c r="HK378" s="1"/>
      <c r="HL378" s="1"/>
      <c r="HM378" s="1"/>
      <c r="HN378" s="1"/>
      <c r="HO378" s="1"/>
      <c r="HP378" s="1"/>
    </row>
    <row r="379" spans="2:224" ht="12.75" hidden="1" customHeight="1" x14ac:dyDescent="0.25">
      <c r="B379" s="12" t="s">
        <v>994</v>
      </c>
      <c r="C379" s="422">
        <v>24.81</v>
      </c>
      <c r="D379" s="208"/>
      <c r="E379" s="39">
        <f>SnapshotTable[[#This Row],[Last Price]]*(1 -CrashDiscount)</f>
        <v>21.0885</v>
      </c>
      <c r="F379" s="26" t="s">
        <v>607</v>
      </c>
      <c r="G379" s="26" t="s">
        <v>606</v>
      </c>
      <c r="H379" s="149"/>
      <c r="I379" s="194">
        <v>44777.670138888891</v>
      </c>
      <c r="J379" s="195">
        <v>44777.670138888891</v>
      </c>
      <c r="K379" s="196"/>
      <c r="L379" s="326"/>
      <c r="M379" s="140"/>
      <c r="N379" s="140"/>
      <c r="O379" s="140"/>
      <c r="P379" s="22"/>
      <c r="Q379" s="25"/>
      <c r="R379" s="4" t="str">
        <f>IF(SnapshotTable[[#This Row],[Equity Basis Total]] &gt; 0, SnapshotTable[[#This Row],[Equity Basis Total]] / SnapshotTable[[#This Row],[Equity Shares]], "")</f>
        <v/>
      </c>
      <c r="S379" s="269">
        <f>SnapshotTable[[#This Row],[Last Price]] * SnapshotTable[[#This Row],[Equity Shares]]</f>
        <v>0</v>
      </c>
      <c r="T379" s="269">
        <f>SnapshotTable[[#This Row],[Equity Value]] - SnapshotTable[[#This Row],[Equity Basis Total]]</f>
        <v>0</v>
      </c>
      <c r="U379" s="270" t="str">
        <f>IF(SnapshotTable[[#This Row],[Equity Basis Total]] &gt; 0, SnapshotTable[[#This Row],[Equity G/L]] / SnapshotTable[[#This Row],[Equity Basis Total]], "")</f>
        <v/>
      </c>
      <c r="V379" s="268"/>
      <c r="W379" s="26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7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0"/>
      <c r="AD379" s="151"/>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1"/>
      <c r="AI379" s="5"/>
      <c r="AJ379" s="138">
        <v>40.799999999999997</v>
      </c>
      <c r="AK379" s="152" t="str">
        <f>IF(ISNUMBER( SnapshotTable[[#This Row],[EBF Target]]),(SnapshotTable[[#This Row],[EBF Target]] - SnapshotTable[[#This Row],[Last Price]]) / SnapshotTable[[#This Row],[Last Price]], "")</f>
        <v/>
      </c>
      <c r="AL379" s="152"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2">
        <f>IF(AND(ISNUMBER( SnapshotTable[[#This Row],[Long Term Target]]), ISNUMBER(SnapshotTable[[#This Row],[Last Price]])),(SnapshotTable[[#This Row],[Long Term Target]] - SnapshotTable[[#This Row],[Last Price]]) / SnapshotTable[[#This Row],[Last Price]], "")</f>
        <v>0.6444981862152358</v>
      </c>
      <c r="AP379" s="5"/>
      <c r="AQ379" s="38"/>
      <c r="AR379" s="5"/>
      <c r="AS379" s="38"/>
      <c r="AT379" s="146"/>
      <c r="AU379" s="187" t="str">
        <f>IF(OR(SnapshotTable[[#This Row],[LP No Fill]]="Y",SnapshotTable[[#This Row],[SP Is Filled]],SnapshotTable[[#This Row],[LC Not Filled]]="Y",SnapshotTable[[#This Row],[SC Is Filled]]),"Y","")</f>
        <v/>
      </c>
      <c r="AV379" s="219"/>
      <c r="AW379" s="225"/>
      <c r="AX379" s="220"/>
      <c r="AY379" s="219" t="str">
        <f>IF(SnapshotTable[[#This Row],[Implied Move]]&gt;0, SnapshotTable[[#This Row],[Last Price]]-SnapshotTable[[#This Row],[Implied Move]],"")</f>
        <v/>
      </c>
      <c r="AZ379" s="219" t="str">
        <f>IF(SnapshotTable[[#This Row],[Implied Move]]&gt;0, SnapshotTable[[#This Row],[Last Price]] + SnapshotTable[[#This Row],[Implied Move]],"")</f>
        <v/>
      </c>
      <c r="BA379" s="331">
        <v>39.979999999999997</v>
      </c>
      <c r="BB379" s="347"/>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51"/>
      <c r="BE379" s="138"/>
      <c r="BF379" s="166"/>
      <c r="BG379" s="167"/>
      <c r="BH379" s="167"/>
      <c r="BI379" s="221"/>
      <c r="BJ379" s="153">
        <f>IF(SnapshotTable[[#This Row],[LP Qty]] &gt; 0, SnapshotTable[[#This Row],[LP Qty]] * SnapshotTable[[#This Row],[LP Book Price]] * 100,0)</f>
        <v>0</v>
      </c>
      <c r="BK379" s="136">
        <f>IF(SnapshotTable[[#This Row],[LP Premium]] &gt; 0, SnapshotTable[[#This Row],[LP Qty]] * SnapshotTable[[#This Row],[LP Strike Price]] * 100,0)</f>
        <v>0</v>
      </c>
      <c r="BL379" s="154"/>
      <c r="BM379" s="385" t="str">
        <f>IF(SnapshotTable[[#This Row],[LP Premium]] &gt; 0,SnapshotTable[[#This Row],[LP Exp Date]]-MAX(SnapshotTable[[#This Row],[LP Book Date]], SnapshotTable[[#This Row],[LP Fill Date]]),"")</f>
        <v/>
      </c>
      <c r="BN379" s="385" t="str">
        <f>IF(ISNUMBER( SnapshotTable[[#This Row],[LP Term]]), SnapshotTable[[#This Row],[LP Exp Date]] - MockToday,"")</f>
        <v/>
      </c>
      <c r="BO379" s="163"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7"/>
      <c r="BU379" s="13"/>
      <c r="BV379" s="5"/>
      <c r="BW379" s="419" t="b">
        <f>AND(ISNUMBER(SnapshotTable[[#This Row],[SP Exp Date]]), ISNUMBER(SnapshotTable[[#This Row],[SP Strike Price]]), ISNUMBER(SnapshotTable[[#This Row],[SP Qty]]), ISNUMBER(SnapshotTable[[#This Row],[SP Book Date]]), ISNUMBER(SnapshotTable[[#This Row],[SP Book Price]]))</f>
        <v>0</v>
      </c>
      <c r="BX379" s="419" t="b">
        <f>AND(SnapshotTable[[#This Row],[SP Is Booked]], NOT(ISBLANK(SnapshotTable[[#This Row],[SP Fill Date]])))</f>
        <v>0</v>
      </c>
      <c r="BY379" s="33">
        <f>IF(SnapshotTable[[#This Row],[SP Is Booked]], SnapshotTable[[#This Row],[SP Qty]] * SnapshotTable[[#This Row],[SP Book Price]] * 100, 0)</f>
        <v>0</v>
      </c>
      <c r="BZ379" s="369"/>
      <c r="CA379" s="368">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3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44"/>
      <c r="CK379" s="31">
        <f>IF(ISNUMBER(SnapshotTable[[#This Row],[SP Potential Spend]]),IF(ISNUMBER(SnapshotTable[[#This Row],[SP POW]]), SnapshotTable[[#This Row],[SP POW]] * SnapshotTable[[#This Row],[SP Potential Spend]], SnapshotTable[[#This Row],[SP Potential Spend]]), "")</f>
        <v>0</v>
      </c>
      <c r="CL379" s="164">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4"/>
      <c r="CO379" s="369"/>
      <c r="CP379" s="4" t="str">
        <f>IF(SnapshotTable[[#This Row],[SP Is Filled]], btc_max_buyback_amount(SnapshotTable[[#This Row],[SP Fill Date]],SnapshotTable[[#This Row],[SP Exp Date]], SnapshotTable[[#This Row],[SP Book Price]]),"")</f>
        <v/>
      </c>
      <c r="CQ379" s="78"/>
      <c r="CR3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5" t="str">
        <f>IF(SnapshotTable[[#This Row],[SP Is Filled]], btc_next_cutoff_date(SnapshotTable[[#This Row],[SP Fill Date]],SnapshotTable[[#This Row],[SP Exp Date]]),"")</f>
        <v/>
      </c>
      <c r="CT379" s="23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3"/>
      <c r="CV379" s="235"/>
      <c r="CW379" s="378"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294" t="str">
        <f>IF(ISNUMBER((SnapshotTable[[#This Row],[SP Total Value]])), SnapshotTable[[#This Row],[SP Gain Loss]] / SnapshotTable[[#This Row],[SP Premium]], "")</f>
        <v/>
      </c>
      <c r="DI379" s="406"/>
      <c r="DJ379" s="138"/>
      <c r="DK379" s="148"/>
      <c r="DL379" s="147"/>
      <c r="DM379" s="147"/>
      <c r="DO379" s="31">
        <f>IF(SnapshotTable[[#This Row],[LC Symbol Count]]=1, SnapshotTable[[#This Row],[LC Qty]] * SnapshotTable[[#This Row],[LC Book Price]] * 100, 0)</f>
        <v>0</v>
      </c>
      <c r="DP379" s="163" t="str">
        <f>IF(AND(SnapshotTable[[#This Row],[LC Exp Date]]&gt;0, SnapshotTable[[#This Row],[LC Strike Price]]&gt;0,SnapshotTable[[#This Row],[LC Qty]]&gt;0,SnapshotTable[[#This Row],[LC Book Date]]&gt;0,SnapshotTable[[#This Row],[LC Book Price]]&gt;0,SnapshotTable[[#This Row],[LC Fill Date]]=0),"Y","")</f>
        <v/>
      </c>
      <c r="DQ379" s="386" t="str">
        <f>IF(SnapshotTable[[#This Row],[LC Premium]] &gt; 0,SnapshotTable[[#This Row],[LC Exp Date]]-MAX(SnapshotTable[[#This Row],[LC Book Date]], SnapshotTable[[#This Row],[LC Fill Date]]),"")</f>
        <v/>
      </c>
      <c r="DR379" s="386" t="str">
        <f>IF(ISNUMBER(SnapshotTable[[#This Row],[LC Term]]), SnapshotTable[[#This Row],[LC Exp Date]] - MockToday, "")</f>
        <v/>
      </c>
      <c r="DS379" s="234" t="str">
        <f>IF(SnapshotTable[[#This Row],[LC Premium]]&gt;0,SnapshotTable[[#This Row],[LC Strike Price]] + SnapshotTable[[#This Row],[LC Book Price]],"")</f>
        <v/>
      </c>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40" t="str">
        <f>IF(ISNUMBER(SnapshotTable[[#This Row],[LC Actual Gain Loss]]), SnapshotTable[[#This Row],[LC Actual Gain Loss]] / SnapshotTable[[#This Row],[LC Premium]],"")</f>
        <v/>
      </c>
      <c r="DX379" s="284" t="str">
        <f>IF(ISNUMBER(SnapshotTable[[#This Row],[LC Book Price]]),SnapshotTable[[#This Row],[LC Book Price]] * 1.5,"")</f>
        <v/>
      </c>
      <c r="DY379" s="265" t="str">
        <f>IF(SnapshotTable[[#This Row],[LC Premium]]&gt;0, SnapshotTable[[#This Row],[LC Next Target]] * SnapshotTable[[#This Row],[LC Qty]] * 100,"")</f>
        <v/>
      </c>
      <c r="DZ379" s="265" t="str">
        <f>IF(ISNUMBER(SnapshotTable[[#This Row],[LC Target Gross]]), SnapshotTable[[#This Row],[LC Target Gross]] - SnapshotTable[[#This Row],[LC Premium]], "")</f>
        <v/>
      </c>
      <c r="EA379" s="305" t="str">
        <f>IF(ISNUMBER(SnapshotTable[[#This Row],[LC Target Gain Loss]]), SnapshotTable[[#This Row],[LC Target Gain Loss]]/SnapshotTable[[#This Row],[LC Premium]], "")</f>
        <v/>
      </c>
      <c r="EB379" s="262"/>
      <c r="EC379" s="283" t="str">
        <f>IF(SnapshotTable[[#This Row],[LC Premium]]&gt;0, SnapshotTable[[#This Row],[LC Book Price]] * (1 - LC_StopLoss_Pct),"")</f>
        <v/>
      </c>
      <c r="ED379" s="284"/>
      <c r="EE379" s="283" t="str">
        <f>IF(ISNUMBER(SnapshotTable[[#This Row],[LC Contract Value]]),IF(ISNUMBER(SnapshotTable[[#This Row],[LC Stop Loss Override]]), SnapshotTable[[#This Row],[LC Stop Loss Override]],SnapshotTable[[#This Row],[LC Stop Loss Calc Target]]),"")</f>
        <v/>
      </c>
      <c r="EF379" s="31"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4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7"/>
      <c r="EL379" s="138"/>
      <c r="EM379" s="148"/>
      <c r="EN379" s="147"/>
      <c r="EO379" s="147"/>
      <c r="EP379" s="138"/>
      <c r="EQ379" s="419" t="b">
        <f>AND(ISNUMBER(SnapshotTable[[#This Row],[SC Exp Date]]), ISNUMBER(SnapshotTable[[#This Row],[SC Strike Price]]), ISNUMBER(SnapshotTable[[#This Row],[SC Qty]]), ISNUMBER(SnapshotTable[[#This Row],[SC Book Date]]), ISNUMBER(SnapshotTable[[#This Row],[SC Book Price]]))</f>
        <v>0</v>
      </c>
      <c r="ER379" s="419" t="b">
        <f>AND(SnapshotTable[[#This Row],[SC Is Booked]], NOT(ISBLANK(SnapshotTable[[#This Row],[SC Fill Date]])))</f>
        <v>0</v>
      </c>
      <c r="ES379" s="370"/>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3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283"/>
      <c r="FA379" s="218"/>
      <c r="FB379" s="370"/>
      <c r="FC379" s="4">
        <f>IF(SnapshotTable[[#This Row],[SC Is Filled]], btc_max_buyback_amount(SnapshotTable[[#This Row],[SC Fill Date]],SnapshotTable[[#This Row],[SC Exp Date]], SnapshotTable[[#This Row],[SC Book Price]]),0)</f>
        <v>0</v>
      </c>
      <c r="FD379" s="5"/>
      <c r="FE379" s="144"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382">
        <f>IF(SnapshotTable[[#This Row],[SC Is Filled]], IF(ISNUMBER(SnapshotTable[[#This Row],[SC Current Ask]]), SnapshotTable[[#This Row],[SC Current Ask]], SnapshotTable[[#This Row],[SC Book Price]]) - SnapshotTable[[#This Row],[SC Intrinsic Value]], 0)</f>
        <v>0</v>
      </c>
      <c r="FI379" s="143"/>
      <c r="FJ379" s="32" t="str">
        <f>IF(SnapshotTable[[#This Row],[SC Is Filled]],100 * SnapshotTable[[#This Row],[SC Qty]] * IF(ISNUMBER(SnapshotTable[[#This Row],[SC Buyback Override]]), SnapshotTable[[#This Row],[SC Buyback Override]], SnapshotTable[[#This Row],[SC Current Ask]]), "")</f>
        <v/>
      </c>
      <c r="FK379" s="250" t="str">
        <f>IF(SnapshotTable[[#This Row],[SC Time Val]]&gt;0, SnapshotTable[[#This Row],[SC Time Val]] / SnapshotTable[[#This Row],[Last Price]],"")</f>
        <v/>
      </c>
      <c r="FL379" s="302" t="str">
        <f>IF(SnapshotTable[[#This Row],[SC Is Booked]], ((SnapshotTable[[#This Row],[Last Price]] -SnapshotTable[[#This Row],[SC Strike Price]]) / SnapshotTable[[#This Row],[Last Price]]) * -1, "")</f>
        <v/>
      </c>
      <c r="FM379" s="157" t="str">
        <f>IF(SnapshotTable[[#This Row],[SC Is Booked]],  (SnapshotTable[[#This Row],[SC Qty]] * 100 * SnapshotTable[[#This Row],[SC Strike Price]]) - SnapshotTable[[#This Row],[SC Current Ask]], "")</f>
        <v/>
      </c>
      <c r="FN379"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7"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33"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36" t="str">
        <f>IF(AND(ISNUMBER(SnapshotTable[[#This Row],[SC Simple ROO]]),SnapshotTable[[#This Row],[SC Simple ROO]] &gt; 0), SnapshotTable[[#This Row],[SC Premium]] + (SnapshotTable[[#This Row],[SC Qty]] * SnapshotTable[[#This Row],[SC Upside Potential]]), "")</f>
        <v/>
      </c>
      <c r="FX379" s="302" t="str" cm="1">
        <f t="array" ref="FX379">IF(ISNUMBER(SnapshotTable[[#This Row],[SC Max Dollars]]), annualize(SnapshotTable[[#This Row],[SC Term]],(SnapshotTable[[#This Row],[SC Max Dollars]]/SnapshotTable[[#This Row],[SC Basis]])),"")</f>
        <v/>
      </c>
      <c r="FY379" s="236" t="str">
        <f>IF(AND(SnapshotTable[[#This Row],[SC Qty]]&gt;0,SnapshotTable[[#This Row],[SC Current Ask]]&gt;0), SnapshotTable[[#This Row],[SC Qty]] * SnapshotTable[[#This Row],[SC Current Ask]] * -100, "")</f>
        <v/>
      </c>
      <c r="FZ379" s="235" t="str">
        <f>IF(ISNUMBER((SnapshotTable[[#This Row],[SC Current Value]])), SnapshotTable[[#This Row],[SC Premium]] + SnapshotTable[[#This Row],[SC Current Value]], "")</f>
        <v/>
      </c>
      <c r="GA379" s="29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38.76</v>
      </c>
      <c r="GD379" s="40">
        <f>SnapshotTable[[#This Row],[Last Price]] * (1+ SellingPriceToConsiderBasedOnTargetPercentage)</f>
        <v>48.379499999999993</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8" t="str">
        <f>IF(SnapshotTable[[#This Row],[Sale G/L]]&gt;0, SnapshotTable[[#This Row],[Sale G/L]] / SnapshotTable[[#This Row],[Sale Basis]], IF(ISNUMBER(SnapshotTable[[#This Row],[SC Exercise P&amp;L (TAX)]]), SnapshotTable[[#This Row],[SC Exercise P&amp;L (TAX)]] / SnapshotTable[[#This Row],[SC Basis]], ""))</f>
        <v/>
      </c>
      <c r="GK379" s="27"/>
      <c r="GL379" s="159"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59" t="str">
        <f>IF(AND(SnapshotTable[[#This Row],[LC Exp Date]]&gt;0,SnapshotTable[[#This Row],[LC Strike Price]]&gt;0), [1]!ToOptionSymbol(SnapshotTable[[#This Row],[Symbol]], SnapshotTable[[#This Row],[LC Strike Price]],SnapshotTable[[#This Row],[LC Exp Date]],0), "")</f>
        <v/>
      </c>
      <c r="GQ379" s="160" t="str">
        <f>IF(LEN(SnapshotTable[[#This Row],[LC Symbol]])&gt;0, 1, "")</f>
        <v/>
      </c>
      <c r="GR379" s="159" t="str">
        <f>IF(AND(SnapshotTable[[#This Row],[SC Exp Date]]&gt;0,SnapshotTable[[#This Row],[SC Strike Price]]&gt;0), [1]!ToOptionSymbol(SnapshotTable[[#This Row],[Symbol]], SnapshotTable[[#This Row],[SC Strike Price]],SnapshotTable[[#This Row],[SC Exp Date]],0), "")</f>
        <v/>
      </c>
      <c r="GS379" s="160" t="str">
        <f>IF(LEN(SnapshotTable[[#This Row],[SC Symbol]])&gt;0, 1, "")</f>
        <v/>
      </c>
      <c r="GT379" s="161"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31">
        <f>MAX(SnapshotTable[[#This Row],[Equity Basis Total]],SnapshotTable[[#This Row],[Equity Value]]) + (SnapshotTable[[#This Row],[SP Potential Spend]]- SnapshotTable[[#This Row],[SP Premium]] + SnapshotTable[[#This Row],[LP Premium]])+ (SnapshotTable[[#This Row],[LC Premium]] - SnapshotTable[[#This Row],[SC Premium]])</f>
        <v>0</v>
      </c>
      <c r="GW379" s="139" t="str">
        <f>IF(AND(SnapshotTable[[#This Row],[Exposure]] &lt;&gt; 0),SnapshotTable[[#This Row],[Exposure]] / SnapshotTable[[#Totals],[Exposure]], "")</f>
        <v/>
      </c>
      <c r="GX379" s="15"/>
      <c r="GZ379" s="13"/>
      <c r="HA379" s="13"/>
      <c r="HB379" s="2"/>
      <c r="HC379" s="197"/>
      <c r="HD379" s="2"/>
      <c r="HK379" s="1"/>
      <c r="HL379" s="1"/>
      <c r="HM379" s="1"/>
      <c r="HN379" s="1"/>
      <c r="HO379" s="1"/>
      <c r="HP379" s="1"/>
    </row>
    <row r="380" spans="2:224" s="47" customFormat="1" ht="12.75" hidden="1" customHeight="1" x14ac:dyDescent="0.25">
      <c r="B380" s="12" t="s">
        <v>894</v>
      </c>
      <c r="C380" s="422">
        <v>51.76</v>
      </c>
      <c r="D380" s="208"/>
      <c r="E380" s="39">
        <f>SnapshotTable[[#This Row],[Last Price]]*(1 -CrashDiscount)</f>
        <v>43.995999999999995</v>
      </c>
      <c r="F380" s="26" t="s">
        <v>814</v>
      </c>
      <c r="G380" s="26" t="s">
        <v>610</v>
      </c>
      <c r="H380" s="149"/>
      <c r="I380" s="194">
        <v>44783.25</v>
      </c>
      <c r="J380" s="195">
        <v>44783.25</v>
      </c>
      <c r="K380" s="196"/>
      <c r="L380" s="326"/>
      <c r="M380" s="140"/>
      <c r="N380" s="140"/>
      <c r="O380" s="140"/>
      <c r="P380" s="22"/>
      <c r="Q380" s="25"/>
      <c r="R380" s="4" t="str">
        <f>IF(SnapshotTable[[#This Row],[Equity Basis Total]] &gt; 0, SnapshotTable[[#This Row],[Equity Basis Total]] / SnapshotTable[[#This Row],[Equity Shares]], "")</f>
        <v/>
      </c>
      <c r="S380" s="269">
        <f>SnapshotTable[[#This Row],[Last Price]] * SnapshotTable[[#This Row],[Equity Shares]]</f>
        <v>0</v>
      </c>
      <c r="T380" s="269">
        <f>SnapshotTable[[#This Row],[Equity Value]] - SnapshotTable[[#This Row],[Equity Basis Total]]</f>
        <v>0</v>
      </c>
      <c r="U380" s="270" t="str">
        <f>IF(SnapshotTable[[#This Row],[Equity Basis Total]] &gt; 0, SnapshotTable[[#This Row],[Equity G/L]] / SnapshotTable[[#This Row],[Equity Basis Total]], "")</f>
        <v/>
      </c>
      <c r="V380" s="268"/>
      <c r="W380" s="26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7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0"/>
      <c r="AD380" s="151"/>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0</v>
      </c>
      <c r="AH380" s="151"/>
      <c r="AI380" s="5"/>
      <c r="AJ380" s="138">
        <v>56.36</v>
      </c>
      <c r="AK380" s="152" t="str">
        <f>IF(ISNUMBER( SnapshotTable[[#This Row],[EBF Target]]),(SnapshotTable[[#This Row],[EBF Target]] - SnapshotTable[[#This Row],[Last Price]]) / SnapshotTable[[#This Row],[Last Price]], "")</f>
        <v/>
      </c>
      <c r="AL380" s="152"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2">
        <f>IF(AND(ISNUMBER( SnapshotTable[[#This Row],[Long Term Target]]), ISNUMBER(SnapshotTable[[#This Row],[Last Price]])),(SnapshotTable[[#This Row],[Long Term Target]] - SnapshotTable[[#This Row],[Last Price]]) / SnapshotTable[[#This Row],[Last Price]], "")</f>
        <v>8.8871715610510077E-2</v>
      </c>
      <c r="AP380" s="5"/>
      <c r="AQ380" s="38"/>
      <c r="AR380" s="5"/>
      <c r="AS380" s="38"/>
      <c r="AT380" s="146"/>
      <c r="AU380" s="187" t="str">
        <f>IF(OR(SnapshotTable[[#This Row],[LP No Fill]]="Y",SnapshotTable[[#This Row],[SP Is Filled]],SnapshotTable[[#This Row],[LC Not Filled]]="Y",SnapshotTable[[#This Row],[SC Is Filled]]),"Y","")</f>
        <v/>
      </c>
      <c r="AV380" s="219"/>
      <c r="AW380" s="225"/>
      <c r="AX380" s="220"/>
      <c r="AY380" s="219" t="str">
        <f>IF(SnapshotTable[[#This Row],[Implied Move]]&gt;0, SnapshotTable[[#This Row],[Last Price]]-SnapshotTable[[#This Row],[Implied Move]],"")</f>
        <v/>
      </c>
      <c r="AZ380" s="219" t="str">
        <f>IF(SnapshotTable[[#This Row],[Implied Move]]&gt;0, SnapshotTable[[#This Row],[Last Price]] + SnapshotTable[[#This Row],[Implied Move]],"")</f>
        <v/>
      </c>
      <c r="BA380" s="331"/>
      <c r="BB380" s="347"/>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51"/>
      <c r="BE380" s="138"/>
      <c r="BF380" s="166"/>
      <c r="BG380" s="167"/>
      <c r="BH380" s="167"/>
      <c r="BI380" s="221"/>
      <c r="BJ380" s="153">
        <f>IF(SnapshotTable[[#This Row],[LP Qty]] &gt; 0, SnapshotTable[[#This Row],[LP Qty]] * SnapshotTable[[#This Row],[LP Book Price]] * 100,0)</f>
        <v>0</v>
      </c>
      <c r="BK380" s="136">
        <f>IF(SnapshotTable[[#This Row],[LP Premium]] &gt; 0, SnapshotTable[[#This Row],[LP Qty]] * SnapshotTable[[#This Row],[LP Strike Price]] * 100,0)</f>
        <v>0</v>
      </c>
      <c r="BL380" s="154"/>
      <c r="BM380" s="385" t="str">
        <f>IF(SnapshotTable[[#This Row],[LP Premium]] &gt; 0,SnapshotTable[[#This Row],[LP Exp Date]]-MAX(SnapshotTable[[#This Row],[LP Book Date]], SnapshotTable[[#This Row],[LP Fill Date]]),"")</f>
        <v/>
      </c>
      <c r="BN380" s="385" t="str">
        <f>IF(ISNUMBER( SnapshotTable[[#This Row],[LP Term]]), SnapshotTable[[#This Row],[LP Exp Date]] - MockToday,"")</f>
        <v/>
      </c>
      <c r="BO380" s="163"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7"/>
      <c r="BU380" s="13"/>
      <c r="BV380" s="5"/>
      <c r="BW380" s="419" t="b">
        <f>AND(ISNUMBER(SnapshotTable[[#This Row],[SP Exp Date]]), ISNUMBER(SnapshotTable[[#This Row],[SP Strike Price]]), ISNUMBER(SnapshotTable[[#This Row],[SP Qty]]), ISNUMBER(SnapshotTable[[#This Row],[SP Book Date]]), ISNUMBER(SnapshotTable[[#This Row],[SP Book Price]]))</f>
        <v>0</v>
      </c>
      <c r="BX380" s="419" t="b">
        <f>AND(SnapshotTable[[#This Row],[SP Is Booked]], NOT(ISBLANK(SnapshotTable[[#This Row],[SP Fill Date]])))</f>
        <v>0</v>
      </c>
      <c r="BY380" s="33">
        <f>IF(SnapshotTable[[#This Row],[SP Is Booked]], SnapshotTable[[#This Row],[SP Qty]] * SnapshotTable[[#This Row],[SP Book Price]] * 100, 0)</f>
        <v>0</v>
      </c>
      <c r="BZ380" s="369"/>
      <c r="CA380" s="368">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3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44"/>
      <c r="CK380" s="31">
        <f>IF(ISNUMBER(SnapshotTable[[#This Row],[SP Potential Spend]]),IF(ISNUMBER(SnapshotTable[[#This Row],[SP POW]]), SnapshotTable[[#This Row],[SP POW]] * SnapshotTable[[#This Row],[SP Potential Spend]], SnapshotTable[[#This Row],[SP Potential Spend]]), "")</f>
        <v>0</v>
      </c>
      <c r="CL380" s="164">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154"/>
      <c r="CO380" s="369"/>
      <c r="CP380" s="4" t="str">
        <f>IF(SnapshotTable[[#This Row],[SP Is Filled]], btc_max_buyback_amount(SnapshotTable[[#This Row],[SP Fill Date]],SnapshotTable[[#This Row],[SP Exp Date]], SnapshotTable[[#This Row],[SP Book Price]]),"")</f>
        <v/>
      </c>
      <c r="CQ380" s="78"/>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5" t="str">
        <f>IF(SnapshotTable[[#This Row],[SP Is Filled]], btc_next_cutoff_date(SnapshotTable[[#This Row],[SP Fill Date]],SnapshotTable[[#This Row],[SP Exp Date]]),"")</f>
        <v/>
      </c>
      <c r="CT380" s="23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56"/>
      <c r="CV380" s="235"/>
      <c r="CW380" s="378"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294" t="str">
        <f>IF(ISNUMBER((SnapshotTable[[#This Row],[SP Total Value]])), SnapshotTable[[#This Row],[SP Gain Loss]] / SnapshotTable[[#This Row],[SP Premium]], "")</f>
        <v/>
      </c>
      <c r="DI380" s="406"/>
      <c r="DJ380" s="138"/>
      <c r="DK380" s="148"/>
      <c r="DL380" s="147"/>
      <c r="DM380" s="147"/>
      <c r="DN380" s="5"/>
      <c r="DO380" s="31">
        <f>IF(SnapshotTable[[#This Row],[LC Symbol Count]]=1, SnapshotTable[[#This Row],[LC Qty]] * SnapshotTable[[#This Row],[LC Book Price]] * 100, 0)</f>
        <v>0</v>
      </c>
      <c r="DP380" s="289" t="str">
        <f>IF(AND(SnapshotTable[[#This Row],[LC Exp Date]]&gt;0, SnapshotTable[[#This Row],[LC Strike Price]]&gt;0,SnapshotTable[[#This Row],[LC Qty]]&gt;0,SnapshotTable[[#This Row],[LC Book Date]]&gt;0,SnapshotTable[[#This Row],[LC Book Price]]&gt;0,SnapshotTable[[#This Row],[LC Fill Date]]=0),"Y","")</f>
        <v/>
      </c>
      <c r="DQ380" s="386" t="str">
        <f>IF(SnapshotTable[[#This Row],[LC Premium]] &gt; 0,SnapshotTable[[#This Row],[LC Exp Date]]-MAX(SnapshotTable[[#This Row],[LC Book Date]], SnapshotTable[[#This Row],[LC Fill Date]]),"")</f>
        <v/>
      </c>
      <c r="DR380" s="386" t="str">
        <f>IF(ISNUMBER(SnapshotTable[[#This Row],[LC Term]]), SnapshotTable[[#This Row],[LC Exp Date]] - MockToday, "")</f>
        <v/>
      </c>
      <c r="DS380" s="23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40" t="str">
        <f>IF(ISNUMBER(SnapshotTable[[#This Row],[LC Actual Gain Loss]]), SnapshotTable[[#This Row],[LC Actual Gain Loss]] / SnapshotTable[[#This Row],[LC Premium]],"")</f>
        <v/>
      </c>
      <c r="DX380" s="284" t="str">
        <f>IF(ISNUMBER(SnapshotTable[[#This Row],[LC Book Price]]),SnapshotTable[[#This Row],[LC Book Price]] * 1.5,"")</f>
        <v/>
      </c>
      <c r="DY380" s="265" t="str">
        <f>IF(SnapshotTable[[#This Row],[LC Premium]]&gt;0, SnapshotTable[[#This Row],[LC Next Target]] * SnapshotTable[[#This Row],[LC Qty]] * 100,"")</f>
        <v/>
      </c>
      <c r="DZ380" s="265" t="str">
        <f>IF(ISNUMBER(SnapshotTable[[#This Row],[LC Target Gross]]), SnapshotTable[[#This Row],[LC Target Gross]] - SnapshotTable[[#This Row],[LC Premium]], "")</f>
        <v/>
      </c>
      <c r="EA380" s="305" t="str">
        <f>IF(ISNUMBER(SnapshotTable[[#This Row],[LC Target Gain Loss]]), SnapshotTable[[#This Row],[LC Target Gain Loss]]/SnapshotTable[[#This Row],[LC Premium]], "")</f>
        <v/>
      </c>
      <c r="EB380" s="262"/>
      <c r="EC380" s="283" t="str">
        <f>IF(SnapshotTable[[#This Row],[LC Premium]]&gt;0, SnapshotTable[[#This Row],[LC Book Price]] * (1 - LC_StopLoss_Pct),"")</f>
        <v/>
      </c>
      <c r="ED380" s="284"/>
      <c r="EE380" s="28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4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7"/>
      <c r="EL380" s="138"/>
      <c r="EM380" s="148"/>
      <c r="EN380" s="147"/>
      <c r="EO380" s="147"/>
      <c r="EP380" s="138"/>
      <c r="EQ380" s="419" t="b">
        <f>AND(ISNUMBER(SnapshotTable[[#This Row],[SC Exp Date]]), ISNUMBER(SnapshotTable[[#This Row],[SC Strike Price]]), ISNUMBER(SnapshotTable[[#This Row],[SC Qty]]), ISNUMBER(SnapshotTable[[#This Row],[SC Book Date]]), ISNUMBER(SnapshotTable[[#This Row],[SC Book Price]]))</f>
        <v>0</v>
      </c>
      <c r="ER380" s="419" t="b">
        <f>AND(SnapshotTable[[#This Row],[SC Is Booked]], NOT(ISBLANK(SnapshotTable[[#This Row],[SC Fill Date]])))</f>
        <v>0</v>
      </c>
      <c r="ES380" s="370"/>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3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283"/>
      <c r="FA380" s="218"/>
      <c r="FB380" s="370"/>
      <c r="FC380" s="4">
        <f>IF(SnapshotTable[[#This Row],[SC Is Filled]], btc_max_buyback_amount(SnapshotTable[[#This Row],[SC Fill Date]],SnapshotTable[[#This Row],[SC Exp Date]], SnapshotTable[[#This Row],[SC Book Price]]),0)</f>
        <v>0</v>
      </c>
      <c r="FD380" s="5"/>
      <c r="FE380" s="144"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382">
        <f>IF(SnapshotTable[[#This Row],[SC Is Filled]], IF(ISNUMBER(SnapshotTable[[#This Row],[SC Current Ask]]), SnapshotTable[[#This Row],[SC Current Ask]], SnapshotTable[[#This Row],[SC Book Price]]) - SnapshotTable[[#This Row],[SC Intrinsic Value]], 0)</f>
        <v>0</v>
      </c>
      <c r="FI380" s="143"/>
      <c r="FJ380" s="32" t="str">
        <f>IF(SnapshotTable[[#This Row],[SC Is Filled]],100 * SnapshotTable[[#This Row],[SC Qty]] * IF(ISNUMBER(SnapshotTable[[#This Row],[SC Buyback Override]]), SnapshotTable[[#This Row],[SC Buyback Override]], SnapshotTable[[#This Row],[SC Current Ask]]), "")</f>
        <v/>
      </c>
      <c r="FK380" s="250" t="str">
        <f>IF(SnapshotTable[[#This Row],[SC Time Val]]&gt;0, SnapshotTable[[#This Row],[SC Time Val]] / SnapshotTable[[#This Row],[Last Price]],"")</f>
        <v/>
      </c>
      <c r="FL380" s="302" t="str">
        <f>IF(SnapshotTable[[#This Row],[SC Is Booked]], ((SnapshotTable[[#This Row],[Last Price]] -SnapshotTable[[#This Row],[SC Strike Price]]) / SnapshotTable[[#This Row],[Last Price]]) * -1, "")</f>
        <v/>
      </c>
      <c r="FM380" s="157" t="str">
        <f>IF(SnapshotTable[[#This Row],[SC Is Booked]],  (SnapshotTable[[#This Row],[SC Qty]] * 100 * SnapshotTable[[#This Row],[SC Strike Price]]) - SnapshotTable[[#This Row],[SC Current Ask]], "")</f>
        <v/>
      </c>
      <c r="FN380"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157"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33"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36" t="str">
        <f>IF(AND(ISNUMBER(SnapshotTable[[#This Row],[SC Simple ROO]]),SnapshotTable[[#This Row],[SC Simple ROO]] &gt; 0), SnapshotTable[[#This Row],[SC Premium]] + (SnapshotTable[[#This Row],[SC Qty]] * SnapshotTable[[#This Row],[SC Upside Potential]]), "")</f>
        <v/>
      </c>
      <c r="FX380" s="302" t="str" cm="1">
        <f t="array" ref="FX380">IF(ISNUMBER(SnapshotTable[[#This Row],[SC Max Dollars]]), annualize(SnapshotTable[[#This Row],[SC Term]],(SnapshotTable[[#This Row],[SC Max Dollars]]/SnapshotTable[[#This Row],[SC Basis]])),"")</f>
        <v/>
      </c>
      <c r="FY380" s="236" t="str">
        <f>IF(AND(SnapshotTable[[#This Row],[SC Qty]]&gt;0,SnapshotTable[[#This Row],[SC Current Ask]]&gt;0), SnapshotTable[[#This Row],[SC Qty]] * SnapshotTable[[#This Row],[SC Current Ask]] * -100, "")</f>
        <v/>
      </c>
      <c r="FZ380" s="235" t="str">
        <f>IF(ISNUMBER((SnapshotTable[[#This Row],[SC Current Value]])), SnapshotTable[[#This Row],[SC Premium]] + SnapshotTable[[#This Row],[SC Current Value]], "")</f>
        <v/>
      </c>
      <c r="GA380" s="29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53.541999999999994</v>
      </c>
      <c r="GD380" s="40">
        <f>SnapshotTable[[#This Row],[Last Price]] * (1+ SellingPriceToConsiderBasedOnTargetPercentage)</f>
        <v>100.93199999999999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158" t="str">
        <f>IF(SnapshotTable[[#This Row],[Sale G/L]]&gt;0, SnapshotTable[[#This Row],[Sale G/L]] / SnapshotTable[[#This Row],[Sale Basis]], IF(ISNUMBER(SnapshotTable[[#This Row],[SC Exercise P&amp;L (TAX)]]), SnapshotTable[[#This Row],[SC Exercise P&amp;L (TAX)]] / SnapshotTable[[#This Row],[SC Basis]], ""))</f>
        <v/>
      </c>
      <c r="GK380" s="158"/>
      <c r="GL380" s="159"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159" t="str">
        <f>IF(AND(SnapshotTable[[#This Row],[LC Exp Date]]&gt;0,SnapshotTable[[#This Row],[LC Strike Price]]&gt;0), [1]!ToOptionSymbol(SnapshotTable[[#This Row],[Symbol]], SnapshotTable[[#This Row],[LC Strike Price]],SnapshotTable[[#This Row],[LC Exp Date]],0), "")</f>
        <v/>
      </c>
      <c r="GQ380" s="160" t="str">
        <f>IF(LEN(SnapshotTable[[#This Row],[LC Symbol]])&gt;0, 1, "")</f>
        <v/>
      </c>
      <c r="GR380" s="159" t="str">
        <f>IF(AND(SnapshotTable[[#This Row],[SC Exp Date]]&gt;0,SnapshotTable[[#This Row],[SC Strike Price]]&gt;0), [1]!ToOptionSymbol(SnapshotTable[[#This Row],[Symbol]], SnapshotTable[[#This Row],[SC Strike Price]],SnapshotTable[[#This Row],[SC Exp Date]],0), "")</f>
        <v/>
      </c>
      <c r="GS380" s="160" t="str">
        <f>IF(LEN(SnapshotTable[[#This Row],[SC Symbol]])&gt;0, 1, "")</f>
        <v/>
      </c>
      <c r="GT380" s="161"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31">
        <f>MAX(SnapshotTable[[#This Row],[Equity Basis Total]],SnapshotTable[[#This Row],[Equity Value]]) + (SnapshotTable[[#This Row],[SP Potential Spend]]- SnapshotTable[[#This Row],[SP Premium]] + SnapshotTable[[#This Row],[LP Premium]])+ (SnapshotTable[[#This Row],[LC Premium]] - SnapshotTable[[#This Row],[SC Premium]])</f>
        <v>0</v>
      </c>
      <c r="GW380" s="139" t="str">
        <f>IF(AND(SnapshotTable[[#This Row],[Exposure]] &lt;&gt; 0),SnapshotTable[[#This Row],[Exposure]] / SnapshotTable[[#Totals],[Exposure]], "")</f>
        <v/>
      </c>
      <c r="GY380" s="381"/>
      <c r="HE380" s="381"/>
      <c r="HF380" s="381"/>
      <c r="HG380" s="381"/>
      <c r="HH380" s="381"/>
      <c r="HI380" s="381"/>
      <c r="HJ380" s="381"/>
    </row>
    <row r="381" spans="2:224" ht="12.75" hidden="1" customHeight="1" x14ac:dyDescent="0.25">
      <c r="B381" s="12" t="s">
        <v>496</v>
      </c>
      <c r="C381" s="422">
        <v>36.96</v>
      </c>
      <c r="D381" s="208"/>
      <c r="E381" s="39">
        <f>SnapshotTable[[#This Row],[Last Price]]*(1 -CrashDiscount)</f>
        <v>31.416</v>
      </c>
      <c r="F381" s="26" t="s">
        <v>94</v>
      </c>
      <c r="G381" s="26" t="s">
        <v>9</v>
      </c>
      <c r="H381" s="149"/>
      <c r="I381" s="194">
        <v>44783.25</v>
      </c>
      <c r="J381" s="195">
        <v>44783.25</v>
      </c>
      <c r="K381" s="196"/>
      <c r="L381" s="326"/>
      <c r="M381" s="140"/>
      <c r="N381" s="140"/>
      <c r="O381" s="140"/>
      <c r="P381" s="22"/>
      <c r="Q381" s="25"/>
      <c r="R381" s="4" t="str">
        <f>IF(SnapshotTable[[#This Row],[Equity Basis Total]] &gt; 0, SnapshotTable[[#This Row],[Equity Basis Total]] / SnapshotTable[[#This Row],[Equity Shares]], "")</f>
        <v/>
      </c>
      <c r="S381" s="269">
        <f>SnapshotTable[[#This Row],[Last Price]] * SnapshotTable[[#This Row],[Equity Shares]]</f>
        <v>0</v>
      </c>
      <c r="T381" s="269">
        <f>SnapshotTable[[#This Row],[Equity Value]] - SnapshotTable[[#This Row],[Equity Basis Total]]</f>
        <v>0</v>
      </c>
      <c r="U381" s="270" t="str">
        <f>IF(SnapshotTable[[#This Row],[Equity Basis Total]] &gt; 0, SnapshotTable[[#This Row],[Equity G/L]] / SnapshotTable[[#This Row],[Equity Basis Total]], "")</f>
        <v/>
      </c>
      <c r="V381" s="268"/>
      <c r="W381" s="26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7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0"/>
      <c r="AD381" s="151"/>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0</v>
      </c>
      <c r="AH381" s="151"/>
      <c r="AI381" s="5"/>
      <c r="AJ381" s="138">
        <v>3362.58</v>
      </c>
      <c r="AK381" s="152" t="str">
        <f>IF(ISNUMBER( SnapshotTable[[#This Row],[EBF Target]]),(SnapshotTable[[#This Row],[EBF Target]] - SnapshotTable[[#This Row],[Last Price]]) / SnapshotTable[[#This Row],[Last Price]], "")</f>
        <v/>
      </c>
      <c r="AL381" s="152"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2">
        <f>IF(AND(ISNUMBER( SnapshotTable[[#This Row],[Long Term Target]]), ISNUMBER(SnapshotTable[[#This Row],[Last Price]])),(SnapshotTable[[#This Row],[Long Term Target]] - SnapshotTable[[#This Row],[Last Price]]) / SnapshotTable[[#This Row],[Last Price]], "")</f>
        <v>89.978896103896105</v>
      </c>
      <c r="AP381" s="5"/>
      <c r="AQ381" s="38"/>
      <c r="AR381" s="5"/>
      <c r="AS381" s="38"/>
      <c r="AT381" s="146"/>
      <c r="AU381" s="187" t="str">
        <f>IF(OR(SnapshotTable[[#This Row],[LP No Fill]]="Y",SnapshotTable[[#This Row],[SP Is Filled]],SnapshotTable[[#This Row],[LC Not Filled]]="Y",SnapshotTable[[#This Row],[SC Is Filled]]),"Y","")</f>
        <v/>
      </c>
      <c r="AV381" s="219"/>
      <c r="AW381" s="225"/>
      <c r="AX381" s="220"/>
      <c r="AY381" s="219" t="str">
        <f>IF(SnapshotTable[[#This Row],[Implied Move]]&gt;0, SnapshotTable[[#This Row],[Last Price]]-SnapshotTable[[#This Row],[Implied Move]],"")</f>
        <v/>
      </c>
      <c r="AZ381" s="219" t="str">
        <f>IF(SnapshotTable[[#This Row],[Implied Move]]&gt;0, SnapshotTable[[#This Row],[Last Price]] + SnapshotTable[[#This Row],[Implied Move]],"")</f>
        <v/>
      </c>
      <c r="BA381" s="331"/>
      <c r="BB381" s="347"/>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51"/>
      <c r="BE381" s="5"/>
      <c r="BF381" s="14"/>
      <c r="BG381" s="13"/>
      <c r="BH381" s="13"/>
      <c r="BI381" s="5"/>
      <c r="BJ381" s="136">
        <f>IF(SnapshotTable[[#This Row],[LP Qty]] &gt; 0, SnapshotTable[[#This Row],[LP Qty]] * SnapshotTable[[#This Row],[LP Book Price]] * 100,0)</f>
        <v>0</v>
      </c>
      <c r="BK381" s="136">
        <f>IF(SnapshotTable[[#This Row],[LP Premium]] &gt; 0, SnapshotTable[[#This Row],[LP Qty]] * SnapshotTable[[#This Row],[LP Strike Price]] * 100,0)</f>
        <v>0</v>
      </c>
      <c r="BL381" s="154"/>
      <c r="BM381" s="385" t="str">
        <f>IF(SnapshotTable[[#This Row],[LP Premium]] &gt; 0,SnapshotTable[[#This Row],[LP Exp Date]]-MAX(SnapshotTable[[#This Row],[LP Book Date]], SnapshotTable[[#This Row],[LP Fill Date]]),"")</f>
        <v/>
      </c>
      <c r="BN381" s="385" t="str">
        <f>IF(ISNUMBER( SnapshotTable[[#This Row],[LP Term]]), SnapshotTable[[#This Row],[LP Exp Date]] - MockToday,"")</f>
        <v/>
      </c>
      <c r="BO381" s="163"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7"/>
      <c r="BU381" s="13"/>
      <c r="BV381" s="5"/>
      <c r="BW381" s="419" t="b">
        <f>AND(ISNUMBER(SnapshotTable[[#This Row],[SP Exp Date]]), ISNUMBER(SnapshotTable[[#This Row],[SP Strike Price]]), ISNUMBER(SnapshotTable[[#This Row],[SP Qty]]), ISNUMBER(SnapshotTable[[#This Row],[SP Book Date]]), ISNUMBER(SnapshotTable[[#This Row],[SP Book Price]]))</f>
        <v>0</v>
      </c>
      <c r="BX381" s="419" t="b">
        <f>AND(SnapshotTable[[#This Row],[SP Is Booked]], NOT(ISBLANK(SnapshotTable[[#This Row],[SP Fill Date]])))</f>
        <v>0</v>
      </c>
      <c r="BY381" s="33">
        <f>IF(SnapshotTable[[#This Row],[SP Is Booked]], SnapshotTable[[#This Row],[SP Qty]] * SnapshotTable[[#This Row],[SP Book Price]] * 100, 0)</f>
        <v>0</v>
      </c>
      <c r="BZ381" s="369"/>
      <c r="CA381" s="368">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3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44"/>
      <c r="CK381" s="31">
        <f>IF(ISNUMBER(SnapshotTable[[#This Row],[SP Potential Spend]]),IF(ISNUMBER(SnapshotTable[[#This Row],[SP POW]]), SnapshotTable[[#This Row],[SP POW]] * SnapshotTable[[#This Row],[SP Potential Spend]], SnapshotTable[[#This Row],[SP Potential Spend]]), "")</f>
        <v>0</v>
      </c>
      <c r="CL381" s="164">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8"/>
      <c r="CO381" s="369"/>
      <c r="CP381" s="4" t="str">
        <f>IF(SnapshotTable[[#This Row],[SP Is Filled]], btc_max_buyback_amount(SnapshotTable[[#This Row],[SP Fill Date]],SnapshotTable[[#This Row],[SP Exp Date]], SnapshotTable[[#This Row],[SP Book Price]]),"")</f>
        <v/>
      </c>
      <c r="CQ381" s="78"/>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5" t="str">
        <f>IF(SnapshotTable[[#This Row],[SP Is Filled]], btc_next_cutoff_date(SnapshotTable[[#This Row],[SP Fill Date]],SnapshotTable[[#This Row],[SP Exp Date]]),"")</f>
        <v/>
      </c>
      <c r="CT381" s="23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3"/>
      <c r="CV381" s="235"/>
      <c r="CW381" s="378"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294" t="str">
        <f>IF(ISNUMBER((SnapshotTable[[#This Row],[SP Total Value]])), SnapshotTable[[#This Row],[SP Gain Loss]] / SnapshotTable[[#This Row],[SP Premium]], "")</f>
        <v/>
      </c>
      <c r="DI381" s="406"/>
      <c r="DJ381" s="138"/>
      <c r="DK381" s="148"/>
      <c r="DL381" s="13"/>
      <c r="DM381" s="13"/>
      <c r="DO381" s="31">
        <f>IF(SnapshotTable[[#This Row],[LC Symbol Count]]=1, SnapshotTable[[#This Row],[LC Qty]] * SnapshotTable[[#This Row],[LC Book Price]] * 100, 0)</f>
        <v>0</v>
      </c>
      <c r="DP381" s="163" t="str">
        <f>IF(AND(SnapshotTable[[#This Row],[LC Exp Date]]&gt;0, SnapshotTable[[#This Row],[LC Strike Price]]&gt;0,SnapshotTable[[#This Row],[LC Qty]]&gt;0,SnapshotTable[[#This Row],[LC Book Date]]&gt;0,SnapshotTable[[#This Row],[LC Book Price]]&gt;0,SnapshotTable[[#This Row],[LC Fill Date]]=0),"Y","")</f>
        <v/>
      </c>
      <c r="DQ381" s="386" t="str">
        <f>IF(SnapshotTable[[#This Row],[LC Premium]] &gt; 0,SnapshotTable[[#This Row],[LC Exp Date]]-MAX(SnapshotTable[[#This Row],[LC Book Date]], SnapshotTable[[#This Row],[LC Fill Date]]),"")</f>
        <v/>
      </c>
      <c r="DR381" s="386" t="str">
        <f>IF(ISNUMBER(SnapshotTable[[#This Row],[LC Term]]), SnapshotTable[[#This Row],[LC Exp Date]] - MockToday, "")</f>
        <v/>
      </c>
      <c r="DS381" s="23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40" t="str">
        <f>IF(ISNUMBER(SnapshotTable[[#This Row],[LC Actual Gain Loss]]), SnapshotTable[[#This Row],[LC Actual Gain Loss]] / SnapshotTable[[#This Row],[LC Premium]],"")</f>
        <v/>
      </c>
      <c r="DX381" s="284" t="str">
        <f>IF(ISNUMBER(SnapshotTable[[#This Row],[LC Book Price]]),SnapshotTable[[#This Row],[LC Book Price]] * 1.5,"")</f>
        <v/>
      </c>
      <c r="DY381" s="265" t="str">
        <f>IF(SnapshotTable[[#This Row],[LC Premium]]&gt;0, SnapshotTable[[#This Row],[LC Next Target]] * SnapshotTable[[#This Row],[LC Qty]] * 100,"")</f>
        <v/>
      </c>
      <c r="DZ381" s="265" t="str">
        <f>IF(ISNUMBER(SnapshotTable[[#This Row],[LC Target Gross]]), SnapshotTable[[#This Row],[LC Target Gross]] - SnapshotTable[[#This Row],[LC Premium]], "")</f>
        <v/>
      </c>
      <c r="EA381" s="305" t="str">
        <f>IF(ISNUMBER(SnapshotTable[[#This Row],[LC Target Gain Loss]]), SnapshotTable[[#This Row],[LC Target Gain Loss]]/SnapshotTable[[#This Row],[LC Premium]], "")</f>
        <v/>
      </c>
      <c r="EB381" s="262"/>
      <c r="EC381" s="283" t="str">
        <f>IF(SnapshotTable[[#This Row],[LC Premium]]&gt;0, SnapshotTable[[#This Row],[LC Book Price]] * (1 - LC_StopLoss_Pct),"")</f>
        <v/>
      </c>
      <c r="ED381" s="284"/>
      <c r="EE381" s="28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4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7"/>
      <c r="EL381" s="138"/>
      <c r="EM381" s="148"/>
      <c r="EN381" s="147"/>
      <c r="EO381" s="147"/>
      <c r="EP381" s="138"/>
      <c r="EQ381" s="419" t="b">
        <f>AND(ISNUMBER(SnapshotTable[[#This Row],[SC Exp Date]]), ISNUMBER(SnapshotTable[[#This Row],[SC Strike Price]]), ISNUMBER(SnapshotTable[[#This Row],[SC Qty]]), ISNUMBER(SnapshotTable[[#This Row],[SC Book Date]]), ISNUMBER(SnapshotTable[[#This Row],[SC Book Price]]))</f>
        <v>0</v>
      </c>
      <c r="ER381" s="419" t="b">
        <f>AND(SnapshotTable[[#This Row],[SC Is Booked]], NOT(ISBLANK(SnapshotTable[[#This Row],[SC Fill Date]])))</f>
        <v>0</v>
      </c>
      <c r="ES381" s="370"/>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3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283"/>
      <c r="FA381" s="218"/>
      <c r="FB381" s="370"/>
      <c r="FC381" s="4">
        <f>IF(SnapshotTable[[#This Row],[SC Is Filled]], btc_max_buyback_amount(SnapshotTable[[#This Row],[SC Fill Date]],SnapshotTable[[#This Row],[SC Exp Date]], SnapshotTable[[#This Row],[SC Book Price]]),0)</f>
        <v>0</v>
      </c>
      <c r="FD381" s="5"/>
      <c r="FE381" s="144"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382">
        <f>IF(SnapshotTable[[#This Row],[SC Is Filled]], IF(ISNUMBER(SnapshotTable[[#This Row],[SC Current Ask]]), SnapshotTable[[#This Row],[SC Current Ask]], SnapshotTable[[#This Row],[SC Book Price]]) - SnapshotTable[[#This Row],[SC Intrinsic Value]], 0)</f>
        <v>0</v>
      </c>
      <c r="FI381" s="143"/>
      <c r="FJ381" s="32" t="str">
        <f>IF(SnapshotTable[[#This Row],[SC Is Filled]],100 * SnapshotTable[[#This Row],[SC Qty]] * IF(ISNUMBER(SnapshotTable[[#This Row],[SC Buyback Override]]), SnapshotTable[[#This Row],[SC Buyback Override]], SnapshotTable[[#This Row],[SC Current Ask]]), "")</f>
        <v/>
      </c>
      <c r="FK381" s="250" t="str">
        <f>IF(SnapshotTable[[#This Row],[SC Time Val]]&gt;0, SnapshotTable[[#This Row],[SC Time Val]] / SnapshotTable[[#This Row],[Last Price]],"")</f>
        <v/>
      </c>
      <c r="FL381" s="302" t="str">
        <f>IF(SnapshotTable[[#This Row],[SC Is Booked]], ((SnapshotTable[[#This Row],[Last Price]] -SnapshotTable[[#This Row],[SC Strike Price]]) / SnapshotTable[[#This Row],[Last Price]]) * -1, "")</f>
        <v/>
      </c>
      <c r="FM381" s="157"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33"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36" t="str">
        <f>IF(AND(ISNUMBER(SnapshotTable[[#This Row],[SC Simple ROO]]),SnapshotTable[[#This Row],[SC Simple ROO]] &gt; 0), SnapshotTable[[#This Row],[SC Premium]] + (SnapshotTable[[#This Row],[SC Qty]] * SnapshotTable[[#This Row],[SC Upside Potential]]), "")</f>
        <v/>
      </c>
      <c r="FX381" s="302" t="str" cm="1">
        <f t="array" ref="FX381">IF(ISNUMBER(SnapshotTable[[#This Row],[SC Max Dollars]]), annualize(SnapshotTable[[#This Row],[SC Term]],(SnapshotTable[[#This Row],[SC Max Dollars]]/SnapshotTable[[#This Row],[SC Basis]])),"")</f>
        <v/>
      </c>
      <c r="FY381" s="23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29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3194.4509999999996</v>
      </c>
      <c r="GD381" s="40">
        <f>SnapshotTable[[#This Row],[Last Price]] * (1+ SellingPriceToConsiderBasedOnTargetPercentage)</f>
        <v>72.072000000000003</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809</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31">
        <f>MAX(SnapshotTable[[#This Row],[Equity Basis Total]],SnapshotTable[[#This Row],[Equity Value]]) + (SnapshotTable[[#This Row],[SP Potential Spend]]- SnapshotTable[[#This Row],[SP Premium]] + SnapshotTable[[#This Row],[LP Premium]])+ (SnapshotTable[[#This Row],[LC Premium]] - SnapshotTable[[#This Row],[SC Premium]])</f>
        <v>0</v>
      </c>
      <c r="GW381" s="139" t="str">
        <f>IF(AND(SnapshotTable[[#This Row],[Exposure]] &lt;&gt; 0),SnapshotTable[[#This Row],[Exposure]] / SnapshotTable[[#Totals],[Exposure]], "")</f>
        <v/>
      </c>
      <c r="HK381" s="1"/>
      <c r="HL381" s="1"/>
      <c r="HM381" s="1"/>
      <c r="HN381" s="1"/>
      <c r="HO381" s="1"/>
      <c r="HP381" s="1"/>
    </row>
    <row r="382" spans="2:224" ht="12.75" hidden="1" customHeight="1" x14ac:dyDescent="0.25">
      <c r="B382" s="12" t="s">
        <v>605</v>
      </c>
      <c r="C382" s="422">
        <v>31.36</v>
      </c>
      <c r="D382" s="208" t="s">
        <v>578</v>
      </c>
      <c r="E382" s="39">
        <f>SnapshotTable[[#This Row],[Last Price]]*(1 -CrashDiscount)</f>
        <v>26.655999999999999</v>
      </c>
      <c r="F382" s="26" t="s">
        <v>607</v>
      </c>
      <c r="G382" s="26" t="s">
        <v>606</v>
      </c>
      <c r="H382" s="149"/>
      <c r="I382" s="194">
        <v>44777.670138888891</v>
      </c>
      <c r="J382" s="195">
        <v>44777.670138888891</v>
      </c>
      <c r="K382" s="196"/>
      <c r="L382" s="326"/>
      <c r="M382" s="140"/>
      <c r="N382" s="140"/>
      <c r="O382" s="140"/>
      <c r="P382" s="22"/>
      <c r="Q382" s="25"/>
      <c r="R382" s="4" t="str">
        <f>IF(SnapshotTable[[#This Row],[Equity Basis Total]] &gt; 0, SnapshotTable[[#This Row],[Equity Basis Total]] / SnapshotTable[[#This Row],[Equity Shares]], "")</f>
        <v/>
      </c>
      <c r="S382" s="269">
        <f>SnapshotTable[[#This Row],[Last Price]] * SnapshotTable[[#This Row],[Equity Shares]]</f>
        <v>0</v>
      </c>
      <c r="T382" s="269">
        <f>SnapshotTable[[#This Row],[Equity Value]] - SnapshotTable[[#This Row],[Equity Basis Total]]</f>
        <v>0</v>
      </c>
      <c r="U382" s="270" t="str">
        <f>IF(SnapshotTable[[#This Row],[Equity Basis Total]] &gt; 0, SnapshotTable[[#This Row],[Equity G/L]] / SnapshotTable[[#This Row],[Equity Basis Total]], "")</f>
        <v/>
      </c>
      <c r="V382" s="268"/>
      <c r="W382" s="268"/>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7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0"/>
      <c r="AD382" s="151"/>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1"/>
      <c r="AI382" s="5"/>
      <c r="AJ382" s="138">
        <v>58.5</v>
      </c>
      <c r="AK382" s="152" t="str">
        <f>IF(ISNUMBER( SnapshotTable[[#This Row],[EBF Target]]),(SnapshotTable[[#This Row],[EBF Target]] - SnapshotTable[[#This Row],[Last Price]]) / SnapshotTable[[#This Row],[Last Price]], "")</f>
        <v/>
      </c>
      <c r="AL382" s="152"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2">
        <f>IF(AND(ISNUMBER( SnapshotTable[[#This Row],[Long Term Target]]), ISNUMBER(SnapshotTable[[#This Row],[Last Price]])),(SnapshotTable[[#This Row],[Long Term Target]] - SnapshotTable[[#This Row],[Last Price]]) / SnapshotTable[[#This Row],[Last Price]], "")</f>
        <v>0.86543367346938782</v>
      </c>
      <c r="AP382" s="5">
        <v>180</v>
      </c>
      <c r="AQ382" s="38" t="s">
        <v>110</v>
      </c>
      <c r="AR382" s="5">
        <v>171.25</v>
      </c>
      <c r="AS382" s="38" t="s">
        <v>45</v>
      </c>
      <c r="AT382" s="146" t="s">
        <v>533</v>
      </c>
      <c r="AU382" s="187" t="str">
        <f>IF(OR(SnapshotTable[[#This Row],[LP No Fill]]="Y",SnapshotTable[[#This Row],[SP Is Filled]],SnapshotTable[[#This Row],[LC Not Filled]]="Y",SnapshotTable[[#This Row],[SC Is Filled]]),"Y","")</f>
        <v/>
      </c>
      <c r="AV382" s="219"/>
      <c r="AW382" s="225"/>
      <c r="AX382" s="220"/>
      <c r="AY382" s="219"/>
      <c r="AZ382" s="219"/>
      <c r="BA382" s="331">
        <v>6.25</v>
      </c>
      <c r="BB382" s="347"/>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51"/>
      <c r="BE382" s="138"/>
      <c r="BF382" s="166"/>
      <c r="BG382" s="167"/>
      <c r="BH382" s="167"/>
      <c r="BI382" s="221"/>
      <c r="BJ382" s="153">
        <f>IF(SnapshotTable[[#This Row],[LP Qty]] &gt; 0, SnapshotTable[[#This Row],[LP Qty]] * SnapshotTable[[#This Row],[LP Book Price]] * 100,0)</f>
        <v>0</v>
      </c>
      <c r="BK382" s="136">
        <f>IF(SnapshotTable[[#This Row],[LP Premium]] &gt; 0, SnapshotTable[[#This Row],[LP Qty]] * SnapshotTable[[#This Row],[LP Strike Price]] * 100,0)</f>
        <v>0</v>
      </c>
      <c r="BL382" s="154"/>
      <c r="BM382" s="385" t="str">
        <f>IF(SnapshotTable[[#This Row],[LP Premium]] &gt; 0,SnapshotTable[[#This Row],[LP Exp Date]]-MAX(SnapshotTable[[#This Row],[LP Book Date]], SnapshotTable[[#This Row],[LP Fill Date]]),"")</f>
        <v/>
      </c>
      <c r="BN382" s="385" t="str">
        <f>IF(ISNUMBER( SnapshotTable[[#This Row],[LP Term]]), SnapshotTable[[#This Row],[LP Exp Date]] - MockToday,"")</f>
        <v/>
      </c>
      <c r="BO382" s="163"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7"/>
      <c r="BU382" s="13"/>
      <c r="BV382" s="5"/>
      <c r="BW382" s="419" t="b">
        <f>AND(ISNUMBER(SnapshotTable[[#This Row],[SP Exp Date]]), ISNUMBER(SnapshotTable[[#This Row],[SP Strike Price]]), ISNUMBER(SnapshotTable[[#This Row],[SP Qty]]), ISNUMBER(SnapshotTable[[#This Row],[SP Book Date]]), ISNUMBER(SnapshotTable[[#This Row],[SP Book Price]]))</f>
        <v>0</v>
      </c>
      <c r="BX382" s="419" t="b">
        <f>AND(SnapshotTable[[#This Row],[SP Is Booked]], NOT(ISBLANK(SnapshotTable[[#This Row],[SP Fill Date]])))</f>
        <v>0</v>
      </c>
      <c r="BY382" s="33">
        <f>IF(SnapshotTable[[#This Row],[SP Is Booked]], SnapshotTable[[#This Row],[SP Qty]] * SnapshotTable[[#This Row],[SP Book Price]] * 100, 0)</f>
        <v>0</v>
      </c>
      <c r="BZ382" s="369"/>
      <c r="CA382" s="368">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3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44"/>
      <c r="CK382" s="31">
        <f>IF(ISNUMBER(SnapshotTable[[#This Row],[SP Potential Spend]]),IF(ISNUMBER(SnapshotTable[[#This Row],[SP POW]]), SnapshotTable[[#This Row],[SP POW]] * SnapshotTable[[#This Row],[SP Potential Spend]], SnapshotTable[[#This Row],[SP Potential Spend]]), "")</f>
        <v>0</v>
      </c>
      <c r="CL382" s="164">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18"/>
      <c r="CO382" s="369"/>
      <c r="CP382" s="4" t="str">
        <f>IF(SnapshotTable[[#This Row],[SP Is Filled]], btc_max_buyback_amount(SnapshotTable[[#This Row],[SP Fill Date]],SnapshotTable[[#This Row],[SP Exp Date]], SnapshotTable[[#This Row],[SP Book Price]]),"")</f>
        <v/>
      </c>
      <c r="CQ382" s="78"/>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5" t="str">
        <f>IF(SnapshotTable[[#This Row],[SP Is Filled]], btc_next_cutoff_date(SnapshotTable[[#This Row],[SP Fill Date]],SnapshotTable[[#This Row],[SP Exp Date]]),"")</f>
        <v/>
      </c>
      <c r="CT382" s="23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56"/>
      <c r="CV382" s="235"/>
      <c r="CW382" s="378"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294" t="str">
        <f>IF(ISNUMBER((SnapshotTable[[#This Row],[SP Total Value]])), SnapshotTable[[#This Row],[SP Gain Loss]] / SnapshotTable[[#This Row],[SP Premium]], "")</f>
        <v/>
      </c>
      <c r="DI382" s="406"/>
      <c r="DJ382" s="138"/>
      <c r="DK382" s="148"/>
      <c r="DL382" s="147"/>
      <c r="DM382" s="147"/>
      <c r="DO382" s="31">
        <f>IF(SnapshotTable[[#This Row],[LC Symbol Count]]=1, SnapshotTable[[#This Row],[LC Qty]] * SnapshotTable[[#This Row],[LC Book Price]] * 100, 0)</f>
        <v>0</v>
      </c>
      <c r="DP382" s="163" t="str">
        <f>IF(AND(SnapshotTable[[#This Row],[LC Exp Date]]&gt;0, SnapshotTable[[#This Row],[LC Strike Price]]&gt;0,SnapshotTable[[#This Row],[LC Qty]]&gt;0,SnapshotTable[[#This Row],[LC Book Date]]&gt;0,SnapshotTable[[#This Row],[LC Book Price]]&gt;0,SnapshotTable[[#This Row],[LC Fill Date]]=0),"Y","")</f>
        <v/>
      </c>
      <c r="DQ382" s="386" t="str">
        <f>IF(SnapshotTable[[#This Row],[LC Premium]] &gt; 0,SnapshotTable[[#This Row],[LC Exp Date]]-MAX(SnapshotTable[[#This Row],[LC Book Date]], SnapshotTable[[#This Row],[LC Fill Date]]),"")</f>
        <v/>
      </c>
      <c r="DR382" s="386" t="str">
        <f>IF(ISNUMBER(SnapshotTable[[#This Row],[LC Term]]), SnapshotTable[[#This Row],[LC Exp Date]] - MockToday, "")</f>
        <v/>
      </c>
      <c r="DS382" s="23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40" t="str">
        <f>IF(ISNUMBER(SnapshotTable[[#This Row],[LC Actual Gain Loss]]), SnapshotTable[[#This Row],[LC Actual Gain Loss]] / SnapshotTable[[#This Row],[LC Premium]],"")</f>
        <v/>
      </c>
      <c r="DX382" s="284" t="str">
        <f>IF(ISNUMBER(SnapshotTable[[#This Row],[LC Book Price]]),SnapshotTable[[#This Row],[LC Book Price]] * 1.5,"")</f>
        <v/>
      </c>
      <c r="DY382" s="265" t="str">
        <f>IF(SnapshotTable[[#This Row],[LC Premium]]&gt;0, SnapshotTable[[#This Row],[LC Next Target]] * SnapshotTable[[#This Row],[LC Qty]] * 100,"")</f>
        <v/>
      </c>
      <c r="DZ382" s="265" t="str">
        <f>IF(ISNUMBER(SnapshotTable[[#This Row],[LC Target Gross]]), SnapshotTable[[#This Row],[LC Target Gross]] - SnapshotTable[[#This Row],[LC Premium]], "")</f>
        <v/>
      </c>
      <c r="EA382" s="305" t="str">
        <f>IF(ISNUMBER(SnapshotTable[[#This Row],[LC Target Gain Loss]]), SnapshotTable[[#This Row],[LC Target Gain Loss]]/SnapshotTable[[#This Row],[LC Premium]], "")</f>
        <v/>
      </c>
      <c r="EB382" s="262" t="s">
        <v>827</v>
      </c>
      <c r="EC382" s="283" t="str">
        <f>IF(SnapshotTable[[#This Row],[LC Premium]]&gt;0, SnapshotTable[[#This Row],[LC Book Price]] * (1 - LC_StopLoss_Pct),"")</f>
        <v/>
      </c>
      <c r="ED382" s="284"/>
      <c r="EE382" s="28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4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7"/>
      <c r="EL382" s="138"/>
      <c r="EM382" s="148"/>
      <c r="EN382" s="147"/>
      <c r="EO382" s="147"/>
      <c r="EP382" s="138"/>
      <c r="EQ382" s="419" t="b">
        <f>AND(ISNUMBER(SnapshotTable[[#This Row],[SC Exp Date]]), ISNUMBER(SnapshotTable[[#This Row],[SC Strike Price]]), ISNUMBER(SnapshotTable[[#This Row],[SC Qty]]), ISNUMBER(SnapshotTable[[#This Row],[SC Book Date]]), ISNUMBER(SnapshotTable[[#This Row],[SC Book Price]]))</f>
        <v>0</v>
      </c>
      <c r="ER382" s="419" t="b">
        <f>AND(SnapshotTable[[#This Row],[SC Is Booked]], NOT(ISBLANK(SnapshotTable[[#This Row],[SC Fill Date]])))</f>
        <v>0</v>
      </c>
      <c r="ES382" s="370"/>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3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283"/>
      <c r="FA382" s="218"/>
      <c r="FB382" s="370"/>
      <c r="FC382" s="4">
        <f>IF(SnapshotTable[[#This Row],[SC Is Filled]], btc_max_buyback_amount(SnapshotTable[[#This Row],[SC Fill Date]],SnapshotTable[[#This Row],[SC Exp Date]], SnapshotTable[[#This Row],[SC Book Price]]),0)</f>
        <v>0</v>
      </c>
      <c r="FD382" s="5"/>
      <c r="FE382" s="144"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382">
        <f>IF(SnapshotTable[[#This Row],[SC Is Filled]], IF(ISNUMBER(SnapshotTable[[#This Row],[SC Current Ask]]), SnapshotTable[[#This Row],[SC Current Ask]], SnapshotTable[[#This Row],[SC Book Price]]) - SnapshotTable[[#This Row],[SC Intrinsic Value]], 0)</f>
        <v>0</v>
      </c>
      <c r="FI382" s="143"/>
      <c r="FJ382" s="32" t="str">
        <f>IF(SnapshotTable[[#This Row],[SC Is Filled]],100 * SnapshotTable[[#This Row],[SC Qty]] * IF(ISNUMBER(SnapshotTable[[#This Row],[SC Buyback Override]]), SnapshotTable[[#This Row],[SC Buyback Override]], SnapshotTable[[#This Row],[SC Current Ask]]), "")</f>
        <v/>
      </c>
      <c r="FK382" s="250" t="str">
        <f>IF(SnapshotTable[[#This Row],[SC Time Val]]&gt;0, SnapshotTable[[#This Row],[SC Time Val]] / SnapshotTable[[#This Row],[Last Price]],"")</f>
        <v/>
      </c>
      <c r="FL382" s="302" t="str">
        <f>IF(SnapshotTable[[#This Row],[SC Is Booked]], ((SnapshotTable[[#This Row],[Last Price]] -SnapshotTable[[#This Row],[SC Strike Price]]) / SnapshotTable[[#This Row],[Last Price]]) * -1, "")</f>
        <v/>
      </c>
      <c r="FM382" s="157" t="str">
        <f>IF(SnapshotTable[[#This Row],[SC Is Booked]],  (SnapshotTable[[#This Row],[SC Qty]] * 100 * SnapshotTable[[#This Row],[SC Strike Price]]) - SnapshotTable[[#This Row],[SC Current Ask]], "")</f>
        <v/>
      </c>
      <c r="FN382"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157"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33"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36" t="str">
        <f>IF(AND(ISNUMBER(SnapshotTable[[#This Row],[SC Simple ROO]]),SnapshotTable[[#This Row],[SC Simple ROO]] &gt; 0), SnapshotTable[[#This Row],[SC Premium]] + (SnapshotTable[[#This Row],[SC Qty]] * SnapshotTable[[#This Row],[SC Upside Potential]]), "")</f>
        <v/>
      </c>
      <c r="FX382" s="302" t="str" cm="1">
        <f t="array" ref="FX382">IF(ISNUMBER(SnapshotTable[[#This Row],[SC Max Dollars]]), annualize(SnapshotTable[[#This Row],[SC Term]],(SnapshotTable[[#This Row],[SC Max Dollars]]/SnapshotTable[[#This Row],[SC Basis]])),"")</f>
        <v/>
      </c>
      <c r="FY382" s="23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29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55.574999999999996</v>
      </c>
      <c r="GD382" s="40">
        <f>SnapshotTable[[#This Row],[Last Price]] * (1+ SellingPriceToConsiderBasedOnTargetPercentage)</f>
        <v>61.152000000000001</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158" t="str">
        <f>IF(SnapshotTable[[#This Row],[Sale G/L]]&gt;0, SnapshotTable[[#This Row],[Sale G/L]] / SnapshotTable[[#This Row],[Sale Basis]], IF(ISNUMBER(SnapshotTable[[#This Row],[SC Exercise P&amp;L (TAX)]]), SnapshotTable[[#This Row],[SC Exercise P&amp;L (TAX)]] / SnapshotTable[[#This Row],[SC Basis]], ""))</f>
        <v/>
      </c>
      <c r="GK382" s="158" t="s">
        <v>751</v>
      </c>
      <c r="GL382" s="159"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159" t="str">
        <f>IF(AND(SnapshotTable[[#This Row],[LC Exp Date]]&gt;0,SnapshotTable[[#This Row],[LC Strike Price]]&gt;0), [1]!ToOptionSymbol(SnapshotTable[[#This Row],[Symbol]], SnapshotTable[[#This Row],[LC Strike Price]],SnapshotTable[[#This Row],[LC Exp Date]],0), "")</f>
        <v/>
      </c>
      <c r="GQ382" s="160" t="str">
        <f>IF(LEN(SnapshotTable[[#This Row],[LC Symbol]])&gt;0, 1, "")</f>
        <v/>
      </c>
      <c r="GR382" s="159" t="str">
        <f>IF(AND(SnapshotTable[[#This Row],[SC Exp Date]]&gt;0,SnapshotTable[[#This Row],[SC Strike Price]]&gt;0), [1]!ToOptionSymbol(SnapshotTable[[#This Row],[Symbol]], SnapshotTable[[#This Row],[SC Strike Price]],SnapshotTable[[#This Row],[SC Exp Date]],0), "")</f>
        <v/>
      </c>
      <c r="GS382" s="160" t="str">
        <f>IF(LEN(SnapshotTable[[#This Row],[SC Symbol]])&gt;0, 1, "")</f>
        <v/>
      </c>
      <c r="GT382" s="161"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31">
        <f>MAX(SnapshotTable[[#This Row],[Equity Basis Total]],SnapshotTable[[#This Row],[Equity Value]]) + (SnapshotTable[[#This Row],[SP Potential Spend]]- SnapshotTable[[#This Row],[SP Premium]] + SnapshotTable[[#This Row],[LP Premium]])+ (SnapshotTable[[#This Row],[LC Premium]] - SnapshotTable[[#This Row],[SC Premium]])</f>
        <v>0</v>
      </c>
      <c r="GW382" s="139" t="str">
        <f>IF(AND(SnapshotTable[[#This Row],[Exposure]] &lt;&gt; 0),SnapshotTable[[#This Row],[Exposure]] / SnapshotTable[[#Totals],[Exposure]], "")</f>
        <v/>
      </c>
      <c r="GX382" s="2"/>
      <c r="GY382" s="387"/>
      <c r="GZ382"/>
      <c r="HA382" s="2"/>
      <c r="HB382" s="2"/>
      <c r="HK382" s="1"/>
      <c r="HL382" s="1"/>
      <c r="HM382" s="1"/>
      <c r="HN382" s="1"/>
      <c r="HO382" s="1"/>
      <c r="HP382" s="1"/>
    </row>
    <row r="383" spans="2:224" ht="12.75" hidden="1" customHeight="1" x14ac:dyDescent="0.25">
      <c r="B383" s="12" t="s">
        <v>554</v>
      </c>
      <c r="C383" s="422">
        <v>85.81</v>
      </c>
      <c r="D383" s="208" t="s">
        <v>578</v>
      </c>
      <c r="E383" s="39">
        <f>SnapshotTable[[#This Row],[Last Price]]*(1 -CrashDiscount)</f>
        <v>72.938500000000005</v>
      </c>
      <c r="F383" s="26" t="s">
        <v>230</v>
      </c>
      <c r="G383" s="26" t="s">
        <v>9</v>
      </c>
      <c r="H383" s="149"/>
      <c r="I383" s="194">
        <v>44795.670138888891</v>
      </c>
      <c r="J383" s="195">
        <v>44795.670138888891</v>
      </c>
      <c r="K383" s="196"/>
      <c r="L383" s="326"/>
      <c r="M383" s="140"/>
      <c r="N383" s="140"/>
      <c r="O383" s="140"/>
      <c r="P383" s="22"/>
      <c r="Q383" s="25"/>
      <c r="R383" s="4" t="str">
        <f>IF(SnapshotTable[[#This Row],[Equity Basis Total]] &gt; 0, SnapshotTable[[#This Row],[Equity Basis Total]] / SnapshotTable[[#This Row],[Equity Shares]], "")</f>
        <v/>
      </c>
      <c r="S383" s="269">
        <f>SnapshotTable[[#This Row],[Last Price]] * SnapshotTable[[#This Row],[Equity Shares]]</f>
        <v>0</v>
      </c>
      <c r="T383" s="269">
        <f>SnapshotTable[[#This Row],[Equity Value]] - SnapshotTable[[#This Row],[Equity Basis Total]]</f>
        <v>0</v>
      </c>
      <c r="U383" s="270" t="str">
        <f>IF(SnapshotTable[[#This Row],[Equity Basis Total]] &gt; 0, SnapshotTable[[#This Row],[Equity G/L]] / SnapshotTable[[#This Row],[Equity Basis Total]], "")</f>
        <v/>
      </c>
      <c r="V383" s="268"/>
      <c r="W383" s="26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7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0"/>
      <c r="AD383" s="151"/>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1"/>
      <c r="AI383" s="5"/>
      <c r="AJ383" s="138">
        <v>413.23</v>
      </c>
      <c r="AK383" s="152" t="str">
        <f>IF(ISNUMBER( SnapshotTable[[#This Row],[EBF Target]]),(SnapshotTable[[#This Row],[EBF Target]] - SnapshotTable[[#This Row],[Last Price]]) / SnapshotTable[[#This Row],[Last Price]], "")</f>
        <v/>
      </c>
      <c r="AL383" s="152"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2">
        <f>IF(AND(ISNUMBER( SnapshotTable[[#This Row],[Long Term Target]]), ISNUMBER(SnapshotTable[[#This Row],[Last Price]])),(SnapshotTable[[#This Row],[Long Term Target]] - SnapshotTable[[#This Row],[Last Price]]) / SnapshotTable[[#This Row],[Last Price]], "")</f>
        <v>3.8156392028901061</v>
      </c>
      <c r="AP383" s="5"/>
      <c r="AQ383" s="38"/>
      <c r="AR383" s="5"/>
      <c r="AS383" s="38"/>
      <c r="AT383" s="146"/>
      <c r="AU383" s="187" t="str">
        <f>IF(OR(SnapshotTable[[#This Row],[LP No Fill]]="Y",SnapshotTable[[#This Row],[SP Is Filled]],SnapshotTable[[#This Row],[LC Not Filled]]="Y",SnapshotTable[[#This Row],[SC Is Filled]]),"Y","")</f>
        <v/>
      </c>
      <c r="AV383" s="219"/>
      <c r="AW383" s="225"/>
      <c r="AX383" s="220"/>
      <c r="AY383" s="219" t="str">
        <f>IF(SnapshotTable[[#This Row],[Implied Move]]&gt;0, SnapshotTable[[#This Row],[Last Price]]-SnapshotTable[[#This Row],[Implied Move]],"")</f>
        <v/>
      </c>
      <c r="AZ383" s="219" t="str">
        <f>IF(SnapshotTable[[#This Row],[Implied Move]]&gt;0, SnapshotTable[[#This Row],[Last Price]] + SnapshotTable[[#This Row],[Implied Move]],"")</f>
        <v/>
      </c>
      <c r="BA383" s="331">
        <v>107.99</v>
      </c>
      <c r="BB383" s="347"/>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51"/>
      <c r="BE383" s="5"/>
      <c r="BF383" s="14"/>
      <c r="BG383" s="13"/>
      <c r="BH383" s="13"/>
      <c r="BI383" s="5"/>
      <c r="BJ383" s="136">
        <f>IF(SnapshotTable[[#This Row],[LP Qty]] &gt; 0, SnapshotTable[[#This Row],[LP Qty]] * SnapshotTable[[#This Row],[LP Book Price]] * 100,0)</f>
        <v>0</v>
      </c>
      <c r="BK383" s="136">
        <f>IF(SnapshotTable[[#This Row],[LP Premium]] &gt; 0, SnapshotTable[[#This Row],[LP Qty]] * SnapshotTable[[#This Row],[LP Strike Price]] * 100,0)</f>
        <v>0</v>
      </c>
      <c r="BL383" s="154"/>
      <c r="BM383" s="385" t="str">
        <f>IF(SnapshotTable[[#This Row],[LP Premium]] &gt; 0,SnapshotTable[[#This Row],[LP Exp Date]]-MAX(SnapshotTable[[#This Row],[LP Book Date]], SnapshotTable[[#This Row],[LP Fill Date]]),"")</f>
        <v/>
      </c>
      <c r="BN383" s="385" t="str">
        <f>IF(ISNUMBER( SnapshotTable[[#This Row],[LP Term]]), SnapshotTable[[#This Row],[LP Exp Date]] - MockToday,"")</f>
        <v/>
      </c>
      <c r="BO383" s="163"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7"/>
      <c r="BU383" s="13"/>
      <c r="BV383" s="5"/>
      <c r="BW383" s="419" t="b">
        <f>AND(ISNUMBER(SnapshotTable[[#This Row],[SP Exp Date]]), ISNUMBER(SnapshotTable[[#This Row],[SP Strike Price]]), ISNUMBER(SnapshotTable[[#This Row],[SP Qty]]), ISNUMBER(SnapshotTable[[#This Row],[SP Book Date]]), ISNUMBER(SnapshotTable[[#This Row],[SP Book Price]]))</f>
        <v>0</v>
      </c>
      <c r="BX383" s="419" t="b">
        <f>AND(SnapshotTable[[#This Row],[SP Is Booked]], NOT(ISBLANK(SnapshotTable[[#This Row],[SP Fill Date]])))</f>
        <v>0</v>
      </c>
      <c r="BY383" s="33">
        <f>IF(SnapshotTable[[#This Row],[SP Is Booked]], SnapshotTable[[#This Row],[SP Qty]] * SnapshotTable[[#This Row],[SP Book Price]] * 100, 0)</f>
        <v>0</v>
      </c>
      <c r="BZ383" s="369"/>
      <c r="CA383" s="368">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3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44"/>
      <c r="CK383" s="31">
        <f>IF(ISNUMBER(SnapshotTable[[#This Row],[SP Potential Spend]]),IF(ISNUMBER(SnapshotTable[[#This Row],[SP POW]]), SnapshotTable[[#This Row],[SP POW]] * SnapshotTable[[#This Row],[SP Potential Spend]], SnapshotTable[[#This Row],[SP Potential Spend]]), "")</f>
        <v>0</v>
      </c>
      <c r="CL383" s="164">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8"/>
      <c r="CO383" s="369"/>
      <c r="CP383" s="4" t="str">
        <f>IF(SnapshotTable[[#This Row],[SP Is Filled]], btc_max_buyback_amount(SnapshotTable[[#This Row],[SP Fill Date]],SnapshotTable[[#This Row],[SP Exp Date]], SnapshotTable[[#This Row],[SP Book Price]]),"")</f>
        <v/>
      </c>
      <c r="CQ383" s="78"/>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5" t="str">
        <f>IF(SnapshotTable[[#This Row],[SP Is Filled]], btc_next_cutoff_date(SnapshotTable[[#This Row],[SP Fill Date]],SnapshotTable[[#This Row],[SP Exp Date]]),"")</f>
        <v/>
      </c>
      <c r="CT383" s="23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3">
        <v>44743</v>
      </c>
      <c r="CV383" s="235"/>
      <c r="CW383" s="378"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294" t="str">
        <f>IF(ISNUMBER((SnapshotTable[[#This Row],[SP Total Value]])), SnapshotTable[[#This Row],[SP Gain Loss]] / SnapshotTable[[#This Row],[SP Premium]], "")</f>
        <v/>
      </c>
      <c r="DI383" s="406"/>
      <c r="DJ383" s="138"/>
      <c r="DK383" s="148"/>
      <c r="DL383" s="13"/>
      <c r="DM383" s="13"/>
      <c r="DO383" s="31">
        <f>IF(SnapshotTable[[#This Row],[LC Symbol Count]]=1, SnapshotTable[[#This Row],[LC Qty]] * SnapshotTable[[#This Row],[LC Book Price]] * 100, 0)</f>
        <v>0</v>
      </c>
      <c r="DP383" s="163" t="str">
        <f>IF(AND(SnapshotTable[[#This Row],[LC Exp Date]]&gt;0, SnapshotTable[[#This Row],[LC Strike Price]]&gt;0,SnapshotTable[[#This Row],[LC Qty]]&gt;0,SnapshotTable[[#This Row],[LC Book Date]]&gt;0,SnapshotTable[[#This Row],[LC Book Price]]&gt;0,SnapshotTable[[#This Row],[LC Fill Date]]=0),"Y","")</f>
        <v/>
      </c>
      <c r="DQ383" s="386" t="str">
        <f>IF(SnapshotTable[[#This Row],[LC Premium]] &gt; 0,SnapshotTable[[#This Row],[LC Exp Date]]-MAX(SnapshotTable[[#This Row],[LC Book Date]], SnapshotTable[[#This Row],[LC Fill Date]]),"")</f>
        <v/>
      </c>
      <c r="DR383" s="386" t="str">
        <f>IF(ISNUMBER(SnapshotTable[[#This Row],[LC Term]]), SnapshotTable[[#This Row],[LC Exp Date]] - MockToday, "")</f>
        <v/>
      </c>
      <c r="DS383" s="234" t="str">
        <f>IF(SnapshotTable[[#This Row],[LC Premium]]&gt;0,SnapshotTable[[#This Row],[LC Strike Price]] + SnapshotTable[[#This Row],[LC Book Price]],"")</f>
        <v/>
      </c>
      <c r="DT383" s="5">
        <v>0</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40" t="str">
        <f>IF(ISNUMBER(SnapshotTable[[#This Row],[LC Actual Gain Loss]]), SnapshotTable[[#This Row],[LC Actual Gain Loss]] / SnapshotTable[[#This Row],[LC Premium]],"")</f>
        <v/>
      </c>
      <c r="DX383" s="284" t="str">
        <f>IF(ISNUMBER(SnapshotTable[[#This Row],[LC Book Price]]),SnapshotTable[[#This Row],[LC Book Price]] * 1.5,"")</f>
        <v/>
      </c>
      <c r="DY383" s="265" t="str">
        <f>IF(SnapshotTable[[#This Row],[LC Premium]]&gt;0, SnapshotTable[[#This Row],[LC Next Target]] * SnapshotTable[[#This Row],[LC Qty]] * 100,"")</f>
        <v/>
      </c>
      <c r="DZ383" s="265" t="str">
        <f>IF(ISNUMBER(SnapshotTable[[#This Row],[LC Target Gross]]), SnapshotTable[[#This Row],[LC Target Gross]] - SnapshotTable[[#This Row],[LC Premium]], "")</f>
        <v/>
      </c>
      <c r="EA383" s="305" t="str">
        <f>IF(ISNUMBER(SnapshotTable[[#This Row],[LC Target Gain Loss]]), SnapshotTable[[#This Row],[LC Target Gain Loss]]/SnapshotTable[[#This Row],[LC Premium]], "")</f>
        <v/>
      </c>
      <c r="EB383" s="262"/>
      <c r="EC383" s="283" t="str">
        <f>IF(SnapshotTable[[#This Row],[LC Premium]]&gt;0, SnapshotTable[[#This Row],[LC Book Price]] * (1 - LC_StopLoss_Pct),"")</f>
        <v/>
      </c>
      <c r="ED383" s="284"/>
      <c r="EE383" s="28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4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7"/>
      <c r="EL383" s="138"/>
      <c r="EM383" s="148"/>
      <c r="EN383" s="147"/>
      <c r="EO383" s="147"/>
      <c r="EP383" s="138"/>
      <c r="EQ383" s="419" t="b">
        <f>AND(ISNUMBER(SnapshotTable[[#This Row],[SC Exp Date]]), ISNUMBER(SnapshotTable[[#This Row],[SC Strike Price]]), ISNUMBER(SnapshotTable[[#This Row],[SC Qty]]), ISNUMBER(SnapshotTable[[#This Row],[SC Book Date]]), ISNUMBER(SnapshotTable[[#This Row],[SC Book Price]]))</f>
        <v>0</v>
      </c>
      <c r="ER383" s="419" t="b">
        <f>AND(SnapshotTable[[#This Row],[SC Is Booked]], NOT(ISBLANK(SnapshotTable[[#This Row],[SC Fill Date]])))</f>
        <v>0</v>
      </c>
      <c r="ES383" s="370"/>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3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283"/>
      <c r="FA383" s="423"/>
      <c r="FB383" s="370"/>
      <c r="FC383" s="4">
        <f>IF(SnapshotTable[[#This Row],[SC Is Filled]], btc_max_buyback_amount(SnapshotTable[[#This Row],[SC Fill Date]],SnapshotTable[[#This Row],[SC Exp Date]], SnapshotTable[[#This Row],[SC Book Price]]),0)</f>
        <v>0</v>
      </c>
      <c r="FD383" s="5"/>
      <c r="FE383" s="144"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382">
        <f>IF(SnapshotTable[[#This Row],[SC Is Filled]], IF(ISNUMBER(SnapshotTable[[#This Row],[SC Current Ask]]), SnapshotTable[[#This Row],[SC Current Ask]], SnapshotTable[[#This Row],[SC Book Price]]) - SnapshotTable[[#This Row],[SC Intrinsic Value]], 0)</f>
        <v>0</v>
      </c>
      <c r="FI383" s="143"/>
      <c r="FJ383" s="32" t="str">
        <f>IF(SnapshotTable[[#This Row],[SC Is Filled]],100 * SnapshotTable[[#This Row],[SC Qty]] * IF(ISNUMBER(SnapshotTable[[#This Row],[SC Buyback Override]]), SnapshotTable[[#This Row],[SC Buyback Override]], SnapshotTable[[#This Row],[SC Current Ask]]), "")</f>
        <v/>
      </c>
      <c r="FK383" s="250" t="str">
        <f>IF(SnapshotTable[[#This Row],[SC Time Val]]&gt;0, SnapshotTable[[#This Row],[SC Time Val]] / SnapshotTable[[#This Row],[Last Price]],"")</f>
        <v/>
      </c>
      <c r="FL383" s="302" t="str">
        <f>IF(SnapshotTable[[#This Row],[SC Is Booked]], ((SnapshotTable[[#This Row],[Last Price]] -SnapshotTable[[#This Row],[SC Strike Price]]) / SnapshotTable[[#This Row],[Last Price]]) * -1, "")</f>
        <v/>
      </c>
      <c r="FM383" s="157"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33"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36" t="str">
        <f>IF(AND(ISNUMBER(SnapshotTable[[#This Row],[SC Simple ROO]]),SnapshotTable[[#This Row],[SC Simple ROO]] &gt; 0), SnapshotTable[[#This Row],[SC Premium]] + (SnapshotTable[[#This Row],[SC Qty]] * SnapshotTable[[#This Row],[SC Upside Potential]]), "")</f>
        <v/>
      </c>
      <c r="FX383" s="302" t="str" cm="1">
        <f t="array" ref="FX383">IF(ISNUMBER(SnapshotTable[[#This Row],[SC Max Dollars]]), annualize(SnapshotTable[[#This Row],[SC Term]],(SnapshotTable[[#This Row],[SC Max Dollars]]/SnapshotTable[[#This Row],[SC Basis]])),"")</f>
        <v/>
      </c>
      <c r="FY383" s="23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294" t="str">
        <f>IFERROR( IF(ISNUMBER((SnapshotTable[[#This Row],[SC Current Value]])), SnapshotTable[[#This Row],[SC Gain Loss]] / SnapshotTable[[#This Row],[SC Premium]], ""), "")</f>
        <v/>
      </c>
      <c r="GB383" s="42">
        <f>SnapshotTable[[#This Row],[Equity Shares]] * SaleSharesToConsiderPercentage</f>
        <v>0</v>
      </c>
      <c r="GC383" s="40">
        <f>SnapshotTable[[#This Row],[Long Term Target]] * SellingPriceToConsiderBasedOnTargetPercentage</f>
        <v>392.56849999999997</v>
      </c>
      <c r="GD383" s="40">
        <f>SnapshotTable[[#This Row],[Last Price]] * (1+ SellingPriceToConsiderBasedOnTargetPercentage)</f>
        <v>167.3295</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810</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31">
        <f>MAX(SnapshotTable[[#This Row],[Equity Basis Total]],SnapshotTable[[#This Row],[Equity Value]]) + (SnapshotTable[[#This Row],[SP Potential Spend]]- SnapshotTable[[#This Row],[SP Premium]] + SnapshotTable[[#This Row],[LP Premium]])+ (SnapshotTable[[#This Row],[LC Premium]] - SnapshotTable[[#This Row],[SC Premium]])</f>
        <v>0</v>
      </c>
      <c r="GW383" s="139" t="str">
        <f>IF(AND(SnapshotTable[[#This Row],[Exposure]] &lt;&gt; 0),SnapshotTable[[#This Row],[Exposure]] / SnapshotTable[[#Totals],[Exposure]], "")</f>
        <v/>
      </c>
      <c r="GX383" s="2"/>
      <c r="GY383" s="387"/>
      <c r="GZ383"/>
      <c r="HA383" s="2"/>
      <c r="HB383" s="2"/>
      <c r="HK383" s="1"/>
      <c r="HL383" s="1"/>
      <c r="HM383" s="1"/>
      <c r="HN383" s="1"/>
      <c r="HO383" s="1"/>
      <c r="HP383" s="1"/>
    </row>
    <row r="384" spans="2:224" ht="12.75" hidden="1" customHeight="1" x14ac:dyDescent="0.25">
      <c r="B384" s="12" t="s">
        <v>977</v>
      </c>
      <c r="C384" s="422">
        <v>142.26</v>
      </c>
      <c r="D384" s="208" t="s">
        <v>850</v>
      </c>
      <c r="E384" s="39">
        <f>SnapshotTable[[#This Row],[Last Price]]*(1 -CrashDiscount)</f>
        <v>120.92099999999999</v>
      </c>
      <c r="F384" s="26" t="s">
        <v>840</v>
      </c>
      <c r="G384" s="26" t="s">
        <v>9</v>
      </c>
      <c r="H384" s="149"/>
      <c r="I384" s="194">
        <v>44798.673611111109</v>
      </c>
      <c r="J384" s="195">
        <v>44798.673611111109</v>
      </c>
      <c r="K384" s="196"/>
      <c r="L384" s="326"/>
      <c r="M384" s="140"/>
      <c r="N384" s="140"/>
      <c r="O384" s="140"/>
      <c r="P384" s="22"/>
      <c r="Q384" s="25"/>
      <c r="R384" s="4" t="str">
        <f>IF(SnapshotTable[[#This Row],[Equity Basis Total]] &gt; 0, SnapshotTable[[#This Row],[Equity Basis Total]] / SnapshotTable[[#This Row],[Equity Shares]], "")</f>
        <v/>
      </c>
      <c r="S384" s="269">
        <f>SnapshotTable[[#This Row],[Last Price]] * SnapshotTable[[#This Row],[Equity Shares]]</f>
        <v>0</v>
      </c>
      <c r="T384" s="269">
        <f>SnapshotTable[[#This Row],[Equity Value]] - SnapshotTable[[#This Row],[Equity Basis Total]]</f>
        <v>0</v>
      </c>
      <c r="U384" s="270" t="str">
        <f>IF(SnapshotTable[[#This Row],[Equity Basis Total]] &gt; 0, SnapshotTable[[#This Row],[Equity G/L]] / SnapshotTable[[#This Row],[Equity Basis Total]], "")</f>
        <v/>
      </c>
      <c r="V384" s="268"/>
      <c r="W384" s="26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7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0"/>
      <c r="AD384" s="151"/>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1"/>
      <c r="AI384" s="5"/>
      <c r="AJ384" s="138">
        <v>230.33</v>
      </c>
      <c r="AK384" s="152" t="str">
        <f>IF(ISNUMBER( SnapshotTable[[#This Row],[EBF Target]]),(SnapshotTable[[#This Row],[EBF Target]] - SnapshotTable[[#This Row],[Last Price]]) / SnapshotTable[[#This Row],[Last Price]], "")</f>
        <v/>
      </c>
      <c r="AL384" s="152"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2">
        <f>IF(AND(ISNUMBER( SnapshotTable[[#This Row],[Long Term Target]]), ISNUMBER(SnapshotTable[[#This Row],[Last Price]])),(SnapshotTable[[#This Row],[Long Term Target]] - SnapshotTable[[#This Row],[Last Price]]) / SnapshotTable[[#This Row],[Last Price]], "")</f>
        <v>0.61907774497399148</v>
      </c>
      <c r="AP384" s="5">
        <v>150</v>
      </c>
      <c r="AQ384" s="38" t="s">
        <v>38</v>
      </c>
      <c r="AR384" s="5">
        <v>150</v>
      </c>
      <c r="AS384" s="38" t="s">
        <v>26</v>
      </c>
      <c r="AT384" s="146" t="s">
        <v>538</v>
      </c>
      <c r="AU384" s="187" t="str">
        <f>IF(OR(SnapshotTable[[#This Row],[LP No Fill]]="Y",SnapshotTable[[#This Row],[SP Is Filled]],SnapshotTable[[#This Row],[LC Not Filled]]="Y",SnapshotTable[[#This Row],[SC Is Filled]]),"Y","")</f>
        <v/>
      </c>
      <c r="AV384" s="219"/>
      <c r="AW384" s="225">
        <v>8.5779999999999994</v>
      </c>
      <c r="AX384" s="220">
        <v>44302</v>
      </c>
      <c r="AY384" s="219">
        <f>IF(SnapshotTable[[#This Row],[Implied Move]]&gt;0, SnapshotTable[[#This Row],[Last Price]]-SnapshotTable[[#This Row],[Implied Move]],"")</f>
        <v>133.68199999999999</v>
      </c>
      <c r="AZ384" s="219">
        <f>IF(SnapshotTable[[#This Row],[Implied Move]]&gt;0, SnapshotTable[[#This Row],[Last Price]] + SnapshotTable[[#This Row],[Implied Move]],"")</f>
        <v>150.83799999999999</v>
      </c>
      <c r="BA384" s="331">
        <v>144.85</v>
      </c>
      <c r="BB384" s="347"/>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51"/>
      <c r="BE384" s="5"/>
      <c r="BF384" s="14"/>
      <c r="BG384" s="13"/>
      <c r="BH384" s="13"/>
      <c r="BI384" s="5"/>
      <c r="BJ384" s="136">
        <f>IF(SnapshotTable[[#This Row],[LP Qty]] &gt; 0, SnapshotTable[[#This Row],[LP Qty]] * SnapshotTable[[#This Row],[LP Book Price]] * 100,0)</f>
        <v>0</v>
      </c>
      <c r="BK384" s="136">
        <f>IF(SnapshotTable[[#This Row],[LP Premium]] &gt; 0, SnapshotTable[[#This Row],[LP Qty]] * SnapshotTable[[#This Row],[LP Strike Price]] * 100,0)</f>
        <v>0</v>
      </c>
      <c r="BL384" s="154"/>
      <c r="BM384" s="385" t="str">
        <f>IF(SnapshotTable[[#This Row],[LP Premium]] &gt; 0,SnapshotTable[[#This Row],[LP Exp Date]]-MAX(SnapshotTable[[#This Row],[LP Book Date]], SnapshotTable[[#This Row],[LP Fill Date]]),"")</f>
        <v/>
      </c>
      <c r="BN384" s="385" t="str">
        <f>IF(ISNUMBER( SnapshotTable[[#This Row],[LP Term]]), SnapshotTable[[#This Row],[LP Exp Date]] - MockToday,"")</f>
        <v/>
      </c>
      <c r="BO384" s="163"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7"/>
      <c r="BU384" s="13"/>
      <c r="BV384" s="5"/>
      <c r="BW384" s="419" t="b">
        <f>AND(ISNUMBER(SnapshotTable[[#This Row],[SP Exp Date]]), ISNUMBER(SnapshotTable[[#This Row],[SP Strike Price]]), ISNUMBER(SnapshotTable[[#This Row],[SP Qty]]), ISNUMBER(SnapshotTable[[#This Row],[SP Book Date]]), ISNUMBER(SnapshotTable[[#This Row],[SP Book Price]]))</f>
        <v>0</v>
      </c>
      <c r="BX384" s="419" t="b">
        <f>AND(SnapshotTable[[#This Row],[SP Is Booked]], NOT(ISBLANK(SnapshotTable[[#This Row],[SP Fill Date]])))</f>
        <v>0</v>
      </c>
      <c r="BY384" s="33">
        <f>IF(SnapshotTable[[#This Row],[SP Is Booked]], SnapshotTable[[#This Row],[SP Qty]] * SnapshotTable[[#This Row],[SP Book Price]] * 100, 0)</f>
        <v>0</v>
      </c>
      <c r="BZ384" s="369"/>
      <c r="CA384" s="368">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3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44">
        <v>0.5</v>
      </c>
      <c r="CK384" s="31">
        <f>IF(ISNUMBER(SnapshotTable[[#This Row],[SP Potential Spend]]),IF(ISNUMBER(SnapshotTable[[#This Row],[SP POW]]), SnapshotTable[[#This Row],[SP POW]] * SnapshotTable[[#This Row],[SP Potential Spend]], SnapshotTable[[#This Row],[SP Potential Spend]]), "")</f>
        <v>0</v>
      </c>
      <c r="CL384" s="164">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8"/>
      <c r="CO384" s="369"/>
      <c r="CP384" s="4" t="str">
        <f>IF(SnapshotTable[[#This Row],[SP Is Filled]], btc_max_buyback_amount(SnapshotTable[[#This Row],[SP Fill Date]],SnapshotTable[[#This Row],[SP Exp Date]], SnapshotTable[[#This Row],[SP Book Price]]),"")</f>
        <v/>
      </c>
      <c r="CQ384" s="78"/>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5" t="str">
        <f>IF(SnapshotTable[[#This Row],[SP Is Filled]], btc_next_cutoff_date(SnapshotTable[[#This Row],[SP Fill Date]],SnapshotTable[[#This Row],[SP Exp Date]]),"")</f>
        <v/>
      </c>
      <c r="CT384" s="23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3"/>
      <c r="CV384" s="235"/>
      <c r="CW384" s="378"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294" t="str">
        <f>IF(ISNUMBER((SnapshotTable[[#This Row],[SP Total Value]])), SnapshotTable[[#This Row],[SP Gain Loss]] / SnapshotTable[[#This Row],[SP Premium]], "")</f>
        <v/>
      </c>
      <c r="DI384" s="406"/>
      <c r="DJ384" s="138"/>
      <c r="DK384" s="148"/>
      <c r="DL384" s="13"/>
      <c r="DM384" s="13"/>
      <c r="DO384" s="31">
        <f>IF(SnapshotTable[[#This Row],[LC Symbol Count]]=1, SnapshotTable[[#This Row],[LC Qty]] * SnapshotTable[[#This Row],[LC Book Price]] * 100, 0)</f>
        <v>0</v>
      </c>
      <c r="DP384" s="163" t="str">
        <f>IF(AND(SnapshotTable[[#This Row],[LC Exp Date]]&gt;0, SnapshotTable[[#This Row],[LC Strike Price]]&gt;0,SnapshotTable[[#This Row],[LC Qty]]&gt;0,SnapshotTable[[#This Row],[LC Book Date]]&gt;0,SnapshotTable[[#This Row],[LC Book Price]]&gt;0,SnapshotTable[[#This Row],[LC Fill Date]]=0),"Y","")</f>
        <v/>
      </c>
      <c r="DQ384" s="386" t="str">
        <f>IF(SnapshotTable[[#This Row],[LC Premium]] &gt; 0,SnapshotTable[[#This Row],[LC Exp Date]]-MAX(SnapshotTable[[#This Row],[LC Book Date]], SnapshotTable[[#This Row],[LC Fill Date]]),"")</f>
        <v/>
      </c>
      <c r="DR384" s="386" t="str">
        <f>IF(ISNUMBER(SnapshotTable[[#This Row],[LC Term]]), SnapshotTable[[#This Row],[LC Exp Date]] - MockToday, "")</f>
        <v/>
      </c>
      <c r="DS384" s="23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40" t="str">
        <f>IF(ISNUMBER(SnapshotTable[[#This Row],[LC Actual Gain Loss]]), SnapshotTable[[#This Row],[LC Actual Gain Loss]] / SnapshotTable[[#This Row],[LC Premium]],"")</f>
        <v/>
      </c>
      <c r="DX384" s="284" t="str">
        <f>IF(ISNUMBER(SnapshotTable[[#This Row],[LC Book Price]]),SnapshotTable[[#This Row],[LC Book Price]] * 1.5,"")</f>
        <v/>
      </c>
      <c r="DY384" s="265" t="str">
        <f>IF(SnapshotTable[[#This Row],[LC Premium]]&gt;0, SnapshotTable[[#This Row],[LC Next Target]] * SnapshotTable[[#This Row],[LC Qty]] * 100,"")</f>
        <v/>
      </c>
      <c r="DZ384" s="265" t="str">
        <f>IF(ISNUMBER(SnapshotTable[[#This Row],[LC Target Gross]]), SnapshotTable[[#This Row],[LC Target Gross]] - SnapshotTable[[#This Row],[LC Premium]], "")</f>
        <v/>
      </c>
      <c r="EA384" s="305" t="str">
        <f>IF(ISNUMBER(SnapshotTable[[#This Row],[LC Target Gain Loss]]), SnapshotTable[[#This Row],[LC Target Gain Loss]]/SnapshotTable[[#This Row],[LC Premium]], "")</f>
        <v/>
      </c>
      <c r="EB384" s="262"/>
      <c r="EC384" s="283" t="str">
        <f>IF(SnapshotTable[[#This Row],[LC Premium]]&gt;0, SnapshotTable[[#This Row],[LC Book Price]] * (1 - LC_StopLoss_Pct),"")</f>
        <v/>
      </c>
      <c r="ED384" s="284"/>
      <c r="EE384" s="28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4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7"/>
      <c r="EL384" s="138"/>
      <c r="EM384" s="148"/>
      <c r="EN384" s="147"/>
      <c r="EO384" s="147"/>
      <c r="EP384" s="138"/>
      <c r="EQ384" s="419" t="b">
        <f>AND(ISNUMBER(SnapshotTable[[#This Row],[SC Exp Date]]), ISNUMBER(SnapshotTable[[#This Row],[SC Strike Price]]), ISNUMBER(SnapshotTable[[#This Row],[SC Qty]]), ISNUMBER(SnapshotTable[[#This Row],[SC Book Date]]), ISNUMBER(SnapshotTable[[#This Row],[SC Book Price]]))</f>
        <v>0</v>
      </c>
      <c r="ER384" s="419" t="b">
        <f>AND(SnapshotTable[[#This Row],[SC Is Booked]], NOT(ISBLANK(SnapshotTable[[#This Row],[SC Fill Date]])))</f>
        <v>0</v>
      </c>
      <c r="ES384" s="370"/>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3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283"/>
      <c r="FA384" s="218"/>
      <c r="FB384" s="370"/>
      <c r="FC384" s="4">
        <f>IF(SnapshotTable[[#This Row],[SC Is Filled]], btc_max_buyback_amount(SnapshotTable[[#This Row],[SC Fill Date]],SnapshotTable[[#This Row],[SC Exp Date]], SnapshotTable[[#This Row],[SC Book Price]]),0)</f>
        <v>0</v>
      </c>
      <c r="FD384" s="5"/>
      <c r="FE384" s="144"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382">
        <f>IF(SnapshotTable[[#This Row],[SC Is Filled]], IF(ISNUMBER(SnapshotTable[[#This Row],[SC Current Ask]]), SnapshotTable[[#This Row],[SC Current Ask]], SnapshotTable[[#This Row],[SC Book Price]]) - SnapshotTable[[#This Row],[SC Intrinsic Value]], 0)</f>
        <v>0</v>
      </c>
      <c r="FI384" s="143"/>
      <c r="FJ384" s="32" t="str">
        <f>IF(SnapshotTable[[#This Row],[SC Is Filled]],100 * SnapshotTable[[#This Row],[SC Qty]] * IF(ISNUMBER(SnapshotTable[[#This Row],[SC Buyback Override]]), SnapshotTable[[#This Row],[SC Buyback Override]], SnapshotTable[[#This Row],[SC Current Ask]]), "")</f>
        <v/>
      </c>
      <c r="FK384" s="250" t="str">
        <f>IF(SnapshotTable[[#This Row],[SC Time Val]]&gt;0, SnapshotTable[[#This Row],[SC Time Val]] / SnapshotTable[[#This Row],[Last Price]],"")</f>
        <v/>
      </c>
      <c r="FL384" s="302" t="str">
        <f>IF(SnapshotTable[[#This Row],[SC Is Booked]], ((SnapshotTable[[#This Row],[Last Price]] -SnapshotTable[[#This Row],[SC Strike Price]]) / SnapshotTable[[#This Row],[Last Price]]) * -1, "")</f>
        <v/>
      </c>
      <c r="FM384" s="157"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33"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36" t="str">
        <f>IF(AND(ISNUMBER(SnapshotTable[[#This Row],[SC Simple ROO]]),SnapshotTable[[#This Row],[SC Simple ROO]] &gt; 0), SnapshotTable[[#This Row],[SC Premium]] + (SnapshotTable[[#This Row],[SC Qty]] * SnapshotTable[[#This Row],[SC Upside Potential]]), "")</f>
        <v/>
      </c>
      <c r="FX384" s="302" t="str" cm="1">
        <f t="array" ref="FX384">IF(ISNUMBER(SnapshotTable[[#This Row],[SC Max Dollars]]), annualize(SnapshotTable[[#This Row],[SC Term]],(SnapshotTable[[#This Row],[SC Max Dollars]]/SnapshotTable[[#This Row],[SC Basis]])),"")</f>
        <v/>
      </c>
      <c r="FY384" s="23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29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218.8135</v>
      </c>
      <c r="GD384" s="40">
        <f>SnapshotTable[[#This Row],[Last Price]] * (1+ SellingPriceToConsiderBasedOnTargetPercentage)</f>
        <v>277.40699999999998</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31">
        <f>MAX(SnapshotTable[[#This Row],[Equity Basis Total]],SnapshotTable[[#This Row],[Equity Value]]) + (SnapshotTable[[#This Row],[SP Potential Spend]]- SnapshotTable[[#This Row],[SP Premium]] + SnapshotTable[[#This Row],[LP Premium]])+ (SnapshotTable[[#This Row],[LC Premium]] - SnapshotTable[[#This Row],[SC Premium]])</f>
        <v>0</v>
      </c>
      <c r="GW384" s="139" t="str">
        <f>IF(AND(SnapshotTable[[#This Row],[Exposure]] &lt;&gt; 0),SnapshotTable[[#This Row],[Exposure]] / SnapshotTable[[#Totals],[Exposure]], "")</f>
        <v/>
      </c>
      <c r="GX384" s="2"/>
      <c r="GY384" s="387"/>
      <c r="GZ384"/>
      <c r="HA384" s="2"/>
      <c r="HB384" s="2"/>
      <c r="HK384" s="1"/>
      <c r="HL384" s="1"/>
      <c r="HM384" s="1"/>
      <c r="HN384" s="1"/>
      <c r="HO384" s="1"/>
      <c r="HP384" s="1"/>
    </row>
    <row r="385" spans="2:224" ht="12.75" hidden="1" customHeight="1" x14ac:dyDescent="0.25">
      <c r="B385" s="12" t="s">
        <v>504</v>
      </c>
      <c r="C385" s="422">
        <v>14.05</v>
      </c>
      <c r="D385" s="208"/>
      <c r="E385" s="39">
        <f>SnapshotTable[[#This Row],[Last Price]]*(1 -CrashDiscount)</f>
        <v>11.942500000000001</v>
      </c>
      <c r="F385" s="26" t="s">
        <v>230</v>
      </c>
      <c r="G385" s="26" t="s">
        <v>9</v>
      </c>
      <c r="H385" s="149"/>
      <c r="I385" s="194">
        <v>44797.666666666664</v>
      </c>
      <c r="J385" s="195">
        <v>44797.666666666664</v>
      </c>
      <c r="K385" s="196"/>
      <c r="L385" s="326"/>
      <c r="M385" s="140"/>
      <c r="N385" s="140"/>
      <c r="O385" s="140"/>
      <c r="P385" s="22"/>
      <c r="Q385" s="25"/>
      <c r="R385" s="4" t="str">
        <f>IF(SnapshotTable[[#This Row],[Equity Basis Total]] &gt; 0, SnapshotTable[[#This Row],[Equity Basis Total]] / SnapshotTable[[#This Row],[Equity Shares]], "")</f>
        <v/>
      </c>
      <c r="S385" s="269">
        <f>SnapshotTable[[#This Row],[Last Price]] * SnapshotTable[[#This Row],[Equity Shares]]</f>
        <v>0</v>
      </c>
      <c r="T385" s="269">
        <f>SnapshotTable[[#This Row],[Equity Value]] - SnapshotTable[[#This Row],[Equity Basis Total]]</f>
        <v>0</v>
      </c>
      <c r="U385" s="270" t="str">
        <f>IF(SnapshotTable[[#This Row],[Equity Basis Total]] &gt; 0, SnapshotTable[[#This Row],[Equity G/L]] / SnapshotTable[[#This Row],[Equity Basis Total]], "")</f>
        <v/>
      </c>
      <c r="V385" s="268"/>
      <c r="W385" s="26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7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0"/>
      <c r="AD385" s="151"/>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0</v>
      </c>
      <c r="AH385" s="151"/>
      <c r="AI385" s="5"/>
      <c r="AJ385" s="138">
        <v>11.92</v>
      </c>
      <c r="AK385" s="152" t="str">
        <f>IF(ISNUMBER( SnapshotTable[[#This Row],[EBF Target]]),(SnapshotTable[[#This Row],[EBF Target]] - SnapshotTable[[#This Row],[Last Price]]) / SnapshotTable[[#This Row],[Last Price]], "")</f>
        <v/>
      </c>
      <c r="AL385" s="152"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2">
        <f>IF(AND(ISNUMBER( SnapshotTable[[#This Row],[Long Term Target]]), ISNUMBER(SnapshotTable[[#This Row],[Last Price]])),(SnapshotTable[[#This Row],[Long Term Target]] - SnapshotTable[[#This Row],[Last Price]]) / SnapshotTable[[#This Row],[Last Price]], "")</f>
        <v>-0.15160142348754455</v>
      </c>
      <c r="AP385" s="5">
        <v>17.5</v>
      </c>
      <c r="AQ385" s="38" t="s">
        <v>38</v>
      </c>
      <c r="AR385" s="5">
        <v>17.5</v>
      </c>
      <c r="AS385" s="38" t="s">
        <v>26</v>
      </c>
      <c r="AT385" s="146"/>
      <c r="AU385" s="187" t="str">
        <f>IF(OR(SnapshotTable[[#This Row],[LP No Fill]]="Y",SnapshotTable[[#This Row],[SP Is Filled]],SnapshotTable[[#This Row],[LC Not Filled]]="Y",SnapshotTable[[#This Row],[SC Is Filled]]),"Y","")</f>
        <v/>
      </c>
      <c r="AV385" s="219"/>
      <c r="AW385" s="225"/>
      <c r="AX385" s="220"/>
      <c r="AY385" s="219" t="str">
        <f>IF(SnapshotTable[[#This Row],[Implied Move]]&gt;0, SnapshotTable[[#This Row],[Last Price]]-SnapshotTable[[#This Row],[Implied Move]],"")</f>
        <v/>
      </c>
      <c r="AZ385" s="219" t="str">
        <f>IF(SnapshotTable[[#This Row],[Implied Move]]&gt;0, SnapshotTable[[#This Row],[Last Price]] + SnapshotTable[[#This Row],[Implied Move]],"")</f>
        <v/>
      </c>
      <c r="BA385" s="331"/>
      <c r="BB385" s="347"/>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51"/>
      <c r="BE385" s="5"/>
      <c r="BF385" s="14"/>
      <c r="BG385" s="13"/>
      <c r="BH385" s="13"/>
      <c r="BI385" s="5"/>
      <c r="BJ385" s="136">
        <f>IF(SnapshotTable[[#This Row],[LP Qty]] &gt; 0, SnapshotTable[[#This Row],[LP Qty]] * SnapshotTable[[#This Row],[LP Book Price]] * 100,0)</f>
        <v>0</v>
      </c>
      <c r="BK385" s="136">
        <f>IF(SnapshotTable[[#This Row],[LP Premium]] &gt; 0, SnapshotTable[[#This Row],[LP Qty]] * SnapshotTable[[#This Row],[LP Strike Price]] * 100,0)</f>
        <v>0</v>
      </c>
      <c r="BL385" s="154"/>
      <c r="BM385" s="385" t="str">
        <f>IF(SnapshotTable[[#This Row],[LP Premium]] &gt; 0,SnapshotTable[[#This Row],[LP Exp Date]]-MAX(SnapshotTable[[#This Row],[LP Book Date]], SnapshotTable[[#This Row],[LP Fill Date]]),"")</f>
        <v/>
      </c>
      <c r="BN385" s="385" t="str">
        <f>IF(ISNUMBER( SnapshotTable[[#This Row],[LP Term]]), SnapshotTable[[#This Row],[LP Exp Date]] - MockToday,"")</f>
        <v/>
      </c>
      <c r="BO385" s="163"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7"/>
      <c r="BU385" s="13"/>
      <c r="BV385" s="5"/>
      <c r="BW385" s="419" t="b">
        <f>AND(ISNUMBER(SnapshotTable[[#This Row],[SP Exp Date]]), ISNUMBER(SnapshotTable[[#This Row],[SP Strike Price]]), ISNUMBER(SnapshotTable[[#This Row],[SP Qty]]), ISNUMBER(SnapshotTable[[#This Row],[SP Book Date]]), ISNUMBER(SnapshotTable[[#This Row],[SP Book Price]]))</f>
        <v>0</v>
      </c>
      <c r="BX385" s="419" t="b">
        <f>AND(SnapshotTable[[#This Row],[SP Is Booked]], NOT(ISBLANK(SnapshotTable[[#This Row],[SP Fill Date]])))</f>
        <v>0</v>
      </c>
      <c r="BY385" s="33">
        <f>IF(SnapshotTable[[#This Row],[SP Is Booked]], SnapshotTable[[#This Row],[SP Qty]] * SnapshotTable[[#This Row],[SP Book Price]] * 100, 0)</f>
        <v>0</v>
      </c>
      <c r="BZ385" s="369"/>
      <c r="CA385" s="368">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3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44"/>
      <c r="CK385" s="31">
        <f>IF(ISNUMBER(SnapshotTable[[#This Row],[SP Potential Spend]]),IF(ISNUMBER(SnapshotTable[[#This Row],[SP POW]]), SnapshotTable[[#This Row],[SP POW]] * SnapshotTable[[#This Row],[SP Potential Spend]], SnapshotTable[[#This Row],[SP Potential Spend]]), "")</f>
        <v>0</v>
      </c>
      <c r="CL385" s="164">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8"/>
      <c r="CO385" s="369"/>
      <c r="CP385" s="4" t="str">
        <f>IF(SnapshotTable[[#This Row],[SP Is Filled]], btc_max_buyback_amount(SnapshotTable[[#This Row],[SP Fill Date]],SnapshotTable[[#This Row],[SP Exp Date]], SnapshotTable[[#This Row],[SP Book Price]]),"")</f>
        <v/>
      </c>
      <c r="CQ385" s="78"/>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5" t="str">
        <f>IF(SnapshotTable[[#This Row],[SP Is Filled]], btc_next_cutoff_date(SnapshotTable[[#This Row],[SP Fill Date]],SnapshotTable[[#This Row],[SP Exp Date]]),"")</f>
        <v/>
      </c>
      <c r="CT385" s="23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3"/>
      <c r="CV385" s="235"/>
      <c r="CW385" s="378"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294" t="str">
        <f>IF(ISNUMBER((SnapshotTable[[#This Row],[SP Total Value]])), SnapshotTable[[#This Row],[SP Gain Loss]] / SnapshotTable[[#This Row],[SP Premium]], "")</f>
        <v/>
      </c>
      <c r="DI385" s="406"/>
      <c r="DJ385" s="138"/>
      <c r="DK385" s="148"/>
      <c r="DL385" s="13"/>
      <c r="DM385" s="13"/>
      <c r="DO385" s="31">
        <f>IF(SnapshotTable[[#This Row],[LC Symbol Count]]=1, SnapshotTable[[#This Row],[LC Qty]] * SnapshotTable[[#This Row],[LC Book Price]] * 100, 0)</f>
        <v>0</v>
      </c>
      <c r="DP385" s="163" t="str">
        <f>IF(AND(SnapshotTable[[#This Row],[LC Exp Date]]&gt;0, SnapshotTable[[#This Row],[LC Strike Price]]&gt;0,SnapshotTable[[#This Row],[LC Qty]]&gt;0,SnapshotTable[[#This Row],[LC Book Date]]&gt;0,SnapshotTable[[#This Row],[LC Book Price]]&gt;0,SnapshotTable[[#This Row],[LC Fill Date]]=0),"Y","")</f>
        <v/>
      </c>
      <c r="DQ385" s="386" t="str">
        <f>IF(SnapshotTable[[#This Row],[LC Premium]] &gt; 0,SnapshotTable[[#This Row],[LC Exp Date]]-MAX(SnapshotTable[[#This Row],[LC Book Date]], SnapshotTable[[#This Row],[LC Fill Date]]),"")</f>
        <v/>
      </c>
      <c r="DR385" s="386" t="str">
        <f>IF(ISNUMBER(SnapshotTable[[#This Row],[LC Term]]), SnapshotTable[[#This Row],[LC Exp Date]] - MockToday, "")</f>
        <v/>
      </c>
      <c r="DS385" s="23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40" t="str">
        <f>IF(ISNUMBER(SnapshotTable[[#This Row],[LC Actual Gain Loss]]), SnapshotTable[[#This Row],[LC Actual Gain Loss]] / SnapshotTable[[#This Row],[LC Premium]],"")</f>
        <v/>
      </c>
      <c r="DX385" s="284" t="str">
        <f>IF(ISNUMBER(SnapshotTable[[#This Row],[LC Book Price]]),SnapshotTable[[#This Row],[LC Book Price]] * 1.5,"")</f>
        <v/>
      </c>
      <c r="DY385" s="265" t="str">
        <f>IF(SnapshotTable[[#This Row],[LC Premium]]&gt;0, SnapshotTable[[#This Row],[LC Next Target]] * SnapshotTable[[#This Row],[LC Qty]] * 100,"")</f>
        <v/>
      </c>
      <c r="DZ385" s="265" t="str">
        <f>IF(ISNUMBER(SnapshotTable[[#This Row],[LC Target Gross]]), SnapshotTable[[#This Row],[LC Target Gross]] - SnapshotTable[[#This Row],[LC Premium]], "")</f>
        <v/>
      </c>
      <c r="EA385" s="305" t="str">
        <f>IF(ISNUMBER(SnapshotTable[[#This Row],[LC Target Gain Loss]]), SnapshotTable[[#This Row],[LC Target Gain Loss]]/SnapshotTable[[#This Row],[LC Premium]], "")</f>
        <v/>
      </c>
      <c r="EB385" s="262"/>
      <c r="EC385" s="283" t="str">
        <f>IF(SnapshotTable[[#This Row],[LC Premium]]&gt;0, SnapshotTable[[#This Row],[LC Book Price]] * (1 - LC_StopLoss_Pct),"")</f>
        <v/>
      </c>
      <c r="ED385" s="284"/>
      <c r="EE385" s="28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4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7"/>
      <c r="EL385" s="138"/>
      <c r="EM385" s="148"/>
      <c r="EN385" s="147"/>
      <c r="EO385" s="147"/>
      <c r="EP385" s="138"/>
      <c r="EQ385" s="419" t="b">
        <f>AND(ISNUMBER(SnapshotTable[[#This Row],[SC Exp Date]]), ISNUMBER(SnapshotTable[[#This Row],[SC Strike Price]]), ISNUMBER(SnapshotTable[[#This Row],[SC Qty]]), ISNUMBER(SnapshotTable[[#This Row],[SC Book Date]]), ISNUMBER(SnapshotTable[[#This Row],[SC Book Price]]))</f>
        <v>0</v>
      </c>
      <c r="ER385" s="419" t="b">
        <f>AND(SnapshotTable[[#This Row],[SC Is Booked]], NOT(ISBLANK(SnapshotTable[[#This Row],[SC Fill Date]])))</f>
        <v>0</v>
      </c>
      <c r="ES385" s="370"/>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3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283"/>
      <c r="FA385" s="218"/>
      <c r="FB385" s="370"/>
      <c r="FC385" s="4">
        <f>IF(SnapshotTable[[#This Row],[SC Is Filled]], btc_max_buyback_amount(SnapshotTable[[#This Row],[SC Fill Date]],SnapshotTable[[#This Row],[SC Exp Date]], SnapshotTable[[#This Row],[SC Book Price]]),0)</f>
        <v>0</v>
      </c>
      <c r="FD385" s="5"/>
      <c r="FE385" s="144"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382">
        <f>IF(SnapshotTable[[#This Row],[SC Is Filled]], IF(ISNUMBER(SnapshotTable[[#This Row],[SC Current Ask]]), SnapshotTable[[#This Row],[SC Current Ask]], SnapshotTable[[#This Row],[SC Book Price]]) - SnapshotTable[[#This Row],[SC Intrinsic Value]], 0)</f>
        <v>0</v>
      </c>
      <c r="FI385" s="143"/>
      <c r="FJ385" s="32" t="str">
        <f>IF(SnapshotTable[[#This Row],[SC Is Filled]],100 * SnapshotTable[[#This Row],[SC Qty]] * IF(ISNUMBER(SnapshotTable[[#This Row],[SC Buyback Override]]), SnapshotTable[[#This Row],[SC Buyback Override]], SnapshotTable[[#This Row],[SC Current Ask]]), "")</f>
        <v/>
      </c>
      <c r="FK385" s="250" t="str">
        <f>IF(SnapshotTable[[#This Row],[SC Time Val]]&gt;0, SnapshotTable[[#This Row],[SC Time Val]] / SnapshotTable[[#This Row],[Last Price]],"")</f>
        <v/>
      </c>
      <c r="FL385" s="302" t="str">
        <f>IF(SnapshotTable[[#This Row],[SC Is Booked]], ((SnapshotTable[[#This Row],[Last Price]] -SnapshotTable[[#This Row],[SC Strike Price]]) / SnapshotTable[[#This Row],[Last Price]]) * -1, "")</f>
        <v/>
      </c>
      <c r="FM385" s="157"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33"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36" t="str">
        <f>IF(AND(ISNUMBER(SnapshotTable[[#This Row],[SC Simple ROO]]),SnapshotTable[[#This Row],[SC Simple ROO]] &gt; 0), SnapshotTable[[#This Row],[SC Premium]] + (SnapshotTable[[#This Row],[SC Qty]] * SnapshotTable[[#This Row],[SC Upside Potential]]), "")</f>
        <v/>
      </c>
      <c r="FX385" s="302" t="str" cm="1">
        <f t="array" ref="FX385">IF(ISNUMBER(SnapshotTable[[#This Row],[SC Max Dollars]]), annualize(SnapshotTable[[#This Row],[SC Term]],(SnapshotTable[[#This Row],[SC Max Dollars]]/SnapshotTable[[#This Row],[SC Basis]])),"")</f>
        <v/>
      </c>
      <c r="FY385" s="23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29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11.324</v>
      </c>
      <c r="GD385" s="40">
        <f>SnapshotTable[[#This Row],[Last Price]] * (1+ SellingPriceToConsiderBasedOnTargetPercentage)</f>
        <v>27.397500000000001</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811</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31">
        <f>MAX(SnapshotTable[[#This Row],[Equity Basis Total]],SnapshotTable[[#This Row],[Equity Value]]) + (SnapshotTable[[#This Row],[SP Potential Spend]]- SnapshotTable[[#This Row],[SP Premium]] + SnapshotTable[[#This Row],[LP Premium]])+ (SnapshotTable[[#This Row],[LC Premium]] - SnapshotTable[[#This Row],[SC Premium]])</f>
        <v>0</v>
      </c>
      <c r="GW385" s="139" t="str">
        <f>IF(AND(SnapshotTable[[#This Row],[Exposure]] &lt;&gt; 0),SnapshotTable[[#This Row],[Exposure]] / SnapshotTable[[#Totals],[Exposure]], "")</f>
        <v/>
      </c>
      <c r="GX385" s="5"/>
      <c r="HE385" s="268"/>
      <c r="HF385" s="268"/>
      <c r="HK385" s="1"/>
      <c r="HL385" s="1"/>
      <c r="HM385" s="1"/>
      <c r="HN385" s="1"/>
      <c r="HO385" s="1"/>
      <c r="HP385" s="1"/>
    </row>
    <row r="386" spans="2:224" ht="12.75" hidden="1" customHeight="1" x14ac:dyDescent="0.25">
      <c r="B386" s="12" t="s">
        <v>1228</v>
      </c>
      <c r="C386" s="422">
        <v>0.39460000000000001</v>
      </c>
      <c r="D386" s="208"/>
      <c r="E386" s="39">
        <f>SnapshotTable[[#This Row],[Last Price]]*(1 -CrashDiscount)</f>
        <v>0.33540999999999999</v>
      </c>
      <c r="F386" s="325" t="s">
        <v>937</v>
      </c>
      <c r="G386" s="325" t="s">
        <v>4</v>
      </c>
      <c r="H386" s="149"/>
      <c r="I386" s="194"/>
      <c r="J386" s="195"/>
      <c r="K386" s="196"/>
      <c r="L386" s="327"/>
      <c r="M386" s="140"/>
      <c r="N386" s="140"/>
      <c r="O386" s="140"/>
      <c r="P386" s="22">
        <v>1000</v>
      </c>
      <c r="Q386" s="25">
        <v>886.95</v>
      </c>
      <c r="R386" s="4">
        <f>IF(SnapshotTable[[#This Row],[Equity Basis Total]] &gt; 0, SnapshotTable[[#This Row],[Equity Basis Total]] / SnapshotTable[[#This Row],[Equity Shares]], "")</f>
        <v>0.88695000000000002</v>
      </c>
      <c r="S386" s="329">
        <f>SnapshotTable[[#This Row],[Last Price]] * SnapshotTable[[#This Row],[Equity Shares]]</f>
        <v>394.6</v>
      </c>
      <c r="T386" s="269">
        <f>SnapshotTable[[#This Row],[Equity Value]] - SnapshotTable[[#This Row],[Equity Basis Total]]</f>
        <v>-492.35</v>
      </c>
      <c r="U386" s="270">
        <f>IF(SnapshotTable[[#This Row],[Equity Basis Total]] &gt; 0, SnapshotTable[[#This Row],[Equity G/L]] / SnapshotTable[[#This Row],[Equity Basis Total]], "")</f>
        <v>-0.55510457184734197</v>
      </c>
      <c r="V386" s="268"/>
      <c r="W386" s="26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7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0"/>
      <c r="AD386" s="151"/>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1"/>
      <c r="AI386" s="330"/>
      <c r="AJ386" s="138"/>
      <c r="AK386" s="152" t="str">
        <f>IF(ISNUMBER( SnapshotTable[[#This Row],[EBF Target]]),(SnapshotTable[[#This Row],[EBF Target]] - SnapshotTable[[#This Row],[Last Price]]) / SnapshotTable[[#This Row],[Last Price]], "")</f>
        <v/>
      </c>
      <c r="AL386" s="152"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2" t="str">
        <f>IF(AND(ISNUMBER( SnapshotTable[[#This Row],[Long Term Target]]), ISNUMBER(SnapshotTable[[#This Row],[Last Price]])),(SnapshotTable[[#This Row],[Long Term Target]] - SnapshotTable[[#This Row],[Last Price]]) / SnapshotTable[[#This Row],[Last Price]], "")</f>
        <v/>
      </c>
      <c r="AP386" s="5"/>
      <c r="AQ386" s="38"/>
      <c r="AR386" s="5"/>
      <c r="AS386" s="38"/>
      <c r="AT386" s="146" t="s">
        <v>1132</v>
      </c>
      <c r="AU386" s="187" t="str">
        <f>IF(OR(SnapshotTable[[#This Row],[LP No Fill]]="Y",SnapshotTable[[#This Row],[SP Is Filled]],SnapshotTable[[#This Row],[LC Not Filled]]="Y",SnapshotTable[[#This Row],[SC Is Filled]]),"Y","")</f>
        <v/>
      </c>
      <c r="AV386" s="338" t="s">
        <v>1138</v>
      </c>
      <c r="AW386" s="339"/>
      <c r="AX386" s="220"/>
      <c r="AY386" s="219" t="str">
        <f>IF(SnapshotTable[[#This Row],[Implied Move]]&gt;0, SnapshotTable[[#This Row],[Last Price]]-SnapshotTable[[#This Row],[Implied Move]],"")</f>
        <v/>
      </c>
      <c r="AZ386" s="219" t="str">
        <f>IF(SnapshotTable[[#This Row],[Implied Move]]&gt;0, SnapshotTable[[#This Row],[Last Price]] + SnapshotTable[[#This Row],[Implied Move]],"")</f>
        <v/>
      </c>
      <c r="BA386" s="331">
        <v>2.95</v>
      </c>
      <c r="BB386" s="347"/>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51"/>
      <c r="BE386" s="138"/>
      <c r="BF386" s="166"/>
      <c r="BG386" s="167"/>
      <c r="BH386" s="167"/>
      <c r="BI386" s="221"/>
      <c r="BJ386" s="153">
        <f>IF(SnapshotTable[[#This Row],[LP Qty]] &gt; 0, SnapshotTable[[#This Row],[LP Qty]] * SnapshotTable[[#This Row],[LP Book Price]] * 100,0)</f>
        <v>0</v>
      </c>
      <c r="BK386" s="136">
        <f>IF(SnapshotTable[[#This Row],[LP Premium]] &gt; 0, SnapshotTable[[#This Row],[LP Qty]] * SnapshotTable[[#This Row],[LP Strike Price]] * 100,0)</f>
        <v>0</v>
      </c>
      <c r="BL386" s="154"/>
      <c r="BM386" s="385" t="str">
        <f>IF(SnapshotTable[[#This Row],[LP Premium]] &gt; 0,SnapshotTable[[#This Row],[LP Exp Date]]-MAX(SnapshotTable[[#This Row],[LP Book Date]], SnapshotTable[[#This Row],[LP Fill Date]]),"")</f>
        <v/>
      </c>
      <c r="BN386" s="385" t="str">
        <f>IF(ISNUMBER( SnapshotTable[[#This Row],[LP Term]]), SnapshotTable[[#This Row],[LP Exp Date]] - MockToday,"")</f>
        <v/>
      </c>
      <c r="BO386" s="163"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7"/>
      <c r="BU386" s="13"/>
      <c r="BV386" s="5"/>
      <c r="BW386" s="419" t="b">
        <f>AND(ISNUMBER(SnapshotTable[[#This Row],[SP Exp Date]]), ISNUMBER(SnapshotTable[[#This Row],[SP Strike Price]]), ISNUMBER(SnapshotTable[[#This Row],[SP Qty]]), ISNUMBER(SnapshotTable[[#This Row],[SP Book Date]]), ISNUMBER(SnapshotTable[[#This Row],[SP Book Price]]))</f>
        <v>0</v>
      </c>
      <c r="BX386" s="419" t="b">
        <f>AND(SnapshotTable[[#This Row],[SP Is Booked]], NOT(ISBLANK(SnapshotTable[[#This Row],[SP Fill Date]])))</f>
        <v>0</v>
      </c>
      <c r="BY386" s="33">
        <f>IF(SnapshotTable[[#This Row],[SP Is Booked]], SnapshotTable[[#This Row],[SP Qty]] * SnapshotTable[[#This Row],[SP Book Price]] * 100, 0)</f>
        <v>0</v>
      </c>
      <c r="BZ386" s="369"/>
      <c r="CA386" s="368">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3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44"/>
      <c r="CK386" s="31">
        <f>IF(ISNUMBER(SnapshotTable[[#This Row],[SP Potential Spend]]),IF(ISNUMBER(SnapshotTable[[#This Row],[SP POW]]), SnapshotTable[[#This Row],[SP POW]] * SnapshotTable[[#This Row],[SP Potential Spend]], SnapshotTable[[#This Row],[SP Potential Spend]]), "")</f>
        <v>0</v>
      </c>
      <c r="CL386" s="164">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154"/>
      <c r="CO386" s="369"/>
      <c r="CP386" s="320" t="str">
        <f>IF(SnapshotTable[[#This Row],[SP Is Filled]], btc_max_buyback_amount(SnapshotTable[[#This Row],[SP Fill Date]],SnapshotTable[[#This Row],[SP Exp Date]], SnapshotTable[[#This Row],[SP Book Price]]),"")</f>
        <v/>
      </c>
      <c r="CQ386" s="78"/>
      <c r="CR386" s="76"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5" t="str">
        <f>IF(SnapshotTable[[#This Row],[SP Is Filled]], btc_next_cutoff_date(SnapshotTable[[#This Row],[SP Fill Date]],SnapshotTable[[#This Row],[SP Exp Date]]),"")</f>
        <v/>
      </c>
      <c r="CT386" s="23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3"/>
      <c r="CV386" s="235"/>
      <c r="CW386" s="378"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294" t="str">
        <f>IF(ISNUMBER((SnapshotTable[[#This Row],[SP Total Value]])), SnapshotTable[[#This Row],[SP Gain Loss]] / SnapshotTable[[#This Row],[SP Premium]], "")</f>
        <v/>
      </c>
      <c r="DI386" s="406"/>
      <c r="DJ386" s="138"/>
      <c r="DK386" s="166"/>
      <c r="DL386" s="167"/>
      <c r="DM386" s="167"/>
      <c r="DO386" s="31">
        <f>IF(SnapshotTable[[#This Row],[LC Symbol Count]]=1, SnapshotTable[[#This Row],[LC Qty]] * SnapshotTable[[#This Row],[LC Book Price]] * 100, 0)</f>
        <v>0</v>
      </c>
      <c r="DP386" s="289" t="str">
        <f>IF(AND(SnapshotTable[[#This Row],[LC Exp Date]]&gt;0, SnapshotTable[[#This Row],[LC Strike Price]]&gt;0,SnapshotTable[[#This Row],[LC Qty]]&gt;0,SnapshotTable[[#This Row],[LC Book Date]]&gt;0,SnapshotTable[[#This Row],[LC Book Price]]&gt;0,SnapshotTable[[#This Row],[LC Fill Date]]=0),"Y","")</f>
        <v/>
      </c>
      <c r="DQ386" s="386" t="str">
        <f>IF(SnapshotTable[[#This Row],[LC Premium]] &gt; 0,SnapshotTable[[#This Row],[LC Exp Date]]-MAX(SnapshotTable[[#This Row],[LC Book Date]], SnapshotTable[[#This Row],[LC Fill Date]]),"")</f>
        <v/>
      </c>
      <c r="DR386" s="386" t="str">
        <f>IF(ISNUMBER(SnapshotTable[[#This Row],[LC Term]]), SnapshotTable[[#This Row],[LC Exp Date]] - MockToday, "")</f>
        <v/>
      </c>
      <c r="DS386" s="23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40" t="str">
        <f>IF(ISNUMBER(SnapshotTable[[#This Row],[LC Actual Gain Loss]]), SnapshotTable[[#This Row],[LC Actual Gain Loss]] / SnapshotTable[[#This Row],[LC Premium]],"")</f>
        <v/>
      </c>
      <c r="DX386" s="284" t="str">
        <f>IF(ISNUMBER(SnapshotTable[[#This Row],[LC Book Price]]),SnapshotTable[[#This Row],[LC Book Price]] * 1.5,"")</f>
        <v/>
      </c>
      <c r="DY386" s="265" t="str">
        <f>IF(SnapshotTable[[#This Row],[LC Premium]]&gt;0, SnapshotTable[[#This Row],[LC Next Target]] * SnapshotTable[[#This Row],[LC Qty]] * 100,"")</f>
        <v/>
      </c>
      <c r="DZ386" s="265" t="str">
        <f>IF(ISNUMBER(SnapshotTable[[#This Row],[LC Target Gross]]), SnapshotTable[[#This Row],[LC Target Gross]] - SnapshotTable[[#This Row],[LC Premium]], "")</f>
        <v/>
      </c>
      <c r="EA386" s="305" t="str">
        <f>IF(ISNUMBER(SnapshotTable[[#This Row],[LC Target Gain Loss]]), SnapshotTable[[#This Row],[LC Target Gain Loss]]/SnapshotTable[[#This Row],[LC Premium]], "")</f>
        <v/>
      </c>
      <c r="EB386" s="262"/>
      <c r="EC386" s="290" t="str">
        <f>IF(SnapshotTable[[#This Row],[LC Premium]]&gt;0, SnapshotTable[[#This Row],[LC Book Price]] * (1 - LC_StopLoss_Pct),"")</f>
        <v/>
      </c>
      <c r="ED386" s="284"/>
      <c r="EE386" s="290" t="str">
        <f>IF(ISNUMBER(SnapshotTable[[#This Row],[LC Contract Value]]),IF(ISNUMBER(SnapshotTable[[#This Row],[LC Stop Loss Override]]), SnapshotTable[[#This Row],[LC Stop Loss Override]],SnapshotTable[[#This Row],[LC Stop Loss Calc Target]]),"")</f>
        <v/>
      </c>
      <c r="EF386" s="32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4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10</v>
      </c>
      <c r="EK386" s="147"/>
      <c r="EL386" s="138"/>
      <c r="EM386" s="148"/>
      <c r="EN386" s="147"/>
      <c r="EO386" s="147"/>
      <c r="EP386" s="138"/>
      <c r="EQ386" s="419" t="b">
        <f>AND(ISNUMBER(SnapshotTable[[#This Row],[SC Exp Date]]), ISNUMBER(SnapshotTable[[#This Row],[SC Strike Price]]), ISNUMBER(SnapshotTable[[#This Row],[SC Qty]]), ISNUMBER(SnapshotTable[[#This Row],[SC Book Date]]), ISNUMBER(SnapshotTable[[#This Row],[SC Book Price]]))</f>
        <v>0</v>
      </c>
      <c r="ER386" s="419" t="b">
        <f>AND(SnapshotTable[[#This Row],[SC Is Booked]], NOT(ISBLANK(SnapshotTable[[#This Row],[SC Fill Date]])))</f>
        <v>0</v>
      </c>
      <c r="ES386" s="370"/>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3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283"/>
      <c r="FA386" s="218"/>
      <c r="FB386" s="370"/>
      <c r="FC386" s="4">
        <f>IF(SnapshotTable[[#This Row],[SC Is Filled]], btc_max_buyback_amount(SnapshotTable[[#This Row],[SC Fill Date]],SnapshotTable[[#This Row],[SC Exp Date]], SnapshotTable[[#This Row],[SC Book Price]]),0)</f>
        <v>0</v>
      </c>
      <c r="FD386" s="5"/>
      <c r="FE386" s="144"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382">
        <f>IF(SnapshotTable[[#This Row],[SC Is Filled]], IF(ISNUMBER(SnapshotTable[[#This Row],[SC Current Ask]]), SnapshotTable[[#This Row],[SC Current Ask]], SnapshotTable[[#This Row],[SC Book Price]]) - SnapshotTable[[#This Row],[SC Intrinsic Value]], 0)</f>
        <v>0</v>
      </c>
      <c r="FI386" s="143"/>
      <c r="FJ386" s="32" t="str">
        <f>IF(SnapshotTable[[#This Row],[SC Is Filled]],100 * SnapshotTable[[#This Row],[SC Qty]] * IF(ISNUMBER(SnapshotTable[[#This Row],[SC Buyback Override]]), SnapshotTable[[#This Row],[SC Buyback Override]], SnapshotTable[[#This Row],[SC Current Ask]]), "")</f>
        <v/>
      </c>
      <c r="FK386" s="250" t="str">
        <f>IF(SnapshotTable[[#This Row],[SC Time Val]]&gt;0, SnapshotTable[[#This Row],[SC Time Val]] / SnapshotTable[[#This Row],[Last Price]],"")</f>
        <v/>
      </c>
      <c r="FL386" s="302" t="str">
        <f>IF(SnapshotTable[[#This Row],[SC Is Booked]], ((SnapshotTable[[#This Row],[Last Price]] -SnapshotTable[[#This Row],[SC Strike Price]]) / SnapshotTable[[#This Row],[Last Price]]) * -1, "")</f>
        <v/>
      </c>
      <c r="FM386" s="157" t="str">
        <f>IF(SnapshotTable[[#This Row],[SC Is Booked]],  (SnapshotTable[[#This Row],[SC Qty]] * 100 * SnapshotTable[[#This Row],[SC Strike Price]]) - SnapshotTable[[#This Row],[SC Current Ask]], "")</f>
        <v/>
      </c>
      <c r="FN386" s="157"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157"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33"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36" t="str">
        <f>IF(AND(ISNUMBER(SnapshotTable[[#This Row],[SC Simple ROO]]),SnapshotTable[[#This Row],[SC Simple ROO]] &gt; 0), SnapshotTable[[#This Row],[SC Premium]] + (SnapshotTable[[#This Row],[SC Qty]] * SnapshotTable[[#This Row],[SC Upside Potential]]), "")</f>
        <v/>
      </c>
      <c r="FX386" s="302" t="str" cm="1">
        <f t="array" ref="FX386">IF(ISNUMBER(SnapshotTable[[#This Row],[SC Max Dollars]]), annualize(SnapshotTable[[#This Row],[SC Term]],(SnapshotTable[[#This Row],[SC Max Dollars]]/SnapshotTable[[#This Row],[SC Basis]])),"")</f>
        <v/>
      </c>
      <c r="FY386" s="236" t="str">
        <f>IF(AND(SnapshotTable[[#This Row],[SC Qty]]&gt;0,SnapshotTable[[#This Row],[SC Current Ask]]&gt;0), SnapshotTable[[#This Row],[SC Qty]] * SnapshotTable[[#This Row],[SC Current Ask]] * -100, "")</f>
        <v/>
      </c>
      <c r="FZ386" s="235" t="str">
        <f>IF(ISNUMBER((SnapshotTable[[#This Row],[SC Current Value]])), SnapshotTable[[#This Row],[SC Premium]] + SnapshotTable[[#This Row],[SC Current Value]], "")</f>
        <v/>
      </c>
      <c r="GA386" s="294" t="str">
        <f>IFERROR( IF(ISNUMBER((SnapshotTable[[#This Row],[SC Current Value]])), SnapshotTable[[#This Row],[SC Gain Loss]] / SnapshotTable[[#This Row],[SC Premium]], ""), "")</f>
        <v/>
      </c>
      <c r="GB386" s="42">
        <f>SnapshotTable[[#This Row],[Equity Shares]] * SaleSharesToConsiderPercentage</f>
        <v>200</v>
      </c>
      <c r="GC386" s="40">
        <f>SnapshotTable[[#This Row],[Long Term Target]] * SellingPriceToConsiderBasedOnTargetPercentage</f>
        <v>0</v>
      </c>
      <c r="GD386" s="40">
        <f>SnapshotTable[[#This Row],[Last Price]] * (1+ SellingPriceToConsiderBasedOnTargetPercentage)</f>
        <v>0.76946999999999999</v>
      </c>
      <c r="GE386" s="41"/>
      <c r="GF386" s="40"/>
      <c r="GG386" s="31">
        <f>SnapshotTable[[#This Row],[Booked Sale Shares]] * SnapshotTable[[#This Row],[Booked Sale Price]]</f>
        <v>0</v>
      </c>
      <c r="GH386" s="31">
        <f>IF(SnapshotTable[[#This Row],[Equity Basis Total]] &gt; 0, SnapshotTable[[#This Row],[Equity Basis Per Share]] * SnapshotTable[[#This Row],[Booked Sale Shares]], "")</f>
        <v>0</v>
      </c>
      <c r="GI386" s="31">
        <f>IF(SnapshotTable[[#This Row],[Sale Proceeds]]&gt;0, SnapshotTable[[#This Row],[Sale Proceeds]] - SnapshotTable[[#This Row],[Sale Basis]], 0)</f>
        <v>0</v>
      </c>
      <c r="GJ386" s="158" t="str">
        <f>IF(SnapshotTable[[#This Row],[Sale G/L]]&gt;0, SnapshotTable[[#This Row],[Sale G/L]] / SnapshotTable[[#This Row],[Sale Basis]], IF(ISNUMBER(SnapshotTable[[#This Row],[SC Exercise P&amp;L (TAX)]]), SnapshotTable[[#This Row],[SC Exercise P&amp;L (TAX)]] / SnapshotTable[[#This Row],[SC Basis]], ""))</f>
        <v/>
      </c>
      <c r="GK386" s="27"/>
      <c r="GL386" s="159"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159" t="str">
        <f>IF(AND(SnapshotTable[[#This Row],[LC Exp Date]]&gt;0,SnapshotTable[[#This Row],[LC Strike Price]]&gt;0), [1]!ToOptionSymbol(SnapshotTable[[#This Row],[Symbol]], SnapshotTable[[#This Row],[LC Strike Price]],SnapshotTable[[#This Row],[LC Exp Date]],0), "")</f>
        <v/>
      </c>
      <c r="GQ386" s="160" t="str">
        <f>IF(LEN(SnapshotTable[[#This Row],[LC Symbol]])&gt;0, 1, "")</f>
        <v/>
      </c>
      <c r="GR386" s="159" t="str">
        <f>IF(AND(SnapshotTable[[#This Row],[SC Exp Date]]&gt;0,SnapshotTable[[#This Row],[SC Strike Price]]&gt;0), [1]!ToOptionSymbol(SnapshotTable[[#This Row],[Symbol]], SnapshotTable[[#This Row],[SC Strike Price]],SnapshotTable[[#This Row],[SC Exp Date]],0), "")</f>
        <v/>
      </c>
      <c r="GS386" s="160" t="str">
        <f>IF(LEN(SnapshotTable[[#This Row],[SC Symbol]])&gt;0, 1, "")</f>
        <v/>
      </c>
      <c r="GT386" s="161"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6" s="231">
        <f>MAX(SnapshotTable[[#This Row],[Equity Basis Total]],SnapshotTable[[#This Row],[Equity Value]]) + (SnapshotTable[[#This Row],[SP Potential Spend]]- SnapshotTable[[#This Row],[SP Premium]] + SnapshotTable[[#This Row],[LP Premium]])+ (SnapshotTable[[#This Row],[LC Premium]] - SnapshotTable[[#This Row],[SC Premium]])</f>
        <v>886.95</v>
      </c>
      <c r="GW386" s="139">
        <f ca="1">IF(AND(SnapshotTable[[#This Row],[Exposure]] &lt;&gt; 0),SnapshotTable[[#This Row],[Exposure]] / SnapshotTable[[#Totals],[Exposure]], "")</f>
        <v>4.1749165534464639E-3</v>
      </c>
      <c r="HE386" s="268"/>
      <c r="HF386" s="268"/>
      <c r="HK386" s="1"/>
      <c r="HL386" s="1"/>
      <c r="HM386" s="1"/>
      <c r="HN386" s="1"/>
      <c r="HO386" s="1"/>
      <c r="HP386" s="1"/>
    </row>
    <row r="387" spans="2:224" ht="12.75" hidden="1" customHeight="1" x14ac:dyDescent="0.25">
      <c r="B387" s="12" t="s">
        <v>1236</v>
      </c>
      <c r="C387" s="422">
        <v>0.97</v>
      </c>
      <c r="D387" s="208" t="s">
        <v>258</v>
      </c>
      <c r="E387" s="39">
        <f>SnapshotTable[[#This Row],[Last Price]]*(1 -CrashDiscount)</f>
        <v>0.82450000000000001</v>
      </c>
      <c r="F387" s="26" t="s">
        <v>550</v>
      </c>
      <c r="G387" s="26" t="s">
        <v>41</v>
      </c>
      <c r="H387" s="149"/>
      <c r="I387" s="194"/>
      <c r="J387" s="195"/>
      <c r="K387" s="196"/>
      <c r="L387" s="326"/>
      <c r="M387" s="140"/>
      <c r="N387" s="140"/>
      <c r="O387" s="140"/>
      <c r="P387" s="22">
        <v>7000</v>
      </c>
      <c r="Q387" s="25">
        <v>2100</v>
      </c>
      <c r="R387" s="4">
        <f>IF(SnapshotTable[[#This Row],[Equity Basis Total]] &gt; 0, SnapshotTable[[#This Row],[Equity Basis Total]] / SnapshotTable[[#This Row],[Equity Shares]], "")</f>
        <v>0.3</v>
      </c>
      <c r="S387" s="269">
        <f>SnapshotTable[[#This Row],[Last Price]] * SnapshotTable[[#This Row],[Equity Shares]]</f>
        <v>6790</v>
      </c>
      <c r="T387" s="269">
        <f>SnapshotTable[[#This Row],[Equity Value]] - SnapshotTable[[#This Row],[Equity Basis Total]]</f>
        <v>4690</v>
      </c>
      <c r="U387" s="270">
        <f>IF(SnapshotTable[[#This Row],[Equity Basis Total]] &gt; 0, SnapshotTable[[#This Row],[Equity G/L]] / SnapshotTable[[#This Row],[Equity Basis Total]], "")</f>
        <v>2.2333333333333334</v>
      </c>
      <c r="V387" s="268"/>
      <c r="W387" s="26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7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0"/>
      <c r="AD387" s="151"/>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1"/>
      <c r="AI387" s="5"/>
      <c r="AJ387" s="138"/>
      <c r="AK387" s="152" t="str">
        <f>IF(ISNUMBER( SnapshotTable[[#This Row],[EBF Target]]),(SnapshotTable[[#This Row],[EBF Target]] - SnapshotTable[[#This Row],[Last Price]]) / SnapshotTable[[#This Row],[Last Price]], "")</f>
        <v/>
      </c>
      <c r="AL387" s="152"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2" t="str">
        <f>IF(AND(ISNUMBER( SnapshotTable[[#This Row],[Long Term Target]]), ISNUMBER(SnapshotTable[[#This Row],[Last Price]])),(SnapshotTable[[#This Row],[Long Term Target]] - SnapshotTable[[#This Row],[Last Price]]) / SnapshotTable[[#This Row],[Last Price]], "")</f>
        <v/>
      </c>
      <c r="AP387" s="5"/>
      <c r="AQ387" s="38"/>
      <c r="AR387" s="5"/>
      <c r="AS387" s="38"/>
      <c r="AT387" s="146"/>
      <c r="AU387" s="187" t="str">
        <f>IF(OR(SnapshotTable[[#This Row],[LP No Fill]]="Y",SnapshotTable[[#This Row],[SP Is Filled]],SnapshotTable[[#This Row],[LC Not Filled]]="Y",SnapshotTable[[#This Row],[SC Is Filled]]),"Y","")</f>
        <v/>
      </c>
      <c r="AV387" s="219"/>
      <c r="AW387" s="225"/>
      <c r="AX387" s="220"/>
      <c r="AY387" s="219" t="str">
        <f>IF(SnapshotTable[[#This Row],[Implied Move]]&gt;0, SnapshotTable[[#This Row],[Last Price]]-SnapshotTable[[#This Row],[Implied Move]],"")</f>
        <v/>
      </c>
      <c r="AZ387" s="219" t="str">
        <f>IF(SnapshotTable[[#This Row],[Implied Move]]&gt;0, SnapshotTable[[#This Row],[Last Price]] + SnapshotTable[[#This Row],[Implied Move]],"")</f>
        <v/>
      </c>
      <c r="BA387" s="331">
        <v>0.31</v>
      </c>
      <c r="BB387" s="347"/>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51"/>
      <c r="BE387" s="5"/>
      <c r="BF387" s="14"/>
      <c r="BG387" s="13"/>
      <c r="BH387" s="13"/>
      <c r="BI387" s="5"/>
      <c r="BJ387" s="136">
        <f>IF(SnapshotTable[[#This Row],[LP Qty]] &gt; 0, SnapshotTable[[#This Row],[LP Qty]] * SnapshotTable[[#This Row],[LP Book Price]] * 100,0)</f>
        <v>0</v>
      </c>
      <c r="BK387" s="136">
        <f>IF(SnapshotTable[[#This Row],[LP Premium]] &gt; 0, SnapshotTable[[#This Row],[LP Qty]] * SnapshotTable[[#This Row],[LP Strike Price]] * 100,0)</f>
        <v>0</v>
      </c>
      <c r="BL387" s="154"/>
      <c r="BM387" s="385" t="str">
        <f>IF(SnapshotTable[[#This Row],[LP Premium]] &gt; 0,SnapshotTable[[#This Row],[LP Exp Date]]-MAX(SnapshotTable[[#This Row],[LP Book Date]], SnapshotTable[[#This Row],[LP Fill Date]]),"")</f>
        <v/>
      </c>
      <c r="BN387" s="385" t="str">
        <f>IF(ISNUMBER( SnapshotTable[[#This Row],[LP Term]]), SnapshotTable[[#This Row],[LP Exp Date]] - MockToday,"")</f>
        <v/>
      </c>
      <c r="BO387" s="163"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7"/>
      <c r="BU387" s="13"/>
      <c r="BV387" s="5"/>
      <c r="BW387" s="419" t="b">
        <f>AND(ISNUMBER(SnapshotTable[[#This Row],[SP Exp Date]]), ISNUMBER(SnapshotTable[[#This Row],[SP Strike Price]]), ISNUMBER(SnapshotTable[[#This Row],[SP Qty]]), ISNUMBER(SnapshotTable[[#This Row],[SP Book Date]]), ISNUMBER(SnapshotTable[[#This Row],[SP Book Price]]))</f>
        <v>0</v>
      </c>
      <c r="BX387" s="419" t="b">
        <f>AND(SnapshotTable[[#This Row],[SP Is Booked]], NOT(ISBLANK(SnapshotTable[[#This Row],[SP Fill Date]])))</f>
        <v>0</v>
      </c>
      <c r="BY387" s="33">
        <f>IF(SnapshotTable[[#This Row],[SP Is Booked]], SnapshotTable[[#This Row],[SP Qty]] * SnapshotTable[[#This Row],[SP Book Price]] * 100, 0)</f>
        <v>0</v>
      </c>
      <c r="BZ387" s="369"/>
      <c r="CA387" s="368">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3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44"/>
      <c r="CK387" s="31">
        <f>IF(ISNUMBER(SnapshotTable[[#This Row],[SP Potential Spend]]),IF(ISNUMBER(SnapshotTable[[#This Row],[SP POW]]), SnapshotTable[[#This Row],[SP POW]] * SnapshotTable[[#This Row],[SP Potential Spend]], SnapshotTable[[#This Row],[SP Potential Spend]]), "")</f>
        <v>0</v>
      </c>
      <c r="CL387" s="164">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8"/>
      <c r="CO387" s="369"/>
      <c r="CP387" s="4" t="str">
        <f>IF(SnapshotTable[[#This Row],[SP Is Filled]], btc_max_buyback_amount(SnapshotTable[[#This Row],[SP Fill Date]],SnapshotTable[[#This Row],[SP Exp Date]], SnapshotTable[[#This Row],[SP Book Price]]),"")</f>
        <v/>
      </c>
      <c r="CQ387" s="78"/>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5" t="str">
        <f>IF(SnapshotTable[[#This Row],[SP Is Filled]], btc_next_cutoff_date(SnapshotTable[[#This Row],[SP Fill Date]],SnapshotTable[[#This Row],[SP Exp Date]]),"")</f>
        <v/>
      </c>
      <c r="CT387" s="23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56"/>
      <c r="CV387" s="235"/>
      <c r="CW387" s="378"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294" t="str">
        <f>IF(ISNUMBER((SnapshotTable[[#This Row],[SP Total Value]])), SnapshotTable[[#This Row],[SP Gain Loss]] / SnapshotTable[[#This Row],[SP Premium]], "")</f>
        <v/>
      </c>
      <c r="DI387" s="406"/>
      <c r="DJ387" s="138"/>
      <c r="DK387" s="148"/>
      <c r="DL387" s="13"/>
      <c r="DM387" s="13"/>
      <c r="DO387" s="31">
        <f>IF(SnapshotTable[[#This Row],[LC Symbol Count]]=1, SnapshotTable[[#This Row],[LC Qty]] * SnapshotTable[[#This Row],[LC Book Price]] * 100, 0)</f>
        <v>0</v>
      </c>
      <c r="DP387" s="163" t="str">
        <f>IF(AND(SnapshotTable[[#This Row],[LC Exp Date]]&gt;0, SnapshotTable[[#This Row],[LC Strike Price]]&gt;0,SnapshotTable[[#This Row],[LC Qty]]&gt;0,SnapshotTable[[#This Row],[LC Book Date]]&gt;0,SnapshotTable[[#This Row],[LC Book Price]]&gt;0,SnapshotTable[[#This Row],[LC Fill Date]]=0),"Y","")</f>
        <v/>
      </c>
      <c r="DQ387" s="386" t="str">
        <f>IF(SnapshotTable[[#This Row],[LC Premium]] &gt; 0,SnapshotTable[[#This Row],[LC Exp Date]]-MAX(SnapshotTable[[#This Row],[LC Book Date]], SnapshotTable[[#This Row],[LC Fill Date]]),"")</f>
        <v/>
      </c>
      <c r="DR387" s="386" t="str">
        <f>IF(ISNUMBER(SnapshotTable[[#This Row],[LC Term]]), SnapshotTable[[#This Row],[LC Exp Date]] - MockToday, "")</f>
        <v/>
      </c>
      <c r="DS387" s="23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40" t="str">
        <f>IF(ISNUMBER(SnapshotTable[[#This Row],[LC Actual Gain Loss]]), SnapshotTable[[#This Row],[LC Actual Gain Loss]] / SnapshotTable[[#This Row],[LC Premium]],"")</f>
        <v/>
      </c>
      <c r="DX387" s="284" t="str">
        <f>IF(ISNUMBER(SnapshotTable[[#This Row],[LC Book Price]]),SnapshotTable[[#This Row],[LC Book Price]] * 1.5,"")</f>
        <v/>
      </c>
      <c r="DY387" s="265" t="str">
        <f>IF(SnapshotTable[[#This Row],[LC Premium]]&gt;0, SnapshotTable[[#This Row],[LC Next Target]] * SnapshotTable[[#This Row],[LC Qty]] * 100,"")</f>
        <v/>
      </c>
      <c r="DZ387" s="265" t="str">
        <f>IF(ISNUMBER(SnapshotTable[[#This Row],[LC Target Gross]]), SnapshotTable[[#This Row],[LC Target Gross]] - SnapshotTable[[#This Row],[LC Premium]], "")</f>
        <v/>
      </c>
      <c r="EA387" s="305" t="str">
        <f>IF(ISNUMBER(SnapshotTable[[#This Row],[LC Target Gain Loss]]), SnapshotTable[[#This Row],[LC Target Gain Loss]]/SnapshotTable[[#This Row],[LC Premium]], "")</f>
        <v/>
      </c>
      <c r="EB387" s="262"/>
      <c r="EC387" s="283" t="str">
        <f>IF(SnapshotTable[[#This Row],[LC Premium]]&gt;0, SnapshotTable[[#This Row],[LC Book Price]] * (1 - LC_StopLoss_Pct),"")</f>
        <v/>
      </c>
      <c r="ED387" s="284"/>
      <c r="EE387" s="28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4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70</v>
      </c>
      <c r="EK387" s="147"/>
      <c r="EL387" s="138"/>
      <c r="EM387" s="148"/>
      <c r="EN387" s="147"/>
      <c r="EO387" s="147"/>
      <c r="EP387" s="138"/>
      <c r="EQ387" s="419" t="b">
        <f>AND(ISNUMBER(SnapshotTable[[#This Row],[SC Exp Date]]), ISNUMBER(SnapshotTable[[#This Row],[SC Strike Price]]), ISNUMBER(SnapshotTable[[#This Row],[SC Qty]]), ISNUMBER(SnapshotTable[[#This Row],[SC Book Date]]), ISNUMBER(SnapshotTable[[#This Row],[SC Book Price]]))</f>
        <v>0</v>
      </c>
      <c r="ER387" s="419" t="b">
        <f>AND(SnapshotTable[[#This Row],[SC Is Booked]], NOT(ISBLANK(SnapshotTable[[#This Row],[SC Fill Date]])))</f>
        <v>0</v>
      </c>
      <c r="ES387" s="370"/>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3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283"/>
      <c r="FA387" s="218"/>
      <c r="FB387" s="370"/>
      <c r="FC387" s="4">
        <f>IF(SnapshotTable[[#This Row],[SC Is Filled]], btc_max_buyback_amount(SnapshotTable[[#This Row],[SC Fill Date]],SnapshotTable[[#This Row],[SC Exp Date]], SnapshotTable[[#This Row],[SC Book Price]]),0)</f>
        <v>0</v>
      </c>
      <c r="FD387" s="5"/>
      <c r="FE387" s="144"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382">
        <f>IF(SnapshotTable[[#This Row],[SC Is Filled]], IF(ISNUMBER(SnapshotTable[[#This Row],[SC Current Ask]]), SnapshotTable[[#This Row],[SC Current Ask]], SnapshotTable[[#This Row],[SC Book Price]]) - SnapshotTable[[#This Row],[SC Intrinsic Value]], 0)</f>
        <v>0</v>
      </c>
      <c r="FI387" s="143"/>
      <c r="FJ387" s="32" t="str">
        <f>IF(SnapshotTable[[#This Row],[SC Is Filled]],100 * SnapshotTable[[#This Row],[SC Qty]] * IF(ISNUMBER(SnapshotTable[[#This Row],[SC Buyback Override]]), SnapshotTable[[#This Row],[SC Buyback Override]], SnapshotTable[[#This Row],[SC Current Ask]]), "")</f>
        <v/>
      </c>
      <c r="FK387" s="250" t="str">
        <f>IF(SnapshotTable[[#This Row],[SC Time Val]]&gt;0, SnapshotTable[[#This Row],[SC Time Val]] / SnapshotTable[[#This Row],[Last Price]],"")</f>
        <v/>
      </c>
      <c r="FL387" s="302" t="str">
        <f>IF(SnapshotTable[[#This Row],[SC Is Booked]], ((SnapshotTable[[#This Row],[Last Price]] -SnapshotTable[[#This Row],[SC Strike Price]]) / SnapshotTable[[#This Row],[Last Price]]) * -1, "")</f>
        <v/>
      </c>
      <c r="FM387" s="157"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33"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36" t="str">
        <f>IF(AND(ISNUMBER(SnapshotTable[[#This Row],[SC Simple ROO]]),SnapshotTable[[#This Row],[SC Simple ROO]] &gt; 0), SnapshotTable[[#This Row],[SC Premium]] + (SnapshotTable[[#This Row],[SC Qty]] * SnapshotTable[[#This Row],[SC Upside Potential]]), "")</f>
        <v/>
      </c>
      <c r="FX387" s="302" t="str" cm="1">
        <f t="array" ref="FX387">IF(ISNUMBER(SnapshotTable[[#This Row],[SC Max Dollars]]), annualize(SnapshotTable[[#This Row],[SC Term]],(SnapshotTable[[#This Row],[SC Max Dollars]]/SnapshotTable[[#This Row],[SC Basis]])),"")</f>
        <v/>
      </c>
      <c r="FY387" s="23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294" t="str">
        <f>IFERROR( IF(ISNUMBER((SnapshotTable[[#This Row],[SC Current Value]])), SnapshotTable[[#This Row],[SC Gain Loss]] / SnapshotTable[[#This Row],[SC Premium]], ""), "")</f>
        <v/>
      </c>
      <c r="GB387" s="42">
        <f>SnapshotTable[[#This Row],[Equity Shares]] * SaleSharesToConsiderPercentage</f>
        <v>1400</v>
      </c>
      <c r="GC387" s="40">
        <f>SnapshotTable[[#This Row],[Long Term Target]] * SellingPriceToConsiderBasedOnTargetPercentage</f>
        <v>0</v>
      </c>
      <c r="GD387" s="40">
        <f>SnapshotTable[[#This Row],[Last Price]] * (1+ SellingPriceToConsiderBasedOnTargetPercentage)</f>
        <v>1.8915</v>
      </c>
      <c r="GE387" s="41"/>
      <c r="GF387" s="40"/>
      <c r="GG387" s="31">
        <f>SnapshotTable[[#This Row],[Booked Sale Shares]] * SnapshotTable[[#This Row],[Booked Sale Price]]</f>
        <v>0</v>
      </c>
      <c r="GH387" s="31">
        <f>IF(SnapshotTable[[#This Row],[Equity Basis Total]] &gt; 0, SnapshotTable[[#This Row],[Equity Basis Per Share]] * SnapshotTable[[#This Row],[Booked Sale Shares]], "")</f>
        <v>0</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7" s="231">
        <f>MAX(SnapshotTable[[#This Row],[Equity Basis Total]],SnapshotTable[[#This Row],[Equity Value]]) + (SnapshotTable[[#This Row],[SP Potential Spend]]- SnapshotTable[[#This Row],[SP Premium]] + SnapshotTable[[#This Row],[LP Premium]])+ (SnapshotTable[[#This Row],[LC Premium]] - SnapshotTable[[#This Row],[SC Premium]])</f>
        <v>6790</v>
      </c>
      <c r="GW387" s="139">
        <f ca="1">IF(AND(SnapshotTable[[#This Row],[Exposure]] &lt;&gt; 0),SnapshotTable[[#This Row],[Exposure]] / SnapshotTable[[#Totals],[Exposure]], "")</f>
        <v>3.1960858445122593E-2</v>
      </c>
      <c r="GX387" s="13"/>
      <c r="HE387" s="268"/>
      <c r="HF387" s="268"/>
      <c r="HK387" s="1"/>
      <c r="HL387" s="1"/>
      <c r="HM387" s="1"/>
      <c r="HN387" s="1"/>
      <c r="HO387" s="1"/>
      <c r="HP387" s="1"/>
    </row>
    <row r="388" spans="2:224" ht="12.75" hidden="1" customHeight="1" x14ac:dyDescent="0.25">
      <c r="B388" s="12" t="s">
        <v>1258</v>
      </c>
      <c r="C388" s="422">
        <v>1.58</v>
      </c>
      <c r="D388" s="208"/>
      <c r="E388" s="39">
        <f>SnapshotTable[[#This Row],[Last Price]]*(1 -CrashDiscount)</f>
        <v>1.343</v>
      </c>
      <c r="F388" s="325" t="s">
        <v>208</v>
      </c>
      <c r="G388" s="325" t="s">
        <v>41</v>
      </c>
      <c r="H388" s="149"/>
      <c r="I388" s="194"/>
      <c r="J388" s="195"/>
      <c r="K388" s="196"/>
      <c r="L388" s="326"/>
      <c r="M388" s="140"/>
      <c r="N388" s="140"/>
      <c r="O388" s="140"/>
      <c r="P388" s="22">
        <v>1000</v>
      </c>
      <c r="Q388" s="25">
        <v>2030</v>
      </c>
      <c r="R388" s="4">
        <f>IF(SnapshotTable[[#This Row],[Equity Basis Total]] &gt; 0, SnapshotTable[[#This Row],[Equity Basis Total]] / SnapshotTable[[#This Row],[Equity Shares]], "")</f>
        <v>2.0299999999999998</v>
      </c>
      <c r="S388" s="269">
        <f>SnapshotTable[[#This Row],[Last Price]] * SnapshotTable[[#This Row],[Equity Shares]]</f>
        <v>1580</v>
      </c>
      <c r="T388" s="269">
        <f>SnapshotTable[[#This Row],[Equity Value]] - SnapshotTable[[#This Row],[Equity Basis Total]]</f>
        <v>-450</v>
      </c>
      <c r="U388" s="270">
        <f>IF(SnapshotTable[[#This Row],[Equity Basis Total]] &gt; 0, SnapshotTable[[#This Row],[Equity G/L]] / SnapshotTable[[#This Row],[Equity Basis Total]], "")</f>
        <v>-0.22167487684729065</v>
      </c>
      <c r="V388" s="268">
        <v>2.5</v>
      </c>
      <c r="W388" s="268"/>
      <c r="X388" s="4">
        <f>IF(AND(ISNUMBER(SnapshotTable[[#This Row],[Equity Basis Per Share]]),ISNUMBER(SnapshotTable[[#This Row],[Equity Target]])),SnapshotTable[[#This Row],[Equity Target]]-SnapshotTable[[#This Row],[Equity Basis Per Share]],"")</f>
        <v>0.4700000000000002</v>
      </c>
      <c r="Y388" s="4" t="str">
        <f>IF(AND(ISNUMBER(SnapshotTable[[#This Row],[Equity Basis Per Share]]),ISNUMBER(SnapshotTable[[#This Row],[Equity Stop Loss]])),SnapshotTable[[#This Row],[Equity Stop Loss]]-SnapshotTable[[#This Row],[Equity Basis Per Share]],"")</f>
        <v/>
      </c>
      <c r="Z388" s="275" t="str">
        <f>IFERROR( TEXT(SnapshotTable[[#This Row],[Equity Max Gain Per Share]] /ABS( SnapshotTable[[#This Row],[Equity Max Loss Per Share]]),"0.0 " ) &amp; " : 1", "")</f>
        <v/>
      </c>
      <c r="AA388" s="31">
        <f>IF(ISNUMBER(SnapshotTable[[#This Row],[Equity Max Gain Per Share]]),SnapshotTable[[#This Row],[Equity Max Gain Per Share]] * SnapshotTable[[#This Row],[Equity Shares]],"")</f>
        <v>470.00000000000017</v>
      </c>
      <c r="AB388" s="31" t="str">
        <f>IF(ISNUMBER(SnapshotTable[[#This Row],[Equity Max Loss Per Share]]),SnapshotTable[[#This Row],[Equity Max Loss Per Share]] * SnapshotTable[[#This Row],[Equity Shares]],"")</f>
        <v/>
      </c>
      <c r="AC388" s="150"/>
      <c r="AD388" s="151"/>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1"/>
      <c r="AI388" s="5"/>
      <c r="AJ388" s="138"/>
      <c r="AK388" s="152" t="str">
        <f>IF(ISNUMBER( SnapshotTable[[#This Row],[EBF Target]]),(SnapshotTable[[#This Row],[EBF Target]] - SnapshotTable[[#This Row],[Last Price]]) / SnapshotTable[[#This Row],[Last Price]], "")</f>
        <v/>
      </c>
      <c r="AL388" s="152"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2" t="str">
        <f>IF(AND(ISNUMBER( SnapshotTable[[#This Row],[Long Term Target]]), ISNUMBER(SnapshotTable[[#This Row],[Last Price]])),(SnapshotTable[[#This Row],[Long Term Target]] - SnapshotTable[[#This Row],[Last Price]]) / SnapshotTable[[#This Row],[Last Price]], "")</f>
        <v/>
      </c>
      <c r="AP388" s="5"/>
      <c r="AQ388" s="38"/>
      <c r="AR388" s="5"/>
      <c r="AS388" s="38"/>
      <c r="AT388" s="146"/>
      <c r="AU388" s="187" t="str">
        <f>IF(OR(SnapshotTable[[#This Row],[LP No Fill]]="Y",SnapshotTable[[#This Row],[SP Is Filled]],SnapshotTable[[#This Row],[LC Not Filled]]="Y",SnapshotTable[[#This Row],[SC Is Filled]]),"Y","")</f>
        <v/>
      </c>
      <c r="AV388" s="219"/>
      <c r="AW388" s="225"/>
      <c r="AX388" s="220"/>
      <c r="AY388" s="219" t="str">
        <f>IF(SnapshotTable[[#This Row],[Implied Move]]&gt;0, SnapshotTable[[#This Row],[Last Price]]-SnapshotTable[[#This Row],[Implied Move]],"")</f>
        <v/>
      </c>
      <c r="AZ388" s="219" t="str">
        <f>IF(SnapshotTable[[#This Row],[Implied Move]]&gt;0, SnapshotTable[[#This Row],[Last Price]] + SnapshotTable[[#This Row],[Implied Move]],"")</f>
        <v/>
      </c>
      <c r="BA388" s="331">
        <v>1.68</v>
      </c>
      <c r="BB388" s="347"/>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51"/>
      <c r="BE388" s="5"/>
      <c r="BF388" s="14"/>
      <c r="BG388" s="13"/>
      <c r="BH388" s="13"/>
      <c r="BI388" s="5"/>
      <c r="BJ388" s="136">
        <f>IF(SnapshotTable[[#This Row],[LP Qty]] &gt; 0, SnapshotTable[[#This Row],[LP Qty]] * SnapshotTable[[#This Row],[LP Book Price]] * 100,0)</f>
        <v>0</v>
      </c>
      <c r="BK388" s="136">
        <f>IF(SnapshotTable[[#This Row],[LP Premium]] &gt; 0, SnapshotTable[[#This Row],[LP Qty]] * SnapshotTable[[#This Row],[LP Strike Price]] * 100,0)</f>
        <v>0</v>
      </c>
      <c r="BL388" s="154"/>
      <c r="BM388" s="385" t="str">
        <f>IF(SnapshotTable[[#This Row],[LP Premium]] &gt; 0,SnapshotTable[[#This Row],[LP Exp Date]]-MAX(SnapshotTable[[#This Row],[LP Book Date]], SnapshotTable[[#This Row],[LP Fill Date]]),"")</f>
        <v/>
      </c>
      <c r="BN388" s="385" t="str">
        <f>IF(ISNUMBER( SnapshotTable[[#This Row],[LP Term]]), SnapshotTable[[#This Row],[LP Exp Date]] - MockToday,"")</f>
        <v/>
      </c>
      <c r="BO388" s="163"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7"/>
      <c r="BU388" s="13"/>
      <c r="BV388" s="5"/>
      <c r="BW388" s="419" t="b">
        <f>AND(ISNUMBER(SnapshotTable[[#This Row],[SP Exp Date]]), ISNUMBER(SnapshotTable[[#This Row],[SP Strike Price]]), ISNUMBER(SnapshotTable[[#This Row],[SP Qty]]), ISNUMBER(SnapshotTable[[#This Row],[SP Book Date]]), ISNUMBER(SnapshotTable[[#This Row],[SP Book Price]]))</f>
        <v>0</v>
      </c>
      <c r="BX388" s="419" t="b">
        <f>AND(SnapshotTable[[#This Row],[SP Is Booked]], NOT(ISBLANK(SnapshotTable[[#This Row],[SP Fill Date]])))</f>
        <v>0</v>
      </c>
      <c r="BY388" s="33">
        <f>IF(SnapshotTable[[#This Row],[SP Is Booked]], SnapshotTable[[#This Row],[SP Qty]] * SnapshotTable[[#This Row],[SP Book Price]] * 100, 0)</f>
        <v>0</v>
      </c>
      <c r="BZ388" s="369"/>
      <c r="CA388" s="368">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3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44"/>
      <c r="CK388" s="31">
        <f>IF(ISNUMBER(SnapshotTable[[#This Row],[SP Potential Spend]]),IF(ISNUMBER(SnapshotTable[[#This Row],[SP POW]]), SnapshotTable[[#This Row],[SP POW]] * SnapshotTable[[#This Row],[SP Potential Spend]], SnapshotTable[[#This Row],[SP Potential Spend]]), "")</f>
        <v>0</v>
      </c>
      <c r="CL388" s="164">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8"/>
      <c r="CO388" s="369"/>
      <c r="CP388" s="4" t="str">
        <f>IF(SnapshotTable[[#This Row],[SP Is Filled]], btc_max_buyback_amount(SnapshotTable[[#This Row],[SP Fill Date]],SnapshotTable[[#This Row],[SP Exp Date]], SnapshotTable[[#This Row],[SP Book Price]]),"")</f>
        <v/>
      </c>
      <c r="CQ388" s="78"/>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5" t="str">
        <f>IF(SnapshotTable[[#This Row],[SP Is Filled]], btc_next_cutoff_date(SnapshotTable[[#This Row],[SP Fill Date]],SnapshotTable[[#This Row],[SP Exp Date]]),"")</f>
        <v/>
      </c>
      <c r="CT388" s="23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3"/>
      <c r="CV388" s="235"/>
      <c r="CW388" s="378"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294" t="str">
        <f>IF(ISNUMBER((SnapshotTable[[#This Row],[SP Total Value]])), SnapshotTable[[#This Row],[SP Gain Loss]] / SnapshotTable[[#This Row],[SP Premium]], "")</f>
        <v/>
      </c>
      <c r="DI388" s="406"/>
      <c r="DJ388" s="138"/>
      <c r="DK388" s="148"/>
      <c r="DL388" s="13"/>
      <c r="DM388" s="13"/>
      <c r="DO388" s="31">
        <f>IF(SnapshotTable[[#This Row],[LC Symbol Count]]=1, SnapshotTable[[#This Row],[LC Qty]] * SnapshotTable[[#This Row],[LC Book Price]] * 100, 0)</f>
        <v>0</v>
      </c>
      <c r="DP388" s="163" t="str">
        <f>IF(AND(SnapshotTable[[#This Row],[LC Exp Date]]&gt;0, SnapshotTable[[#This Row],[LC Strike Price]]&gt;0,SnapshotTable[[#This Row],[LC Qty]]&gt;0,SnapshotTable[[#This Row],[LC Book Date]]&gt;0,SnapshotTable[[#This Row],[LC Book Price]]&gt;0,SnapshotTable[[#This Row],[LC Fill Date]]=0),"Y","")</f>
        <v/>
      </c>
      <c r="DQ388" s="386" t="str">
        <f>IF(SnapshotTable[[#This Row],[LC Premium]] &gt; 0,SnapshotTable[[#This Row],[LC Exp Date]]-MAX(SnapshotTable[[#This Row],[LC Book Date]], SnapshotTable[[#This Row],[LC Fill Date]]),"")</f>
        <v/>
      </c>
      <c r="DR388" s="386" t="str">
        <f>IF(ISNUMBER(SnapshotTable[[#This Row],[LC Term]]), SnapshotTable[[#This Row],[LC Exp Date]] - MockToday, "")</f>
        <v/>
      </c>
      <c r="DS388" s="23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40" t="str">
        <f>IF(ISNUMBER(SnapshotTable[[#This Row],[LC Actual Gain Loss]]), SnapshotTable[[#This Row],[LC Actual Gain Loss]] / SnapshotTable[[#This Row],[LC Premium]],"")</f>
        <v/>
      </c>
      <c r="DX388" s="284" t="str">
        <f>IF(ISNUMBER(SnapshotTable[[#This Row],[LC Book Price]]),SnapshotTable[[#This Row],[LC Book Price]] * 1.5,"")</f>
        <v/>
      </c>
      <c r="DY388" s="265" t="str">
        <f>IF(SnapshotTable[[#This Row],[LC Premium]]&gt;0, SnapshotTable[[#This Row],[LC Next Target]] * SnapshotTable[[#This Row],[LC Qty]] * 100,"")</f>
        <v/>
      </c>
      <c r="DZ388" s="265" t="str">
        <f>IF(ISNUMBER(SnapshotTable[[#This Row],[LC Target Gross]]), SnapshotTable[[#This Row],[LC Target Gross]] - SnapshotTable[[#This Row],[LC Premium]], "")</f>
        <v/>
      </c>
      <c r="EA388" s="305" t="str">
        <f>IF(ISNUMBER(SnapshotTable[[#This Row],[LC Target Gain Loss]]), SnapshotTable[[#This Row],[LC Target Gain Loss]]/SnapshotTable[[#This Row],[LC Premium]], "")</f>
        <v/>
      </c>
      <c r="EB388" s="262"/>
      <c r="EC388" s="283" t="str">
        <f>IF(SnapshotTable[[#This Row],[LC Premium]]&gt;0, SnapshotTable[[#This Row],[LC Book Price]] * (1 - LC_StopLoss_Pct),"")</f>
        <v/>
      </c>
      <c r="ED388" s="284"/>
      <c r="EE388" s="28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4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10</v>
      </c>
      <c r="EK388" s="147"/>
      <c r="EL388" s="138"/>
      <c r="EM388" s="148"/>
      <c r="EN388" s="147"/>
      <c r="EO388" s="147"/>
      <c r="EP388" s="138"/>
      <c r="EQ388" s="419" t="b">
        <f>AND(ISNUMBER(SnapshotTable[[#This Row],[SC Exp Date]]), ISNUMBER(SnapshotTable[[#This Row],[SC Strike Price]]), ISNUMBER(SnapshotTable[[#This Row],[SC Qty]]), ISNUMBER(SnapshotTable[[#This Row],[SC Book Date]]), ISNUMBER(SnapshotTable[[#This Row],[SC Book Price]]))</f>
        <v>0</v>
      </c>
      <c r="ER388" s="419" t="b">
        <f>AND(SnapshotTable[[#This Row],[SC Is Booked]], NOT(ISBLANK(SnapshotTable[[#This Row],[SC Fill Date]])))</f>
        <v>0</v>
      </c>
      <c r="ES388" s="370"/>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3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283"/>
      <c r="FA388" s="218"/>
      <c r="FB388" s="370"/>
      <c r="FC388" s="4">
        <f>IF(SnapshotTable[[#This Row],[SC Is Filled]], btc_max_buyback_amount(SnapshotTable[[#This Row],[SC Fill Date]],SnapshotTable[[#This Row],[SC Exp Date]], SnapshotTable[[#This Row],[SC Book Price]]),0)</f>
        <v>0</v>
      </c>
      <c r="FD388" s="5"/>
      <c r="FE388" s="144"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382">
        <f>IF(SnapshotTable[[#This Row],[SC Is Filled]], IF(ISNUMBER(SnapshotTable[[#This Row],[SC Current Ask]]), SnapshotTable[[#This Row],[SC Current Ask]], SnapshotTable[[#This Row],[SC Book Price]]) - SnapshotTable[[#This Row],[SC Intrinsic Value]], 0)</f>
        <v>0</v>
      </c>
      <c r="FI388" s="143"/>
      <c r="FJ388" s="32" t="str">
        <f>IF(SnapshotTable[[#This Row],[SC Is Filled]],100 * SnapshotTable[[#This Row],[SC Qty]] * IF(ISNUMBER(SnapshotTable[[#This Row],[SC Buyback Override]]), SnapshotTable[[#This Row],[SC Buyback Override]], SnapshotTable[[#This Row],[SC Current Ask]]), "")</f>
        <v/>
      </c>
      <c r="FK388" s="250" t="str">
        <f>IF(SnapshotTable[[#This Row],[SC Time Val]]&gt;0, SnapshotTable[[#This Row],[SC Time Val]] / SnapshotTable[[#This Row],[Last Price]],"")</f>
        <v/>
      </c>
      <c r="FL388" s="302" t="str">
        <f>IF(SnapshotTable[[#This Row],[SC Is Booked]], ((SnapshotTable[[#This Row],[Last Price]] -SnapshotTable[[#This Row],[SC Strike Price]]) / SnapshotTable[[#This Row],[Last Price]]) * -1, "")</f>
        <v/>
      </c>
      <c r="FM388" s="157"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33"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36" t="str">
        <f>IF(AND(ISNUMBER(SnapshotTable[[#This Row],[SC Simple ROO]]),SnapshotTable[[#This Row],[SC Simple ROO]] &gt; 0), SnapshotTable[[#This Row],[SC Premium]] + (SnapshotTable[[#This Row],[SC Qty]] * SnapshotTable[[#This Row],[SC Upside Potential]]), "")</f>
        <v/>
      </c>
      <c r="FX388" s="302" t="str" cm="1">
        <f t="array" ref="FX388">IF(ISNUMBER(SnapshotTable[[#This Row],[SC Max Dollars]]), annualize(SnapshotTable[[#This Row],[SC Term]],(SnapshotTable[[#This Row],[SC Max Dollars]]/SnapshotTable[[#This Row],[SC Basis]])),"")</f>
        <v/>
      </c>
      <c r="FY388" s="23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294" t="str">
        <f>IFERROR( IF(ISNUMBER((SnapshotTable[[#This Row],[SC Current Value]])), SnapshotTable[[#This Row],[SC Gain Loss]] / SnapshotTable[[#This Row],[SC Premium]], ""), "")</f>
        <v/>
      </c>
      <c r="GB388" s="42">
        <f>SnapshotTable[[#This Row],[Equity Shares]] * SaleSharesToConsiderPercentage</f>
        <v>200</v>
      </c>
      <c r="GC388" s="40">
        <f>SnapshotTable[[#This Row],[Long Term Target]] * SellingPriceToConsiderBasedOnTargetPercentage</f>
        <v>0</v>
      </c>
      <c r="GD388" s="40">
        <f>SnapshotTable[[#This Row],[Last Price]] * (1+ SellingPriceToConsiderBasedOnTargetPercentage)</f>
        <v>3.081</v>
      </c>
      <c r="GE388" s="41"/>
      <c r="GF388" s="40"/>
      <c r="GG388" s="31">
        <f>SnapshotTable[[#This Row],[Booked Sale Shares]] * SnapshotTable[[#This Row],[Booked Sale Price]]</f>
        <v>0</v>
      </c>
      <c r="GH388" s="31">
        <f>IF(SnapshotTable[[#This Row],[Equity Basis Total]] &gt; 0, SnapshotTable[[#This Row],[Equity Basis Per Share]] * SnapshotTable[[#This Row],[Booked Sale Shares]], "")</f>
        <v>0</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8" s="231">
        <f>MAX(SnapshotTable[[#This Row],[Equity Basis Total]],SnapshotTable[[#This Row],[Equity Value]]) + (SnapshotTable[[#This Row],[SP Potential Spend]]- SnapshotTable[[#This Row],[SP Premium]] + SnapshotTable[[#This Row],[LP Premium]])+ (SnapshotTable[[#This Row],[LC Premium]] - SnapshotTable[[#This Row],[SC Premium]])</f>
        <v>2030</v>
      </c>
      <c r="GW388" s="139">
        <f ca="1">IF(AND(SnapshotTable[[#This Row],[Exposure]] &lt;&gt; 0),SnapshotTable[[#This Row],[Exposure]] / SnapshotTable[[#Totals],[Exposure]], "")</f>
        <v>9.5553081949335591E-3</v>
      </c>
      <c r="GX388" s="13"/>
      <c r="HK388" s="1"/>
      <c r="HL388" s="1"/>
      <c r="HM388" s="1"/>
      <c r="HN388" s="1"/>
      <c r="HO388" s="1"/>
      <c r="HP388" s="1"/>
    </row>
    <row r="389" spans="2:224" ht="12.75" hidden="1" customHeight="1" x14ac:dyDescent="0.25">
      <c r="B389" s="12" t="s">
        <v>1264</v>
      </c>
      <c r="C389" s="422">
        <v>8.9700000000000006</v>
      </c>
      <c r="D389" s="208"/>
      <c r="E389" s="39">
        <f>SnapshotTable[[#This Row],[Last Price]]*(1 -CrashDiscount)</f>
        <v>7.6245000000000003</v>
      </c>
      <c r="F389" s="325" t="s">
        <v>932</v>
      </c>
      <c r="G389" s="325" t="s">
        <v>4</v>
      </c>
      <c r="H389" s="149"/>
      <c r="I389" s="194"/>
      <c r="J389" s="195"/>
      <c r="K389" s="196"/>
      <c r="L389" s="326"/>
      <c r="M389" s="140"/>
      <c r="N389" s="140"/>
      <c r="O389" s="140"/>
      <c r="P389" s="22">
        <v>100</v>
      </c>
      <c r="Q389" s="25">
        <v>985</v>
      </c>
      <c r="R389" s="4">
        <f>IF(SnapshotTable[[#This Row],[Equity Basis Total]] &gt; 0, SnapshotTable[[#This Row],[Equity Basis Total]] / SnapshotTable[[#This Row],[Equity Shares]], "")</f>
        <v>9.85</v>
      </c>
      <c r="S389" s="269">
        <f>SnapshotTable[[#This Row],[Last Price]] * SnapshotTable[[#This Row],[Equity Shares]]</f>
        <v>897.00000000000011</v>
      </c>
      <c r="T389" s="269">
        <f>SnapshotTable[[#This Row],[Equity Value]] - SnapshotTable[[#This Row],[Equity Basis Total]]</f>
        <v>-87.999999999999886</v>
      </c>
      <c r="U389" s="270">
        <f>IF(SnapshotTable[[#This Row],[Equity Basis Total]] &gt; 0, SnapshotTable[[#This Row],[Equity G/L]] / SnapshotTable[[#This Row],[Equity Basis Total]], "")</f>
        <v>-8.9340101522842524E-2</v>
      </c>
      <c r="V389" s="268"/>
      <c r="W389" s="26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7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0"/>
      <c r="AD389" s="151"/>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1"/>
      <c r="AI389" s="5"/>
      <c r="AJ389" s="138"/>
      <c r="AK389" s="152" t="str">
        <f>IF(ISNUMBER( SnapshotTable[[#This Row],[EBF Target]]),(SnapshotTable[[#This Row],[EBF Target]] - SnapshotTable[[#This Row],[Last Price]]) / SnapshotTable[[#This Row],[Last Price]], "")</f>
        <v/>
      </c>
      <c r="AL389" s="152"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2" t="str">
        <f>IF(AND(ISNUMBER( SnapshotTable[[#This Row],[Long Term Target]]), ISNUMBER(SnapshotTable[[#This Row],[Last Price]])),(SnapshotTable[[#This Row],[Long Term Target]] - SnapshotTable[[#This Row],[Last Price]]) / SnapshotTable[[#This Row],[Last Price]], "")</f>
        <v/>
      </c>
      <c r="AP389" s="5"/>
      <c r="AQ389" s="38"/>
      <c r="AR389" s="5"/>
      <c r="AS389" s="38"/>
      <c r="AT389" s="146"/>
      <c r="AU389" s="187" t="str">
        <f>IF(OR(SnapshotTable[[#This Row],[LP No Fill]]="Y",SnapshotTable[[#This Row],[SP Is Filled]],SnapshotTable[[#This Row],[LC Not Filled]]="Y",SnapshotTable[[#This Row],[SC Is Filled]]),"Y","")</f>
        <v/>
      </c>
      <c r="AV389" s="219" t="s">
        <v>1138</v>
      </c>
      <c r="AW389" s="225"/>
      <c r="AX389" s="220"/>
      <c r="AY389" s="219" t="str">
        <f>IF(SnapshotTable[[#This Row],[Implied Move]]&gt;0, SnapshotTable[[#This Row],[Last Price]]-SnapshotTable[[#This Row],[Implied Move]],"")</f>
        <v/>
      </c>
      <c r="AZ389" s="219" t="str">
        <f>IF(SnapshotTable[[#This Row],[Implied Move]]&gt;0, SnapshotTable[[#This Row],[Last Price]] + SnapshotTable[[#This Row],[Implied Move]],"")</f>
        <v/>
      </c>
      <c r="BA389" s="331">
        <v>10.67</v>
      </c>
      <c r="BB389" s="40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51"/>
      <c r="BE389" s="5"/>
      <c r="BF389" s="14"/>
      <c r="BG389" s="13"/>
      <c r="BH389" s="13"/>
      <c r="BI389" s="5"/>
      <c r="BJ389" s="136">
        <f>IF(SnapshotTable[[#This Row],[LP Qty]] &gt; 0, SnapshotTable[[#This Row],[LP Qty]] * SnapshotTable[[#This Row],[LP Book Price]] * 100,0)</f>
        <v>0</v>
      </c>
      <c r="BK389" s="136">
        <f>IF(SnapshotTable[[#This Row],[LP Premium]] &gt; 0, SnapshotTable[[#This Row],[LP Qty]] * SnapshotTable[[#This Row],[LP Strike Price]] * 100,0)</f>
        <v>0</v>
      </c>
      <c r="BL389" s="154"/>
      <c r="BM389" s="385" t="str">
        <f>IF(SnapshotTable[[#This Row],[LP Premium]] &gt; 0,SnapshotTable[[#This Row],[LP Exp Date]]-MAX(SnapshotTable[[#This Row],[LP Book Date]], SnapshotTable[[#This Row],[LP Fill Date]]),"")</f>
        <v/>
      </c>
      <c r="BN389" s="385" t="str">
        <f>IF(ISNUMBER( SnapshotTable[[#This Row],[LP Term]]), SnapshotTable[[#This Row],[LP Exp Date]] - MockToday,"")</f>
        <v/>
      </c>
      <c r="BO389" s="163"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7"/>
      <c r="BU389" s="13"/>
      <c r="BV389" s="5"/>
      <c r="BW389" s="419" t="b">
        <f>AND(ISNUMBER(SnapshotTable[[#This Row],[SP Exp Date]]), ISNUMBER(SnapshotTable[[#This Row],[SP Strike Price]]), ISNUMBER(SnapshotTable[[#This Row],[SP Qty]]), ISNUMBER(SnapshotTable[[#This Row],[SP Book Date]]), ISNUMBER(SnapshotTable[[#This Row],[SP Book Price]]))</f>
        <v>0</v>
      </c>
      <c r="BX389" s="419" t="b">
        <f>AND(SnapshotTable[[#This Row],[SP Is Booked]], NOT(ISBLANK(SnapshotTable[[#This Row],[SP Fill Date]])))</f>
        <v>0</v>
      </c>
      <c r="BY389" s="33">
        <f>IF(SnapshotTable[[#This Row],[SP Is Booked]], SnapshotTable[[#This Row],[SP Qty]] * SnapshotTable[[#This Row],[SP Book Price]] * 100, 0)</f>
        <v>0</v>
      </c>
      <c r="BZ389" s="369"/>
      <c r="CA389" s="368">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3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44"/>
      <c r="CK389" s="31">
        <f>IF(ISNUMBER(SnapshotTable[[#This Row],[SP Potential Spend]]),IF(ISNUMBER(SnapshotTable[[#This Row],[SP POW]]), SnapshotTable[[#This Row],[SP POW]] * SnapshotTable[[#This Row],[SP Potential Spend]], SnapshotTable[[#This Row],[SP Potential Spend]]), "")</f>
        <v>0</v>
      </c>
      <c r="CL389" s="164">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78"/>
      <c r="CO389" s="369"/>
      <c r="CP389" s="4" t="str">
        <f>IF(SnapshotTable[[#This Row],[SP Is Filled]], btc_max_buyback_amount(SnapshotTable[[#This Row],[SP Fill Date]],SnapshotTable[[#This Row],[SP Exp Date]], SnapshotTable[[#This Row],[SP Book Price]]),"")</f>
        <v/>
      </c>
      <c r="CQ389" s="78"/>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5" t="str">
        <f>IF(SnapshotTable[[#This Row],[SP Is Filled]], btc_next_cutoff_date(SnapshotTable[[#This Row],[SP Fill Date]],SnapshotTable[[#This Row],[SP Exp Date]]),"")</f>
        <v/>
      </c>
      <c r="CT389" s="23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43"/>
      <c r="CV389" s="235"/>
      <c r="CW389" s="378"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294" t="str">
        <f>IF(ISNUMBER((SnapshotTable[[#This Row],[SP Total Value]])), SnapshotTable[[#This Row],[SP Gain Loss]] / SnapshotTable[[#This Row],[SP Premium]], "")</f>
        <v/>
      </c>
      <c r="DI389" s="406"/>
      <c r="DJ389" s="138"/>
      <c r="DK389" s="148"/>
      <c r="DL389" s="13"/>
      <c r="DM389" s="13"/>
      <c r="DO389" s="31">
        <f>IF(SnapshotTable[[#This Row],[LC Symbol Count]]=1, SnapshotTable[[#This Row],[LC Qty]] * SnapshotTable[[#This Row],[LC Book Price]] * 100, 0)</f>
        <v>0</v>
      </c>
      <c r="DP389" s="163" t="str">
        <f>IF(AND(SnapshotTable[[#This Row],[LC Exp Date]]&gt;0, SnapshotTable[[#This Row],[LC Strike Price]]&gt;0,SnapshotTable[[#This Row],[LC Qty]]&gt;0,SnapshotTable[[#This Row],[LC Book Date]]&gt;0,SnapshotTable[[#This Row],[LC Book Price]]&gt;0,SnapshotTable[[#This Row],[LC Fill Date]]=0),"Y","")</f>
        <v/>
      </c>
      <c r="DQ389" s="386" t="str">
        <f>IF(SnapshotTable[[#This Row],[LC Premium]] &gt; 0,SnapshotTable[[#This Row],[LC Exp Date]]-MAX(SnapshotTable[[#This Row],[LC Book Date]], SnapshotTable[[#This Row],[LC Fill Date]]),"")</f>
        <v/>
      </c>
      <c r="DR389" s="386" t="str">
        <f>IF(ISNUMBER(SnapshotTable[[#This Row],[LC Term]]), SnapshotTable[[#This Row],[LC Exp Date]] - MockToday, "")</f>
        <v/>
      </c>
      <c r="DS389" s="23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40" t="str">
        <f>IF(ISNUMBER(SnapshotTable[[#This Row],[LC Actual Gain Loss]]), SnapshotTable[[#This Row],[LC Actual Gain Loss]] / SnapshotTable[[#This Row],[LC Premium]],"")</f>
        <v/>
      </c>
      <c r="DX389" s="284" t="str">
        <f>IF(ISNUMBER(SnapshotTable[[#This Row],[LC Book Price]]),SnapshotTable[[#This Row],[LC Book Price]] * 1.5,"")</f>
        <v/>
      </c>
      <c r="DY389" s="265" t="str">
        <f>IF(SnapshotTable[[#This Row],[LC Premium]]&gt;0, SnapshotTable[[#This Row],[LC Next Target]] * SnapshotTable[[#This Row],[LC Qty]] * 100,"")</f>
        <v/>
      </c>
      <c r="DZ389" s="265" t="str">
        <f>IF(ISNUMBER(SnapshotTable[[#This Row],[LC Target Gross]]), SnapshotTable[[#This Row],[LC Target Gross]] - SnapshotTable[[#This Row],[LC Premium]], "")</f>
        <v/>
      </c>
      <c r="EA389" s="305" t="str">
        <f>IF(ISNUMBER(SnapshotTable[[#This Row],[LC Target Gain Loss]]), SnapshotTable[[#This Row],[LC Target Gain Loss]]/SnapshotTable[[#This Row],[LC Premium]], "")</f>
        <v/>
      </c>
      <c r="EB389" s="262"/>
      <c r="EC389" s="283" t="str">
        <f>IF(SnapshotTable[[#This Row],[LC Premium]]&gt;0, SnapshotTable[[#This Row],[LC Book Price]] * (1 - LC_StopLoss_Pct),"")</f>
        <v/>
      </c>
      <c r="ED389" s="284"/>
      <c r="EE389" s="28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4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1</v>
      </c>
      <c r="EK389" s="147"/>
      <c r="EL389" s="138"/>
      <c r="EM389" s="148"/>
      <c r="EN389" s="147"/>
      <c r="EO389" s="147"/>
      <c r="EP389" s="138"/>
      <c r="EQ389" s="419" t="b">
        <f>AND(ISNUMBER(SnapshotTable[[#This Row],[SC Exp Date]]), ISNUMBER(SnapshotTable[[#This Row],[SC Strike Price]]), ISNUMBER(SnapshotTable[[#This Row],[SC Qty]]), ISNUMBER(SnapshotTable[[#This Row],[SC Book Date]]), ISNUMBER(SnapshotTable[[#This Row],[SC Book Price]]))</f>
        <v>0</v>
      </c>
      <c r="ER389" s="419" t="b">
        <f>AND(SnapshotTable[[#This Row],[SC Is Booked]], NOT(ISBLANK(SnapshotTable[[#This Row],[SC Fill Date]])))</f>
        <v>0</v>
      </c>
      <c r="ES389" s="370">
        <v>0.35</v>
      </c>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3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283"/>
      <c r="FA389" s="218"/>
      <c r="FB389" s="370"/>
      <c r="FC389" s="4">
        <f>IF(SnapshotTable[[#This Row],[SC Is Filled]], btc_max_buyback_amount(SnapshotTable[[#This Row],[SC Fill Date]],SnapshotTable[[#This Row],[SC Exp Date]], SnapshotTable[[#This Row],[SC Book Price]]),0)</f>
        <v>0</v>
      </c>
      <c r="FD389" s="5"/>
      <c r="FE389" s="144"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382">
        <f>IF(SnapshotTable[[#This Row],[SC Is Filled]], IF(ISNUMBER(SnapshotTable[[#This Row],[SC Current Ask]]), SnapshotTable[[#This Row],[SC Current Ask]], SnapshotTable[[#This Row],[SC Book Price]]) - SnapshotTable[[#This Row],[SC Intrinsic Value]], 0)</f>
        <v>0</v>
      </c>
      <c r="FI389" s="143"/>
      <c r="FJ389" s="32" t="str">
        <f>IF(SnapshotTable[[#This Row],[SC Is Filled]],100 * SnapshotTable[[#This Row],[SC Qty]] * IF(ISNUMBER(SnapshotTable[[#This Row],[SC Buyback Override]]), SnapshotTable[[#This Row],[SC Buyback Override]], SnapshotTable[[#This Row],[SC Current Ask]]), "")</f>
        <v/>
      </c>
      <c r="FK389" s="250" t="str">
        <f>IF(SnapshotTable[[#This Row],[SC Time Val]]&gt;0, SnapshotTable[[#This Row],[SC Time Val]] / SnapshotTable[[#This Row],[Last Price]],"")</f>
        <v/>
      </c>
      <c r="FL389" s="302" t="str">
        <f>IF(SnapshotTable[[#This Row],[SC Is Booked]], ((SnapshotTable[[#This Row],[Last Price]] -SnapshotTable[[#This Row],[SC Strike Price]]) / SnapshotTable[[#This Row],[Last Price]]) * -1, "")</f>
        <v/>
      </c>
      <c r="FM389" s="157" t="str">
        <f>IF(SnapshotTable[[#This Row],[SC Is Booked]],  (SnapshotTable[[#This Row],[SC Qty]] * 100 * SnapshotTable[[#This Row],[SC Strike Price]]) - SnapshotTable[[#This Row],[SC Current Ask]], "")</f>
        <v/>
      </c>
      <c r="FN3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31"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33"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36" t="str">
        <f>IF(AND(ISNUMBER(SnapshotTable[[#This Row],[SC Simple ROO]]),SnapshotTable[[#This Row],[SC Simple ROO]] &gt; 0), SnapshotTable[[#This Row],[SC Premium]] + (SnapshotTable[[#This Row],[SC Qty]] * SnapshotTable[[#This Row],[SC Upside Potential]]), "")</f>
        <v/>
      </c>
      <c r="FX389" s="302" t="str" cm="1">
        <f t="array" ref="FX389">IF(ISNUMBER(SnapshotTable[[#This Row],[SC Max Dollars]]), annualize(SnapshotTable[[#This Row],[SC Term]],(SnapshotTable[[#This Row],[SC Max Dollars]]/SnapshotTable[[#This Row],[SC Basis]])),"")</f>
        <v/>
      </c>
      <c r="FY389" s="23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294" t="str">
        <f>IFERROR( IF(ISNUMBER((SnapshotTable[[#This Row],[SC Current Value]])), SnapshotTable[[#This Row],[SC Gain Loss]] / SnapshotTable[[#This Row],[SC Premium]], ""), "")</f>
        <v/>
      </c>
      <c r="GB389" s="42">
        <f>SnapshotTable[[#This Row],[Equity Shares]] * SaleSharesToConsiderPercentage</f>
        <v>20</v>
      </c>
      <c r="GC389" s="40">
        <f>SnapshotTable[[#This Row],[Long Term Target]] * SellingPriceToConsiderBasedOnTargetPercentage</f>
        <v>0</v>
      </c>
      <c r="GD389" s="40">
        <f>SnapshotTable[[#This Row],[Last Price]] * (1+ SellingPriceToConsiderBasedOnTargetPercentage)</f>
        <v>17.491500000000002</v>
      </c>
      <c r="GE389" s="41"/>
      <c r="GF389" s="40"/>
      <c r="GG389" s="31">
        <f>SnapshotTable[[#This Row],[Booked Sale Shares]] * SnapshotTable[[#This Row],[Booked Sale Price]]</f>
        <v>0</v>
      </c>
      <c r="GH389" s="31">
        <f>IF(SnapshotTable[[#This Row],[Equity Basis Total]] &gt; 0, SnapshotTable[[#This Row],[Equity Basis Per Share]] * SnapshotTable[[#This Row],[Booked Sale Shares]], "")</f>
        <v>0</v>
      </c>
      <c r="GI389" s="31">
        <f>IF(SnapshotTable[[#This Row],[Sale Proceeds]]&gt;0, SnapshotTable[[#This Row],[Sale Proceeds]] - SnapshotTable[[#This Row],[Sale Basis]], 0)</f>
        <v>0</v>
      </c>
      <c r="GJ389" s="27" t="str">
        <f>IF(SnapshotTable[[#This Row],[Sale G/L]]&gt;0, SnapshotTable[[#This Row],[Sale G/L]] / SnapshotTable[[#This Row],[Sale Basis]], IF(ISNUMBER(SnapshotTable[[#This Row],[SC Exercise P&amp;L (TAX)]]), SnapshotTable[[#This Row],[SC Exercise P&amp;L (TAX)]] / SnapshotTable[[#This Row],[SC Basis]], ""))</f>
        <v/>
      </c>
      <c r="GK389" s="27"/>
      <c r="GL389" s="43"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43" t="str">
        <f>IF(AND(SnapshotTable[[#This Row],[LC Exp Date]]&gt;0,SnapshotTable[[#This Row],[LC Strike Price]]&gt;0), [1]!ToOptionSymbol(SnapshotTable[[#This Row],[Symbol]], SnapshotTable[[#This Row],[LC Strike Price]],SnapshotTable[[#This Row],[LC Exp Date]],0), "")</f>
        <v/>
      </c>
      <c r="GQ389" s="30" t="str">
        <f>IF(LEN(SnapshotTable[[#This Row],[LC Symbol]])&gt;0, 1, "")</f>
        <v/>
      </c>
      <c r="GR389" s="43" t="str">
        <f>IF(AND(SnapshotTable[[#This Row],[SC Exp Date]]&gt;0,SnapshotTable[[#This Row],[SC Strike Price]]&gt;0), [1]!ToOptionSymbol(SnapshotTable[[#This Row],[Symbol]], SnapshotTable[[#This Row],[SC Strike Price]],SnapshotTable[[#This Row],[SC Exp Date]],0), "")</f>
        <v/>
      </c>
      <c r="GS389" s="30" t="str">
        <f>IF(LEN(SnapshotTable[[#This Row],[SC Symbol]])&gt;0, 1, "")</f>
        <v/>
      </c>
      <c r="GT389" s="29"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89" s="231">
        <f>MAX(SnapshotTable[[#This Row],[Equity Basis Total]],SnapshotTable[[#This Row],[Equity Value]]) + (SnapshotTable[[#This Row],[SP Potential Spend]]- SnapshotTable[[#This Row],[SP Premium]] + SnapshotTable[[#This Row],[LP Premium]])+ (SnapshotTable[[#This Row],[LC Premium]] - SnapshotTable[[#This Row],[SC Premium]])</f>
        <v>985</v>
      </c>
      <c r="GW389" s="139">
        <f ca="1">IF(AND(SnapshotTable[[#This Row],[Exposure]] &lt;&gt; 0),SnapshotTable[[#This Row],[Exposure]] / SnapshotTable[[#Totals],[Exposure]], "")</f>
        <v>4.6364426463101262E-3</v>
      </c>
      <c r="HK389" s="1"/>
      <c r="HL389" s="1"/>
      <c r="HM389" s="1"/>
      <c r="HN389" s="1"/>
      <c r="HO389" s="1"/>
      <c r="HP389" s="1"/>
    </row>
    <row r="390" spans="2:224" ht="12.75" customHeight="1" x14ac:dyDescent="0.25">
      <c r="B390" s="12" t="s">
        <v>1256</v>
      </c>
      <c r="C390" s="387">
        <v>16.149999999999999</v>
      </c>
      <c r="D390" s="208" t="s">
        <v>258</v>
      </c>
      <c r="E390" s="39">
        <f>SnapshotTable[[#This Row],[Last Price]]*(1 -CrashDiscount)</f>
        <v>13.727499999999999</v>
      </c>
      <c r="F390" s="26" t="s">
        <v>183</v>
      </c>
      <c r="G390" s="26" t="s">
        <v>4</v>
      </c>
      <c r="H390" s="149"/>
      <c r="I390" s="194">
        <v>44851.260416666664</v>
      </c>
      <c r="J390" s="195">
        <v>44851.260416666664</v>
      </c>
      <c r="K390" s="196"/>
      <c r="L390" s="326"/>
      <c r="M390" s="140"/>
      <c r="N390" s="140"/>
      <c r="O390" s="140"/>
      <c r="P390" s="22">
        <v>1000</v>
      </c>
      <c r="Q390" s="22">
        <v>22000</v>
      </c>
      <c r="R390" s="4">
        <f>IF(SnapshotTable[[#This Row],[Equity Basis Total]] &gt; 0, SnapshotTable[[#This Row],[Equity Basis Total]] / SnapshotTable[[#This Row],[Equity Shares]], "")</f>
        <v>22</v>
      </c>
      <c r="S390" s="269">
        <f>SnapshotTable[[#This Row],[Last Price]] * SnapshotTable[[#This Row],[Equity Shares]]</f>
        <v>16149.999999999998</v>
      </c>
      <c r="T390" s="269">
        <f>SnapshotTable[[#This Row],[Equity Value]] - SnapshotTable[[#This Row],[Equity Basis Total]]</f>
        <v>-5850.0000000000018</v>
      </c>
      <c r="U390" s="270">
        <f>IF(SnapshotTable[[#This Row],[Equity Basis Total]] &gt; 0, SnapshotTable[[#This Row],[Equity G/L]] / SnapshotTable[[#This Row],[Equity Basis Total]], "")</f>
        <v>-0.26590909090909098</v>
      </c>
      <c r="V390" s="268">
        <v>36</v>
      </c>
      <c r="W390" s="334">
        <v>16.399999999999999</v>
      </c>
      <c r="X390" s="4">
        <f>IF(AND(ISNUMBER(SnapshotTable[[#This Row],[Equity Basis Per Share]]),ISNUMBER(SnapshotTable[[#This Row],[Equity Target]])),SnapshotTable[[#This Row],[Equity Target]]-SnapshotTable[[#This Row],[Equity Basis Per Share]],"")</f>
        <v>14</v>
      </c>
      <c r="Y390" s="4">
        <f>IF(AND(ISNUMBER(SnapshotTable[[#This Row],[Equity Basis Per Share]]),ISNUMBER(SnapshotTable[[#This Row],[Equity Stop Loss]])),SnapshotTable[[#This Row],[Equity Stop Loss]]-SnapshotTable[[#This Row],[Equity Basis Per Share]],"")</f>
        <v>-5.6000000000000014</v>
      </c>
      <c r="Z390" s="275" t="str">
        <f>IFERROR( TEXT(SnapshotTable[[#This Row],[Equity Max Gain Per Share]] /ABS( SnapshotTable[[#This Row],[Equity Max Loss Per Share]]),"0.0 " ) &amp; " : 1", "")</f>
        <v>2.5  : 1</v>
      </c>
      <c r="AA390" s="31">
        <f>IF(ISNUMBER(SnapshotTable[[#This Row],[Equity Max Gain Per Share]]),SnapshotTable[[#This Row],[Equity Max Gain Per Share]] * SnapshotTable[[#This Row],[Equity Shares]],"")</f>
        <v>14000</v>
      </c>
      <c r="AB390" s="31">
        <f>IF(ISNUMBER(SnapshotTable[[#This Row],[Equity Max Loss Per Share]]),SnapshotTable[[#This Row],[Equity Max Loss Per Share]] * SnapshotTable[[#This Row],[Equity Shares]],"")</f>
        <v>-5600.0000000000018</v>
      </c>
      <c r="AC390" s="150"/>
      <c r="AD390" s="151"/>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1"/>
      <c r="AI390" s="5"/>
      <c r="AJ390" s="138">
        <v>40</v>
      </c>
      <c r="AK390" s="152" t="str">
        <f>IF(ISNUMBER( SnapshotTable[[#This Row],[EBF Target]]),(SnapshotTable[[#This Row],[EBF Target]] - SnapshotTable[[#This Row],[Last Price]]) / SnapshotTable[[#This Row],[Last Price]], "")</f>
        <v/>
      </c>
      <c r="AL390" s="152">
        <f>IF(AND(SnapshotTable[[#This Row],[Equity Basis Total]] &gt; 0,ISNUMBER( SnapshotTable[[#This Row],[Long Term Target]])), SnapshotTable[[#This Row],[From Basis $]] / SnapshotTable[[#This Row],[Equity Basis Total]], "")</f>
        <v>0.81818181818181823</v>
      </c>
      <c r="AM390" s="9">
        <f>IF( AND(SnapshotTable[[#This Row],[Equity Shares]] &gt;0,ISNUMBER( SnapshotTable[[#This Row],[Long Term Target]])),(SnapshotTable[[#This Row],[Equity Shares]] * SnapshotTable[[#This Row],[Long Term Target]]) - SnapshotTable[[#This Row],[Equity Basis Total]],0)</f>
        <v>18000</v>
      </c>
      <c r="AN390" s="9">
        <f>IF( AND(SnapshotTable[[#This Row],[Equity Shares]] &gt;0,ISNUMBER( SnapshotTable[[#This Row],[Long Term Target]])),(SnapshotTable[[#This Row],[Equity Shares]]*SnapshotTable[[#This Row],[Long Term Target]]) - SnapshotTable[[#This Row],[Equity Value]],0)</f>
        <v>23850</v>
      </c>
      <c r="AO390" s="152">
        <f>IF(AND(ISNUMBER( SnapshotTable[[#This Row],[Long Term Target]]), ISNUMBER(SnapshotTable[[#This Row],[Last Price]])),(SnapshotTable[[#This Row],[Long Term Target]] - SnapshotTable[[#This Row],[Last Price]]) / SnapshotTable[[#This Row],[Last Price]], "")</f>
        <v>1.4767801857585141</v>
      </c>
      <c r="AP390" s="5"/>
      <c r="AQ390" s="38"/>
      <c r="AR390" s="5"/>
      <c r="AS390" s="38"/>
      <c r="AT390" s="146"/>
      <c r="AU390" s="187" t="str">
        <f ca="1">IF(OR(SnapshotTable[[#This Row],[LP No Fill]]="Y",SnapshotTable[[#This Row],[SP Is Filled]],SnapshotTable[[#This Row],[LC Not Filled]]="Y",SnapshotTable[[#This Row],[SC Is Filled]]),"Y","")</f>
        <v>Y</v>
      </c>
      <c r="AV390" s="219"/>
      <c r="AW390" s="225"/>
      <c r="AX390" s="220"/>
      <c r="AY390" s="219" t="str">
        <f>IF(SnapshotTable[[#This Row],[Implied Move]]&gt;0, SnapshotTable[[#This Row],[Last Price]]-SnapshotTable[[#This Row],[Implied Move]],"")</f>
        <v/>
      </c>
      <c r="AZ390" s="219" t="str">
        <f>IF(SnapshotTable[[#This Row],[Implied Move]]&gt;0, SnapshotTable[[#This Row],[Last Price]] + SnapshotTable[[#This Row],[Implied Move]],"")</f>
        <v/>
      </c>
      <c r="BA390" s="331">
        <v>21.97</v>
      </c>
      <c r="BB390" s="347"/>
      <c r="BC390" s="37">
        <f ca="1">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390" s="351"/>
      <c r="BE390" s="138"/>
      <c r="BF390" s="166"/>
      <c r="BG390" s="167"/>
      <c r="BH390" s="167"/>
      <c r="BI390" s="221"/>
      <c r="BJ390" s="153">
        <f>IF(SnapshotTable[[#This Row],[LP Qty]] &gt; 0, SnapshotTable[[#This Row],[LP Qty]] * SnapshotTable[[#This Row],[LP Book Price]] * 100,0)</f>
        <v>0</v>
      </c>
      <c r="BK390" s="136">
        <f>IF(SnapshotTable[[#This Row],[LP Premium]] &gt; 0, SnapshotTable[[#This Row],[LP Qty]] * SnapshotTable[[#This Row],[LP Strike Price]] * 100,0)</f>
        <v>0</v>
      </c>
      <c r="BL390" s="154"/>
      <c r="BM390" s="385" t="str">
        <f>IF(SnapshotTable[[#This Row],[LP Premium]] &gt; 0,SnapshotTable[[#This Row],[LP Exp Date]]-MAX(SnapshotTable[[#This Row],[LP Book Date]], SnapshotTable[[#This Row],[LP Fill Date]]),"")</f>
        <v/>
      </c>
      <c r="BN390" s="385" t="str">
        <f>IF(ISNUMBER( SnapshotTable[[#This Row],[LP Term]]), SnapshotTable[[#This Row],[LP Exp Date]] - MockToday,"")</f>
        <v/>
      </c>
      <c r="BO390" s="163"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7"/>
      <c r="BU390" s="13"/>
      <c r="BV390" s="5"/>
      <c r="BW390" s="419" t="b">
        <f>AND(ISNUMBER(SnapshotTable[[#This Row],[SP Exp Date]]), ISNUMBER(SnapshotTable[[#This Row],[SP Strike Price]]), ISNUMBER(SnapshotTable[[#This Row],[SP Qty]]), ISNUMBER(SnapshotTable[[#This Row],[SP Book Date]]), ISNUMBER(SnapshotTable[[#This Row],[SP Book Price]]))</f>
        <v>0</v>
      </c>
      <c r="BX390" s="419" t="b">
        <f>AND(SnapshotTable[[#This Row],[SP Is Booked]], NOT(ISBLANK(SnapshotTable[[#This Row],[SP Fill Date]])))</f>
        <v>0</v>
      </c>
      <c r="BY390" s="33">
        <f>IF(SnapshotTable[[#This Row],[SP Is Booked]], SnapshotTable[[#This Row],[SP Qty]] * SnapshotTable[[#This Row],[SP Book Price]] * 100, 0)</f>
        <v>0</v>
      </c>
      <c r="BZ390" s="369"/>
      <c r="CA390" s="368">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3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44"/>
      <c r="CK390" s="31">
        <f>IF(ISNUMBER(SnapshotTable[[#This Row],[SP Potential Spend]]),IF(ISNUMBER(SnapshotTable[[#This Row],[SP POW]]), SnapshotTable[[#This Row],[SP POW]] * SnapshotTable[[#This Row],[SP Potential Spend]], SnapshotTable[[#This Row],[SP Potential Spend]]), "")</f>
        <v>0</v>
      </c>
      <c r="CL390" s="164">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154"/>
      <c r="CO390" s="369"/>
      <c r="CP390" s="4" t="str">
        <f>IF(SnapshotTable[[#This Row],[SP Is Filled]], btc_max_buyback_amount(SnapshotTable[[#This Row],[SP Fill Date]],SnapshotTable[[#This Row],[SP Exp Date]], SnapshotTable[[#This Row],[SP Book Price]]),"")</f>
        <v/>
      </c>
      <c r="CQ390" s="78"/>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5" t="str">
        <f>IF(SnapshotTable[[#This Row],[SP Is Filled]], btc_next_cutoff_date(SnapshotTable[[#This Row],[SP Fill Date]],SnapshotTable[[#This Row],[SP Exp Date]]),"")</f>
        <v/>
      </c>
      <c r="CT390" s="23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3"/>
      <c r="CV390" s="235"/>
      <c r="CW390" s="378"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294" t="str">
        <f>IF(ISNUMBER((SnapshotTable[[#This Row],[SP Total Value]])), SnapshotTable[[#This Row],[SP Gain Loss]] / SnapshotTable[[#This Row],[SP Premium]], "")</f>
        <v/>
      </c>
      <c r="DI390" s="406"/>
      <c r="DJ390" s="138"/>
      <c r="DK390" s="148"/>
      <c r="DL390" s="147"/>
      <c r="DM390" s="147"/>
      <c r="DO390" s="31">
        <f>IF(SnapshotTable[[#This Row],[LC Symbol Count]]=1, SnapshotTable[[#This Row],[LC Qty]] * SnapshotTable[[#This Row],[LC Book Price]] * 100, 0)</f>
        <v>0</v>
      </c>
      <c r="DP390" s="163" t="str">
        <f>IF(AND(SnapshotTable[[#This Row],[LC Exp Date]]&gt;0, SnapshotTable[[#This Row],[LC Strike Price]]&gt;0,SnapshotTable[[#This Row],[LC Qty]]&gt;0,SnapshotTable[[#This Row],[LC Book Date]]&gt;0,SnapshotTable[[#This Row],[LC Book Price]]&gt;0,SnapshotTable[[#This Row],[LC Fill Date]]=0),"Y","")</f>
        <v/>
      </c>
      <c r="DQ390" s="386" t="str">
        <f>IF(SnapshotTable[[#This Row],[LC Premium]] &gt; 0,SnapshotTable[[#This Row],[LC Exp Date]]-MAX(SnapshotTable[[#This Row],[LC Book Date]], SnapshotTable[[#This Row],[LC Fill Date]]),"")</f>
        <v/>
      </c>
      <c r="DR390" s="386" t="str">
        <f>IF(ISNUMBER(SnapshotTable[[#This Row],[LC Term]]), SnapshotTable[[#This Row],[LC Exp Date]] - MockToday, "")</f>
        <v/>
      </c>
      <c r="DS390" s="23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40" t="str">
        <f>IF(ISNUMBER(SnapshotTable[[#This Row],[LC Actual Gain Loss]]), SnapshotTable[[#This Row],[LC Actual Gain Loss]] / SnapshotTable[[#This Row],[LC Premium]],"")</f>
        <v/>
      </c>
      <c r="DX390" s="284" t="str">
        <f>IF(ISNUMBER(SnapshotTable[[#This Row],[LC Book Price]]),SnapshotTable[[#This Row],[LC Book Price]] * 1.5,"")</f>
        <v/>
      </c>
      <c r="DY390" s="265" t="str">
        <f>IF(SnapshotTable[[#This Row],[LC Premium]]&gt;0, SnapshotTable[[#This Row],[LC Next Target]] * SnapshotTable[[#This Row],[LC Qty]] * 100,"")</f>
        <v/>
      </c>
      <c r="DZ390" s="265" t="str">
        <f>IF(ISNUMBER(SnapshotTable[[#This Row],[LC Target Gross]]), SnapshotTable[[#This Row],[LC Target Gross]] - SnapshotTable[[#This Row],[LC Premium]], "")</f>
        <v/>
      </c>
      <c r="EA390" s="305" t="str">
        <f>IF(ISNUMBER(SnapshotTable[[#This Row],[LC Target Gain Loss]]), SnapshotTable[[#This Row],[LC Target Gain Loss]]/SnapshotTable[[#This Row],[LC Premium]], "")</f>
        <v/>
      </c>
      <c r="EB390" s="262"/>
      <c r="EC390" s="283" t="str">
        <f>IF(SnapshotTable[[#This Row],[LC Premium]]&gt;0, SnapshotTable[[#This Row],[LC Book Price]] * (1 - LC_StopLoss_Pct),"")</f>
        <v/>
      </c>
      <c r="ED390" s="284"/>
      <c r="EE390" s="28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4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10</v>
      </c>
      <c r="EK390" s="147">
        <f ca="1">NextMonthlyOpex</f>
        <v>46255</v>
      </c>
      <c r="EL390" s="138">
        <v>18</v>
      </c>
      <c r="EM390" s="148">
        <v>10</v>
      </c>
      <c r="EN390" s="147">
        <f ca="1">WORKDAY(MockToday, 0)</f>
        <v>46233</v>
      </c>
      <c r="EO390" s="147">
        <f ca="1">SnapshotTable[[#This Row],[SC Book Date]]</f>
        <v>46233</v>
      </c>
      <c r="EP390" s="138">
        <v>1</v>
      </c>
      <c r="EQ390" s="419" t="b">
        <f ca="1">AND(ISNUMBER(SnapshotTable[[#This Row],[SC Exp Date]]), ISNUMBER(SnapshotTable[[#This Row],[SC Strike Price]]), ISNUMBER(SnapshotTable[[#This Row],[SC Qty]]), ISNUMBER(SnapshotTable[[#This Row],[SC Book Date]]), ISNUMBER(SnapshotTable[[#This Row],[SC Book Price]]))</f>
        <v>1</v>
      </c>
      <c r="ER390" s="419" t="b">
        <f ca="1">AND(SnapshotTable[[#This Row],[SC Is Booked]], NOT(ISBLANK(SnapshotTable[[#This Row],[SC Fill Date]])))</f>
        <v>1</v>
      </c>
      <c r="ES390" s="370">
        <v>0.34</v>
      </c>
      <c r="ET390" s="34">
        <f ca="1">IF(AND(ISNUMBER(SnapshotTable[[#This Row],[SC Exp Date]]), ISNUMBER(SnapshotTable[[#This Row],[SC Book Date]])), SnapshotTable[[#This Row],[SC Exp Date]] - MAX(SnapshotTable[[#This Row],[SC Book Date]], SnapshotTable[[#This Row],[SC Fill Date]]) + 1, "")</f>
        <v>23</v>
      </c>
      <c r="EU390" s="34">
        <f ca="1">IF(ISNUMBER(SnapshotTable[[#This Row],[SC Term]]), SnapshotTable[[#This Row],[SC Exp Date]]- MockToday, "")</f>
        <v>22</v>
      </c>
      <c r="EV390" s="31">
        <f ca="1">IF(SnapshotTable[[#This Row],[SC Is Booked]], SnapshotTable[[#This Row],[SC Qty]] * SnapshotTable[[#This Row],[SC Book Price]] * 100, 0)</f>
        <v>1000</v>
      </c>
      <c r="EW390" s="4">
        <f>IF(AND(ISNUMBER(SnapshotTable[[#This Row],[Last Price]]), ISNUMBER( SnapshotTable[[#This Row],[SC Book Price]])), SnapshotTable[[#This Row],[Last Price]] - SnapshotTable[[#This Row],[SC Book Price]],"")</f>
        <v>15.149999999999999</v>
      </c>
      <c r="EX390" s="234">
        <f ca="1">IF(SnapshotTable[[#This Row],[SC Is Booked]],IF(SnapshotTable[[#This Row],[SC Intrinsic Value]] &gt; 0, SnapshotTable[[#This Row],[SC Strike Price]], SnapshotTable[[#This Row],[Last Price]]), "")</f>
        <v>16.149999999999999</v>
      </c>
      <c r="EY390" s="4">
        <f ca="1">IF(SnapshotTable[[#This Row],[SC Is Booked]], (MinimumPremiumRequired * SnapshotTable[[#This Row],[SC Basis]] * SnapshotTable[[#This Row],[SC Term]]), 0)</f>
        <v>0.37144999999999995</v>
      </c>
      <c r="EZ390" s="283"/>
      <c r="FA390" s="218">
        <v>0.69</v>
      </c>
      <c r="FB390" s="370">
        <v>0.32</v>
      </c>
      <c r="FC390" s="4" t="e">
        <f ca="1">IF(SnapshotTable[[#This Row],[SC Is Filled]], btc_max_buyback_amount(SnapshotTable[[#This Row],[SC Fill Date]],SnapshotTable[[#This Row],[SC Exp Date]], SnapshotTable[[#This Row],[SC Book Price]]),0)</f>
        <v>#NAME?</v>
      </c>
      <c r="FD390" s="5"/>
      <c r="FE390" s="144" t="e">
        <f ca="1">IF(SnapshotTable[[#This Row],[SC Is Filled]], btc_next_cutoff_date(SnapshotTable[[#This Row],[SC Fill Date]],SnapshotTable[[#This Row],[SC Exp Date]]),"")</f>
        <v>#NAME?</v>
      </c>
      <c r="FF390" s="4" t="e" cm="1">
        <f t="array" aca="1" ref="FF390" ca="1">IF(SnapshotTable[[#This Row],[SC Is Filled]], btc_should_buy_back(SnapshotTable[[#This Row],[SC Fill Date]], SnapshotTable[[#This Row],[SC Exp Date]], SnapshotTable[[#This Row],[SC Book Price]], SnapshotTable[[#This Row],[SC Current Ask]], MockToday, SnapshotTable[[#This Row],[SC Buyback Override]]),"")</f>
        <v>#NAME?</v>
      </c>
      <c r="FG390" s="4">
        <f ca="1">IF(SnapshotTable[[#This Row],[SC Is Filled]], MAX(0,SnapshotTable[[#This Row],[Last Price]]  - SnapshotTable[[#This Row],[SC Strike Price]]), 0)</f>
        <v>0</v>
      </c>
      <c r="FH390" s="382">
        <f ca="1">IF(SnapshotTable[[#This Row],[SC Is Filled]], IF(ISNUMBER(SnapshotTable[[#This Row],[SC Current Ask]]), SnapshotTable[[#This Row],[SC Current Ask]], SnapshotTable[[#This Row],[SC Book Price]]) - SnapshotTable[[#This Row],[SC Intrinsic Value]], 0)</f>
        <v>0.69</v>
      </c>
      <c r="FI390" s="143">
        <v>46255</v>
      </c>
      <c r="FJ390" s="32">
        <f ca="1">IF(SnapshotTable[[#This Row],[SC Is Filled]],100 * SnapshotTable[[#This Row],[SC Qty]] * IF(ISNUMBER(SnapshotTable[[#This Row],[SC Buyback Override]]), SnapshotTable[[#This Row],[SC Buyback Override]], SnapshotTable[[#This Row],[SC Current Ask]]), "")</f>
        <v>690</v>
      </c>
      <c r="FK390" s="250">
        <f ca="1">IF(SnapshotTable[[#This Row],[SC Time Val]]&gt;0, SnapshotTable[[#This Row],[SC Time Val]] / SnapshotTable[[#This Row],[Last Price]],"")</f>
        <v>4.2724458204334369E-2</v>
      </c>
      <c r="FL390" s="302">
        <f ca="1">IF(SnapshotTable[[#This Row],[SC Is Booked]], ((SnapshotTable[[#This Row],[Last Price]] -SnapshotTable[[#This Row],[SC Strike Price]]) / SnapshotTable[[#This Row],[Last Price]]) * -1, "")</f>
        <v>0.11455108359133137</v>
      </c>
      <c r="FM390" s="157">
        <f ca="1">IF(SnapshotTable[[#This Row],[SC Is Booked]],  (SnapshotTable[[#This Row],[SC Qty]] * 100 * SnapshotTable[[#This Row],[SC Strike Price]]) - SnapshotTable[[#This Row],[SC Current Ask]], "")</f>
        <v>17999.310000000001</v>
      </c>
      <c r="FN390" s="157" t="str">
        <f ca="1">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157">
        <f ca="1">IF(AND(ISNUMBER(SnapshotTable[[#This Row],[SC Exercise Gross]]), ISNUMBER(SnapshotTable[[#This Row],[Equity Basis Per Share]] )), SnapshotTable[[#This Row],[SC Exercise Gross]] - SnapshotTable[[#This Row],[Equity Basis Total]] +  SnapshotTable[[#This Row],[SC Premium]], "")</f>
        <v>-3000.6899999999987</v>
      </c>
      <c r="FP390" s="5">
        <f ca="1">IF(ISNUMBER(SnapshotTable[[#This Row],[SC Exercise Gross]]), (SnapshotTable[[#This Row],[SC Exercise Gross]]) / (SnapshotTable[[#This Row],[SC Qty]] * 100), "")</f>
        <v>17.999310000000001</v>
      </c>
      <c r="FQ390" s="27">
        <f ca="1">IF(SnapshotTable[[#This Row],[SC Is Booked]],SnapshotTable[[#This Row],[SC Time Val]] /SnapshotTable[[#This Row],[SC Basis]], "")</f>
        <v>4.2724458204334369E-2</v>
      </c>
      <c r="FR390" s="27" t="e" cm="1">
        <f t="array" aca="1" ref="FR390" ca="1">IF(AND(ISNUMBER(SnapshotTable[[#This Row],[SC Term]]),ISNUMBER(SnapshotTable[[#This Row],[SC Simple ROO]])), EllmanAnnualize(SnapshotTable[[#This Row],[SC DTE]], SnapshotTable[[#This Row],[SC Simple ROO]] ),"")</f>
        <v>#NAME?</v>
      </c>
      <c r="FS390" s="4">
        <f>IF(SnapshotTable[[#This Row],[SC Strike Price]] &gt; SnapshotTable[[#This Row],[Last Price]], SnapshotTable[[#This Row],[SC Strike Price]] - SnapshotTable[[#This Row],[Last Price]],0)</f>
        <v>1.8500000000000014</v>
      </c>
      <c r="FT390" s="27">
        <f>IF(AND(ISNUMBER(SnapshotTable[[#This Row],[SC Upside Potential]]), SnapshotTable[[#This Row],[SC Upside Potential]] &gt; 0),(SnapshotTable[[#This Row],[SC Upside Potential]]/ SnapshotTable[[#This Row],[ACB]]),"")</f>
        <v>8.4205735093309128E-2</v>
      </c>
      <c r="FU390" s="333" t="str">
        <f ca="1">IF(SnapshotTable[[#This Row],[SC Intrinsic Value]] &gt; 0,SnapshotTable[[#This Row],[SC Intrinsic Value]],"")</f>
        <v/>
      </c>
      <c r="FV390" s="27" t="str">
        <f ca="1">IF(AND( ISNUMBER( SnapshotTable[[#This Row],[ACB]]),ISNUMBER(SnapshotTable[[#This Row],[SC Downside Protect]])),SnapshotTable[[#This Row],[SC Downside Protect]] / SnapshotTable[[#This Row],[ACB]],"")</f>
        <v/>
      </c>
      <c r="FW390" s="236">
        <f ca="1">IF(AND(ISNUMBER(SnapshotTable[[#This Row],[SC Simple ROO]]),SnapshotTable[[#This Row],[SC Simple ROO]] &gt; 0), SnapshotTable[[#This Row],[SC Premium]] + (SnapshotTable[[#This Row],[SC Qty]] * SnapshotTable[[#This Row],[SC Upside Potential]]), "")</f>
        <v>1018.5</v>
      </c>
      <c r="FX390" s="302" t="e" cm="1">
        <f t="array" aca="1" ref="FX390" ca="1">IF(ISNUMBER(SnapshotTable[[#This Row],[SC Max Dollars]]), annualize(SnapshotTable[[#This Row],[SC Term]],(SnapshotTable[[#This Row],[SC Max Dollars]]/SnapshotTable[[#This Row],[SC Basis]])),"")</f>
        <v>#NAME?</v>
      </c>
      <c r="FY390" s="236">
        <f>IF(AND(SnapshotTable[[#This Row],[SC Qty]]&gt;0,SnapshotTable[[#This Row],[SC Current Ask]]&gt;0), SnapshotTable[[#This Row],[SC Qty]] * SnapshotTable[[#This Row],[SC Current Ask]] * -100, "")</f>
        <v>-690</v>
      </c>
      <c r="FZ390" s="235">
        <f ca="1">IF(ISNUMBER((SnapshotTable[[#This Row],[SC Current Value]])), SnapshotTable[[#This Row],[SC Premium]] + SnapshotTable[[#This Row],[SC Current Value]], "")</f>
        <v>310</v>
      </c>
      <c r="GA390" s="294">
        <f ca="1">IFERROR( IF(ISNUMBER((SnapshotTable[[#This Row],[SC Current Value]])), SnapshotTable[[#This Row],[SC Gain Loss]] / SnapshotTable[[#This Row],[SC Premium]], ""), "")</f>
        <v>0.31</v>
      </c>
      <c r="GB390" s="42">
        <f>SnapshotTable[[#This Row],[Equity Shares]] * SaleSharesToConsiderPercentage</f>
        <v>200</v>
      </c>
      <c r="GC390" s="40">
        <f>SnapshotTable[[#This Row],[Long Term Target]] * SellingPriceToConsiderBasedOnTargetPercentage</f>
        <v>38</v>
      </c>
      <c r="GD390" s="40">
        <f>SnapshotTable[[#This Row],[Last Price]] * (1+ SellingPriceToConsiderBasedOnTargetPercentage)</f>
        <v>31.492499999999996</v>
      </c>
      <c r="GE390" s="41"/>
      <c r="GF390" s="40"/>
      <c r="GG390" s="31">
        <f>SnapshotTable[[#This Row],[Booked Sale Shares]] * SnapshotTable[[#This Row],[Booked Sale Price]]</f>
        <v>0</v>
      </c>
      <c r="GH390" s="31">
        <f>IF(SnapshotTable[[#This Row],[Equity Basis Total]] &gt; 0, SnapshotTable[[#This Row],[Equity Basis Per Share]] * SnapshotTable[[#This Row],[Booked Sale Shares]], "")</f>
        <v>0</v>
      </c>
      <c r="GI390" s="31">
        <f>IF(SnapshotTable[[#This Row],[Sale Proceeds]]&gt;0, SnapshotTable[[#This Row],[Sale Proceeds]] - SnapshotTable[[#This Row],[Sale Basis]], 0)</f>
        <v>0</v>
      </c>
      <c r="GJ390" s="158">
        <f ca="1">IF(SnapshotTable[[#This Row],[Sale G/L]]&gt;0, SnapshotTable[[#This Row],[Sale G/L]] / SnapshotTable[[#This Row],[Sale Basis]], IF(ISNUMBER(SnapshotTable[[#This Row],[SC Exercise P&amp;L (TAX)]]), SnapshotTable[[#This Row],[SC Exercise P&amp;L (TAX)]] / SnapshotTable[[#This Row],[SC Basis]], ""))</f>
        <v>-185.80123839009281</v>
      </c>
      <c r="GK390" s="27" t="s">
        <v>1020</v>
      </c>
      <c r="GL390" s="159"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159" t="str">
        <f>IF(AND(SnapshotTable[[#This Row],[LC Exp Date]]&gt;0,SnapshotTable[[#This Row],[LC Strike Price]]&gt;0), [1]!ToOptionSymbol(SnapshotTable[[#This Row],[Symbol]], SnapshotTable[[#This Row],[LC Strike Price]],SnapshotTable[[#This Row],[LC Exp Date]],0), "")</f>
        <v/>
      </c>
      <c r="GQ390" s="160" t="str">
        <f>IF(LEN(SnapshotTable[[#This Row],[LC Symbol]])&gt;0, 1, "")</f>
        <v/>
      </c>
      <c r="GR390" s="159" t="str">
        <f ca="1">IF(AND(SnapshotTable[[#This Row],[SC Exp Date]]&gt;0,SnapshotTable[[#This Row],[SC Strike Price]]&gt;0), [1]!ToOptionSymbol(SnapshotTable[[#This Row],[Symbol]], SnapshotTable[[#This Row],[SC Strike Price]],SnapshotTable[[#This Row],[SC Exp Date]],0), "")</f>
        <v>SOFI260821C00018000</v>
      </c>
      <c r="GS390" s="160">
        <f ca="1">IF(LEN(SnapshotTable[[#This Row],[SC Symbol]])&gt;0, 1, "")</f>
        <v>1</v>
      </c>
      <c r="GT390" s="161" t="str">
        <f ca="1">IF(COUNT(SnapshotTable[[#This Row],[LP Symbol Count]],SnapshotTable[[#This Row],[SP Symbol Count]],SnapshotTable[[#This Row],[LC Symbol Count]],SnapshotTable[[#This Row],[SC Symbol Count]])&gt;0, "Y", "")</f>
        <v>Y</v>
      </c>
      <c r="GU390" s="29" t="str">
        <f ca="1">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0" s="231">
        <f ca="1">MAX(SnapshotTable[[#This Row],[Equity Basis Total]],SnapshotTable[[#This Row],[Equity Value]]) + (SnapshotTable[[#This Row],[SP Potential Spend]]- SnapshotTable[[#This Row],[SP Premium]] + SnapshotTable[[#This Row],[LP Premium]])+ (SnapshotTable[[#This Row],[LC Premium]] - SnapshotTable[[#This Row],[SC Premium]])</f>
        <v>21000</v>
      </c>
      <c r="GW390" s="139">
        <f ca="1">IF(AND(SnapshotTable[[#This Row],[Exposure]] &lt;&gt; 0),SnapshotTable[[#This Row],[Exposure]] / SnapshotTable[[#Totals],[Exposure]], "")</f>
        <v>9.8848015809657519E-2</v>
      </c>
      <c r="HK390" s="1"/>
      <c r="HL390" s="1"/>
      <c r="HM390" s="1"/>
      <c r="HN390" s="1"/>
      <c r="HO390" s="1"/>
      <c r="HP390" s="1"/>
    </row>
    <row r="391" spans="2:224" ht="12.75" hidden="1" customHeight="1" x14ac:dyDescent="0.25">
      <c r="B391" s="12" t="s">
        <v>1148</v>
      </c>
      <c r="C391" s="422">
        <v>1E-4</v>
      </c>
      <c r="D391" s="208" t="s">
        <v>258</v>
      </c>
      <c r="E391" s="39">
        <f>SnapshotTable[[#This Row],[Last Price]]*(1 -CrashDiscount)</f>
        <v>8.5000000000000006E-5</v>
      </c>
      <c r="F391" s="26" t="s">
        <v>1149</v>
      </c>
      <c r="G391" s="325" t="s">
        <v>41</v>
      </c>
      <c r="H391" s="149"/>
      <c r="I391" s="194"/>
      <c r="J391" s="195"/>
      <c r="K391" s="196"/>
      <c r="L391" s="326"/>
      <c r="M391" s="140"/>
      <c r="N391" s="140"/>
      <c r="O391" s="140"/>
      <c r="P391" s="22">
        <v>30000</v>
      </c>
      <c r="Q391" s="25">
        <v>990</v>
      </c>
      <c r="R391" s="4">
        <f>IF(SnapshotTable[[#This Row],[Equity Basis Total]] &gt; 0, SnapshotTable[[#This Row],[Equity Basis Total]] / SnapshotTable[[#This Row],[Equity Shares]], "")</f>
        <v>3.3000000000000002E-2</v>
      </c>
      <c r="S391" s="269">
        <f>SnapshotTable[[#This Row],[Last Price]] * SnapshotTable[[#This Row],[Equity Shares]]</f>
        <v>3</v>
      </c>
      <c r="T391" s="269">
        <f>SnapshotTable[[#This Row],[Equity Value]] - SnapshotTable[[#This Row],[Equity Basis Total]]</f>
        <v>-987</v>
      </c>
      <c r="U391" s="270">
        <f>IF(SnapshotTable[[#This Row],[Equity Basis Total]] &gt; 0, SnapshotTable[[#This Row],[Equity G/L]] / SnapshotTable[[#This Row],[Equity Basis Total]], "")</f>
        <v>-0.99696969696969695</v>
      </c>
      <c r="V391" s="268"/>
      <c r="W391" s="26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7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0"/>
      <c r="AD391" s="151"/>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1"/>
      <c r="AI391" s="5"/>
      <c r="AJ391" s="138"/>
      <c r="AK391" s="152" t="str">
        <f>IF(ISNUMBER( SnapshotTable[[#This Row],[EBF Target]]),(SnapshotTable[[#This Row],[EBF Target]] - SnapshotTable[[#This Row],[Last Price]]) / SnapshotTable[[#This Row],[Last Price]], "")</f>
        <v/>
      </c>
      <c r="AL391" s="152"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2" t="str">
        <f>IF(AND(ISNUMBER( SnapshotTable[[#This Row],[Long Term Target]]), ISNUMBER(SnapshotTable[[#This Row],[Last Price]])),(SnapshotTable[[#This Row],[Long Term Target]] - SnapshotTable[[#This Row],[Last Price]]) / SnapshotTable[[#This Row],[Last Price]], "")</f>
        <v/>
      </c>
      <c r="AP391" s="5">
        <v>7.0000000000000007E-2</v>
      </c>
      <c r="AQ391" s="38"/>
      <c r="AR391" s="5"/>
      <c r="AS391" s="38"/>
      <c r="AT391" s="146"/>
      <c r="AU391" s="187" t="str">
        <f>IF(OR(SnapshotTable[[#This Row],[LP No Fill]]="Y",SnapshotTable[[#This Row],[SP Is Filled]],SnapshotTable[[#This Row],[LC Not Filled]]="Y",SnapshotTable[[#This Row],[SC Is Filled]]),"Y","")</f>
        <v/>
      </c>
      <c r="AV391" s="219"/>
      <c r="AW391" s="225"/>
      <c r="AX391" s="220"/>
      <c r="AY391" s="219" t="str">
        <f>IF(SnapshotTable[[#This Row],[Implied Move]]&gt;0, SnapshotTable[[#This Row],[Last Price]]-SnapshotTable[[#This Row],[Implied Move]],"")</f>
        <v/>
      </c>
      <c r="AZ391" s="219" t="str">
        <f>IF(SnapshotTable[[#This Row],[Implied Move]]&gt;0, SnapshotTable[[#This Row],[Last Price]] + SnapshotTable[[#This Row],[Implied Move]],"")</f>
        <v/>
      </c>
      <c r="BA391" s="331">
        <v>3.3000000000000002E-2</v>
      </c>
      <c r="BB391" s="347"/>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51"/>
      <c r="BE391" s="5"/>
      <c r="BF391" s="14"/>
      <c r="BG391" s="13"/>
      <c r="BH391" s="13"/>
      <c r="BI391" s="5"/>
      <c r="BJ391" s="136">
        <f>IF(SnapshotTable[[#This Row],[LP Qty]] &gt; 0, SnapshotTable[[#This Row],[LP Qty]] * SnapshotTable[[#This Row],[LP Book Price]] * 100,0)</f>
        <v>0</v>
      </c>
      <c r="BK391" s="136">
        <f>IF(SnapshotTable[[#This Row],[LP Premium]] &gt; 0, SnapshotTable[[#This Row],[LP Qty]] * SnapshotTable[[#This Row],[LP Strike Price]] * 100,0)</f>
        <v>0</v>
      </c>
      <c r="BL391" s="154"/>
      <c r="BM391" s="385" t="str">
        <f>IF(SnapshotTable[[#This Row],[LP Premium]] &gt; 0,SnapshotTable[[#This Row],[LP Exp Date]]-MAX(SnapshotTable[[#This Row],[LP Book Date]], SnapshotTable[[#This Row],[LP Fill Date]]),"")</f>
        <v/>
      </c>
      <c r="BN391" s="385" t="str">
        <f>IF(ISNUMBER( SnapshotTable[[#This Row],[LP Term]]), SnapshotTable[[#This Row],[LP Exp Date]] - MockToday,"")</f>
        <v/>
      </c>
      <c r="BO391" s="163"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7"/>
      <c r="BU391" s="13"/>
      <c r="BV391" s="5"/>
      <c r="BW391" s="419" t="b">
        <f>AND(ISNUMBER(SnapshotTable[[#This Row],[SP Exp Date]]), ISNUMBER(SnapshotTable[[#This Row],[SP Strike Price]]), ISNUMBER(SnapshotTable[[#This Row],[SP Qty]]), ISNUMBER(SnapshotTable[[#This Row],[SP Book Date]]), ISNUMBER(SnapshotTable[[#This Row],[SP Book Price]]))</f>
        <v>0</v>
      </c>
      <c r="BX391" s="419" t="b">
        <f>AND(SnapshotTable[[#This Row],[SP Is Booked]], NOT(ISBLANK(SnapshotTable[[#This Row],[SP Fill Date]])))</f>
        <v>0</v>
      </c>
      <c r="BY391" s="33">
        <f>IF(SnapshotTable[[#This Row],[SP Is Booked]], SnapshotTable[[#This Row],[SP Qty]] * SnapshotTable[[#This Row],[SP Book Price]] * 100, 0)</f>
        <v>0</v>
      </c>
      <c r="BZ391" s="369"/>
      <c r="CA391" s="368">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3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44"/>
      <c r="CK391" s="31">
        <f>IF(ISNUMBER(SnapshotTable[[#This Row],[SP Potential Spend]]),IF(ISNUMBER(SnapshotTable[[#This Row],[SP POW]]), SnapshotTable[[#This Row],[SP POW]] * SnapshotTable[[#This Row],[SP Potential Spend]], SnapshotTable[[#This Row],[SP Potential Spend]]), "")</f>
        <v>0</v>
      </c>
      <c r="CL391" s="164">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8"/>
      <c r="CO391" s="369"/>
      <c r="CP391" s="4" t="str">
        <f>IF(SnapshotTable[[#This Row],[SP Is Filled]], btc_max_buyback_amount(SnapshotTable[[#This Row],[SP Fill Date]],SnapshotTable[[#This Row],[SP Exp Date]], SnapshotTable[[#This Row],[SP Book Price]]),"")</f>
        <v/>
      </c>
      <c r="CQ391" s="78"/>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5" t="str">
        <f>IF(SnapshotTable[[#This Row],[SP Is Filled]], btc_next_cutoff_date(SnapshotTable[[#This Row],[SP Fill Date]],SnapshotTable[[#This Row],[SP Exp Date]]),"")</f>
        <v/>
      </c>
      <c r="CT391" s="23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56"/>
      <c r="CV391" s="235"/>
      <c r="CW391" s="378"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294" t="str">
        <f>IF(ISNUMBER((SnapshotTable[[#This Row],[SP Total Value]])), SnapshotTable[[#This Row],[SP Gain Loss]] / SnapshotTable[[#This Row],[SP Premium]], "")</f>
        <v/>
      </c>
      <c r="DI391" s="406"/>
      <c r="DJ391" s="138"/>
      <c r="DK391" s="148"/>
      <c r="DL391" s="13"/>
      <c r="DM391" s="13"/>
      <c r="DO391" s="31">
        <f>IF(SnapshotTable[[#This Row],[LC Symbol Count]]=1, SnapshotTable[[#This Row],[LC Qty]] * SnapshotTable[[#This Row],[LC Book Price]] * 100, 0)</f>
        <v>0</v>
      </c>
      <c r="DP391" s="163" t="str">
        <f>IF(AND(SnapshotTable[[#This Row],[LC Exp Date]]&gt;0, SnapshotTable[[#This Row],[LC Strike Price]]&gt;0,SnapshotTable[[#This Row],[LC Qty]]&gt;0,SnapshotTable[[#This Row],[LC Book Date]]&gt;0,SnapshotTable[[#This Row],[LC Book Price]]&gt;0,SnapshotTable[[#This Row],[LC Fill Date]]=0),"Y","")</f>
        <v/>
      </c>
      <c r="DQ391" s="386" t="str">
        <f>IF(SnapshotTable[[#This Row],[LC Premium]] &gt; 0,SnapshotTable[[#This Row],[LC Exp Date]]-MAX(SnapshotTable[[#This Row],[LC Book Date]], SnapshotTable[[#This Row],[LC Fill Date]]),"")</f>
        <v/>
      </c>
      <c r="DR391" s="386" t="str">
        <f>IF(ISNUMBER(SnapshotTable[[#This Row],[LC Term]]), SnapshotTable[[#This Row],[LC Exp Date]] - MockToday, "")</f>
        <v/>
      </c>
      <c r="DS391" s="23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40" t="str">
        <f>IF(ISNUMBER(SnapshotTable[[#This Row],[LC Actual Gain Loss]]), SnapshotTable[[#This Row],[LC Actual Gain Loss]] / SnapshotTable[[#This Row],[LC Premium]],"")</f>
        <v/>
      </c>
      <c r="DX391" s="284" t="str">
        <f>IF(ISNUMBER(SnapshotTable[[#This Row],[LC Book Price]]),SnapshotTable[[#This Row],[LC Book Price]] * 1.5,"")</f>
        <v/>
      </c>
      <c r="DY391" s="265" t="str">
        <f>IF(SnapshotTable[[#This Row],[LC Premium]]&gt;0, SnapshotTable[[#This Row],[LC Next Target]] * SnapshotTable[[#This Row],[LC Qty]] * 100,"")</f>
        <v/>
      </c>
      <c r="DZ391" s="265" t="str">
        <f>IF(ISNUMBER(SnapshotTable[[#This Row],[LC Target Gross]]), SnapshotTable[[#This Row],[LC Target Gross]] - SnapshotTable[[#This Row],[LC Premium]], "")</f>
        <v/>
      </c>
      <c r="EA391" s="305" t="str">
        <f>IF(ISNUMBER(SnapshotTable[[#This Row],[LC Target Gain Loss]]), SnapshotTable[[#This Row],[LC Target Gain Loss]]/SnapshotTable[[#This Row],[LC Premium]], "")</f>
        <v/>
      </c>
      <c r="EB391" s="262"/>
      <c r="EC391" s="283" t="str">
        <f>IF(SnapshotTable[[#This Row],[LC Premium]]&gt;0, SnapshotTable[[#This Row],[LC Book Price]] * (1 - LC_StopLoss_Pct),"")</f>
        <v/>
      </c>
      <c r="ED391" s="284"/>
      <c r="EE391" s="28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4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300</v>
      </c>
      <c r="EK391" s="147"/>
      <c r="EL391" s="138"/>
      <c r="EM391" s="148"/>
      <c r="EN391" s="147"/>
      <c r="EO391" s="147"/>
      <c r="EP391" s="138"/>
      <c r="EQ391" s="419" t="b">
        <f>AND(ISNUMBER(SnapshotTable[[#This Row],[SC Exp Date]]), ISNUMBER(SnapshotTable[[#This Row],[SC Strike Price]]), ISNUMBER(SnapshotTable[[#This Row],[SC Qty]]), ISNUMBER(SnapshotTable[[#This Row],[SC Book Date]]), ISNUMBER(SnapshotTable[[#This Row],[SC Book Price]]))</f>
        <v>0</v>
      </c>
      <c r="ER391" s="419" t="b">
        <f>AND(SnapshotTable[[#This Row],[SC Is Booked]], NOT(ISBLANK(SnapshotTable[[#This Row],[SC Fill Date]])))</f>
        <v>0</v>
      </c>
      <c r="ES391" s="370"/>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3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283"/>
      <c r="FA391" s="218"/>
      <c r="FB391" s="370"/>
      <c r="FC391" s="4">
        <f>IF(SnapshotTable[[#This Row],[SC Is Filled]], btc_max_buyback_amount(SnapshotTable[[#This Row],[SC Fill Date]],SnapshotTable[[#This Row],[SC Exp Date]], SnapshotTable[[#This Row],[SC Book Price]]),0)</f>
        <v>0</v>
      </c>
      <c r="FD391" s="5"/>
      <c r="FE391" s="144"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382">
        <f>IF(SnapshotTable[[#This Row],[SC Is Filled]], IF(ISNUMBER(SnapshotTable[[#This Row],[SC Current Ask]]), SnapshotTable[[#This Row],[SC Current Ask]], SnapshotTable[[#This Row],[SC Book Price]]) - SnapshotTable[[#This Row],[SC Intrinsic Value]], 0)</f>
        <v>0</v>
      </c>
      <c r="FI391" s="143"/>
      <c r="FJ391" s="32" t="str">
        <f>IF(SnapshotTable[[#This Row],[SC Is Filled]],100 * SnapshotTable[[#This Row],[SC Qty]] * IF(ISNUMBER(SnapshotTable[[#This Row],[SC Buyback Override]]), SnapshotTable[[#This Row],[SC Buyback Override]], SnapshotTable[[#This Row],[SC Current Ask]]), "")</f>
        <v/>
      </c>
      <c r="FK391" s="250" t="str">
        <f>IF(SnapshotTable[[#This Row],[SC Time Val]]&gt;0, SnapshotTable[[#This Row],[SC Time Val]] / SnapshotTable[[#This Row],[Last Price]],"")</f>
        <v/>
      </c>
      <c r="FL391" s="302" t="str">
        <f>IF(SnapshotTable[[#This Row],[SC Is Booked]], ((SnapshotTable[[#This Row],[Last Price]] -SnapshotTable[[#This Row],[SC Strike Price]]) / SnapshotTable[[#This Row],[Last Price]]) * -1, "")</f>
        <v/>
      </c>
      <c r="FM391" s="157"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33"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36" t="str">
        <f>IF(AND(ISNUMBER(SnapshotTable[[#This Row],[SC Simple ROO]]),SnapshotTable[[#This Row],[SC Simple ROO]] &gt; 0), SnapshotTable[[#This Row],[SC Premium]] + (SnapshotTable[[#This Row],[SC Qty]] * SnapshotTable[[#This Row],[SC Upside Potential]]), "")</f>
        <v/>
      </c>
      <c r="FX391" s="302" t="str" cm="1">
        <f t="array" ref="FX391">IF(ISNUMBER(SnapshotTable[[#This Row],[SC Max Dollars]]), annualize(SnapshotTable[[#This Row],[SC Term]],(SnapshotTable[[#This Row],[SC Max Dollars]]/SnapshotTable[[#This Row],[SC Basis]])),"")</f>
        <v/>
      </c>
      <c r="FY391" s="23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294" t="str">
        <f>IFERROR( IF(ISNUMBER((SnapshotTable[[#This Row],[SC Current Value]])), SnapshotTable[[#This Row],[SC Gain Loss]] / SnapshotTable[[#This Row],[SC Premium]], ""), "")</f>
        <v/>
      </c>
      <c r="GB391" s="42">
        <f>SnapshotTable[[#This Row],[Equity Shares]] * SaleSharesToConsiderPercentage</f>
        <v>6000</v>
      </c>
      <c r="GC391" s="40">
        <f>SnapshotTable[[#This Row],[Long Term Target]] * SellingPriceToConsiderBasedOnTargetPercentage</f>
        <v>0</v>
      </c>
      <c r="GD391" s="40">
        <f>SnapshotTable[[#This Row],[Last Price]] * (1+ SellingPriceToConsiderBasedOnTargetPercentage)</f>
        <v>1.95E-4</v>
      </c>
      <c r="GE391" s="41"/>
      <c r="GF391" s="40"/>
      <c r="GG391" s="31">
        <f>SnapshotTable[[#This Row],[Booked Sale Shares]] * SnapshotTable[[#This Row],[Booked Sale Price]]</f>
        <v>0</v>
      </c>
      <c r="GH391" s="31">
        <f>IF(SnapshotTable[[#This Row],[Equity Basis Total]] &gt; 0, SnapshotTable[[#This Row],[Equity Basis Per Share]] * SnapshotTable[[#This Row],[Booked Sale Shares]], "")</f>
        <v>0</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1" s="231">
        <f>MAX(SnapshotTable[[#This Row],[Equity Basis Total]],SnapshotTable[[#This Row],[Equity Value]]) + (SnapshotTable[[#This Row],[SP Potential Spend]]- SnapshotTable[[#This Row],[SP Premium]] + SnapshotTable[[#This Row],[LP Premium]])+ (SnapshotTable[[#This Row],[LC Premium]] - SnapshotTable[[#This Row],[SC Premium]])</f>
        <v>990</v>
      </c>
      <c r="GW391" s="139">
        <f ca="1">IF(AND(SnapshotTable[[#This Row],[Exposure]] &lt;&gt; 0),SnapshotTable[[#This Row],[Exposure]] / SnapshotTable[[#Totals],[Exposure]], "")</f>
        <v>4.6599778881695683E-3</v>
      </c>
      <c r="HK391" s="1"/>
      <c r="HL391" s="1"/>
      <c r="HM391" s="1"/>
      <c r="HN391" s="1"/>
      <c r="HO391" s="1"/>
      <c r="HP391" s="1"/>
    </row>
    <row r="392" spans="2:224" ht="12.75" hidden="1" customHeight="1" x14ac:dyDescent="0.25">
      <c r="B392" s="12" t="s">
        <v>1234</v>
      </c>
      <c r="C392" s="422">
        <v>3.54</v>
      </c>
      <c r="D392" s="208"/>
      <c r="E392" s="39">
        <f>SnapshotTable[[#This Row],[Last Price]]*(1 -CrashDiscount)</f>
        <v>3.0089999999999999</v>
      </c>
      <c r="F392" s="325" t="s">
        <v>917</v>
      </c>
      <c r="G392" s="325" t="s">
        <v>872</v>
      </c>
      <c r="H392" s="149"/>
      <c r="I392" s="194"/>
      <c r="J392" s="195"/>
      <c r="K392" s="196"/>
      <c r="L392" s="326"/>
      <c r="M392" s="140"/>
      <c r="N392" s="140"/>
      <c r="O392" s="140"/>
      <c r="P392" s="22"/>
      <c r="Q392" s="25"/>
      <c r="R392" s="4" t="str">
        <f>IF(SnapshotTable[[#This Row],[Equity Basis Total]] &gt; 0, SnapshotTable[[#This Row],[Equity Basis Total]] / SnapshotTable[[#This Row],[Equity Shares]], "")</f>
        <v/>
      </c>
      <c r="S392" s="269">
        <f>SnapshotTable[[#This Row],[Last Price]] * SnapshotTable[[#This Row],[Equity Shares]]</f>
        <v>0</v>
      </c>
      <c r="T392" s="269">
        <f>SnapshotTable[[#This Row],[Equity Value]] - SnapshotTable[[#This Row],[Equity Basis Total]]</f>
        <v>0</v>
      </c>
      <c r="U392" s="270" t="str">
        <f>IF(SnapshotTable[[#This Row],[Equity Basis Total]] &gt; 0, SnapshotTable[[#This Row],[Equity G/L]] / SnapshotTable[[#This Row],[Equity Basis Total]], "")</f>
        <v/>
      </c>
      <c r="V392" s="268"/>
      <c r="W392" s="26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7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0"/>
      <c r="AD392" s="151"/>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1"/>
      <c r="AI392" s="5"/>
      <c r="AJ392" s="138"/>
      <c r="AK392" s="152" t="str">
        <f>IF(ISNUMBER( SnapshotTable[[#This Row],[EBF Target]]),(SnapshotTable[[#This Row],[EBF Target]] - SnapshotTable[[#This Row],[Last Price]]) / SnapshotTable[[#This Row],[Last Price]], "")</f>
        <v/>
      </c>
      <c r="AL392" s="152"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2" t="str">
        <f>IF(AND(ISNUMBER( SnapshotTable[[#This Row],[Long Term Target]]), ISNUMBER(SnapshotTable[[#This Row],[Last Price]])),(SnapshotTable[[#This Row],[Long Term Target]] - SnapshotTable[[#This Row],[Last Price]]) / SnapshotTable[[#This Row],[Last Price]], "")</f>
        <v/>
      </c>
      <c r="AP392" s="5"/>
      <c r="AQ392" s="38"/>
      <c r="AR392" s="5"/>
      <c r="AS392" s="38"/>
      <c r="AT392" s="146"/>
      <c r="AU392" s="187" t="str">
        <f>IF(OR(SnapshotTable[[#This Row],[LP No Fill]]="Y",SnapshotTable[[#This Row],[SP Is Filled]],SnapshotTable[[#This Row],[LC Not Filled]]="Y",SnapshotTable[[#This Row],[SC Is Filled]]),"Y","")</f>
        <v/>
      </c>
      <c r="AV392" s="219"/>
      <c r="AW392" s="225"/>
      <c r="AX392" s="220"/>
      <c r="AY392" s="219" t="str">
        <f>IF(SnapshotTable[[#This Row],[Implied Move]]&gt;0, SnapshotTable[[#This Row],[Last Price]]-SnapshotTable[[#This Row],[Implied Move]],"")</f>
        <v/>
      </c>
      <c r="AZ392" s="219" t="str">
        <f>IF(SnapshotTable[[#This Row],[Implied Move]]&gt;0, SnapshotTable[[#This Row],[Last Price]] + SnapshotTable[[#This Row],[Implied Move]],"")</f>
        <v/>
      </c>
      <c r="BA392" s="331">
        <v>4.0999999999999996</v>
      </c>
      <c r="BB392" s="347"/>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51"/>
      <c r="BE392" s="5"/>
      <c r="BF392" s="14"/>
      <c r="BG392" s="13"/>
      <c r="BH392" s="13"/>
      <c r="BI392" s="5"/>
      <c r="BJ392" s="136">
        <f>IF(SnapshotTable[[#This Row],[LP Qty]] &gt; 0, SnapshotTable[[#This Row],[LP Qty]] * SnapshotTable[[#This Row],[LP Book Price]] * 100,0)</f>
        <v>0</v>
      </c>
      <c r="BK392" s="136">
        <f>IF(SnapshotTable[[#This Row],[LP Premium]] &gt; 0, SnapshotTable[[#This Row],[LP Qty]] * SnapshotTable[[#This Row],[LP Strike Price]] * 100,0)</f>
        <v>0</v>
      </c>
      <c r="BL392" s="154"/>
      <c r="BM392" s="385" t="str">
        <f>IF(SnapshotTable[[#This Row],[LP Premium]] &gt; 0,SnapshotTable[[#This Row],[LP Exp Date]]-MAX(SnapshotTable[[#This Row],[LP Book Date]], SnapshotTable[[#This Row],[LP Fill Date]]),"")</f>
        <v/>
      </c>
      <c r="BN392" s="385" t="str">
        <f>IF(ISNUMBER( SnapshotTable[[#This Row],[LP Term]]), SnapshotTable[[#This Row],[LP Exp Date]] - MockToday,"")</f>
        <v/>
      </c>
      <c r="BO392" s="163"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7"/>
      <c r="BU392" s="13"/>
      <c r="BV392" s="5"/>
      <c r="BW392" s="419" t="b">
        <f>AND(ISNUMBER(SnapshotTable[[#This Row],[SP Exp Date]]), ISNUMBER(SnapshotTable[[#This Row],[SP Strike Price]]), ISNUMBER(SnapshotTable[[#This Row],[SP Qty]]), ISNUMBER(SnapshotTable[[#This Row],[SP Book Date]]), ISNUMBER(SnapshotTable[[#This Row],[SP Book Price]]))</f>
        <v>0</v>
      </c>
      <c r="BX392" s="419" t="b">
        <f>AND(SnapshotTable[[#This Row],[SP Is Booked]], NOT(ISBLANK(SnapshotTable[[#This Row],[SP Fill Date]])))</f>
        <v>0</v>
      </c>
      <c r="BY392" s="33">
        <f>IF(SnapshotTable[[#This Row],[SP Is Booked]], SnapshotTable[[#This Row],[SP Qty]] * SnapshotTable[[#This Row],[SP Book Price]] * 100, 0)</f>
        <v>0</v>
      </c>
      <c r="BZ392" s="369"/>
      <c r="CA392" s="368">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3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44"/>
      <c r="CK392" s="31">
        <f>IF(ISNUMBER(SnapshotTable[[#This Row],[SP Potential Spend]]),IF(ISNUMBER(SnapshotTable[[#This Row],[SP POW]]), SnapshotTable[[#This Row],[SP POW]] * SnapshotTable[[#This Row],[SP Potential Spend]], SnapshotTable[[#This Row],[SP Potential Spend]]), "")</f>
        <v>0</v>
      </c>
      <c r="CL392" s="164">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8"/>
      <c r="CO392" s="369"/>
      <c r="CP392" s="4" t="str">
        <f>IF(SnapshotTable[[#This Row],[SP Is Filled]], btc_max_buyback_amount(SnapshotTable[[#This Row],[SP Fill Date]],SnapshotTable[[#This Row],[SP Exp Date]], SnapshotTable[[#This Row],[SP Book Price]]),"")</f>
        <v/>
      </c>
      <c r="CQ392" s="78"/>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5" t="str">
        <f>IF(SnapshotTable[[#This Row],[SP Is Filled]], btc_next_cutoff_date(SnapshotTable[[#This Row],[SP Fill Date]],SnapshotTable[[#This Row],[SP Exp Date]]),"")</f>
        <v/>
      </c>
      <c r="CT392" s="23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3"/>
      <c r="CV392" s="235"/>
      <c r="CW392" s="378"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294" t="str">
        <f>IF(ISNUMBER((SnapshotTable[[#This Row],[SP Total Value]])), SnapshotTable[[#This Row],[SP Gain Loss]] / SnapshotTable[[#This Row],[SP Premium]], "")</f>
        <v/>
      </c>
      <c r="DI392" s="406"/>
      <c r="DJ392" s="138"/>
      <c r="DK392" s="148"/>
      <c r="DL392" s="13"/>
      <c r="DM392" s="13"/>
      <c r="DO392" s="31">
        <f>IF(SnapshotTable[[#This Row],[LC Symbol Count]]=1, SnapshotTable[[#This Row],[LC Qty]] * SnapshotTable[[#This Row],[LC Book Price]] * 100, 0)</f>
        <v>0</v>
      </c>
      <c r="DP392" s="163" t="str">
        <f>IF(AND(SnapshotTable[[#This Row],[LC Exp Date]]&gt;0, SnapshotTable[[#This Row],[LC Strike Price]]&gt;0,SnapshotTable[[#This Row],[LC Qty]]&gt;0,SnapshotTable[[#This Row],[LC Book Date]]&gt;0,SnapshotTable[[#This Row],[LC Book Price]]&gt;0,SnapshotTable[[#This Row],[LC Fill Date]]=0),"Y","")</f>
        <v/>
      </c>
      <c r="DQ392" s="386" t="str">
        <f>IF(SnapshotTable[[#This Row],[LC Premium]] &gt; 0,SnapshotTable[[#This Row],[LC Exp Date]]-MAX(SnapshotTable[[#This Row],[LC Book Date]], SnapshotTable[[#This Row],[LC Fill Date]]),"")</f>
        <v/>
      </c>
      <c r="DR392" s="386" t="str">
        <f>IF(ISNUMBER(SnapshotTable[[#This Row],[LC Term]]), SnapshotTable[[#This Row],[LC Exp Date]] - MockToday, "")</f>
        <v/>
      </c>
      <c r="DS392" s="23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40" t="str">
        <f>IF(ISNUMBER(SnapshotTable[[#This Row],[LC Actual Gain Loss]]), SnapshotTable[[#This Row],[LC Actual Gain Loss]] / SnapshotTable[[#This Row],[LC Premium]],"")</f>
        <v/>
      </c>
      <c r="DX392" s="284" t="str">
        <f>IF(ISNUMBER(SnapshotTable[[#This Row],[LC Book Price]]),SnapshotTable[[#This Row],[LC Book Price]] * 1.5,"")</f>
        <v/>
      </c>
      <c r="DY392" s="265" t="str">
        <f>IF(SnapshotTable[[#This Row],[LC Premium]]&gt;0, SnapshotTable[[#This Row],[LC Next Target]] * SnapshotTable[[#This Row],[LC Qty]] * 100,"")</f>
        <v/>
      </c>
      <c r="DZ392" s="265" t="str">
        <f>IF(ISNUMBER(SnapshotTable[[#This Row],[LC Target Gross]]), SnapshotTable[[#This Row],[LC Target Gross]] - SnapshotTable[[#This Row],[LC Premium]], "")</f>
        <v/>
      </c>
      <c r="EA392" s="305" t="str">
        <f>IF(ISNUMBER(SnapshotTable[[#This Row],[LC Target Gain Loss]]), SnapshotTable[[#This Row],[LC Target Gain Loss]]/SnapshotTable[[#This Row],[LC Premium]], "")</f>
        <v/>
      </c>
      <c r="EB392" s="262"/>
      <c r="EC392" s="283" t="str">
        <f>IF(SnapshotTable[[#This Row],[LC Premium]]&gt;0, SnapshotTable[[#This Row],[LC Book Price]] * (1 - LC_StopLoss_Pct),"")</f>
        <v/>
      </c>
      <c r="ED392" s="284"/>
      <c r="EE392" s="28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4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7"/>
      <c r="EL392" s="138"/>
      <c r="EM392" s="148"/>
      <c r="EN392" s="147"/>
      <c r="EO392" s="147"/>
      <c r="EP392" s="138"/>
      <c r="EQ392" s="419" t="b">
        <f>AND(ISNUMBER(SnapshotTable[[#This Row],[SC Exp Date]]), ISNUMBER(SnapshotTable[[#This Row],[SC Strike Price]]), ISNUMBER(SnapshotTable[[#This Row],[SC Qty]]), ISNUMBER(SnapshotTable[[#This Row],[SC Book Date]]), ISNUMBER(SnapshotTable[[#This Row],[SC Book Price]]))</f>
        <v>0</v>
      </c>
      <c r="ER392" s="419" t="b">
        <f>AND(SnapshotTable[[#This Row],[SC Is Booked]], NOT(ISBLANK(SnapshotTable[[#This Row],[SC Fill Date]])))</f>
        <v>0</v>
      </c>
      <c r="ES392" s="370"/>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3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283"/>
      <c r="FA392" s="218"/>
      <c r="FB392" s="370"/>
      <c r="FC392" s="4">
        <f>IF(SnapshotTable[[#This Row],[SC Is Filled]], btc_max_buyback_amount(SnapshotTable[[#This Row],[SC Fill Date]],SnapshotTable[[#This Row],[SC Exp Date]], SnapshotTable[[#This Row],[SC Book Price]]),0)</f>
        <v>0</v>
      </c>
      <c r="FD392" s="5"/>
      <c r="FE392" s="144"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382">
        <f>IF(SnapshotTable[[#This Row],[SC Is Filled]], IF(ISNUMBER(SnapshotTable[[#This Row],[SC Current Ask]]), SnapshotTable[[#This Row],[SC Current Ask]], SnapshotTable[[#This Row],[SC Book Price]]) - SnapshotTable[[#This Row],[SC Intrinsic Value]], 0)</f>
        <v>0</v>
      </c>
      <c r="FI392" s="143"/>
      <c r="FJ392" s="32" t="str">
        <f>IF(SnapshotTable[[#This Row],[SC Is Filled]],100 * SnapshotTable[[#This Row],[SC Qty]] * IF(ISNUMBER(SnapshotTable[[#This Row],[SC Buyback Override]]), SnapshotTable[[#This Row],[SC Buyback Override]], SnapshotTable[[#This Row],[SC Current Ask]]), "")</f>
        <v/>
      </c>
      <c r="FK392" s="250" t="str">
        <f>IF(SnapshotTable[[#This Row],[SC Time Val]]&gt;0, SnapshotTable[[#This Row],[SC Time Val]] / SnapshotTable[[#This Row],[Last Price]],"")</f>
        <v/>
      </c>
      <c r="FL392" s="302" t="str">
        <f>IF(SnapshotTable[[#This Row],[SC Is Booked]], ((SnapshotTable[[#This Row],[Last Price]] -SnapshotTable[[#This Row],[SC Strike Price]]) / SnapshotTable[[#This Row],[Last Price]]) * -1, "")</f>
        <v/>
      </c>
      <c r="FM392" s="157"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33"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36" t="str">
        <f>IF(AND(ISNUMBER(SnapshotTable[[#This Row],[SC Simple ROO]]),SnapshotTable[[#This Row],[SC Simple ROO]] &gt; 0), SnapshotTable[[#This Row],[SC Premium]] + (SnapshotTable[[#This Row],[SC Qty]] * SnapshotTable[[#This Row],[SC Upside Potential]]), "")</f>
        <v/>
      </c>
      <c r="FX392" s="302" t="str" cm="1">
        <f t="array" ref="FX392">IF(ISNUMBER(SnapshotTable[[#This Row],[SC Max Dollars]]), annualize(SnapshotTable[[#This Row],[SC Term]],(SnapshotTable[[#This Row],[SC Max Dollars]]/SnapshotTable[[#This Row],[SC Basis]])),"")</f>
        <v/>
      </c>
      <c r="FY392" s="23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29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0</v>
      </c>
      <c r="GD392" s="40">
        <f>SnapshotTable[[#This Row],[Last Price]] * (1+ SellingPriceToConsiderBasedOnTargetPercentage)</f>
        <v>6.9029999999999996</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31">
        <f>MAX(SnapshotTable[[#This Row],[Equity Basis Total]],SnapshotTable[[#This Row],[Equity Value]]) + (SnapshotTable[[#This Row],[SP Potential Spend]]- SnapshotTable[[#This Row],[SP Premium]] + SnapshotTable[[#This Row],[LP Premium]])+ (SnapshotTable[[#This Row],[LC Premium]] - SnapshotTable[[#This Row],[SC Premium]])</f>
        <v>0</v>
      </c>
      <c r="GW392" s="139" t="str">
        <f>IF(AND(SnapshotTable[[#This Row],[Exposure]] &lt;&gt; 0),SnapshotTable[[#This Row],[Exposure]] / SnapshotTable[[#Totals],[Exposure]], "")</f>
        <v/>
      </c>
      <c r="HK392" s="1"/>
      <c r="HL392" s="1"/>
      <c r="HM392" s="1"/>
      <c r="HN392" s="1"/>
      <c r="HO392" s="1"/>
      <c r="HP392" s="1"/>
    </row>
    <row r="393" spans="2:224" ht="12.75" hidden="1" customHeight="1" x14ac:dyDescent="0.25">
      <c r="B393" s="12" t="s">
        <v>1263</v>
      </c>
      <c r="C393" s="422">
        <v>7.8</v>
      </c>
      <c r="D393" s="208"/>
      <c r="E393" s="39">
        <f>SnapshotTable[[#This Row],[Last Price]]*(1 -CrashDiscount)</f>
        <v>6.63</v>
      </c>
      <c r="F393" s="325" t="s">
        <v>210</v>
      </c>
      <c r="G393" s="325" t="s">
        <v>9</v>
      </c>
      <c r="H393" s="149"/>
      <c r="I393" s="194"/>
      <c r="J393" s="195"/>
      <c r="K393" s="196"/>
      <c r="L393" s="326"/>
      <c r="M393" s="140"/>
      <c r="N393" s="140"/>
      <c r="O393" s="140"/>
      <c r="P393" s="328">
        <v>100</v>
      </c>
      <c r="Q393" s="25">
        <v>964</v>
      </c>
      <c r="R393" s="4">
        <f>IF(SnapshotTable[[#This Row],[Equity Basis Total]] &gt; 0, SnapshotTable[[#This Row],[Equity Basis Total]] / SnapshotTable[[#This Row],[Equity Shares]], "")</f>
        <v>9.64</v>
      </c>
      <c r="S393" s="269">
        <f>SnapshotTable[[#This Row],[Last Price]] * SnapshotTable[[#This Row],[Equity Shares]]</f>
        <v>780</v>
      </c>
      <c r="T393" s="269">
        <f>SnapshotTable[[#This Row],[Equity Value]] - SnapshotTable[[#This Row],[Equity Basis Total]]</f>
        <v>-184</v>
      </c>
      <c r="U393" s="270">
        <f>IF(SnapshotTable[[#This Row],[Equity Basis Total]] &gt; 0, SnapshotTable[[#This Row],[Equity G/L]] / SnapshotTable[[#This Row],[Equity Basis Total]], "")</f>
        <v>-0.1908713692946058</v>
      </c>
      <c r="V393" s="268"/>
      <c r="W393" s="268"/>
      <c r="X393" s="4" t="str">
        <f>IF(AND(ISNUMBER(SnapshotTable[[#This Row],[Equity Basis Per Share]]),ISNUMBER(SnapshotTable[[#This Row],[Equity Target]])),SnapshotTable[[#This Row],[Equity Target]]-SnapshotTable[[#This Row],[Equity Basis Per Share]],"")</f>
        <v/>
      </c>
      <c r="Y393" s="4" t="str">
        <f>IF(AND(ISNUMBER(SnapshotTable[[#This Row],[Equity Basis Per Share]]),ISNUMBER(SnapshotTable[[#This Row],[Equity Stop Loss]])),SnapshotTable[[#This Row],[Equity Stop Loss]]-SnapshotTable[[#This Row],[Equity Basis Per Share]],"")</f>
        <v/>
      </c>
      <c r="Z393" s="275" t="str">
        <f>IFERROR( TEXT(SnapshotTable[[#This Row],[Equity Max Gain Per Share]] /ABS( SnapshotTable[[#This Row],[Equity Max Loss Per Share]]),"0.0 " ) &amp; " : 1", "")</f>
        <v/>
      </c>
      <c r="AA393" s="31" t="str">
        <f>IF(ISNUMBER(SnapshotTable[[#This Row],[Equity Max Gain Per Share]]),SnapshotTable[[#This Row],[Equity Max Gain Per Share]] * SnapshotTable[[#This Row],[Equity Shares]],"")</f>
        <v/>
      </c>
      <c r="AB393" s="31" t="str">
        <f>IF(ISNUMBER(SnapshotTable[[#This Row],[Equity Max Loss Per Share]]),SnapshotTable[[#This Row],[Equity Max Loss Per Share]] * SnapshotTable[[#This Row],[Equity Shares]],"")</f>
        <v/>
      </c>
      <c r="AC393" s="150"/>
      <c r="AD393" s="151"/>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1"/>
      <c r="AI393" s="5"/>
      <c r="AJ393" s="138"/>
      <c r="AK393" s="152" t="str">
        <f>IF(ISNUMBER( SnapshotTable[[#This Row],[EBF Target]]),(SnapshotTable[[#This Row],[EBF Target]] - SnapshotTable[[#This Row],[Last Price]]) / SnapshotTable[[#This Row],[Last Price]], "")</f>
        <v/>
      </c>
      <c r="AL393" s="152" t="str">
        <f>IF(AND(SnapshotTable[[#This Row],[Equity Basis Total]] &gt; 0,ISNUMBER( SnapshotTable[[#This Row],[Long Term Target]])), SnapshotTable[[#This Row],[From Basis $]] / SnapshotTable[[#This Row],[Equity Basis Total]], "")</f>
        <v/>
      </c>
      <c r="AM393" s="9">
        <f>IF( AND(SnapshotTable[[#This Row],[Equity Shares]] &gt;0,ISNUMBER( SnapshotTable[[#This Row],[Long Term Target]])),(SnapshotTable[[#This Row],[Equity Shares]] * SnapshotTable[[#This Row],[Long Term Target]]) - SnapshotTable[[#This Row],[Equity Basis Total]],0)</f>
        <v>0</v>
      </c>
      <c r="AN393" s="9">
        <f>IF( AND(SnapshotTable[[#This Row],[Equity Shares]] &gt;0,ISNUMBER( SnapshotTable[[#This Row],[Long Term Target]])),(SnapshotTable[[#This Row],[Equity Shares]]*SnapshotTable[[#This Row],[Long Term Target]]) - SnapshotTable[[#This Row],[Equity Value]],0)</f>
        <v>0</v>
      </c>
      <c r="AO393" s="152" t="str">
        <f>IF(AND(ISNUMBER( SnapshotTable[[#This Row],[Long Term Target]]), ISNUMBER(SnapshotTable[[#This Row],[Last Price]])),(SnapshotTable[[#This Row],[Long Term Target]] - SnapshotTable[[#This Row],[Last Price]]) / SnapshotTable[[#This Row],[Last Price]], "")</f>
        <v/>
      </c>
      <c r="AP393" s="5"/>
      <c r="AQ393" s="38"/>
      <c r="AR393" s="5"/>
      <c r="AS393" s="38"/>
      <c r="AT393" s="146"/>
      <c r="AU393" s="187" t="str">
        <f>IF(OR(SnapshotTable[[#This Row],[LP No Fill]]="Y",SnapshotTable[[#This Row],[SP Is Filled]],SnapshotTable[[#This Row],[LC Not Filled]]="Y",SnapshotTable[[#This Row],[SC Is Filled]]),"Y","")</f>
        <v/>
      </c>
      <c r="AV393" s="219"/>
      <c r="AW393" s="225"/>
      <c r="AX393" s="220"/>
      <c r="AY393" s="219" t="str">
        <f>IF(SnapshotTable[[#This Row],[Implied Move]]&gt;0, SnapshotTable[[#This Row],[Last Price]]-SnapshotTable[[#This Row],[Implied Move]],"")</f>
        <v/>
      </c>
      <c r="AZ393" s="219" t="str">
        <f>IF(SnapshotTable[[#This Row],[Implied Move]]&gt;0, SnapshotTable[[#This Row],[Last Price]] + SnapshotTable[[#This Row],[Implied Move]],"")</f>
        <v/>
      </c>
      <c r="BA393" s="331">
        <v>8.99</v>
      </c>
      <c r="BB393" s="347" t="s">
        <v>1138</v>
      </c>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51"/>
      <c r="BE393" s="5"/>
      <c r="BF393" s="14"/>
      <c r="BG393" s="13"/>
      <c r="BH393" s="13"/>
      <c r="BI393" s="5"/>
      <c r="BJ393" s="136">
        <f>IF(SnapshotTable[[#This Row],[LP Qty]] &gt; 0, SnapshotTable[[#This Row],[LP Qty]] * SnapshotTable[[#This Row],[LP Book Price]] * 100,0)</f>
        <v>0</v>
      </c>
      <c r="BK393" s="136">
        <f>IF(SnapshotTable[[#This Row],[LP Premium]] &gt; 0, SnapshotTable[[#This Row],[LP Qty]] * SnapshotTable[[#This Row],[LP Strike Price]] * 100,0)</f>
        <v>0</v>
      </c>
      <c r="BL393" s="154"/>
      <c r="BM393" s="385" t="str">
        <f>IF(SnapshotTable[[#This Row],[LP Premium]] &gt; 0,SnapshotTable[[#This Row],[LP Exp Date]]-MAX(SnapshotTable[[#This Row],[LP Book Date]], SnapshotTable[[#This Row],[LP Fill Date]]),"")</f>
        <v/>
      </c>
      <c r="BN393" s="385" t="str">
        <f>IF(ISNUMBER( SnapshotTable[[#This Row],[LP Term]]), SnapshotTable[[#This Row],[LP Exp Date]] - MockToday,"")</f>
        <v/>
      </c>
      <c r="BO393" s="163"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7"/>
      <c r="BU393" s="13"/>
      <c r="BV393" s="5"/>
      <c r="BW393" s="419" t="b">
        <f>AND(ISNUMBER(SnapshotTable[[#This Row],[SP Exp Date]]), ISNUMBER(SnapshotTable[[#This Row],[SP Strike Price]]), ISNUMBER(SnapshotTable[[#This Row],[SP Qty]]), ISNUMBER(SnapshotTable[[#This Row],[SP Book Date]]), ISNUMBER(SnapshotTable[[#This Row],[SP Book Price]]))</f>
        <v>0</v>
      </c>
      <c r="BX393" s="419" t="b">
        <f>AND(SnapshotTable[[#This Row],[SP Is Booked]], NOT(ISBLANK(SnapshotTable[[#This Row],[SP Fill Date]])))</f>
        <v>0</v>
      </c>
      <c r="BY393" s="33">
        <f>IF(SnapshotTable[[#This Row],[SP Is Booked]], SnapshotTable[[#This Row],[SP Qty]] * SnapshotTable[[#This Row],[SP Book Price]] * 100, 0)</f>
        <v>0</v>
      </c>
      <c r="BZ393" s="369"/>
      <c r="CA393" s="368">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3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44"/>
      <c r="CK393" s="31">
        <f>IF(ISNUMBER(SnapshotTable[[#This Row],[SP Potential Spend]]),IF(ISNUMBER(SnapshotTable[[#This Row],[SP POW]]), SnapshotTable[[#This Row],[SP POW]] * SnapshotTable[[#This Row],[SP Potential Spend]], SnapshotTable[[#This Row],[SP Potential Spend]]), "")</f>
        <v>0</v>
      </c>
      <c r="CL393" s="164">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78"/>
      <c r="CO393" s="369"/>
      <c r="CP393" s="4" t="str">
        <f>IF(SnapshotTable[[#This Row],[SP Is Filled]], btc_max_buyback_amount(SnapshotTable[[#This Row],[SP Fill Date]],SnapshotTable[[#This Row],[SP Exp Date]], SnapshotTable[[#This Row],[SP Book Price]]),"")</f>
        <v/>
      </c>
      <c r="CQ393" s="78"/>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5" t="str">
        <f>IF(SnapshotTable[[#This Row],[SP Is Filled]], btc_next_cutoff_date(SnapshotTable[[#This Row],[SP Fill Date]],SnapshotTable[[#This Row],[SP Exp Date]]),"")</f>
        <v/>
      </c>
      <c r="CT393" s="23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3"/>
      <c r="CV393" s="235"/>
      <c r="CW393" s="378"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294" t="str">
        <f>IF(ISNUMBER((SnapshotTable[[#This Row],[SP Total Value]])), SnapshotTable[[#This Row],[SP Gain Loss]] / SnapshotTable[[#This Row],[SP Premium]], "")</f>
        <v/>
      </c>
      <c r="DI393" s="406"/>
      <c r="DJ393" s="138"/>
      <c r="DK393" s="148"/>
      <c r="DL393" s="147"/>
      <c r="DM393" s="147"/>
      <c r="DO393" s="31">
        <f>IF(SnapshotTable[[#This Row],[LC Symbol Count]]=1, SnapshotTable[[#This Row],[LC Qty]] * SnapshotTable[[#This Row],[LC Book Price]] * 100, 0)</f>
        <v>0</v>
      </c>
      <c r="DP393" s="163" t="str">
        <f>IF(AND(SnapshotTable[[#This Row],[LC Exp Date]]&gt;0, SnapshotTable[[#This Row],[LC Strike Price]]&gt;0,SnapshotTable[[#This Row],[LC Qty]]&gt;0,SnapshotTable[[#This Row],[LC Book Date]]&gt;0,SnapshotTable[[#This Row],[LC Book Price]]&gt;0,SnapshotTable[[#This Row],[LC Fill Date]]=0),"Y","")</f>
        <v/>
      </c>
      <c r="DQ393" s="386" t="str">
        <f>IF(SnapshotTable[[#This Row],[LC Premium]] &gt; 0,SnapshotTable[[#This Row],[LC Exp Date]]-MAX(SnapshotTable[[#This Row],[LC Book Date]], SnapshotTable[[#This Row],[LC Fill Date]]),"")</f>
        <v/>
      </c>
      <c r="DR393" s="386" t="str">
        <f>IF(ISNUMBER(SnapshotTable[[#This Row],[LC Term]]), SnapshotTable[[#This Row],[LC Exp Date]] - MockToday, "")</f>
        <v/>
      </c>
      <c r="DS393" s="23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40" t="str">
        <f>IF(ISNUMBER(SnapshotTable[[#This Row],[LC Actual Gain Loss]]), SnapshotTable[[#This Row],[LC Actual Gain Loss]] / SnapshotTable[[#This Row],[LC Premium]],"")</f>
        <v/>
      </c>
      <c r="DX393" s="284" t="str">
        <f>IF(ISNUMBER(SnapshotTable[[#This Row],[LC Book Price]]),SnapshotTable[[#This Row],[LC Book Price]] * 1.5,"")</f>
        <v/>
      </c>
      <c r="DY393" s="265" t="str">
        <f>IF(SnapshotTable[[#This Row],[LC Premium]]&gt;0, SnapshotTable[[#This Row],[LC Next Target]] * SnapshotTable[[#This Row],[LC Qty]] * 100,"")</f>
        <v/>
      </c>
      <c r="DZ393" s="265" t="str">
        <f>IF(ISNUMBER(SnapshotTable[[#This Row],[LC Target Gross]]), SnapshotTable[[#This Row],[LC Target Gross]] - SnapshotTable[[#This Row],[LC Premium]], "")</f>
        <v/>
      </c>
      <c r="EA393" s="305" t="str">
        <f>IF(ISNUMBER(SnapshotTable[[#This Row],[LC Target Gain Loss]]), SnapshotTable[[#This Row],[LC Target Gain Loss]]/SnapshotTable[[#This Row],[LC Premium]], "")</f>
        <v/>
      </c>
      <c r="EB393" s="262"/>
      <c r="EC393" s="283" t="str">
        <f>IF(SnapshotTable[[#This Row],[LC Premium]]&gt;0, SnapshotTable[[#This Row],[LC Book Price]] * (1 - LC_StopLoss_Pct),"")</f>
        <v/>
      </c>
      <c r="ED393" s="284"/>
      <c r="EE393" s="28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4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1</v>
      </c>
      <c r="EK393" s="147"/>
      <c r="EL393" s="138"/>
      <c r="EM393" s="148"/>
      <c r="EN393" s="147"/>
      <c r="EO393" s="147"/>
      <c r="EP393" s="138"/>
      <c r="EQ393" s="419" t="b">
        <f>AND(ISNUMBER(SnapshotTable[[#This Row],[SC Exp Date]]), ISNUMBER(SnapshotTable[[#This Row],[SC Strike Price]]), ISNUMBER(SnapshotTable[[#This Row],[SC Qty]]), ISNUMBER(SnapshotTable[[#This Row],[SC Book Date]]), ISNUMBER(SnapshotTable[[#This Row],[SC Book Price]]))</f>
        <v>0</v>
      </c>
      <c r="ER393" s="419" t="b">
        <f>AND(SnapshotTable[[#This Row],[SC Is Booked]], NOT(ISBLANK(SnapshotTable[[#This Row],[SC Fill Date]])))</f>
        <v>0</v>
      </c>
      <c r="ES393" s="370">
        <v>0.2</v>
      </c>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3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283"/>
      <c r="FA393" s="218"/>
      <c r="FB393" s="370"/>
      <c r="FC393" s="4">
        <f>IF(SnapshotTable[[#This Row],[SC Is Filled]], btc_max_buyback_amount(SnapshotTable[[#This Row],[SC Fill Date]],SnapshotTable[[#This Row],[SC Exp Date]], SnapshotTable[[#This Row],[SC Book Price]]),0)</f>
        <v>0</v>
      </c>
      <c r="FD393" s="5"/>
      <c r="FE393" s="144"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382">
        <f>IF(SnapshotTable[[#This Row],[SC Is Filled]], IF(ISNUMBER(SnapshotTable[[#This Row],[SC Current Ask]]), SnapshotTable[[#This Row],[SC Current Ask]], SnapshotTable[[#This Row],[SC Book Price]]) - SnapshotTable[[#This Row],[SC Intrinsic Value]], 0)</f>
        <v>0</v>
      </c>
      <c r="FI393" s="143"/>
      <c r="FJ393" s="32" t="str">
        <f>IF(SnapshotTable[[#This Row],[SC Is Filled]],100 * SnapshotTable[[#This Row],[SC Qty]] * IF(ISNUMBER(SnapshotTable[[#This Row],[SC Buyback Override]]), SnapshotTable[[#This Row],[SC Buyback Override]], SnapshotTable[[#This Row],[SC Current Ask]]), "")</f>
        <v/>
      </c>
      <c r="FK393" s="250" t="str">
        <f>IF(SnapshotTable[[#This Row],[SC Time Val]]&gt;0, SnapshotTable[[#This Row],[SC Time Val]] / SnapshotTable[[#This Row],[Last Price]],"")</f>
        <v/>
      </c>
      <c r="FL393" s="302" t="str">
        <f>IF(SnapshotTable[[#This Row],[SC Is Booked]], ((SnapshotTable[[#This Row],[Last Price]] -SnapshotTable[[#This Row],[SC Strike Price]]) / SnapshotTable[[#This Row],[Last Price]]) * -1, "")</f>
        <v/>
      </c>
      <c r="FM393" s="157" t="str">
        <f>IF(SnapshotTable[[#This Row],[SC Is Booked]],  (SnapshotTable[[#This Row],[SC Qty]] * 100 * SnapshotTable[[#This Row],[SC Strike Price]]) - SnapshotTable[[#This Row],[SC Current Ask]], "")</f>
        <v/>
      </c>
      <c r="FN3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31"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33"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36" t="str">
        <f>IF(AND(ISNUMBER(SnapshotTable[[#This Row],[SC Simple ROO]]),SnapshotTable[[#This Row],[SC Simple ROO]] &gt; 0), SnapshotTable[[#This Row],[SC Premium]] + (SnapshotTable[[#This Row],[SC Qty]] * SnapshotTable[[#This Row],[SC Upside Potential]]), "")</f>
        <v/>
      </c>
      <c r="FX393" s="302" t="str" cm="1">
        <f t="array" ref="FX393">IF(ISNUMBER(SnapshotTable[[#This Row],[SC Max Dollars]]), annualize(SnapshotTable[[#This Row],[SC Term]],(SnapshotTable[[#This Row],[SC Max Dollars]]/SnapshotTable[[#This Row],[SC Basis]])),"")</f>
        <v/>
      </c>
      <c r="FY393" s="236" t="str">
        <f>IF(AND(SnapshotTable[[#This Row],[SC Qty]]&gt;0,SnapshotTable[[#This Row],[SC Current Ask]]&gt;0), SnapshotTable[[#This Row],[SC Qty]] * SnapshotTable[[#This Row],[SC Current Ask]] * -100, "")</f>
        <v/>
      </c>
      <c r="FZ393" s="31" t="str">
        <f>IF(ISNUMBER((SnapshotTable[[#This Row],[SC Current Value]])), SnapshotTable[[#This Row],[SC Premium]] + SnapshotTable[[#This Row],[SC Current Value]], "")</f>
        <v/>
      </c>
      <c r="GA393" s="294" t="str">
        <f>IFERROR( IF(ISNUMBER((SnapshotTable[[#This Row],[SC Current Value]])), SnapshotTable[[#This Row],[SC Gain Loss]] / SnapshotTable[[#This Row],[SC Premium]], ""), "")</f>
        <v/>
      </c>
      <c r="GB393" s="42">
        <f>SnapshotTable[[#This Row],[Equity Shares]] * SaleSharesToConsiderPercentage</f>
        <v>20</v>
      </c>
      <c r="GC393" s="40">
        <f>SnapshotTable[[#This Row],[Long Term Target]] * SellingPriceToConsiderBasedOnTargetPercentage</f>
        <v>0</v>
      </c>
      <c r="GD393" s="40">
        <f>SnapshotTable[[#This Row],[Last Price]] * (1+ SellingPriceToConsiderBasedOnTargetPercentage)</f>
        <v>15.209999999999999</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27" t="str">
        <f>IF(SnapshotTable[[#This Row],[Sale G/L]]&gt;0, SnapshotTable[[#This Row],[Sale G/L]] / SnapshotTable[[#This Row],[Sale Basis]], IF(ISNUMBER(SnapshotTable[[#This Row],[SC Exercise P&amp;L (TAX)]]), SnapshotTable[[#This Row],[SC Exercise P&amp;L (TAX)]] / SnapshotTable[[#This Row],[SC Basis]], ""))</f>
        <v/>
      </c>
      <c r="GK393" s="27"/>
      <c r="GL393" s="43"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43" t="str">
        <f>IF(AND(SnapshotTable[[#This Row],[LC Exp Date]]&gt;0,SnapshotTable[[#This Row],[LC Strike Price]]&gt;0), [1]!ToOptionSymbol(SnapshotTable[[#This Row],[Symbol]], SnapshotTable[[#This Row],[LC Strike Price]],SnapshotTable[[#This Row],[LC Exp Date]],0), "")</f>
        <v/>
      </c>
      <c r="GQ393" s="30" t="str">
        <f>IF(LEN(SnapshotTable[[#This Row],[LC Symbol]])&gt;0, 1, "")</f>
        <v/>
      </c>
      <c r="GR393" s="43" t="str">
        <f>IF(AND(SnapshotTable[[#This Row],[SC Exp Date]]&gt;0,SnapshotTable[[#This Row],[SC Strike Price]]&gt;0), [1]!ToOptionSymbol(SnapshotTable[[#This Row],[Symbol]], SnapshotTable[[#This Row],[SC Strike Price]],SnapshotTable[[#This Row],[SC Exp Date]],0), "")</f>
        <v/>
      </c>
      <c r="GS393" s="30" t="str">
        <f>IF(LEN(SnapshotTable[[#This Row],[SC Symbol]])&gt;0, 1, "")</f>
        <v/>
      </c>
      <c r="GT393" s="29"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31">
        <f>MAX(SnapshotTable[[#This Row],[Equity Basis Total]],SnapshotTable[[#This Row],[Equity Value]]) + (SnapshotTable[[#This Row],[SP Potential Spend]]- SnapshotTable[[#This Row],[SP Premium]] + SnapshotTable[[#This Row],[LP Premium]])+ (SnapshotTable[[#This Row],[LC Premium]] - SnapshotTable[[#This Row],[SC Premium]])</f>
        <v>964</v>
      </c>
      <c r="GW393" s="139">
        <f ca="1">IF(AND(SnapshotTable[[#This Row],[Exposure]] &lt;&gt; 0),SnapshotTable[[#This Row],[Exposure]] / SnapshotTable[[#Totals],[Exposure]], "")</f>
        <v>4.5375946305004685E-3</v>
      </c>
      <c r="HK393" s="1"/>
      <c r="HL393" s="1"/>
      <c r="HM393" s="1"/>
      <c r="HN393" s="1"/>
      <c r="HO393" s="1"/>
      <c r="HP393" s="1"/>
    </row>
    <row r="394" spans="2:224" s="197" customFormat="1" ht="12.75" hidden="1" customHeight="1" x14ac:dyDescent="0.25">
      <c r="B394" s="12" t="s">
        <v>1190</v>
      </c>
      <c r="C394" s="422">
        <v>18.46</v>
      </c>
      <c r="D394" s="208"/>
      <c r="E394" s="39">
        <f>SnapshotTable[[#This Row],[Last Price]]*(1 -CrashDiscount)</f>
        <v>15.691000000000001</v>
      </c>
      <c r="F394" s="26" t="s">
        <v>937</v>
      </c>
      <c r="G394" s="26" t="s">
        <v>4</v>
      </c>
      <c r="H394" s="149"/>
      <c r="I394" s="194">
        <v>45743</v>
      </c>
      <c r="J394" s="195"/>
      <c r="K394" s="196"/>
      <c r="L394" s="326"/>
      <c r="M394" s="140"/>
      <c r="N394" s="140"/>
      <c r="O394" s="140"/>
      <c r="P394" s="22">
        <v>100</v>
      </c>
      <c r="Q394" s="25">
        <v>742.99</v>
      </c>
      <c r="R394" s="4">
        <f>IF(SnapshotTable[[#This Row],[Equity Basis Total]] &gt; 0, SnapshotTable[[#This Row],[Equity Basis Total]] / SnapshotTable[[#This Row],[Equity Shares]], "")</f>
        <v>7.4298999999999999</v>
      </c>
      <c r="S394" s="269">
        <f>SnapshotTable[[#This Row],[Last Price]] * SnapshotTable[[#This Row],[Equity Shares]]</f>
        <v>1846</v>
      </c>
      <c r="T394" s="269">
        <f>SnapshotTable[[#This Row],[Equity Value]] - SnapshotTable[[#This Row],[Equity Basis Total]]</f>
        <v>1103.01</v>
      </c>
      <c r="U394" s="270">
        <f>IF(SnapshotTable[[#This Row],[Equity Basis Total]] &gt; 0, SnapshotTable[[#This Row],[Equity G/L]] / SnapshotTable[[#This Row],[Equity Basis Total]], "")</f>
        <v>1.4845556467785568</v>
      </c>
      <c r="V394" s="268">
        <v>9.5</v>
      </c>
      <c r="W394" s="268">
        <v>6</v>
      </c>
      <c r="X394" s="4">
        <f>IF(AND(ISNUMBER(SnapshotTable[[#This Row],[Equity Basis Per Share]]),ISNUMBER(SnapshotTable[[#This Row],[Equity Target]])),SnapshotTable[[#This Row],[Equity Target]]-SnapshotTable[[#This Row],[Equity Basis Per Share]],"")</f>
        <v>2.0701000000000001</v>
      </c>
      <c r="Y394" s="4">
        <f>IF(AND(ISNUMBER(SnapshotTable[[#This Row],[Equity Basis Per Share]]),ISNUMBER(SnapshotTable[[#This Row],[Equity Stop Loss]])),SnapshotTable[[#This Row],[Equity Stop Loss]]-SnapshotTable[[#This Row],[Equity Basis Per Share]],"")</f>
        <v>-1.4298999999999999</v>
      </c>
      <c r="Z394" s="275" t="str">
        <f>IFERROR( TEXT(SnapshotTable[[#This Row],[Equity Max Gain Per Share]] /ABS( SnapshotTable[[#This Row],[Equity Max Loss Per Share]]),"0.0 " ) &amp; " : 1", "")</f>
        <v>1.4  : 1</v>
      </c>
      <c r="AA394" s="31">
        <f>IF(ISNUMBER(SnapshotTable[[#This Row],[Equity Max Gain Per Share]]),SnapshotTable[[#This Row],[Equity Max Gain Per Share]] * SnapshotTable[[#This Row],[Equity Shares]],"")</f>
        <v>207.01</v>
      </c>
      <c r="AB394" s="31">
        <f>IF(ISNUMBER(SnapshotTable[[#This Row],[Equity Max Loss Per Share]]),SnapshotTable[[#This Row],[Equity Max Loss Per Share]] * SnapshotTable[[#This Row],[Equity Shares]],"")</f>
        <v>-142.99</v>
      </c>
      <c r="AC394" s="150"/>
      <c r="AD394" s="151"/>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1"/>
      <c r="AI394" s="5"/>
      <c r="AJ394" s="138"/>
      <c r="AK394" s="152" t="str">
        <f>IF(ISNUMBER( SnapshotTable[[#This Row],[EBF Target]]),(SnapshotTable[[#This Row],[EBF Target]] - SnapshotTable[[#This Row],[Last Price]]) / SnapshotTable[[#This Row],[Last Price]], "")</f>
        <v/>
      </c>
      <c r="AL394" s="152"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2" t="str">
        <f>IF(AND(ISNUMBER( SnapshotTable[[#This Row],[Long Term Target]]), ISNUMBER(SnapshotTable[[#This Row],[Last Price]])),(SnapshotTable[[#This Row],[Long Term Target]] - SnapshotTable[[#This Row],[Last Price]]) / SnapshotTable[[#This Row],[Last Price]], "")</f>
        <v/>
      </c>
      <c r="AP394" s="5"/>
      <c r="AQ394" s="38" t="s">
        <v>38</v>
      </c>
      <c r="AR394" s="5"/>
      <c r="AS394" s="38" t="s">
        <v>26</v>
      </c>
      <c r="AT394" s="389" t="s">
        <v>1132</v>
      </c>
      <c r="AU394" s="187" t="str">
        <f>IF(OR(SnapshotTable[[#This Row],[LP No Fill]]="Y",SnapshotTable[[#This Row],[SP Is Filled]],SnapshotTable[[#This Row],[LC Not Filled]]="Y",SnapshotTable[[#This Row],[SC Is Filled]]),"Y","")</f>
        <v/>
      </c>
      <c r="AV394" s="219" t="s">
        <v>1138</v>
      </c>
      <c r="AW394" s="225"/>
      <c r="AX394" s="220"/>
      <c r="AY394" s="219" t="str">
        <f>IF(SnapshotTable[[#This Row],[Implied Move]]&gt;0, SnapshotTable[[#This Row],[Last Price]]-SnapshotTable[[#This Row],[Implied Move]],"")</f>
        <v/>
      </c>
      <c r="AZ394" s="219" t="str">
        <f>IF(SnapshotTable[[#This Row],[Implied Move]]&gt;0, SnapshotTable[[#This Row],[Last Price]] + SnapshotTable[[#This Row],[Implied Move]],"")</f>
        <v/>
      </c>
      <c r="BA394" s="331">
        <v>6.18</v>
      </c>
      <c r="BB394" s="347"/>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51"/>
      <c r="BE394" s="5"/>
      <c r="BF394" s="14"/>
      <c r="BG394" s="13"/>
      <c r="BH394" s="13"/>
      <c r="BI394" s="5"/>
      <c r="BJ394" s="136">
        <f>IF(SnapshotTable[[#This Row],[LP Qty]] &gt; 0, SnapshotTable[[#This Row],[LP Qty]] * SnapshotTable[[#This Row],[LP Book Price]] * 100,0)</f>
        <v>0</v>
      </c>
      <c r="BK394" s="136">
        <f>IF(SnapshotTable[[#This Row],[LP Premium]] &gt; 0, SnapshotTable[[#This Row],[LP Qty]] * SnapshotTable[[#This Row],[LP Strike Price]] * 100,0)</f>
        <v>0</v>
      </c>
      <c r="BL394" s="154"/>
      <c r="BM394" s="385" t="str">
        <f>IF(SnapshotTable[[#This Row],[LP Premium]] &gt; 0,SnapshotTable[[#This Row],[LP Exp Date]]-MAX(SnapshotTable[[#This Row],[LP Book Date]], SnapshotTable[[#This Row],[LP Fill Date]]),"")</f>
        <v/>
      </c>
      <c r="BN394" s="385" t="str">
        <f>IF(ISNUMBER( SnapshotTable[[#This Row],[LP Term]]), SnapshotTable[[#This Row],[LP Exp Date]] - MockToday,"")</f>
        <v/>
      </c>
      <c r="BO394" s="163"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7"/>
      <c r="BU394" s="13"/>
      <c r="BV394" s="5"/>
      <c r="BW394" s="419" t="b">
        <f>AND(ISNUMBER(SnapshotTable[[#This Row],[SP Exp Date]]), ISNUMBER(SnapshotTable[[#This Row],[SP Strike Price]]), ISNUMBER(SnapshotTable[[#This Row],[SP Qty]]), ISNUMBER(SnapshotTable[[#This Row],[SP Book Date]]), ISNUMBER(SnapshotTable[[#This Row],[SP Book Price]]))</f>
        <v>0</v>
      </c>
      <c r="BX394" s="419" t="b">
        <f>AND(SnapshotTable[[#This Row],[SP Is Booked]], NOT(ISBLANK(SnapshotTable[[#This Row],[SP Fill Date]])))</f>
        <v>0</v>
      </c>
      <c r="BY394" s="33">
        <f>IF(SnapshotTable[[#This Row],[SP Is Booked]], SnapshotTable[[#This Row],[SP Qty]] * SnapshotTable[[#This Row],[SP Book Price]] * 100, 0)</f>
        <v>0</v>
      </c>
      <c r="BZ394" s="369"/>
      <c r="CA394" s="368">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3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44"/>
      <c r="CK394" s="31">
        <f>IF(ISNUMBER(SnapshotTable[[#This Row],[SP Potential Spend]]),IF(ISNUMBER(SnapshotTable[[#This Row],[SP POW]]), SnapshotTable[[#This Row],[SP POW]] * SnapshotTable[[#This Row],[SP Potential Spend]], SnapshotTable[[#This Row],[SP Potential Spend]]), "")</f>
        <v>0</v>
      </c>
      <c r="CL394" s="164">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8"/>
      <c r="CO394" s="369"/>
      <c r="CP394" s="4" t="str">
        <f>IF(SnapshotTable[[#This Row],[SP Is Filled]], btc_max_buyback_amount(SnapshotTable[[#This Row],[SP Fill Date]],SnapshotTable[[#This Row],[SP Exp Date]], SnapshotTable[[#This Row],[SP Book Price]]),"")</f>
        <v/>
      </c>
      <c r="CQ394" s="78"/>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5" t="str">
        <f>IF(SnapshotTable[[#This Row],[SP Is Filled]], btc_next_cutoff_date(SnapshotTable[[#This Row],[SP Fill Date]],SnapshotTable[[#This Row],[SP Exp Date]]),"")</f>
        <v/>
      </c>
      <c r="CT394" s="23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3"/>
      <c r="CV394" s="235"/>
      <c r="CW394" s="378"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294" t="str">
        <f>IF(ISNUMBER((SnapshotTable[[#This Row],[SP Total Value]])), SnapshotTable[[#This Row],[SP Gain Loss]] / SnapshotTable[[#This Row],[SP Premium]], "")</f>
        <v/>
      </c>
      <c r="DI394" s="406"/>
      <c r="DJ394" s="138"/>
      <c r="DK394" s="148"/>
      <c r="DL394" s="13"/>
      <c r="DM394" s="13"/>
      <c r="DN394" s="5"/>
      <c r="DO394" s="31">
        <f>IF(SnapshotTable[[#This Row],[LC Symbol Count]]=1, SnapshotTable[[#This Row],[LC Qty]] * SnapshotTable[[#This Row],[LC Book Price]] * 100, 0)</f>
        <v>0</v>
      </c>
      <c r="DP394" s="163" t="str">
        <f>IF(AND(SnapshotTable[[#This Row],[LC Exp Date]]&gt;0, SnapshotTable[[#This Row],[LC Strike Price]]&gt;0,SnapshotTable[[#This Row],[LC Qty]]&gt;0,SnapshotTable[[#This Row],[LC Book Date]]&gt;0,SnapshotTable[[#This Row],[LC Book Price]]&gt;0,SnapshotTable[[#This Row],[LC Fill Date]]=0),"Y","")</f>
        <v/>
      </c>
      <c r="DQ394" s="386" t="str">
        <f>IF(SnapshotTable[[#This Row],[LC Premium]] &gt; 0,SnapshotTable[[#This Row],[LC Exp Date]]-MAX(SnapshotTable[[#This Row],[LC Book Date]], SnapshotTable[[#This Row],[LC Fill Date]]),"")</f>
        <v/>
      </c>
      <c r="DR394" s="386" t="str">
        <f>IF(ISNUMBER(SnapshotTable[[#This Row],[LC Term]]), SnapshotTable[[#This Row],[LC Exp Date]] - MockToday, "")</f>
        <v/>
      </c>
      <c r="DS394" s="234" t="str">
        <f>IF(SnapshotTable[[#This Row],[LC Premium]]&gt;0,SnapshotTable[[#This Row],[LC Strike Price]] + SnapshotTable[[#This Row],[LC Book Price]],"")</f>
        <v/>
      </c>
      <c r="DT394" s="5"/>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40" t="str">
        <f>IF(ISNUMBER(SnapshotTable[[#This Row],[LC Actual Gain Loss]]), SnapshotTable[[#This Row],[LC Actual Gain Loss]] / SnapshotTable[[#This Row],[LC Premium]],"")</f>
        <v/>
      </c>
      <c r="DX394" s="284" t="str">
        <f>IF(ISNUMBER(SnapshotTable[[#This Row],[LC Book Price]]),SnapshotTable[[#This Row],[LC Book Price]] * 1.5,"")</f>
        <v/>
      </c>
      <c r="DY394" s="265" t="str">
        <f>IF(SnapshotTable[[#This Row],[LC Premium]]&gt;0, SnapshotTable[[#This Row],[LC Next Target]] * SnapshotTable[[#This Row],[LC Qty]] * 100,"")</f>
        <v/>
      </c>
      <c r="DZ394" s="265" t="str">
        <f>IF(ISNUMBER(SnapshotTable[[#This Row],[LC Target Gross]]), SnapshotTable[[#This Row],[LC Target Gross]] - SnapshotTable[[#This Row],[LC Premium]], "")</f>
        <v/>
      </c>
      <c r="EA394" s="305" t="str">
        <f>IF(ISNUMBER(SnapshotTable[[#This Row],[LC Target Gain Loss]]), SnapshotTable[[#This Row],[LC Target Gain Loss]]/SnapshotTable[[#This Row],[LC Premium]], "")</f>
        <v/>
      </c>
      <c r="EB394" s="262"/>
      <c r="EC394" s="283" t="str">
        <f>IF(SnapshotTable[[#This Row],[LC Premium]]&gt;0, SnapshotTable[[#This Row],[LC Book Price]] * (1 - LC_StopLoss_Pct),"")</f>
        <v/>
      </c>
      <c r="ED394" s="284"/>
      <c r="EE394" s="28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4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1</v>
      </c>
      <c r="EK394" s="147"/>
      <c r="EL394" s="138"/>
      <c r="EM394" s="148"/>
      <c r="EN394" s="147"/>
      <c r="EO394" s="147"/>
      <c r="EP394" s="138"/>
      <c r="EQ394" s="419" t="b">
        <f>AND(ISNUMBER(SnapshotTable[[#This Row],[SC Exp Date]]), ISNUMBER(SnapshotTable[[#This Row],[SC Strike Price]]), ISNUMBER(SnapshotTable[[#This Row],[SC Qty]]), ISNUMBER(SnapshotTable[[#This Row],[SC Book Date]]), ISNUMBER(SnapshotTable[[#This Row],[SC Book Price]]))</f>
        <v>0</v>
      </c>
      <c r="ER394" s="419" t="b">
        <f>AND(SnapshotTable[[#This Row],[SC Is Booked]], NOT(ISBLANK(SnapshotTable[[#This Row],[SC Fill Date]])))</f>
        <v>0</v>
      </c>
      <c r="ES394" s="370"/>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3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283"/>
      <c r="FA394" s="218"/>
      <c r="FB394" s="370"/>
      <c r="FC394" s="4">
        <f>IF(SnapshotTable[[#This Row],[SC Is Filled]], btc_max_buyback_amount(SnapshotTable[[#This Row],[SC Fill Date]],SnapshotTable[[#This Row],[SC Exp Date]], SnapshotTable[[#This Row],[SC Book Price]]),0)</f>
        <v>0</v>
      </c>
      <c r="FD394" s="5"/>
      <c r="FE394" s="144"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382">
        <f>IF(SnapshotTable[[#This Row],[SC Is Filled]], IF(ISNUMBER(SnapshotTable[[#This Row],[SC Current Ask]]), SnapshotTable[[#This Row],[SC Current Ask]], SnapshotTable[[#This Row],[SC Book Price]]) - SnapshotTable[[#This Row],[SC Intrinsic Value]], 0)</f>
        <v>0</v>
      </c>
      <c r="FI394" s="143"/>
      <c r="FJ394" s="32" t="str">
        <f>IF(SnapshotTable[[#This Row],[SC Is Filled]],100 * SnapshotTable[[#This Row],[SC Qty]] * IF(ISNUMBER(SnapshotTable[[#This Row],[SC Buyback Override]]), SnapshotTable[[#This Row],[SC Buyback Override]], SnapshotTable[[#This Row],[SC Current Ask]]), "")</f>
        <v/>
      </c>
      <c r="FK394" s="250" t="str">
        <f>IF(SnapshotTable[[#This Row],[SC Time Val]]&gt;0, SnapshotTable[[#This Row],[SC Time Val]] / SnapshotTable[[#This Row],[Last Price]],"")</f>
        <v/>
      </c>
      <c r="FL394" s="302" t="str">
        <f>IF(SnapshotTable[[#This Row],[SC Is Booked]], ((SnapshotTable[[#This Row],[Last Price]] -SnapshotTable[[#This Row],[SC Strike Price]]) / SnapshotTable[[#This Row],[Last Price]]) * -1, "")</f>
        <v/>
      </c>
      <c r="FM394" s="157"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33"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36" t="str">
        <f>IF(AND(ISNUMBER(SnapshotTable[[#This Row],[SC Simple ROO]]),SnapshotTable[[#This Row],[SC Simple ROO]] &gt; 0), SnapshotTable[[#This Row],[SC Premium]] + (SnapshotTable[[#This Row],[SC Qty]] * SnapshotTable[[#This Row],[SC Upside Potential]]), "")</f>
        <v/>
      </c>
      <c r="FX394" s="302" t="str" cm="1">
        <f t="array" ref="FX394">IF(ISNUMBER(SnapshotTable[[#This Row],[SC Max Dollars]]), annualize(SnapshotTable[[#This Row],[SC Term]],(SnapshotTable[[#This Row],[SC Max Dollars]]/SnapshotTable[[#This Row],[SC Basis]])),"")</f>
        <v/>
      </c>
      <c r="FY394" s="23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294" t="str">
        <f>IFERROR( IF(ISNUMBER((SnapshotTable[[#This Row],[SC Current Value]])), SnapshotTable[[#This Row],[SC Gain Loss]] / SnapshotTable[[#This Row],[SC Premium]], ""), "")</f>
        <v/>
      </c>
      <c r="GB394" s="42">
        <f>SnapshotTable[[#This Row],[Equity Shares]] * SaleSharesToConsiderPercentage</f>
        <v>20</v>
      </c>
      <c r="GC394" s="40">
        <f>SnapshotTable[[#This Row],[Long Term Target]] * SellingPriceToConsiderBasedOnTargetPercentage</f>
        <v>0</v>
      </c>
      <c r="GD394" s="40">
        <f>SnapshotTable[[#This Row],[Last Price]] * (1+ SellingPriceToConsiderBasedOnTargetPercentage)</f>
        <v>35.997</v>
      </c>
      <c r="GE394" s="41"/>
      <c r="GF394" s="40"/>
      <c r="GG394" s="31">
        <f>SnapshotTable[[#This Row],[Booked Sale Shares]] * SnapshotTable[[#This Row],[Booked Sale Price]]</f>
        <v>0</v>
      </c>
      <c r="GH394" s="31">
        <f>IF(SnapshotTable[[#This Row],[Equity Basis Total]] &gt; 0, SnapshotTable[[#This Row],[Equity Basis Per Share]] * SnapshotTable[[#This Row],[Booked Sale Shares]], "")</f>
        <v>0</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4" s="231">
        <f>MAX(SnapshotTable[[#This Row],[Equity Basis Total]],SnapshotTable[[#This Row],[Equity Value]]) + (SnapshotTable[[#This Row],[SP Potential Spend]]- SnapshotTable[[#This Row],[SP Premium]] + SnapshotTable[[#This Row],[LP Premium]])+ (SnapshotTable[[#This Row],[LC Premium]] - SnapshotTable[[#This Row],[SC Premium]])</f>
        <v>1846</v>
      </c>
      <c r="GW394" s="139">
        <f ca="1">IF(AND(SnapshotTable[[#This Row],[Exposure]] &lt;&gt; 0),SnapshotTable[[#This Row],[Exposure]] / SnapshotTable[[#Totals],[Exposure]], "")</f>
        <v>8.689211294506085E-3</v>
      </c>
    </row>
    <row r="395" spans="2:224" s="197" customFormat="1" x14ac:dyDescent="0.25">
      <c r="B395" s="165">
        <f>SUBTOTAL(103,SnapshotTable[Symbol])</f>
        <v>5</v>
      </c>
      <c r="C395" s="418" t="s">
        <v>1195</v>
      </c>
      <c r="D395" s="209"/>
      <c r="E395" s="107"/>
      <c r="F395" s="108"/>
      <c r="G395" s="109"/>
      <c r="H395" s="110"/>
      <c r="I395" s="111"/>
      <c r="J395" s="111"/>
      <c r="K395" s="111"/>
      <c r="L395" s="112"/>
      <c r="M395" s="108"/>
      <c r="N395" s="108"/>
      <c r="O395" s="108"/>
      <c r="P395" s="113">
        <f>SUBTOTAL(109,SnapshotTable[Equity Shares])</f>
        <v>2800</v>
      </c>
      <c r="Q395" s="114">
        <f>SUBTOTAL(109,SnapshotTable[Equity Basis Total])</f>
        <v>165478.35999999999</v>
      </c>
      <c r="R395" s="115"/>
      <c r="S395" s="114">
        <f>SUBTOTAL(109,SnapshotTable[Equity Value])</f>
        <v>135710</v>
      </c>
      <c r="T395" s="114">
        <f>SUBTOTAL(109,SnapshotTable[Equity G/L])</f>
        <v>-29768.36</v>
      </c>
      <c r="U395" s="110"/>
      <c r="V395" s="127"/>
      <c r="W395" s="127"/>
      <c r="X395" s="127"/>
      <c r="Y395" s="127"/>
      <c r="Z395" s="276"/>
      <c r="AA395" s="114">
        <f>SUBTOTAL(109,SnapshotTable[Equity Max Profit])</f>
        <v>17738.64</v>
      </c>
      <c r="AB395" s="114">
        <f>SUBTOTAL(109,SnapshotTable[Equity Max Risk])</f>
        <v>-12661.360000000004</v>
      </c>
      <c r="AC395" s="116"/>
      <c r="AD395" s="117"/>
      <c r="AE395" s="118">
        <f>SUBTOTAL(109,SnapshotTable[Quarterly Div $])</f>
        <v>109.00000000000001</v>
      </c>
      <c r="AF395" s="119">
        <f>SUBTOTAL(109,SnapshotTable[Annual Div $])</f>
        <v>436.00000000000006</v>
      </c>
      <c r="AG395" s="120"/>
      <c r="AH395" s="117"/>
      <c r="AI395" s="120"/>
      <c r="AJ395" s="121"/>
      <c r="AK395" s="121"/>
      <c r="AL395" s="122"/>
      <c r="AM395" s="119">
        <f>SUBTOTAL(109,SnapshotTable[From Basis $])</f>
        <v>14850.64</v>
      </c>
      <c r="AN395" s="119">
        <f>SUBTOTAL(109,SnapshotTable[From Current $])</f>
        <v>21062</v>
      </c>
      <c r="AO395" s="123"/>
      <c r="AP395" s="123"/>
      <c r="AQ395" s="123"/>
      <c r="AR395" s="123"/>
      <c r="AS395" s="123"/>
      <c r="AT395" s="123"/>
      <c r="AU395" s="123"/>
      <c r="AV395" s="123"/>
      <c r="AW395" s="123"/>
      <c r="AX395" s="123"/>
      <c r="AY395" s="123"/>
      <c r="AZ395" s="123"/>
      <c r="BA395" s="186"/>
      <c r="BB395" s="123"/>
      <c r="BC395" s="123"/>
      <c r="BD395" s="124"/>
      <c r="BE395" s="124"/>
      <c r="BF395" s="124"/>
      <c r="BG395" s="124"/>
      <c r="BH395" s="124"/>
      <c r="BI395" s="127"/>
      <c r="BJ395" s="124">
        <f>SUBTOTAL(109,SnapshotTable[LP Premium])</f>
        <v>0</v>
      </c>
      <c r="BK395" s="124"/>
      <c r="BL395" s="124"/>
      <c r="BM395" s="124"/>
      <c r="BN395" s="124"/>
      <c r="BO395" s="124"/>
      <c r="BP395" s="124"/>
      <c r="BQ395" s="125"/>
      <c r="BR395" s="125"/>
      <c r="BS395" s="126"/>
      <c r="BT395" s="106"/>
      <c r="BU395" s="125"/>
      <c r="BV395" s="127"/>
      <c r="BW395" s="127"/>
      <c r="BX395" s="127"/>
      <c r="BY395" s="119">
        <f>SUBTOTAL(109,SnapshotTable[SP Premium])</f>
        <v>1100</v>
      </c>
      <c r="BZ395" s="119"/>
      <c r="CA395" s="119"/>
      <c r="CB395" s="115"/>
      <c r="CC395" s="119"/>
      <c r="CD395" s="119"/>
      <c r="CE395" s="119"/>
      <c r="CF395" s="119"/>
      <c r="CG395" s="119">
        <f>SUBTOTAL(109,SnapshotTable[SP Potential Spend])</f>
        <v>55000</v>
      </c>
      <c r="CH395" s="119"/>
      <c r="CI395" s="119">
        <f>SUBTOTAL(109,SnapshotTable[SP Actual Spend])</f>
        <v>55000</v>
      </c>
      <c r="CJ395" s="132"/>
      <c r="CK395" s="119">
        <f>SUBTOTAL(109,SnapshotTable[SP Cash Reserve])</f>
        <v>55000</v>
      </c>
      <c r="CL395" s="119">
        <f>SUBTOTAL(109,SnapshotTable[SP Unfilled Potential Spend])</f>
        <v>0</v>
      </c>
      <c r="CM395" s="119">
        <f>SUBTOTAL(109,SnapshotTable[SP Actual Loss])</f>
        <v>-2400</v>
      </c>
      <c r="CN395" s="119"/>
      <c r="CO395" s="119"/>
      <c r="CP395" s="119"/>
      <c r="CQ395" s="119"/>
      <c r="CR395" s="119"/>
      <c r="CS395" s="119"/>
      <c r="CT395" s="119"/>
      <c r="CU395" s="119"/>
      <c r="CV395" s="119"/>
      <c r="CW395" s="119"/>
      <c r="CX395" s="119"/>
      <c r="CY395" s="119"/>
      <c r="CZ395" s="119"/>
      <c r="DA395" s="119"/>
      <c r="DB395" s="119"/>
      <c r="DC395" s="119"/>
      <c r="DD395" s="119"/>
      <c r="DE395" s="119"/>
      <c r="DF395" s="119"/>
      <c r="DG395" s="119"/>
      <c r="DH395" s="132"/>
      <c r="DI395" s="128"/>
      <c r="DJ395" s="128"/>
      <c r="DK395" s="122">
        <f>SUBTOTAL(109,SnapshotTable[LC Qty])</f>
        <v>0</v>
      </c>
      <c r="DL395" s="128"/>
      <c r="DM395" s="128"/>
      <c r="DN395" s="128"/>
      <c r="DO395" s="119">
        <f>SUBTOTAL(109,SnapshotTable[LC Premium])</f>
        <v>0</v>
      </c>
      <c r="DP395" s="128"/>
      <c r="DQ395" s="128"/>
      <c r="DR395" s="128"/>
      <c r="DS395" s="115" t="e">
        <f>SUBTOTAL(101,SnapshotTable[LC Break Even])</f>
        <v>#DIV/0!</v>
      </c>
      <c r="DT395" s="128"/>
      <c r="DU395" s="119">
        <f>SUBTOTAL(109,SnapshotTable[LC Total Value])</f>
        <v>0</v>
      </c>
      <c r="DV395" s="119">
        <f>SUBTOTAL(109,SnapshotTable[LC Actual Gain Loss])</f>
        <v>0</v>
      </c>
      <c r="DW395" s="132"/>
      <c r="DX395" s="256"/>
      <c r="DY395" s="300"/>
      <c r="DZ395" s="300"/>
      <c r="EA395" s="132"/>
      <c r="EB395" s="263"/>
      <c r="EC395" s="128"/>
      <c r="ED395" s="128"/>
      <c r="EE395" s="128"/>
      <c r="EF395" s="128"/>
      <c r="EG395" s="119">
        <f>SUBTOTAL(109,SnapshotTable[LC Stop Gain Loss])</f>
        <v>0</v>
      </c>
      <c r="EH395" s="119">
        <f>SUBTOTAL(109,SnapshotTable[LC Cost To Exercise])</f>
        <v>0</v>
      </c>
      <c r="EI395" s="132"/>
      <c r="EJ395" s="129">
        <f>SUBTOTAL(109,SnapshotTable[SC Max Qty])</f>
        <v>28</v>
      </c>
      <c r="EK395" s="125"/>
      <c r="EL395" s="127"/>
      <c r="EM395" s="126">
        <f>SUBTOTAL(109,SnapshotTable[SC Qty])</f>
        <v>28</v>
      </c>
      <c r="EN395" s="125"/>
      <c r="EO395" s="125"/>
      <c r="EP395" s="127"/>
      <c r="EQ395" s="127"/>
      <c r="ER395" s="115"/>
      <c r="ES395" s="362"/>
      <c r="ET395" s="130"/>
      <c r="EU395" s="130"/>
      <c r="EV395" s="119">
        <f ca="1">SUBTOTAL(109,SnapshotTable[SC Premium])</f>
        <v>6931.0000000000009</v>
      </c>
      <c r="EW395" s="115"/>
      <c r="EX395" s="115"/>
      <c r="EY395" s="115"/>
      <c r="EZ395" s="115"/>
      <c r="FA395" s="115"/>
      <c r="FB395" s="366"/>
      <c r="FC395" s="115"/>
      <c r="FD395" s="115"/>
      <c r="FE395" s="115"/>
      <c r="FF395" s="122"/>
      <c r="FG395" s="115"/>
      <c r="FH395" s="115"/>
      <c r="FI395" s="115"/>
      <c r="FJ395" s="115"/>
      <c r="FK395" s="120"/>
      <c r="FL395" s="123"/>
      <c r="FM395" s="119">
        <f ca="1">SUBTOTAL(109,SnapshotTable[SC Exercise Gross])</f>
        <v>147290.43</v>
      </c>
      <c r="FN395" s="119">
        <f ca="1">SUBTOTAL(109,SnapshotTable[SC Exercise Oppty Cost])</f>
        <v>0</v>
      </c>
      <c r="FO395" s="119">
        <f ca="1">SUBTOTAL(109,SnapshotTable[SC Exercise P&amp;L (TAX)])</f>
        <v>-11256.929999999997</v>
      </c>
      <c r="FP395" s="127"/>
      <c r="FQ395" s="123"/>
      <c r="FR395" s="123"/>
      <c r="FS395" s="123"/>
      <c r="FT395" s="309"/>
      <c r="FU395" s="309"/>
      <c r="FV395" s="309"/>
      <c r="FW395" s="114"/>
      <c r="FX395" s="309"/>
      <c r="FY395" s="110"/>
      <c r="FZ395" s="119"/>
      <c r="GA395" s="132"/>
      <c r="GB395" s="113"/>
      <c r="GC395" s="131"/>
      <c r="GD395" s="131"/>
      <c r="GE395" s="124"/>
      <c r="GF395" s="131"/>
      <c r="GG395" s="119"/>
      <c r="GH395" s="119"/>
      <c r="GI395" s="119"/>
      <c r="GJ395" s="119"/>
      <c r="GK395" s="119"/>
      <c r="GL395" s="119"/>
      <c r="GM395" s="122">
        <f>SUBTOTAL(102,SnapshotTable[LP Symbol Count])</f>
        <v>0</v>
      </c>
      <c r="GN395" s="115"/>
      <c r="GO395" s="122">
        <f>SUBTOTAL(102,SnapshotTable[SP Symbol Count])</f>
        <v>1</v>
      </c>
      <c r="GP395" s="119"/>
      <c r="GQ395" s="122">
        <f>SUBTOTAL(102,SnapshotTable[LC Symbol Count])</f>
        <v>0</v>
      </c>
      <c r="GR395" s="119"/>
      <c r="GS395" s="122">
        <f ca="1">SUBTOTAL(102,SnapshotTable[SC Symbol Count])</f>
        <v>5</v>
      </c>
      <c r="GT395" s="119"/>
      <c r="GU395" s="119"/>
      <c r="GV395" s="119">
        <f ca="1">SUBTOTAL(109,SnapshotTable[Exposure])</f>
        <v>212447.35999999999</v>
      </c>
      <c r="GW395" s="132">
        <f ca="1">SUBTOTAL(109,SnapshotTable[Exp %])</f>
        <v>1</v>
      </c>
    </row>
    <row r="396" spans="2:224" s="197" customFormat="1" x14ac:dyDescent="0.25">
      <c r="B396" s="1"/>
      <c r="C396" s="387"/>
      <c r="D396" s="207"/>
      <c r="E396" s="26"/>
      <c r="F396" s="26"/>
      <c r="G396" s="26"/>
      <c r="H396" s="1"/>
      <c r="I396" s="25"/>
      <c r="J396" s="22"/>
      <c r="K396" s="22"/>
      <c r="L396" s="22"/>
      <c r="M396" s="22"/>
      <c r="N396" s="22"/>
      <c r="O396" s="22"/>
      <c r="P396" s="22"/>
      <c r="Q396" s="22"/>
      <c r="R396" s="22"/>
      <c r="S396" s="22"/>
      <c r="T396" s="22"/>
      <c r="U396" s="23"/>
      <c r="V396" s="234"/>
      <c r="W396" s="234"/>
      <c r="X396" s="234"/>
      <c r="Y396" s="234"/>
      <c r="Z396" s="271"/>
      <c r="AA396" s="236"/>
      <c r="AB396" s="236"/>
      <c r="AC396" s="22"/>
      <c r="AD396" s="12"/>
      <c r="AE396" s="20"/>
      <c r="AF396" s="1"/>
      <c r="AG396" s="24"/>
      <c r="AH396" s="22"/>
      <c r="AI396" s="23"/>
      <c r="AJ396" s="22"/>
      <c r="AK396" s="20"/>
      <c r="AL396" s="20"/>
      <c r="AM396" s="1"/>
      <c r="AN396" s="21"/>
      <c r="AO396" s="1"/>
      <c r="AP396" s="1"/>
      <c r="AQ396" s="1"/>
      <c r="AR396" s="20"/>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9"/>
      <c r="BU396" s="8"/>
      <c r="BV396" s="1"/>
      <c r="BW396" s="7"/>
      <c r="BX396" s="7"/>
      <c r="BY396" s="7"/>
      <c r="BZ396" s="7"/>
      <c r="CA396" s="7"/>
      <c r="CB396" s="1"/>
      <c r="CC396"/>
      <c r="CD396" s="1"/>
      <c r="CE396" s="1"/>
      <c r="CF396" s="1"/>
      <c r="CG396"/>
      <c r="CH396"/>
      <c r="CI396" s="245"/>
      <c r="CJ396"/>
      <c r="CK396" s="1"/>
      <c r="CL396"/>
      <c r="CM396"/>
      <c r="CN396"/>
      <c r="CO396" s="1"/>
      <c r="CP396"/>
      <c r="CQ396"/>
      <c r="CR396"/>
      <c r="CS396"/>
      <c r="CT396"/>
      <c r="CU396"/>
      <c r="CV396"/>
      <c r="CW396"/>
      <c r="CX396"/>
      <c r="CY396" s="1"/>
      <c r="CZ396" s="1"/>
      <c r="DA396" s="1"/>
      <c r="DB396" s="1"/>
      <c r="DC396" s="1"/>
      <c r="DD396" s="5"/>
      <c r="DE396"/>
      <c r="DF396"/>
      <c r="DG396"/>
      <c r="DH396" s="18"/>
      <c r="DI396" s="6"/>
      <c r="DJ396" s="6"/>
      <c r="DK396" s="6"/>
      <c r="DL396" s="6"/>
      <c r="DM396" s="5"/>
      <c r="DN396" s="5"/>
      <c r="DO396" s="237"/>
      <c r="DP396" s="237"/>
      <c r="DQ396" s="237"/>
      <c r="DR396" s="5"/>
      <c r="DS396" s="5"/>
      <c r="DT396" s="5"/>
      <c r="DU396" s="4" t="s">
        <v>0</v>
      </c>
      <c r="DV396" s="4"/>
      <c r="DW396" s="1"/>
      <c r="DX396" s="1"/>
      <c r="DY396" s="1"/>
      <c r="DZ396" s="1"/>
      <c r="EA396" s="1"/>
      <c r="EB396" s="1"/>
      <c r="EC396" s="1"/>
      <c r="ED396" s="237"/>
      <c r="EE396" s="257"/>
      <c r="EF396" s="301"/>
      <c r="EG396" s="301"/>
      <c r="EH396" s="301"/>
      <c r="EI396" s="237"/>
      <c r="EJ396" s="264"/>
      <c r="EK396"/>
      <c r="EL396"/>
      <c r="EM396" s="1"/>
      <c r="EN396" s="1"/>
      <c r="EO396"/>
      <c r="EP396"/>
      <c r="EQ396" s="16"/>
      <c r="ER396" s="361"/>
      <c r="ES396"/>
      <c r="ET396" s="16"/>
      <c r="EU396" s="16"/>
      <c r="EV396" s="16"/>
      <c r="EW396"/>
      <c r="EX396"/>
      <c r="EY396" s="16"/>
      <c r="EZ396" s="240"/>
      <c r="FA396"/>
      <c r="FB396" s="16"/>
      <c r="FC396" s="16"/>
      <c r="FD396"/>
      <c r="FE396"/>
      <c r="FF396"/>
      <c r="FG396" s="16"/>
      <c r="FH396" s="363"/>
      <c r="FI396" s="16"/>
      <c r="FJ396" s="16"/>
      <c r="FK396" s="16"/>
      <c r="FL396" s="1"/>
      <c r="FM396" s="1"/>
      <c r="FN396" s="16"/>
      <c r="FO396" s="16"/>
      <c r="FP396"/>
      <c r="FQ396"/>
      <c r="FR396" s="16"/>
      <c r="FS396" s="16"/>
      <c r="FT396" s="16"/>
      <c r="FU396" s="16"/>
      <c r="FV396" s="1"/>
      <c r="FW396" s="16"/>
      <c r="FX396" s="16"/>
      <c r="FY396" s="16"/>
      <c r="FZ396" s="16"/>
      <c r="GA396" s="16"/>
      <c r="GB396" s="16"/>
      <c r="GC396" s="16"/>
      <c r="GD396" s="236"/>
      <c r="GE396" s="16"/>
      <c r="GF396" s="16"/>
      <c r="GG396" s="302"/>
      <c r="GH396" s="16"/>
      <c r="GI396" s="16"/>
      <c r="GJ396" s="250"/>
      <c r="GK396" s="16"/>
      <c r="GL396" s="16"/>
      <c r="GM396" s="237"/>
      <c r="GN396" s="4"/>
      <c r="GO396" s="5"/>
      <c r="GP396" s="1"/>
      <c r="GQ396" s="17"/>
      <c r="GR396" s="17"/>
      <c r="GS396" s="1"/>
      <c r="GT396" s="241"/>
      <c r="GU396" s="16"/>
      <c r="GV396" s="15"/>
      <c r="GW396" s="15"/>
    </row>
    <row r="397" spans="2:224" s="197" customFormat="1" x14ac:dyDescent="0.25">
      <c r="B397" s="1"/>
      <c r="C397" s="387"/>
      <c r="D397" s="207"/>
      <c r="E397" s="26"/>
      <c r="F397" s="26"/>
      <c r="G397" s="26"/>
      <c r="H397" s="1"/>
      <c r="I397" s="25"/>
      <c r="J397" s="22"/>
      <c r="K397" s="22"/>
      <c r="L397" s="22"/>
      <c r="M397" s="22"/>
      <c r="N397" s="22"/>
      <c r="O397" s="22"/>
      <c r="P397" s="22"/>
      <c r="Q397" s="22"/>
      <c r="R397" s="22"/>
      <c r="S397" s="22"/>
      <c r="T397" s="22"/>
      <c r="U397" s="23"/>
      <c r="V397" s="234"/>
      <c r="W397" s="234"/>
      <c r="X397" s="234"/>
      <c r="Y397" s="234"/>
      <c r="Z397" s="271"/>
      <c r="AA397" s="236"/>
      <c r="AB397" s="236"/>
      <c r="AC397" s="22"/>
      <c r="AD397" s="12"/>
      <c r="AE397" s="20"/>
      <c r="AF397" s="1"/>
      <c r="AG397" s="24"/>
      <c r="AH397" s="22"/>
      <c r="AI397" s="23"/>
      <c r="AJ397" s="22"/>
      <c r="AK397" s="20"/>
      <c r="AL397" s="20"/>
      <c r="AM397" s="1"/>
      <c r="AN397" s="21"/>
      <c r="AO397" s="1"/>
      <c r="AP397" s="1"/>
      <c r="AQ397" s="1"/>
      <c r="AR397" s="20"/>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9"/>
      <c r="BU397" s="8"/>
      <c r="BV397" s="1"/>
      <c r="BW397" s="7"/>
      <c r="BX397" s="7"/>
      <c r="BY397" s="7"/>
      <c r="BZ397" s="7"/>
      <c r="CA397" s="7"/>
      <c r="CB397" s="1"/>
      <c r="CC397"/>
      <c r="CD397" s="1"/>
      <c r="CE397" s="281" t="s">
        <v>1138</v>
      </c>
      <c r="CF397" s="282">
        <v>12882.24</v>
      </c>
      <c r="CG397" s="337">
        <f>CF397/CASH_ON_HAND</f>
        <v>5.5548775586273811E-3</v>
      </c>
      <c r="CH397"/>
      <c r="CI397" s="245"/>
      <c r="CJ397"/>
      <c r="CK397" s="1"/>
      <c r="CL397"/>
      <c r="CM397"/>
      <c r="CN397"/>
      <c r="CO397" s="1"/>
      <c r="CP397"/>
      <c r="CQ397"/>
      <c r="CR397"/>
      <c r="CS397"/>
      <c r="CT397"/>
      <c r="CU397"/>
      <c r="CV397"/>
      <c r="CW397"/>
      <c r="CX397"/>
      <c r="CY397" s="1"/>
      <c r="CZ397" s="1"/>
      <c r="DA397" s="1"/>
      <c r="DB397" s="1"/>
      <c r="DC397" s="1"/>
      <c r="DD397" s="5"/>
      <c r="DE397"/>
      <c r="DF397"/>
      <c r="DG397"/>
      <c r="DH397" s="18"/>
      <c r="DI397" s="6"/>
      <c r="DJ397" s="6"/>
      <c r="DK397" s="6"/>
      <c r="DL397" s="6"/>
      <c r="DM397" s="5"/>
      <c r="DN397" s="5"/>
      <c r="DO397" s="237"/>
      <c r="DP397" s="237"/>
      <c r="DQ397" s="237"/>
      <c r="DR397" s="5"/>
      <c r="DS397" s="5"/>
      <c r="DT397" s="5"/>
      <c r="DU397" s="4"/>
      <c r="DV397" s="4"/>
      <c r="DW397" s="1"/>
      <c r="DX397" s="1"/>
      <c r="DY397" s="1"/>
      <c r="DZ397" s="1"/>
      <c r="EA397" s="1"/>
      <c r="EB397" s="1"/>
      <c r="EC397" s="1"/>
      <c r="ED397" s="237"/>
      <c r="EE397" s="257"/>
      <c r="EF397" s="301"/>
      <c r="EG397" s="301"/>
      <c r="EH397" s="301"/>
      <c r="EI397" s="237"/>
      <c r="EJ397" s="264"/>
      <c r="EK397"/>
      <c r="EL397"/>
      <c r="EM397" s="1"/>
      <c r="EN397" s="1"/>
      <c r="EO397"/>
      <c r="EP397"/>
      <c r="EQ397" s="16"/>
      <c r="ER397" s="361"/>
      <c r="ES397"/>
      <c r="ET397" s="16"/>
      <c r="EU397" s="16"/>
      <c r="EV397" s="16"/>
      <c r="EW397"/>
      <c r="EX397"/>
      <c r="EY397" s="16"/>
      <c r="EZ397" s="240"/>
      <c r="FA397"/>
      <c r="FB397" s="16"/>
      <c r="FC397" s="16"/>
      <c r="FD397"/>
      <c r="FE397"/>
      <c r="FF397"/>
      <c r="FG397" s="16"/>
      <c r="FH397" s="363"/>
      <c r="FI397" s="16"/>
      <c r="FJ397" s="16"/>
      <c r="FK397" s="16"/>
      <c r="FL397" s="1"/>
      <c r="FM397" s="1"/>
      <c r="FN397" s="16"/>
      <c r="FO397" s="16"/>
      <c r="FP397"/>
      <c r="FQ397"/>
      <c r="FR397" s="16"/>
      <c r="FS397" s="16"/>
      <c r="FT397" s="16"/>
      <c r="FU397" s="16"/>
      <c r="FV397" s="1"/>
      <c r="FW397" s="16"/>
      <c r="FX397" s="16"/>
      <c r="FY397" s="16"/>
      <c r="FZ397" s="16"/>
      <c r="GA397" s="16"/>
      <c r="GB397" s="16"/>
      <c r="GC397" s="16"/>
      <c r="GD397" s="236"/>
      <c r="GE397" s="16"/>
      <c r="GF397" s="16"/>
      <c r="GG397" s="302"/>
      <c r="GH397" s="16"/>
      <c r="GI397" s="16"/>
      <c r="GJ397" s="250"/>
      <c r="GK397" s="16"/>
      <c r="GL397" s="16"/>
      <c r="GM397" s="237"/>
      <c r="GN397" s="4"/>
      <c r="GO397" s="5"/>
      <c r="GP397" s="1"/>
      <c r="GQ397" s="17"/>
      <c r="GR397" s="17"/>
      <c r="GS397" s="1"/>
      <c r="GT397" s="241"/>
      <c r="GU397" s="16"/>
      <c r="GV397" s="15"/>
      <c r="GW397" s="15"/>
    </row>
    <row r="398" spans="2:224" s="197" customFormat="1" x14ac:dyDescent="0.25">
      <c r="B398" s="1"/>
      <c r="C398" s="387"/>
      <c r="D398" s="207"/>
      <c r="E398" s="26"/>
      <c r="F398" s="26"/>
      <c r="G398" s="26"/>
      <c r="H398" s="1"/>
      <c r="I398" s="25"/>
      <c r="J398" s="22"/>
      <c r="K398" s="22"/>
      <c r="L398" s="22"/>
      <c r="M398" s="22"/>
      <c r="N398" s="22"/>
      <c r="O398" s="22"/>
      <c r="P398" s="22"/>
      <c r="Q398" s="22"/>
      <c r="R398" s="22"/>
      <c r="S398" s="22"/>
      <c r="T398" s="22"/>
      <c r="U398" s="23"/>
      <c r="V398" s="234"/>
      <c r="W398" s="234"/>
      <c r="X398" s="234"/>
      <c r="Y398" s="234"/>
      <c r="Z398" s="271"/>
      <c r="AA398" s="236"/>
      <c r="AB398" s="236"/>
      <c r="AC398" s="22"/>
      <c r="AD398" s="12"/>
      <c r="AE398" s="20"/>
      <c r="AF398" s="1"/>
      <c r="AG398" s="24"/>
      <c r="AH398" s="22"/>
      <c r="AI398" s="23"/>
      <c r="AJ398" s="22"/>
      <c r="AK398" s="20"/>
      <c r="AL398" s="20"/>
      <c r="AM398" s="1"/>
      <c r="AN398" s="21"/>
      <c r="AO398" s="1"/>
      <c r="AP398" s="1"/>
      <c r="AQ398" s="1"/>
      <c r="AR398" s="20"/>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9"/>
      <c r="BU398" s="8"/>
      <c r="BV398" s="1"/>
      <c r="BW398" s="7"/>
      <c r="BX398" s="7"/>
      <c r="BY398" s="7"/>
      <c r="BZ398" s="7"/>
      <c r="CA398" s="7"/>
      <c r="CB398" s="1"/>
      <c r="CC398"/>
      <c r="CD398" s="1"/>
      <c r="CE398" s="281" t="s">
        <v>1270</v>
      </c>
      <c r="CF398" s="282">
        <v>7284.5</v>
      </c>
      <c r="CG398" s="337">
        <f>CF398/CASH_ON_HAND</f>
        <v>3.1411078799821425E-3</v>
      </c>
      <c r="CH398"/>
      <c r="CI398" s="245"/>
      <c r="CJ398"/>
      <c r="CK398" s="1"/>
      <c r="CL398"/>
      <c r="CM398"/>
      <c r="CN398"/>
      <c r="CO398" s="1"/>
      <c r="CP398"/>
      <c r="CQ398"/>
      <c r="CR398"/>
      <c r="CS398"/>
      <c r="CT398"/>
      <c r="CU398"/>
      <c r="CV398"/>
      <c r="CW398"/>
      <c r="CX398"/>
      <c r="CY398" s="1"/>
      <c r="CZ398" s="1"/>
      <c r="DA398" s="1"/>
      <c r="DB398" s="1"/>
      <c r="DC398" s="1"/>
      <c r="DD398" s="5"/>
      <c r="DE398"/>
      <c r="DF398"/>
      <c r="DG398"/>
      <c r="DH398" s="18"/>
      <c r="DI398" s="6"/>
      <c r="DJ398" s="6"/>
      <c r="DK398" s="6"/>
      <c r="DL398" s="6"/>
      <c r="DM398" s="5"/>
      <c r="DN398" s="5"/>
      <c r="DO398" s="237"/>
      <c r="DP398" s="237"/>
      <c r="DQ398" s="237"/>
      <c r="DR398" s="5"/>
      <c r="DS398" s="5"/>
      <c r="DT398" s="5"/>
      <c r="DU398" s="4"/>
      <c r="DV398" s="4"/>
      <c r="DW398" s="1"/>
      <c r="DX398" s="1"/>
      <c r="DY398" s="1"/>
      <c r="DZ398" s="1"/>
      <c r="EA398" s="1"/>
      <c r="EB398" s="1"/>
      <c r="EC398" s="1"/>
      <c r="ED398" s="237"/>
      <c r="EE398" s="257"/>
      <c r="EF398" s="301"/>
      <c r="EG398" s="301"/>
      <c r="EH398" s="301"/>
      <c r="EI398" s="237"/>
      <c r="EJ398" s="264"/>
      <c r="EK398"/>
      <c r="EL398"/>
      <c r="EM398" s="1"/>
      <c r="EN398" s="1"/>
      <c r="EO398"/>
      <c r="EP398"/>
      <c r="EQ398" s="16"/>
      <c r="ER398" s="361"/>
      <c r="ES398"/>
      <c r="ET398" s="16"/>
      <c r="EU398" s="16"/>
      <c r="EV398" s="16"/>
      <c r="EW398"/>
      <c r="EX398"/>
      <c r="EY398" s="16"/>
      <c r="EZ398" s="240"/>
      <c r="FA398"/>
      <c r="FB398" s="16"/>
      <c r="FC398" s="16"/>
      <c r="FD398"/>
      <c r="FE398"/>
      <c r="FF398"/>
      <c r="FG398" s="16"/>
      <c r="FH398" s="363"/>
      <c r="FI398" s="16"/>
      <c r="FJ398" s="16"/>
      <c r="FK398" s="16"/>
      <c r="FL398" s="1"/>
      <c r="FM398" s="1"/>
      <c r="FN398" s="16"/>
      <c r="FO398" s="16"/>
      <c r="FP398"/>
      <c r="FQ398"/>
      <c r="FR398" s="16"/>
      <c r="FS398" s="16"/>
      <c r="FT398" s="16"/>
      <c r="FU398" s="16"/>
      <c r="FV398" s="1"/>
      <c r="FW398" s="16"/>
      <c r="FX398" s="16"/>
      <c r="FY398" s="16"/>
      <c r="FZ398" s="16"/>
      <c r="GA398" s="16"/>
      <c r="GB398" s="16"/>
      <c r="GC398" s="16"/>
      <c r="GD398" s="236"/>
      <c r="GE398" s="16"/>
      <c r="GF398" s="16"/>
      <c r="GG398" s="302"/>
      <c r="GH398" s="16"/>
      <c r="GI398" s="16"/>
      <c r="GJ398" s="250"/>
      <c r="GK398" s="16"/>
      <c r="GL398" s="16"/>
      <c r="GM398" s="237"/>
      <c r="GN398" s="4"/>
      <c r="GO398" s="5"/>
      <c r="GP398" s="1"/>
      <c r="GQ398" s="17"/>
      <c r="GR398" s="17"/>
      <c r="GS398" s="1"/>
      <c r="GT398" s="241"/>
      <c r="GU398" s="16"/>
      <c r="GV398" s="15"/>
      <c r="GW398" s="15"/>
    </row>
    <row r="399" spans="2:224" s="197" customFormat="1" x14ac:dyDescent="0.25">
      <c r="B399" s="1"/>
      <c r="C399" s="387"/>
      <c r="D399" s="207"/>
      <c r="E399" s="26"/>
      <c r="F399" s="26"/>
      <c r="G399" s="26"/>
      <c r="H399" s="1"/>
      <c r="I399" s="25"/>
      <c r="J399" s="22"/>
      <c r="K399" s="22"/>
      <c r="L399" s="22"/>
      <c r="M399" s="22"/>
      <c r="N399" s="22"/>
      <c r="O399" s="22"/>
      <c r="P399" s="22"/>
      <c r="Q399" s="22"/>
      <c r="R399" s="22"/>
      <c r="S399" s="22"/>
      <c r="T399" s="22"/>
      <c r="U399" s="23"/>
      <c r="V399" s="234"/>
      <c r="W399" s="234"/>
      <c r="X399" s="234"/>
      <c r="Y399" s="234"/>
      <c r="Z399" s="271"/>
      <c r="AA399" s="236"/>
      <c r="AB399" s="236"/>
      <c r="AC399" s="22"/>
      <c r="AD399" s="12"/>
      <c r="AE399" s="20"/>
      <c r="AF399" s="1"/>
      <c r="AG399" s="24"/>
      <c r="AH399" s="22"/>
      <c r="AI399" s="23"/>
      <c r="AJ399" s="22"/>
      <c r="AK399" s="20"/>
      <c r="AL399" s="20"/>
      <c r="AM399" s="1"/>
      <c r="AN399" s="21"/>
      <c r="AO399" s="1"/>
      <c r="AP399" s="1"/>
      <c r="AQ399" s="1"/>
      <c r="AR399" s="20"/>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9"/>
      <c r="BU399" s="8"/>
      <c r="BV399" s="1"/>
      <c r="BW399" s="7"/>
      <c r="BX399" s="7"/>
      <c r="BY399" s="7"/>
      <c r="BZ399" s="7"/>
      <c r="CA399" s="7"/>
      <c r="CB399" s="1"/>
      <c r="CC399"/>
      <c r="CD399" s="1"/>
      <c r="CE399" s="281" t="s">
        <v>1271</v>
      </c>
      <c r="CF399" s="282">
        <v>7296.5</v>
      </c>
      <c r="CG399" s="337">
        <f>CF399/CASH_ON_HAND</f>
        <v>3.146282331840168E-3</v>
      </c>
      <c r="CH399"/>
      <c r="CI399" s="245"/>
      <c r="CJ399"/>
      <c r="CK399" s="1"/>
      <c r="CL399"/>
      <c r="CM399"/>
      <c r="CN399"/>
      <c r="CO399" s="1"/>
      <c r="CP399"/>
      <c r="CQ399"/>
      <c r="CR399"/>
      <c r="CS399"/>
      <c r="CT399"/>
      <c r="CU399"/>
      <c r="CV399"/>
      <c r="CW399"/>
      <c r="CX399"/>
      <c r="CY399" s="1"/>
      <c r="CZ399" s="1"/>
      <c r="DA399" s="1"/>
      <c r="DB399" s="1"/>
      <c r="DC399" s="1"/>
      <c r="DD399" s="5"/>
      <c r="DE399"/>
      <c r="DF399"/>
      <c r="DG399"/>
      <c r="DH399" s="18"/>
      <c r="DI399" s="6"/>
      <c r="DJ399" s="6"/>
      <c r="DK399" s="6"/>
      <c r="DL399" s="6"/>
      <c r="DM399" s="5"/>
      <c r="DN399" s="5"/>
      <c r="DO399" s="237"/>
      <c r="DP399" s="237"/>
      <c r="DQ399" s="237"/>
      <c r="DR399" s="5"/>
      <c r="DS399" s="5"/>
      <c r="DT399" s="5"/>
      <c r="DU399" s="4"/>
      <c r="DV399" s="4"/>
      <c r="DW399" s="1"/>
      <c r="DX399" s="1"/>
      <c r="DY399" s="1"/>
      <c r="DZ399" s="1"/>
      <c r="EA399" s="1"/>
      <c r="EB399" s="1"/>
      <c r="EC399" s="1"/>
      <c r="ED399" s="237"/>
      <c r="EE399" s="257"/>
      <c r="EF399" s="301"/>
      <c r="EG399" s="301"/>
      <c r="EH399" s="301"/>
      <c r="EI399" s="237"/>
      <c r="EJ399" s="264"/>
      <c r="EK399"/>
      <c r="EL399"/>
      <c r="EM399" s="1"/>
      <c r="EN399" s="1"/>
      <c r="EO399"/>
      <c r="EP399"/>
      <c r="EQ399" s="16"/>
      <c r="ER399" s="361"/>
      <c r="ES399"/>
      <c r="ET399" s="16"/>
      <c r="EU399" s="16"/>
      <c r="EV399" s="16"/>
      <c r="EW399"/>
      <c r="EX399"/>
      <c r="EY399" s="16"/>
      <c r="EZ399" s="240"/>
      <c r="FA399"/>
      <c r="FB399" s="16"/>
      <c r="FC399" s="16"/>
      <c r="FD399"/>
      <c r="FE399"/>
      <c r="FF399"/>
      <c r="FG399" s="16"/>
      <c r="FH399" s="363"/>
      <c r="FI399" s="16"/>
      <c r="FJ399" s="16"/>
      <c r="FK399" s="16"/>
      <c r="FL399" s="1"/>
      <c r="FM399" s="1"/>
      <c r="FN399" s="16"/>
      <c r="FO399" s="16"/>
      <c r="FP399"/>
      <c r="FQ399"/>
      <c r="FR399" s="16"/>
      <c r="FS399" s="16"/>
      <c r="FT399" s="16"/>
      <c r="FU399" s="16"/>
      <c r="FV399" s="1"/>
      <c r="FW399" s="16"/>
      <c r="FX399" s="16"/>
      <c r="FY399" s="16"/>
      <c r="FZ399" s="16"/>
      <c r="GA399" s="16"/>
      <c r="GB399" s="16"/>
      <c r="GC399" s="16"/>
      <c r="GD399" s="236"/>
      <c r="GE399" s="16"/>
      <c r="GF399" s="16"/>
      <c r="GG399" s="302"/>
      <c r="GH399" s="16"/>
      <c r="GI399" s="16"/>
      <c r="GJ399" s="250"/>
      <c r="GK399" s="16"/>
      <c r="GL399" s="16"/>
      <c r="GM399" s="237"/>
      <c r="GN399" s="4"/>
      <c r="GO399" s="5"/>
      <c r="GP399" s="1"/>
      <c r="GQ399" s="17"/>
      <c r="GR399" s="17"/>
      <c r="GS399" s="1"/>
      <c r="GT399" s="241"/>
      <c r="GU399" s="16"/>
      <c r="GV399" s="15"/>
      <c r="GW399" s="15"/>
    </row>
    <row r="400" spans="2:224" s="197" customFormat="1" x14ac:dyDescent="0.25">
      <c r="C400" s="387"/>
      <c r="D400" s="400"/>
      <c r="U400" s="234"/>
      <c r="V400" s="234"/>
      <c r="W400" s="234"/>
      <c r="X400" s="234"/>
      <c r="Y400" s="234"/>
      <c r="Z400" s="271"/>
      <c r="AA400" s="234"/>
      <c r="AB400" s="234"/>
      <c r="AD400" s="268"/>
      <c r="AI400" s="234"/>
      <c r="AN400" s="234"/>
      <c r="BT400" s="234"/>
      <c r="BW400" s="234"/>
      <c r="BX400" s="234"/>
      <c r="BY400" s="234"/>
      <c r="BZ400" s="234"/>
      <c r="CA400" s="234"/>
      <c r="CC400" s="387"/>
      <c r="CE400" s="401" t="s">
        <v>1</v>
      </c>
      <c r="CF400" s="402">
        <v>46735.85</v>
      </c>
      <c r="CG400" s="337">
        <f>CF400/CASH_ON_HAND</f>
        <v>2.015270048907453E-2</v>
      </c>
      <c r="CH400" s="387"/>
      <c r="CI400" s="387"/>
      <c r="CJ400" s="387"/>
      <c r="CL400" s="387"/>
      <c r="CM400" s="387"/>
      <c r="CN400" s="387"/>
      <c r="CP400" s="387"/>
      <c r="CQ400" s="387"/>
      <c r="CR400" s="387"/>
      <c r="CS400" s="387"/>
      <c r="CT400" s="387"/>
      <c r="CU400" s="387"/>
      <c r="CV400" s="387"/>
      <c r="CW400" s="387"/>
      <c r="CX400" s="387"/>
      <c r="DE400" s="387"/>
      <c r="DF400" s="387"/>
      <c r="DG400" s="387"/>
      <c r="EJ400" s="273"/>
      <c r="EK400" s="387"/>
      <c r="EL400" s="387"/>
      <c r="EO400" s="387"/>
      <c r="EP400" s="387"/>
      <c r="EQ400" s="234"/>
      <c r="ER400" s="387"/>
      <c r="ES400" s="387"/>
      <c r="ET400" s="234"/>
      <c r="EU400" s="234"/>
      <c r="EV400" s="234"/>
      <c r="EW400" s="387"/>
      <c r="EX400" s="387"/>
      <c r="EY400" s="234"/>
      <c r="EZ400" s="234"/>
      <c r="FA400" s="387"/>
      <c r="FB400" s="234"/>
      <c r="FC400" s="234"/>
      <c r="FD400" s="387"/>
      <c r="FE400" s="387"/>
      <c r="FF400" s="387"/>
      <c r="FG400" s="234"/>
      <c r="FH400" s="234"/>
      <c r="FI400" s="234"/>
      <c r="FJ400" s="234"/>
      <c r="FK400" s="234"/>
      <c r="FN400" s="234"/>
      <c r="FO400" s="234"/>
      <c r="FP400" s="387"/>
      <c r="FQ400" s="387"/>
      <c r="FR400" s="234"/>
      <c r="FS400" s="234"/>
      <c r="FT400" s="234"/>
      <c r="FU400" s="234"/>
      <c r="FW400" s="234"/>
      <c r="FX400" s="234"/>
      <c r="FY400" s="234"/>
      <c r="FZ400" s="234"/>
      <c r="GA400" s="234"/>
      <c r="GB400" s="234"/>
      <c r="GC400" s="234"/>
      <c r="GD400" s="234"/>
      <c r="GE400" s="234"/>
      <c r="GF400" s="234"/>
      <c r="GG400" s="234"/>
      <c r="GH400" s="234"/>
      <c r="GI400" s="234"/>
      <c r="GJ400" s="234"/>
      <c r="GK400" s="234"/>
      <c r="GL400" s="234"/>
      <c r="GN400" s="234"/>
      <c r="GU400" s="234"/>
    </row>
    <row r="401" spans="2:205" s="197" customFormat="1" x14ac:dyDescent="0.25">
      <c r="C401" s="387"/>
      <c r="D401" s="400"/>
      <c r="U401" s="234"/>
      <c r="V401" s="234"/>
      <c r="W401" s="234"/>
      <c r="X401" s="234"/>
      <c r="Y401" s="234"/>
      <c r="Z401" s="271"/>
      <c r="AA401" s="234"/>
      <c r="AB401" s="234"/>
      <c r="AD401" s="268"/>
      <c r="AI401" s="234"/>
      <c r="AN401" s="234"/>
      <c r="BT401" s="234"/>
      <c r="BW401" s="234"/>
      <c r="BX401" s="234"/>
      <c r="BY401" s="234"/>
      <c r="BZ401" s="234"/>
      <c r="CA401" s="234"/>
      <c r="CC401" s="387"/>
      <c r="CE401" s="401" t="s">
        <v>1141</v>
      </c>
      <c r="CF401" s="402">
        <v>0</v>
      </c>
      <c r="CG401" s="337">
        <f>CF401/CASH_ON_HAND</f>
        <v>0</v>
      </c>
      <c r="CH401" s="387"/>
      <c r="CI401" s="387"/>
      <c r="CJ401" s="387"/>
      <c r="CL401" s="387"/>
      <c r="CM401" s="387"/>
      <c r="CN401" s="387"/>
      <c r="CP401" s="387"/>
      <c r="CQ401" s="387"/>
      <c r="CR401" s="387"/>
      <c r="CS401" s="387"/>
      <c r="CT401" s="387"/>
      <c r="CU401" s="387"/>
      <c r="CV401" s="387"/>
      <c r="CW401" s="387"/>
      <c r="CX401" s="387"/>
      <c r="DE401" s="387"/>
      <c r="DF401" s="387"/>
      <c r="DG401" s="387"/>
      <c r="DH401" s="268"/>
      <c r="EJ401" s="273"/>
      <c r="EK401" s="387"/>
      <c r="EL401" s="387"/>
      <c r="EO401" s="387"/>
      <c r="EP401" s="387"/>
      <c r="EQ401" s="234"/>
      <c r="ER401" s="387"/>
      <c r="ES401" s="387"/>
      <c r="ET401" s="234"/>
      <c r="EU401" s="234"/>
      <c r="EV401" s="234"/>
      <c r="EW401" s="387"/>
      <c r="EX401" s="387"/>
      <c r="EY401" s="234"/>
      <c r="EZ401" s="234"/>
      <c r="FA401" s="387"/>
      <c r="FB401" s="234"/>
      <c r="FC401" s="234"/>
      <c r="FD401" s="387"/>
      <c r="FE401" s="387"/>
      <c r="FF401" s="387"/>
      <c r="FG401" s="234"/>
      <c r="FH401" s="234"/>
      <c r="FI401" s="234"/>
      <c r="FJ401" s="234"/>
      <c r="FK401" s="234"/>
      <c r="FN401" s="234"/>
      <c r="FO401" s="234"/>
      <c r="FP401" s="387"/>
      <c r="FQ401" s="387"/>
      <c r="FR401" s="234"/>
      <c r="FS401" s="234"/>
      <c r="FT401" s="234"/>
      <c r="FU401" s="234"/>
      <c r="FW401" s="234"/>
      <c r="FX401" s="234"/>
      <c r="FY401" s="234"/>
      <c r="FZ401" s="234"/>
      <c r="GA401" s="234"/>
      <c r="GB401" s="234"/>
      <c r="GC401" s="234"/>
      <c r="GD401" s="234"/>
      <c r="GE401" s="234"/>
      <c r="GF401" s="234"/>
      <c r="GG401" s="234"/>
      <c r="GH401" s="234"/>
      <c r="GI401" s="234"/>
      <c r="GJ401" s="234"/>
      <c r="GK401" s="234"/>
      <c r="GL401" s="234"/>
      <c r="GN401" s="234"/>
      <c r="GU401" s="234"/>
    </row>
    <row r="402" spans="2:205" s="197" customFormat="1" x14ac:dyDescent="0.25">
      <c r="C402" s="387"/>
      <c r="D402" s="400"/>
      <c r="U402" s="234"/>
      <c r="V402" s="234"/>
      <c r="W402" s="234"/>
      <c r="X402" s="234"/>
      <c r="Y402" s="234"/>
      <c r="Z402" s="271"/>
      <c r="AA402" s="234"/>
      <c r="AB402" s="234"/>
      <c r="AD402" s="268"/>
      <c r="AI402" s="234"/>
      <c r="AN402" s="234"/>
      <c r="BT402" s="234"/>
      <c r="BW402" s="234"/>
      <c r="BX402" s="234"/>
      <c r="BY402" s="234"/>
      <c r="BZ402" s="234"/>
      <c r="CA402" s="234"/>
      <c r="CC402" s="387"/>
      <c r="CE402" s="401" t="s">
        <v>873</v>
      </c>
      <c r="CF402" s="402">
        <v>0</v>
      </c>
      <c r="CG402" s="337"/>
      <c r="CH402" s="387"/>
      <c r="CI402" s="387"/>
      <c r="CJ402" s="387"/>
      <c r="CL402" s="387"/>
      <c r="CM402" s="387"/>
      <c r="CN402" s="387"/>
      <c r="CP402" s="387"/>
      <c r="CQ402" s="387"/>
      <c r="CR402" s="387"/>
      <c r="CS402" s="387"/>
      <c r="CT402" s="387"/>
      <c r="CU402" s="387"/>
      <c r="CV402" s="387"/>
      <c r="CW402" s="387"/>
      <c r="CX402" s="387"/>
      <c r="DE402" s="387"/>
      <c r="DF402" s="387"/>
      <c r="DG402" s="387"/>
      <c r="DH402" s="268"/>
      <c r="EJ402" s="273"/>
      <c r="EK402" s="387"/>
      <c r="EL402" s="387"/>
      <c r="EO402" s="387"/>
      <c r="EP402" s="387"/>
      <c r="EQ402" s="234"/>
      <c r="ER402" s="387"/>
      <c r="ES402" s="387"/>
      <c r="ET402" s="234"/>
      <c r="EU402" s="234"/>
      <c r="EV402" s="234"/>
      <c r="EW402" s="387"/>
      <c r="EX402" s="387"/>
      <c r="EY402" s="234"/>
      <c r="EZ402" s="234"/>
      <c r="FA402" s="387"/>
      <c r="FB402" s="234"/>
      <c r="FC402" s="234"/>
      <c r="FD402" s="387"/>
      <c r="FE402" s="387"/>
      <c r="FF402" s="387"/>
      <c r="FG402" s="234"/>
      <c r="FH402" s="234"/>
      <c r="FI402" s="234"/>
      <c r="FJ402" s="234"/>
      <c r="FK402" s="234"/>
      <c r="FN402" s="234"/>
      <c r="FO402" s="234"/>
      <c r="FP402" s="387"/>
      <c r="FQ402" s="387"/>
      <c r="FR402" s="234"/>
      <c r="FS402" s="234"/>
      <c r="FT402" s="234"/>
      <c r="FU402" s="234"/>
      <c r="FW402" s="234"/>
      <c r="FX402" s="234"/>
      <c r="FY402" s="234"/>
      <c r="FZ402" s="234"/>
      <c r="GA402" s="234"/>
      <c r="GB402" s="234"/>
      <c r="GC402" s="234"/>
      <c r="GD402" s="234"/>
      <c r="GE402" s="234"/>
      <c r="GF402" s="234"/>
      <c r="GG402" s="234"/>
      <c r="GH402" s="234"/>
      <c r="GI402" s="234"/>
      <c r="GJ402" s="234"/>
      <c r="GK402" s="234"/>
      <c r="GL402" s="234"/>
      <c r="GN402" s="234"/>
      <c r="GU402" s="234"/>
    </row>
    <row r="403" spans="2:205" s="197" customFormat="1" x14ac:dyDescent="0.25">
      <c r="C403" s="387"/>
      <c r="D403" s="400"/>
      <c r="U403" s="234"/>
      <c r="V403" s="234"/>
      <c r="W403" s="234"/>
      <c r="X403" s="234"/>
      <c r="Y403" s="234"/>
      <c r="Z403" s="271"/>
      <c r="AA403" s="234"/>
      <c r="AB403" s="234"/>
      <c r="AD403" s="268"/>
      <c r="AI403" s="234"/>
      <c r="AN403" s="234"/>
      <c r="BT403" s="234"/>
      <c r="BW403" s="234"/>
      <c r="BX403" s="234"/>
      <c r="BY403" s="234"/>
      <c r="BZ403" s="234"/>
      <c r="CA403" s="234"/>
      <c r="CC403" s="387"/>
      <c r="CE403" s="401" t="s">
        <v>1206</v>
      </c>
      <c r="CF403" s="402">
        <v>2244887.13</v>
      </c>
      <c r="CG403" s="337">
        <f>CF403/CASH_ON_HAND</f>
        <v>0.96800503174047581</v>
      </c>
      <c r="CH403" s="387"/>
      <c r="CI403" s="387"/>
      <c r="CJ403" s="387"/>
      <c r="CL403" s="387"/>
      <c r="CM403" s="387"/>
      <c r="CN403" s="387"/>
      <c r="CP403" s="387"/>
      <c r="CQ403" s="387"/>
      <c r="CR403" s="387"/>
      <c r="CS403" s="387"/>
      <c r="CT403" s="387"/>
      <c r="CU403" s="387"/>
      <c r="CV403" s="387"/>
      <c r="CW403" s="387"/>
      <c r="CX403" s="387"/>
      <c r="DE403" s="387"/>
      <c r="DF403" s="387"/>
      <c r="DG403" s="387"/>
      <c r="DH403" s="268"/>
      <c r="EJ403" s="273"/>
      <c r="EK403" s="387"/>
      <c r="EL403" s="387"/>
      <c r="EO403" s="387"/>
      <c r="EP403" s="387"/>
      <c r="EQ403" s="234"/>
      <c r="ER403" s="387"/>
      <c r="ES403" s="387"/>
      <c r="ET403" s="234"/>
      <c r="EU403" s="234"/>
      <c r="EV403" s="234"/>
      <c r="EW403" s="387"/>
      <c r="EX403" s="387"/>
      <c r="EY403" s="234"/>
      <c r="EZ403" s="234"/>
      <c r="FA403" s="387"/>
      <c r="FB403" s="234"/>
      <c r="FC403" s="234"/>
      <c r="FD403" s="387"/>
      <c r="FE403" s="387"/>
      <c r="FF403" s="387"/>
      <c r="FG403" s="234"/>
      <c r="FH403" s="234"/>
      <c r="FI403" s="234"/>
      <c r="FJ403" s="234"/>
      <c r="FK403" s="234"/>
      <c r="FN403" s="234"/>
      <c r="FO403" s="234"/>
      <c r="FP403" s="387"/>
      <c r="FQ403" s="387"/>
      <c r="FR403" s="234"/>
      <c r="FS403" s="234"/>
      <c r="FT403" s="234"/>
      <c r="FU403" s="234"/>
      <c r="FW403" s="234"/>
      <c r="FX403" s="234"/>
      <c r="FY403" s="234"/>
      <c r="FZ403" s="234"/>
      <c r="GA403" s="234"/>
      <c r="GB403" s="234"/>
      <c r="GC403" s="234"/>
      <c r="GD403" s="234"/>
      <c r="GE403" s="234"/>
      <c r="GF403" s="234"/>
      <c r="GG403" s="234"/>
      <c r="GH403" s="234"/>
      <c r="GI403" s="234"/>
      <c r="GJ403" s="234"/>
      <c r="GK403" s="234"/>
      <c r="GL403" s="234"/>
      <c r="GN403" s="234"/>
      <c r="GU403" s="234"/>
    </row>
    <row r="404" spans="2:205" s="197" customFormat="1" ht="15.75" thickBot="1" x14ac:dyDescent="0.3">
      <c r="C404" s="387"/>
      <c r="D404" s="400"/>
      <c r="U404" s="234"/>
      <c r="V404" s="234"/>
      <c r="W404" s="234"/>
      <c r="X404" s="234"/>
      <c r="Y404" s="234"/>
      <c r="Z404" s="271"/>
      <c r="AA404" s="234"/>
      <c r="AB404" s="234"/>
      <c r="AD404" s="268"/>
      <c r="AI404" s="234"/>
      <c r="AN404" s="234"/>
      <c r="BT404" s="234"/>
      <c r="BW404" s="234"/>
      <c r="BX404" s="234"/>
      <c r="BY404" s="234"/>
      <c r="BZ404" s="234"/>
      <c r="CA404" s="234"/>
      <c r="CC404" s="387"/>
      <c r="CE404" s="281" t="s">
        <v>875</v>
      </c>
      <c r="CF404" s="407">
        <f>SUM(CF397:CF403)</f>
        <v>2319086.2199999997</v>
      </c>
      <c r="CG404" s="387"/>
      <c r="CH404" s="387"/>
      <c r="CI404" s="387"/>
      <c r="CJ404" s="387"/>
      <c r="CL404" s="387"/>
      <c r="CM404" s="387"/>
      <c r="CN404" s="387"/>
      <c r="CP404" s="387"/>
      <c r="CQ404" s="387"/>
      <c r="CR404" s="387"/>
      <c r="CS404" s="387"/>
      <c r="CT404" s="387"/>
      <c r="CU404" s="387"/>
      <c r="CV404" s="387"/>
      <c r="CW404" s="387"/>
      <c r="CX404" s="387"/>
      <c r="DE404" s="387"/>
      <c r="DF404" s="387"/>
      <c r="DG404" s="387"/>
      <c r="EJ404" s="273"/>
      <c r="EK404" s="387"/>
      <c r="EL404" s="387"/>
      <c r="EO404" s="387"/>
      <c r="EP404" s="387"/>
      <c r="EQ404" s="234"/>
      <c r="ER404" s="387"/>
      <c r="ES404" s="387"/>
      <c r="ET404" s="234"/>
      <c r="EU404" s="234"/>
      <c r="EV404" s="234"/>
      <c r="EW404" s="387"/>
      <c r="EX404" s="387"/>
      <c r="EY404" s="234"/>
      <c r="EZ404" s="234"/>
      <c r="FA404" s="387"/>
      <c r="FB404" s="234"/>
      <c r="FC404" s="234"/>
      <c r="FD404" s="387"/>
      <c r="FE404" s="387"/>
      <c r="FF404" s="387"/>
      <c r="FG404" s="234"/>
      <c r="FH404" s="234"/>
      <c r="FI404" s="234"/>
      <c r="FJ404" s="234"/>
      <c r="FK404" s="234"/>
      <c r="FN404" s="234"/>
      <c r="FO404" s="234"/>
      <c r="FP404" s="387"/>
      <c r="FQ404" s="387"/>
      <c r="FR404" s="234"/>
      <c r="FS404" s="234"/>
      <c r="FT404" s="234"/>
      <c r="FU404" s="234"/>
      <c r="FW404" s="234"/>
      <c r="FX404" s="234"/>
      <c r="FY404" s="234"/>
      <c r="FZ404" s="234"/>
      <c r="GA404" s="234"/>
      <c r="GB404" s="234"/>
      <c r="GC404" s="234"/>
      <c r="GD404" s="234"/>
      <c r="GE404" s="234"/>
      <c r="GF404" s="234"/>
      <c r="GG404" s="234"/>
      <c r="GH404" s="234"/>
      <c r="GI404" s="234"/>
      <c r="GJ404" s="234"/>
      <c r="GK404" s="234"/>
      <c r="GL404" s="234"/>
      <c r="GN404" s="234"/>
      <c r="GU404" s="234"/>
    </row>
    <row r="405" spans="2:205" s="197" customFormat="1" ht="15.75" thickTop="1" x14ac:dyDescent="0.25">
      <c r="C405" s="387"/>
      <c r="D405" s="400"/>
      <c r="U405" s="234"/>
      <c r="V405" s="234"/>
      <c r="W405" s="234"/>
      <c r="X405" s="234"/>
      <c r="Y405" s="234"/>
      <c r="Z405" s="271"/>
      <c r="AA405" s="234"/>
      <c r="AB405" s="234"/>
      <c r="AD405" s="268"/>
      <c r="AI405" s="234"/>
      <c r="AN405" s="234"/>
      <c r="BT405" s="234"/>
      <c r="BW405" s="234"/>
      <c r="BX405" s="234"/>
      <c r="BY405" s="234"/>
      <c r="BZ405" s="234"/>
      <c r="CA405" s="234"/>
      <c r="CC405" s="387"/>
      <c r="CE405" s="281" t="s">
        <v>876</v>
      </c>
      <c r="CF405" s="420">
        <f>SnapshotTable[[#Totals],[SP Cash Reserve]] * -1</f>
        <v>-55000</v>
      </c>
      <c r="CG405" s="387"/>
      <c r="CH405" s="387"/>
      <c r="CI405" s="401"/>
      <c r="CJ405" s="387"/>
      <c r="CL405" s="387"/>
      <c r="CM405" s="387"/>
      <c r="CN405" s="387"/>
      <c r="CP405" s="387"/>
      <c r="CQ405" s="387"/>
      <c r="CR405" s="387"/>
      <c r="CS405" s="387"/>
      <c r="CT405" s="387"/>
      <c r="CU405" s="387"/>
      <c r="CV405" s="387"/>
      <c r="CW405" s="387"/>
      <c r="CX405" s="387"/>
      <c r="DE405" s="387"/>
      <c r="DF405" s="387"/>
      <c r="DG405" s="387"/>
      <c r="EJ405" s="273"/>
      <c r="EK405" s="387"/>
      <c r="EL405" s="387"/>
      <c r="EO405" s="387"/>
      <c r="EP405" s="387"/>
      <c r="EQ405" s="234"/>
      <c r="ER405" s="387"/>
      <c r="ES405" s="387"/>
      <c r="ET405" s="234"/>
      <c r="EU405" s="234"/>
      <c r="EV405" s="234"/>
      <c r="EW405" s="387"/>
      <c r="EX405" s="387"/>
      <c r="EY405" s="234"/>
      <c r="EZ405" s="234"/>
      <c r="FA405" s="387"/>
      <c r="FB405" s="234"/>
      <c r="FC405" s="234"/>
      <c r="FD405" s="387"/>
      <c r="FE405" s="387"/>
      <c r="FF405" s="387"/>
      <c r="FG405" s="234"/>
      <c r="FH405" s="234"/>
      <c r="FI405" s="234"/>
      <c r="FJ405" s="234"/>
      <c r="FK405" s="234"/>
      <c r="FN405" s="234"/>
      <c r="FO405" s="234"/>
      <c r="FP405" s="387"/>
      <c r="FQ405" s="387"/>
      <c r="FR405" s="234"/>
      <c r="FS405" s="234"/>
      <c r="FT405" s="234"/>
      <c r="FU405" s="234"/>
      <c r="FW405" s="234"/>
      <c r="FX405" s="234"/>
      <c r="FY405" s="234"/>
      <c r="FZ405" s="234"/>
      <c r="GA405" s="234"/>
      <c r="GB405" s="234"/>
      <c r="GC405" s="234"/>
      <c r="GD405" s="234"/>
      <c r="GE405" s="234"/>
      <c r="GF405" s="234"/>
      <c r="GG405" s="234"/>
      <c r="GH405" s="234"/>
      <c r="GI405" s="234"/>
      <c r="GJ405" s="234"/>
      <c r="GK405" s="234"/>
      <c r="GL405" s="234"/>
      <c r="GN405" s="234"/>
      <c r="GU405" s="234"/>
    </row>
    <row r="406" spans="2:205" s="197" customFormat="1" ht="15.75" thickBot="1" x14ac:dyDescent="0.3">
      <c r="C406" s="387"/>
      <c r="D406" s="400"/>
      <c r="U406" s="234"/>
      <c r="V406" s="234"/>
      <c r="W406" s="234"/>
      <c r="X406" s="234"/>
      <c r="Y406" s="234"/>
      <c r="Z406" s="271"/>
      <c r="AA406" s="234"/>
      <c r="AB406" s="234"/>
      <c r="AD406" s="268"/>
      <c r="AI406" s="234"/>
      <c r="AN406" s="234"/>
      <c r="BT406" s="234"/>
      <c r="BW406" s="234"/>
      <c r="BX406" s="234"/>
      <c r="BY406" s="234"/>
      <c r="BZ406" s="234"/>
      <c r="CA406" s="234"/>
      <c r="CC406" s="387"/>
      <c r="CE406" s="281" t="s">
        <v>874</v>
      </c>
      <c r="CF406" s="407">
        <f>CASH_ON_HAND+PUT_RESERVE_POTENTIAL</f>
        <v>2264086.2199999997</v>
      </c>
      <c r="CG406" s="387"/>
      <c r="CH406" s="387"/>
      <c r="CI406" s="401"/>
      <c r="CJ406" s="387"/>
      <c r="CL406" s="387"/>
      <c r="CM406" s="387"/>
      <c r="CN406" s="387"/>
      <c r="CP406" s="387"/>
      <c r="CQ406" s="387"/>
      <c r="CR406" s="387"/>
      <c r="CS406" s="387"/>
      <c r="CT406" s="387"/>
      <c r="CU406" s="387"/>
      <c r="CV406" s="387"/>
      <c r="CW406" s="387"/>
      <c r="CX406" s="387"/>
      <c r="DE406" s="387"/>
      <c r="DF406" s="387"/>
      <c r="DG406" s="387"/>
      <c r="EJ406" s="273"/>
      <c r="EK406" s="387"/>
      <c r="EL406" s="387"/>
      <c r="EO406" s="387"/>
      <c r="EP406" s="387"/>
      <c r="EQ406" s="234"/>
      <c r="ER406" s="387"/>
      <c r="ES406" s="387"/>
      <c r="ET406" s="234"/>
      <c r="EU406" s="234"/>
      <c r="EV406" s="234"/>
      <c r="EW406" s="387"/>
      <c r="EX406" s="387"/>
      <c r="EY406" s="234"/>
      <c r="EZ406" s="234"/>
      <c r="FA406" s="387"/>
      <c r="FB406" s="234"/>
      <c r="FC406" s="234"/>
      <c r="FD406" s="387"/>
      <c r="FE406" s="387"/>
      <c r="FF406" s="387"/>
      <c r="FG406" s="234"/>
      <c r="FH406" s="234"/>
      <c r="FI406" s="234"/>
      <c r="FJ406" s="234"/>
      <c r="FK406" s="234"/>
      <c r="FN406" s="234"/>
      <c r="FO406" s="234"/>
      <c r="FP406" s="387"/>
      <c r="FQ406" s="387"/>
      <c r="FR406" s="234"/>
      <c r="FS406" s="234"/>
      <c r="FT406" s="234"/>
      <c r="FU406" s="234"/>
      <c r="FW406" s="234"/>
      <c r="FX406" s="234"/>
      <c r="FY406" s="234"/>
      <c r="FZ406" s="234"/>
      <c r="GA406" s="234"/>
      <c r="GB406" s="234"/>
      <c r="GC406" s="234"/>
      <c r="GD406" s="234"/>
      <c r="GE406" s="234"/>
      <c r="GF406" s="234"/>
      <c r="GG406" s="234"/>
      <c r="GH406" s="234"/>
      <c r="GI406" s="234"/>
      <c r="GJ406" s="234"/>
      <c r="GK406" s="234"/>
      <c r="GL406" s="234"/>
      <c r="GN406" s="234"/>
      <c r="GU406" s="234"/>
    </row>
    <row r="407" spans="2:205" s="197" customFormat="1" ht="15.75" thickTop="1" x14ac:dyDescent="0.25">
      <c r="D407" s="400"/>
      <c r="U407" s="234"/>
      <c r="V407" s="234"/>
      <c r="W407" s="234"/>
      <c r="X407" s="234"/>
      <c r="Y407" s="234"/>
      <c r="Z407" s="271"/>
      <c r="AA407" s="234"/>
      <c r="AB407" s="234"/>
      <c r="AD407" s="268"/>
      <c r="AI407" s="234"/>
      <c r="AN407" s="234"/>
      <c r="BT407" s="234"/>
      <c r="BW407" s="234"/>
      <c r="BX407" s="234"/>
      <c r="BY407" s="234"/>
      <c r="BZ407" s="234"/>
      <c r="CA407" s="234"/>
      <c r="CC407" s="387"/>
      <c r="CD407" s="403"/>
      <c r="CE407" s="403"/>
      <c r="CG407" s="387"/>
      <c r="CH407" s="387"/>
      <c r="CI407" s="387"/>
      <c r="CJ407" s="387"/>
      <c r="CL407" s="387"/>
      <c r="CM407" s="387"/>
      <c r="CN407" s="387"/>
      <c r="CP407" s="387"/>
      <c r="CQ407" s="387"/>
      <c r="CR407" s="387"/>
      <c r="CS407" s="387"/>
      <c r="CT407" s="387"/>
      <c r="CU407" s="387"/>
      <c r="CV407" s="387"/>
      <c r="CW407" s="387"/>
      <c r="CX407" s="387"/>
      <c r="DE407" s="387"/>
      <c r="DF407" s="387"/>
      <c r="DG407" s="387"/>
      <c r="EH407" s="268"/>
      <c r="EJ407" s="387"/>
      <c r="EK407" s="387"/>
      <c r="EL407" s="387"/>
      <c r="EO407" s="387"/>
      <c r="EP407" s="387"/>
      <c r="EQ407" s="234"/>
      <c r="ER407" s="387"/>
      <c r="ES407" s="387"/>
      <c r="ET407" s="234"/>
      <c r="EU407" s="234"/>
      <c r="EV407" s="234"/>
      <c r="EW407" s="387"/>
      <c r="EX407" s="387"/>
      <c r="EY407" s="234"/>
      <c r="EZ407" s="234"/>
      <c r="FA407" s="234"/>
      <c r="FB407" s="234"/>
      <c r="FC407" s="234"/>
      <c r="FD407" s="387"/>
      <c r="FE407" s="387"/>
      <c r="FF407" s="387"/>
      <c r="FG407" s="234"/>
      <c r="FH407" s="234"/>
      <c r="FI407" s="234"/>
      <c r="FJ407" s="234"/>
      <c r="FK407" s="234"/>
      <c r="FN407" s="234"/>
      <c r="FO407" s="234"/>
      <c r="FP407" s="387"/>
      <c r="FQ407" s="387"/>
      <c r="FR407" s="234"/>
      <c r="FS407" s="234"/>
      <c r="FT407" s="234"/>
      <c r="FU407" s="234"/>
      <c r="FW407" s="234"/>
      <c r="FX407" s="234"/>
      <c r="FY407" s="234"/>
      <c r="FZ407" s="234"/>
      <c r="GA407" s="234"/>
      <c r="GB407" s="234"/>
      <c r="GC407" s="234"/>
      <c r="GD407" s="234"/>
      <c r="GE407" s="234"/>
      <c r="GF407" s="234"/>
      <c r="GG407" s="234"/>
      <c r="GH407" s="234"/>
      <c r="GI407" s="234"/>
      <c r="GJ407" s="234"/>
      <c r="GK407" s="234"/>
      <c r="GL407" s="234"/>
      <c r="GN407" s="234"/>
      <c r="GU407" s="234"/>
    </row>
    <row r="408" spans="2:205" x14ac:dyDescent="0.25">
      <c r="B408" s="197"/>
      <c r="D408" s="400"/>
      <c r="E408" s="197"/>
      <c r="F408" s="197"/>
      <c r="G408" s="197"/>
      <c r="H408" s="197"/>
      <c r="I408" s="197"/>
      <c r="J408" s="197"/>
      <c r="K408" s="197"/>
      <c r="L408" s="197"/>
      <c r="M408" s="197"/>
      <c r="N408" s="197"/>
      <c r="O408" s="197"/>
      <c r="P408" s="197"/>
      <c r="Q408" s="197"/>
      <c r="R408" s="197"/>
      <c r="S408" s="197"/>
      <c r="T408" s="197"/>
      <c r="U408" s="234"/>
      <c r="AA408" s="234"/>
      <c r="AB408" s="234"/>
      <c r="AC408" s="197"/>
      <c r="AD408" s="268"/>
      <c r="AE408" s="197"/>
      <c r="AF408" s="197"/>
      <c r="AG408" s="197"/>
      <c r="AH408" s="197"/>
      <c r="AI408" s="234"/>
      <c r="AJ408" s="197"/>
      <c r="AK408" s="197"/>
      <c r="AL408" s="197"/>
      <c r="AM408" s="197"/>
      <c r="AN408" s="234"/>
      <c r="AO408" s="197"/>
      <c r="AP408" s="197"/>
      <c r="AQ408" s="197"/>
      <c r="AR408" s="197"/>
      <c r="AS408" s="197"/>
      <c r="AT408" s="197"/>
      <c r="AU408" s="197"/>
      <c r="AV408" s="197"/>
      <c r="AW408" s="197"/>
      <c r="AX408" s="197"/>
      <c r="AY408" s="197"/>
      <c r="AZ408" s="197"/>
      <c r="BA408" s="197"/>
      <c r="BB408" s="197"/>
      <c r="BC408" s="197"/>
      <c r="BD408" s="197"/>
      <c r="BE408" s="197"/>
      <c r="BF408" s="197"/>
      <c r="BG408" s="197"/>
      <c r="BH408" s="197"/>
      <c r="BI408" s="197"/>
      <c r="BJ408" s="197"/>
      <c r="BK408" s="197"/>
      <c r="BL408" s="197"/>
      <c r="BM408" s="197"/>
      <c r="BN408" s="197"/>
      <c r="BO408" s="197"/>
      <c r="BP408" s="197"/>
      <c r="BQ408" s="197"/>
      <c r="BR408" s="197"/>
      <c r="BS408" s="197"/>
      <c r="BT408" s="234"/>
      <c r="BU408" s="197"/>
      <c r="BV408" s="197"/>
      <c r="BW408" s="234"/>
      <c r="BX408" s="234"/>
      <c r="BY408" s="234"/>
      <c r="BZ408" s="234"/>
      <c r="CA408" s="234"/>
      <c r="CB408" s="197"/>
      <c r="CC408" s="387"/>
      <c r="CD408" s="403"/>
      <c r="CE408" s="403"/>
      <c r="CF408" s="197"/>
      <c r="CG408" s="387"/>
      <c r="CH408" s="387"/>
      <c r="CI408" s="387"/>
      <c r="CJ408" s="387"/>
      <c r="CK408" s="197"/>
      <c r="CL408" s="387"/>
      <c r="CM408" s="387"/>
      <c r="CN408" s="387"/>
      <c r="CO408" s="197"/>
      <c r="CP408" s="387"/>
      <c r="CQ408" s="387"/>
      <c r="CR408" s="387"/>
      <c r="CS408" s="387"/>
      <c r="CT408" s="387"/>
      <c r="CU408" s="387"/>
      <c r="CV408" s="387"/>
      <c r="CW408" s="387"/>
      <c r="CX408" s="387"/>
      <c r="CY408" s="197"/>
      <c r="CZ408" s="197"/>
      <c r="DA408" s="197"/>
      <c r="DB408" s="197"/>
      <c r="DC408" s="197"/>
      <c r="DD408" s="197"/>
      <c r="DE408" s="387"/>
      <c r="DF408" s="387"/>
      <c r="DG408" s="387"/>
      <c r="DH408" s="197"/>
      <c r="DI408" s="197"/>
      <c r="DJ408" s="197"/>
      <c r="DK408" s="197"/>
      <c r="DL408" s="197"/>
      <c r="DM408" s="197"/>
      <c r="DN408" s="197"/>
      <c r="DO408" s="197"/>
      <c r="DP408" s="197"/>
      <c r="DQ408" s="197"/>
      <c r="DR408" s="197"/>
      <c r="DS408" s="197"/>
      <c r="DT408" s="197"/>
      <c r="DU408" s="197"/>
      <c r="DV408" s="197"/>
      <c r="DW408" s="197"/>
      <c r="DX408" s="197"/>
      <c r="DY408" s="197"/>
      <c r="DZ408" s="197"/>
      <c r="EA408" s="197"/>
      <c r="EB408" s="197"/>
      <c r="EC408" s="197"/>
      <c r="ED408" s="197"/>
      <c r="EE408" s="197"/>
      <c r="EF408" s="197"/>
      <c r="EG408" s="197"/>
      <c r="EH408" s="197"/>
      <c r="EI408" s="197"/>
      <c r="EJ408" s="387"/>
      <c r="EK408" s="387"/>
      <c r="EL408" s="387"/>
      <c r="EM408" s="197"/>
      <c r="EN408" s="197"/>
      <c r="EO408" s="387"/>
      <c r="EP408" s="387"/>
      <c r="EQ408" s="234"/>
      <c r="ER408" s="387"/>
      <c r="ES408" s="387"/>
      <c r="ET408" s="234"/>
      <c r="EU408" s="234"/>
      <c r="EV408" s="234"/>
      <c r="EW408" s="387"/>
      <c r="EX408" s="387"/>
      <c r="EY408" s="234"/>
      <c r="EZ408" s="234"/>
      <c r="FA408" s="234"/>
      <c r="FB408" s="234"/>
      <c r="FC408" s="234"/>
      <c r="FD408" s="387"/>
      <c r="FE408" s="197"/>
      <c r="FF408" s="387"/>
      <c r="FG408" s="234"/>
      <c r="FH408" s="234"/>
      <c r="FI408" s="234"/>
      <c r="FJ408" s="234"/>
      <c r="FK408" s="234"/>
      <c r="FL408" s="197"/>
      <c r="FM408" s="197"/>
      <c r="FN408" s="234"/>
      <c r="FO408" s="234"/>
      <c r="FP408" s="387"/>
      <c r="FQ408" s="387"/>
      <c r="FR408" s="234"/>
      <c r="FS408" s="234"/>
      <c r="FT408" s="234"/>
      <c r="FU408" s="234"/>
      <c r="FV408" s="197"/>
      <c r="FW408" s="234"/>
      <c r="FX408" s="234"/>
      <c r="FY408" s="234"/>
      <c r="FZ408" s="234"/>
      <c r="GA408" s="234"/>
      <c r="GB408" s="234"/>
      <c r="GC408" s="234"/>
      <c r="GD408" s="234"/>
      <c r="GE408" s="234"/>
      <c r="GF408" s="234"/>
      <c r="GG408" s="234"/>
      <c r="GH408" s="234"/>
      <c r="GI408" s="234"/>
      <c r="GJ408" s="234"/>
      <c r="GK408" s="234"/>
      <c r="GL408" s="234"/>
      <c r="GM408" s="197"/>
      <c r="GN408" s="234"/>
      <c r="GO408" s="197"/>
      <c r="GP408" s="197"/>
      <c r="GQ408" s="197"/>
      <c r="GR408" s="197"/>
      <c r="GS408" s="197"/>
      <c r="GT408" s="197"/>
      <c r="GU408" s="234"/>
      <c r="GV408" s="197"/>
      <c r="GW408" s="197"/>
    </row>
    <row r="409" spans="2:205" x14ac:dyDescent="0.25">
      <c r="B409" s="197"/>
      <c r="D409" s="400"/>
      <c r="E409" s="197"/>
      <c r="F409" s="197"/>
      <c r="G409" s="197"/>
      <c r="H409" s="197"/>
      <c r="I409" s="197"/>
      <c r="J409" s="197"/>
      <c r="K409" s="197"/>
      <c r="L409" s="197"/>
      <c r="M409" s="197"/>
      <c r="N409" s="197"/>
      <c r="O409" s="197"/>
      <c r="P409" s="197"/>
      <c r="Q409" s="197"/>
      <c r="R409" s="197"/>
      <c r="S409" s="197"/>
      <c r="T409" s="197"/>
      <c r="U409" s="234"/>
      <c r="AA409" s="234"/>
      <c r="AB409" s="234"/>
      <c r="AC409" s="197"/>
      <c r="AD409" s="268"/>
      <c r="AE409" s="197"/>
      <c r="AF409" s="197"/>
      <c r="AG409" s="197"/>
      <c r="AH409" s="197"/>
      <c r="AI409" s="234"/>
      <c r="AJ409" s="197"/>
      <c r="AK409" s="197"/>
      <c r="AL409" s="197"/>
      <c r="AM409" s="197"/>
      <c r="AN409" s="234"/>
      <c r="AO409" s="197"/>
      <c r="AP409" s="197"/>
      <c r="AQ409" s="197"/>
      <c r="AR409" s="197"/>
      <c r="AS409" s="197"/>
      <c r="AT409" s="197"/>
      <c r="AU409" s="197"/>
      <c r="AV409" s="197"/>
      <c r="AW409" s="197"/>
      <c r="AX409" s="197"/>
      <c r="AY409" s="197"/>
      <c r="AZ409" s="197"/>
      <c r="BA409" s="197"/>
      <c r="BB409" s="197"/>
      <c r="BC409" s="197"/>
      <c r="BD409" s="197"/>
      <c r="BE409" s="197"/>
      <c r="BF409" s="197"/>
      <c r="BG409" s="197"/>
      <c r="BH409" s="197"/>
      <c r="BI409" s="197"/>
      <c r="BJ409" s="197"/>
      <c r="BK409" s="197"/>
      <c r="BL409" s="197"/>
      <c r="BM409" s="197"/>
      <c r="BN409" s="197"/>
      <c r="BO409" s="197"/>
      <c r="BP409" s="197"/>
      <c r="BQ409" s="197"/>
      <c r="BR409" s="197"/>
      <c r="BS409" s="197"/>
      <c r="BT409" s="234"/>
      <c r="BU409" s="197"/>
      <c r="BV409" s="197"/>
      <c r="BW409" s="234"/>
      <c r="BX409" s="234"/>
      <c r="BY409" s="234"/>
      <c r="BZ409" s="234"/>
      <c r="CA409" s="234"/>
      <c r="CB409" s="197"/>
      <c r="CC409" s="387"/>
      <c r="CD409" s="197"/>
      <c r="CE409" s="197"/>
      <c r="CF409" s="197"/>
      <c r="CG409" s="387"/>
      <c r="CH409" s="387"/>
      <c r="CI409" s="387"/>
      <c r="CJ409" s="387"/>
      <c r="CK409" s="197"/>
      <c r="CL409" s="387"/>
      <c r="CM409" s="387"/>
      <c r="CN409" s="387"/>
      <c r="CO409" s="197"/>
      <c r="CP409" s="387"/>
      <c r="CQ409" s="387"/>
      <c r="CR409" s="387"/>
      <c r="CS409" s="387"/>
      <c r="CT409" s="387"/>
      <c r="CU409" s="387"/>
      <c r="CV409" s="387"/>
      <c r="CW409" s="387"/>
      <c r="CX409" s="387"/>
      <c r="CY409" s="197"/>
      <c r="CZ409" s="197"/>
      <c r="DA409" s="197"/>
      <c r="DB409" s="197"/>
      <c r="DC409" s="197"/>
      <c r="DD409" s="197"/>
      <c r="DE409" s="387"/>
      <c r="DF409" s="387"/>
      <c r="DG409" s="387"/>
      <c r="DH409" s="197"/>
      <c r="DI409" s="197"/>
      <c r="DJ409" s="197"/>
      <c r="DK409" s="197"/>
      <c r="DL409" s="197"/>
      <c r="DM409" s="197"/>
      <c r="DN409" s="197"/>
      <c r="DO409" s="197"/>
      <c r="DP409" s="197"/>
      <c r="DQ409" s="197"/>
      <c r="DR409" s="197"/>
      <c r="DS409" s="197"/>
      <c r="DT409" s="197"/>
      <c r="DU409" s="197"/>
      <c r="DV409" s="197"/>
      <c r="DW409" s="197"/>
      <c r="DX409" s="197"/>
      <c r="DY409" s="197"/>
      <c r="DZ409" s="197"/>
      <c r="EA409" s="197"/>
      <c r="EB409" s="197"/>
      <c r="EC409" s="197"/>
      <c r="ED409" s="197"/>
      <c r="EE409" s="197"/>
      <c r="EF409" s="197"/>
      <c r="EG409" s="197"/>
      <c r="EH409" s="197"/>
      <c r="EI409" s="197"/>
      <c r="EJ409" s="273"/>
      <c r="EK409" s="387"/>
      <c r="EL409" s="387"/>
      <c r="EM409" s="197"/>
      <c r="EN409" s="197"/>
      <c r="EO409" s="387"/>
      <c r="EP409" s="387"/>
      <c r="EQ409" s="234"/>
      <c r="ER409" s="387"/>
      <c r="ES409" s="387"/>
      <c r="ET409" s="234"/>
      <c r="EU409" s="234"/>
      <c r="EV409" s="234"/>
      <c r="EW409" s="387"/>
      <c r="EX409" s="387"/>
      <c r="EY409" s="234"/>
      <c r="EZ409" s="234"/>
      <c r="FA409" s="234"/>
      <c r="FB409" s="234"/>
      <c r="FC409" s="234"/>
      <c r="FD409" s="387"/>
      <c r="FE409" s="387"/>
      <c r="FF409" s="387"/>
      <c r="FG409" s="234"/>
      <c r="FH409" s="234"/>
      <c r="FI409" s="234"/>
      <c r="FJ409" s="234"/>
      <c r="FK409" s="234"/>
      <c r="FL409" s="197"/>
      <c r="FM409" s="197"/>
      <c r="FN409" s="234"/>
      <c r="FO409" s="234"/>
      <c r="FP409" s="387"/>
      <c r="FQ409" s="387"/>
      <c r="FR409" s="234"/>
      <c r="FS409" s="234"/>
      <c r="FT409" s="234"/>
      <c r="FU409" s="234"/>
      <c r="FV409" s="197"/>
      <c r="FW409" s="234"/>
      <c r="FX409" s="234"/>
      <c r="FY409" s="234"/>
      <c r="FZ409" s="234"/>
      <c r="GA409" s="234"/>
      <c r="GB409" s="234"/>
      <c r="GC409" s="234"/>
      <c r="GD409" s="234"/>
      <c r="GE409" s="234"/>
      <c r="GF409" s="234"/>
      <c r="GG409" s="234"/>
      <c r="GH409" s="234"/>
      <c r="GI409" s="234"/>
      <c r="GJ409" s="234"/>
      <c r="GK409" s="234"/>
      <c r="GL409" s="234"/>
      <c r="GM409" s="197"/>
      <c r="GN409" s="234"/>
      <c r="GO409" s="197"/>
      <c r="GP409" s="197"/>
      <c r="GQ409" s="197"/>
      <c r="GR409" s="197"/>
      <c r="GS409" s="197"/>
      <c r="GT409" s="197"/>
      <c r="GU409" s="234"/>
      <c r="GV409" s="197"/>
      <c r="GW409" s="197"/>
    </row>
    <row r="410" spans="2:205" x14ac:dyDescent="0.25">
      <c r="B410" s="197"/>
      <c r="D410" s="400"/>
      <c r="E410" s="197"/>
      <c r="F410" s="197"/>
      <c r="G410" s="197"/>
      <c r="H410" s="197"/>
      <c r="I410" s="197"/>
      <c r="J410" s="197"/>
      <c r="K410" s="197"/>
      <c r="L410" s="197"/>
      <c r="M410" s="197"/>
      <c r="N410" s="197"/>
      <c r="O410" s="197"/>
      <c r="P410" s="197"/>
      <c r="Q410" s="197"/>
      <c r="R410" s="197"/>
      <c r="S410" s="197"/>
      <c r="T410" s="197"/>
      <c r="U410" s="234"/>
      <c r="AA410" s="234"/>
      <c r="AB410" s="234"/>
      <c r="AC410" s="197"/>
      <c r="AD410" s="268"/>
      <c r="AE410" s="197"/>
      <c r="AF410" s="197"/>
      <c r="AG410" s="197"/>
      <c r="AH410" s="197"/>
      <c r="AI410" s="234"/>
      <c r="AJ410" s="197"/>
      <c r="AK410" s="197"/>
      <c r="AL410" s="197"/>
      <c r="AM410" s="197"/>
      <c r="AN410" s="234"/>
      <c r="AO410" s="197"/>
      <c r="AP410" s="197"/>
      <c r="AQ410" s="197"/>
      <c r="AR410" s="197"/>
      <c r="AS410" s="197"/>
      <c r="AT410" s="197"/>
      <c r="AU410" s="197"/>
      <c r="AV410" s="197"/>
      <c r="AW410" s="197"/>
      <c r="AX410" s="197"/>
      <c r="AY410" s="197"/>
      <c r="AZ410" s="197"/>
      <c r="BA410" s="197"/>
      <c r="BB410" s="197"/>
      <c r="BC410" s="197"/>
      <c r="BD410" s="197"/>
      <c r="BE410" s="197"/>
      <c r="BF410" s="197"/>
      <c r="BG410" s="197"/>
      <c r="BH410" s="197"/>
      <c r="BI410" s="197"/>
      <c r="BJ410" s="197"/>
      <c r="BK410" s="197"/>
      <c r="BL410" s="197"/>
      <c r="BM410" s="197"/>
      <c r="BN410" s="197"/>
      <c r="BO410" s="197"/>
      <c r="BP410" s="197"/>
      <c r="BQ410" s="197"/>
      <c r="BR410" s="197"/>
      <c r="BS410" s="197"/>
      <c r="BT410" s="234"/>
      <c r="BU410" s="197"/>
      <c r="BV410" s="197"/>
      <c r="BW410" s="234"/>
      <c r="BX410" s="234"/>
      <c r="BY410" s="234"/>
      <c r="BZ410" s="234"/>
      <c r="CA410" s="234"/>
      <c r="CB410" s="197"/>
      <c r="CC410" s="387"/>
      <c r="CD410" s="197"/>
      <c r="CE410" s="197"/>
      <c r="CF410" s="197"/>
      <c r="CG410" s="387"/>
      <c r="CH410" s="387"/>
      <c r="CI410" s="387"/>
      <c r="CJ410" s="387"/>
      <c r="CK410" s="197"/>
      <c r="CL410" s="387"/>
      <c r="CM410" s="387"/>
      <c r="CN410" s="387"/>
      <c r="CO410" s="197"/>
      <c r="CP410" s="387"/>
      <c r="CQ410" s="387"/>
      <c r="CR410" s="387"/>
      <c r="CS410" s="387"/>
      <c r="CT410" s="387"/>
      <c r="CU410" s="387"/>
      <c r="CV410" s="387"/>
      <c r="CW410" s="387"/>
      <c r="CX410" s="387"/>
      <c r="CY410" s="197"/>
      <c r="CZ410" s="197"/>
      <c r="DA410" s="197"/>
      <c r="DB410" s="197"/>
      <c r="DC410" s="197"/>
      <c r="DD410" s="197"/>
      <c r="DE410" s="387"/>
      <c r="DF410" s="387"/>
      <c r="DG410" s="387"/>
      <c r="DH410" s="197"/>
      <c r="DI410" s="197"/>
      <c r="DJ410" s="197"/>
      <c r="DK410" s="197"/>
      <c r="DL410" s="197"/>
      <c r="DM410" s="197"/>
      <c r="DN410" s="197"/>
      <c r="DO410" s="197"/>
      <c r="DP410" s="197"/>
      <c r="DQ410" s="197"/>
      <c r="DR410" s="197"/>
      <c r="DS410" s="197"/>
      <c r="DT410" s="197"/>
      <c r="DU410" s="197"/>
      <c r="DV410" s="197"/>
      <c r="DW410" s="197"/>
      <c r="DX410" s="197"/>
      <c r="DY410" s="197"/>
      <c r="DZ410" s="197"/>
      <c r="EA410" s="197"/>
      <c r="EB410" s="197"/>
      <c r="EC410" s="197"/>
      <c r="ED410" s="197"/>
      <c r="EE410" s="197"/>
      <c r="EF410" s="197"/>
      <c r="EG410" s="197"/>
      <c r="EH410" s="197"/>
      <c r="EI410" s="197"/>
      <c r="EJ410" s="273"/>
      <c r="EK410" s="387"/>
      <c r="EL410" s="387"/>
      <c r="EM410" s="197"/>
      <c r="EN410" s="197"/>
      <c r="EO410" s="387"/>
      <c r="EP410" s="387"/>
      <c r="EQ410" s="234"/>
      <c r="ER410" s="387"/>
      <c r="ES410" s="387"/>
      <c r="ET410" s="234"/>
      <c r="EU410" s="234"/>
      <c r="EV410" s="234"/>
      <c r="EW410" s="387"/>
      <c r="EX410" s="387"/>
      <c r="EY410" s="234"/>
      <c r="EZ410" s="234"/>
      <c r="FA410" s="387"/>
      <c r="FB410" s="234"/>
      <c r="FC410" s="234"/>
      <c r="FD410" s="387"/>
      <c r="FE410" s="387"/>
      <c r="FF410" s="387"/>
      <c r="FG410" s="234"/>
      <c r="FH410" s="234"/>
      <c r="FI410" s="234"/>
      <c r="FJ410" s="234"/>
      <c r="FK410" s="234"/>
      <c r="FL410" s="197"/>
      <c r="FM410" s="197"/>
      <c r="FN410" s="234"/>
      <c r="FO410" s="234"/>
      <c r="FP410" s="387"/>
      <c r="FQ410" s="387"/>
      <c r="FR410" s="234"/>
      <c r="FS410" s="234"/>
      <c r="FT410" s="234"/>
      <c r="FU410" s="234"/>
      <c r="FV410" s="197"/>
      <c r="FW410" s="234"/>
      <c r="FX410" s="234"/>
      <c r="FY410" s="234"/>
      <c r="FZ410" s="234"/>
      <c r="GA410" s="234"/>
      <c r="GB410" s="234"/>
      <c r="GC410" s="234"/>
      <c r="GD410" s="234"/>
      <c r="GE410" s="234"/>
      <c r="GF410" s="234"/>
      <c r="GG410" s="234"/>
      <c r="GH410" s="234"/>
      <c r="GI410" s="234"/>
      <c r="GJ410" s="234"/>
      <c r="GK410" s="234"/>
      <c r="GL410" s="234"/>
      <c r="GM410" s="197"/>
      <c r="GN410" s="234"/>
      <c r="GO410" s="197"/>
      <c r="GP410" s="197"/>
      <c r="GQ410" s="197"/>
      <c r="GR410" s="197"/>
      <c r="GS410" s="197"/>
      <c r="GT410" s="197"/>
      <c r="GU410" s="234"/>
      <c r="GV410" s="197"/>
      <c r="GW410" s="197"/>
    </row>
    <row r="411" spans="2:205" x14ac:dyDescent="0.25">
      <c r="B411" s="197"/>
      <c r="D411" s="400"/>
      <c r="E411" s="197"/>
      <c r="F411" s="197"/>
      <c r="G411" s="197"/>
      <c r="H411" s="197"/>
      <c r="I411" s="197"/>
      <c r="J411" s="197"/>
      <c r="K411" s="197"/>
      <c r="L411" s="197"/>
      <c r="M411" s="197"/>
      <c r="N411" s="197"/>
      <c r="O411" s="197"/>
      <c r="P411" s="197"/>
      <c r="Q411" s="197"/>
      <c r="R411" s="197"/>
      <c r="S411" s="197"/>
      <c r="T411" s="197"/>
      <c r="U411" s="234"/>
      <c r="AA411" s="234"/>
      <c r="AB411" s="234"/>
      <c r="AC411" s="197"/>
      <c r="AD411" s="268"/>
      <c r="AE411" s="197"/>
      <c r="AF411" s="197"/>
      <c r="AG411" s="197"/>
      <c r="AH411" s="197"/>
      <c r="AI411" s="234"/>
      <c r="AJ411" s="197"/>
      <c r="AK411" s="197"/>
      <c r="AL411" s="197"/>
      <c r="AM411" s="197"/>
      <c r="AN411" s="234"/>
      <c r="AO411" s="197"/>
      <c r="AP411" s="197"/>
      <c r="AQ411" s="197"/>
      <c r="AR411" s="197"/>
      <c r="AS411" s="197"/>
      <c r="AT411" s="197"/>
      <c r="AU411" s="197"/>
      <c r="AV411" s="197"/>
      <c r="AW411" s="197"/>
      <c r="AX411" s="197"/>
      <c r="AY411" s="197"/>
      <c r="AZ411" s="197"/>
      <c r="BA411" s="197"/>
      <c r="BB411" s="197"/>
      <c r="BC411" s="197"/>
      <c r="BD411" s="197"/>
      <c r="BE411" s="197"/>
      <c r="BF411" s="197"/>
      <c r="BG411" s="197"/>
      <c r="BH411" s="197"/>
      <c r="BI411" s="197"/>
      <c r="BJ411" s="197"/>
      <c r="BK411" s="197"/>
      <c r="BL411" s="197"/>
      <c r="BM411" s="197"/>
      <c r="BN411" s="197"/>
      <c r="BO411" s="197"/>
      <c r="BP411" s="197"/>
      <c r="BQ411" s="197"/>
      <c r="BR411" s="197"/>
      <c r="BS411" s="197"/>
      <c r="BT411" s="234"/>
      <c r="BU411" s="197"/>
      <c r="BV411" s="197"/>
      <c r="BW411" s="234"/>
      <c r="BX411" s="234"/>
      <c r="BY411" s="234"/>
      <c r="BZ411" s="234"/>
      <c r="CA411" s="234"/>
      <c r="CB411" s="197"/>
      <c r="CC411" s="387"/>
      <c r="CD411" s="197"/>
      <c r="CE411" s="197"/>
      <c r="CF411" s="197"/>
      <c r="CG411" s="387"/>
      <c r="CH411" s="387"/>
      <c r="CI411" s="387"/>
      <c r="CJ411" s="387"/>
      <c r="CK411" s="197"/>
      <c r="CL411" s="387"/>
      <c r="CM411" s="387"/>
      <c r="CN411" s="387"/>
      <c r="CO411" s="197"/>
      <c r="CP411" s="387"/>
      <c r="CQ411" s="387"/>
      <c r="CR411" s="387"/>
      <c r="CS411" s="387"/>
      <c r="CT411" s="387"/>
      <c r="CU411" s="387"/>
      <c r="CV411" s="387"/>
      <c r="CW411" s="387"/>
      <c r="CX411" s="387"/>
      <c r="CY411" s="197"/>
      <c r="CZ411" s="197"/>
      <c r="DA411" s="197"/>
      <c r="DB411" s="197"/>
      <c r="DC411" s="197"/>
      <c r="DD411" s="197"/>
      <c r="DE411" s="387"/>
      <c r="DF411" s="387"/>
      <c r="DG411" s="387"/>
      <c r="DH411" s="197"/>
      <c r="DI411" s="197"/>
      <c r="DJ411" s="197"/>
      <c r="DK411" s="197"/>
      <c r="DL411" s="197"/>
      <c r="DM411" s="197"/>
      <c r="DN411" s="197"/>
      <c r="DO411" s="197"/>
      <c r="DP411" s="197"/>
      <c r="DQ411" s="197"/>
      <c r="DR411" s="197"/>
      <c r="DS411" s="197"/>
      <c r="DT411" s="197"/>
      <c r="DU411" s="197"/>
      <c r="DV411" s="197"/>
      <c r="DW411" s="197"/>
      <c r="DX411" s="197"/>
      <c r="DY411" s="197"/>
      <c r="DZ411" s="197"/>
      <c r="EA411" s="197"/>
      <c r="EB411" s="197"/>
      <c r="EC411" s="197"/>
      <c r="ED411" s="197"/>
      <c r="EE411" s="197"/>
      <c r="EF411" s="197"/>
      <c r="EG411" s="197"/>
      <c r="EH411" s="197"/>
      <c r="EI411" s="197"/>
      <c r="EJ411" s="273"/>
      <c r="EK411" s="387"/>
      <c r="EL411" s="387"/>
      <c r="EM411" s="197"/>
      <c r="EN411" s="197"/>
      <c r="EO411" s="387"/>
      <c r="EP411" s="387"/>
      <c r="EQ411" s="234"/>
      <c r="ER411" s="387"/>
      <c r="ES411" s="387"/>
      <c r="ET411" s="234"/>
      <c r="EU411" s="234"/>
      <c r="EV411" s="234"/>
      <c r="EW411" s="387"/>
      <c r="EX411" s="387"/>
      <c r="EY411" s="234"/>
      <c r="EZ411" s="234"/>
      <c r="FA411" s="387"/>
      <c r="FB411" s="234"/>
      <c r="FC411" s="234"/>
      <c r="FD411" s="387"/>
      <c r="FE411" s="387"/>
      <c r="FF411" s="387"/>
      <c r="FG411" s="234"/>
      <c r="FH411" s="234"/>
      <c r="FI411" s="234"/>
      <c r="FJ411" s="234"/>
      <c r="FK411" s="234"/>
      <c r="FL411" s="197"/>
      <c r="FM411" s="197"/>
      <c r="FN411" s="234"/>
      <c r="FO411" s="234"/>
      <c r="FP411" s="387"/>
      <c r="FQ411" s="387"/>
      <c r="FR411" s="234"/>
      <c r="FS411" s="234"/>
      <c r="FT411" s="234"/>
      <c r="FU411" s="234"/>
      <c r="FV411" s="197"/>
      <c r="FW411" s="234"/>
      <c r="FX411" s="234"/>
      <c r="FY411" s="234"/>
      <c r="FZ411" s="234"/>
      <c r="GA411" s="234"/>
      <c r="GB411" s="234"/>
      <c r="GC411" s="234"/>
      <c r="GD411" s="234"/>
      <c r="GE411" s="234"/>
      <c r="GF411" s="234"/>
      <c r="GG411" s="234"/>
      <c r="GH411" s="234"/>
      <c r="GI411" s="234"/>
      <c r="GJ411" s="234"/>
      <c r="GK411" s="234"/>
      <c r="GL411" s="234"/>
      <c r="GM411" s="197"/>
      <c r="GN411" s="234"/>
      <c r="GO411" s="197"/>
      <c r="GP411" s="197"/>
      <c r="GQ411" s="197"/>
      <c r="GR411" s="197"/>
      <c r="GS411" s="197"/>
      <c r="GT411" s="197"/>
      <c r="GU411" s="234"/>
      <c r="GV411" s="197"/>
      <c r="GW411" s="197"/>
    </row>
    <row r="412" spans="2:205" x14ac:dyDescent="0.25">
      <c r="B412" s="197"/>
      <c r="D412" s="400"/>
      <c r="E412" s="197"/>
      <c r="F412" s="197"/>
      <c r="G412" s="197"/>
      <c r="H412" s="197"/>
      <c r="I412" s="197"/>
      <c r="J412" s="197"/>
      <c r="K412" s="197"/>
      <c r="L412" s="197"/>
      <c r="M412" s="197"/>
      <c r="N412" s="197"/>
      <c r="O412" s="197"/>
      <c r="P412" s="197"/>
      <c r="Q412" s="197"/>
      <c r="R412" s="197"/>
      <c r="S412" s="197"/>
      <c r="T412" s="197"/>
      <c r="U412" s="234"/>
      <c r="AA412" s="234"/>
      <c r="AB412" s="234"/>
      <c r="AC412" s="197"/>
      <c r="AD412" s="268"/>
      <c r="AE412" s="197"/>
      <c r="AF412" s="197"/>
      <c r="AG412" s="197"/>
      <c r="AH412" s="197"/>
      <c r="AI412" s="234"/>
      <c r="AJ412" s="197"/>
      <c r="AK412" s="197"/>
      <c r="AL412" s="197"/>
      <c r="AM412" s="197"/>
      <c r="AN412" s="234"/>
      <c r="AO412" s="197"/>
      <c r="AP412" s="197"/>
      <c r="AQ412" s="197"/>
      <c r="AR412" s="197"/>
      <c r="AS412" s="197"/>
      <c r="AT412" s="197"/>
      <c r="AU412" s="197"/>
      <c r="AV412" s="197"/>
      <c r="AW412" s="197"/>
      <c r="AX412" s="197"/>
      <c r="AY412" s="197"/>
      <c r="AZ412" s="197"/>
      <c r="BA412" s="197"/>
      <c r="BB412" s="197"/>
      <c r="BC412" s="197"/>
      <c r="BD412" s="197"/>
      <c r="BE412" s="197"/>
      <c r="BF412" s="197"/>
      <c r="BG412" s="197"/>
      <c r="BH412" s="197"/>
      <c r="BI412" s="197"/>
      <c r="BJ412" s="197"/>
      <c r="BK412" s="197"/>
      <c r="BL412" s="197"/>
      <c r="BM412" s="197"/>
      <c r="BN412" s="197"/>
      <c r="BO412" s="197"/>
      <c r="BP412" s="197"/>
      <c r="BQ412" s="197"/>
      <c r="BR412" s="197"/>
      <c r="BS412" s="197"/>
      <c r="BT412" s="234"/>
      <c r="BU412" s="197"/>
      <c r="BV412" s="197"/>
      <c r="BW412" s="234"/>
      <c r="BX412" s="234"/>
      <c r="BY412" s="234"/>
      <c r="BZ412" s="234"/>
      <c r="CA412" s="234"/>
      <c r="CB412" s="197"/>
      <c r="CC412" s="387"/>
      <c r="CD412" s="197"/>
      <c r="CE412" s="197"/>
      <c r="CF412" s="197"/>
      <c r="CG412" s="387"/>
      <c r="CH412" s="387"/>
      <c r="CI412" s="387"/>
      <c r="CJ412" s="387"/>
      <c r="CK412" s="197"/>
      <c r="CL412" s="387"/>
      <c r="CM412" s="387"/>
      <c r="CN412" s="387"/>
      <c r="CO412" s="197"/>
      <c r="CP412" s="387"/>
      <c r="CQ412" s="387"/>
      <c r="CR412" s="387"/>
      <c r="CS412" s="387"/>
      <c r="CT412" s="387"/>
      <c r="CU412" s="387"/>
      <c r="CV412" s="387"/>
      <c r="CW412" s="387"/>
      <c r="CX412" s="387"/>
      <c r="CY412" s="197"/>
      <c r="CZ412" s="197"/>
      <c r="DA412" s="197"/>
      <c r="DB412" s="197"/>
      <c r="DC412" s="197"/>
      <c r="DD412" s="197"/>
      <c r="DE412" s="387"/>
      <c r="DF412" s="387"/>
      <c r="DG412" s="387"/>
      <c r="DH412" s="197"/>
      <c r="DI412" s="197"/>
      <c r="DJ412" s="197"/>
      <c r="DK412" s="197"/>
      <c r="DL412" s="197"/>
      <c r="DM412" s="197"/>
      <c r="DN412" s="197"/>
      <c r="DO412" s="197"/>
      <c r="DP412" s="197"/>
      <c r="DQ412" s="197"/>
      <c r="DR412" s="197"/>
      <c r="DS412" s="197"/>
      <c r="DT412" s="197"/>
      <c r="DU412" s="197"/>
      <c r="DV412" s="197"/>
      <c r="DW412" s="197"/>
      <c r="DX412" s="197"/>
      <c r="DY412" s="197"/>
      <c r="DZ412" s="197"/>
      <c r="EA412" s="197"/>
      <c r="EB412" s="197"/>
      <c r="EC412" s="197"/>
      <c r="ED412" s="197"/>
      <c r="EE412" s="197"/>
      <c r="EF412" s="197"/>
      <c r="EG412" s="197"/>
      <c r="EH412" s="197"/>
      <c r="EI412" s="197"/>
      <c r="EJ412" s="273"/>
      <c r="EK412" s="387"/>
      <c r="EL412" s="387"/>
      <c r="EM412" s="197"/>
      <c r="EN412" s="197"/>
      <c r="EO412" s="387"/>
      <c r="EP412" s="387"/>
      <c r="EQ412" s="234"/>
      <c r="ER412" s="387"/>
      <c r="ES412" s="387"/>
      <c r="ET412" s="234"/>
      <c r="EU412" s="234"/>
      <c r="EV412" s="234"/>
      <c r="EW412" s="387"/>
      <c r="EX412" s="387"/>
      <c r="EY412" s="234"/>
      <c r="EZ412" s="234"/>
      <c r="FA412" s="387"/>
      <c r="FB412" s="234"/>
      <c r="FC412" s="234"/>
      <c r="FD412" s="387"/>
      <c r="FE412" s="387"/>
      <c r="FF412" s="387"/>
      <c r="FG412" s="234"/>
      <c r="FH412" s="234"/>
      <c r="FI412" s="234"/>
      <c r="FJ412" s="234"/>
      <c r="FK412" s="234"/>
      <c r="FL412" s="197"/>
      <c r="FM412" s="197"/>
      <c r="FN412" s="234"/>
      <c r="FO412" s="234"/>
      <c r="FP412" s="387"/>
      <c r="FQ412" s="387"/>
      <c r="FR412" s="234"/>
      <c r="FS412" s="234"/>
      <c r="FT412" s="234"/>
      <c r="FU412" s="234"/>
      <c r="FV412" s="197"/>
      <c r="FW412" s="234"/>
      <c r="FX412" s="234"/>
      <c r="FY412" s="234"/>
      <c r="FZ412" s="234"/>
      <c r="GA412" s="234"/>
      <c r="GB412" s="234"/>
      <c r="GC412" s="234"/>
      <c r="GD412" s="234"/>
      <c r="GE412" s="234"/>
      <c r="GF412" s="234"/>
      <c r="GG412" s="234"/>
      <c r="GH412" s="234"/>
      <c r="GI412" s="234"/>
      <c r="GJ412" s="234"/>
      <c r="GK412" s="234"/>
      <c r="GL412" s="234"/>
      <c r="GM412" s="197"/>
      <c r="GN412" s="234"/>
      <c r="GO412" s="197"/>
      <c r="GP412" s="197"/>
      <c r="GQ412" s="197"/>
      <c r="GR412" s="197"/>
      <c r="GS412" s="197"/>
      <c r="GT412" s="197"/>
      <c r="GU412" s="234"/>
      <c r="GV412" s="197"/>
      <c r="GW412" s="197"/>
    </row>
    <row r="413" spans="2:205" x14ac:dyDescent="0.25">
      <c r="B413" s="197"/>
      <c r="D413" s="400"/>
      <c r="E413" s="197"/>
      <c r="F413" s="197"/>
      <c r="G413" s="197"/>
      <c r="H413" s="197"/>
      <c r="I413" s="197"/>
      <c r="J413" s="197"/>
      <c r="K413" s="197"/>
      <c r="L413" s="197"/>
      <c r="M413" s="197"/>
      <c r="N413" s="197"/>
      <c r="O413" s="197"/>
      <c r="P413" s="197"/>
      <c r="Q413" s="197"/>
      <c r="R413" s="197"/>
      <c r="S413" s="197"/>
      <c r="T413" s="197"/>
      <c r="U413" s="234"/>
      <c r="AA413" s="234"/>
      <c r="AB413" s="234"/>
      <c r="AC413" s="197"/>
      <c r="AD413" s="268"/>
      <c r="AE413" s="197"/>
      <c r="AF413" s="197"/>
      <c r="AG413" s="197"/>
      <c r="AH413" s="197"/>
      <c r="AI413" s="234"/>
      <c r="AJ413" s="197"/>
      <c r="AK413" s="197"/>
      <c r="AL413" s="197"/>
      <c r="AM413" s="197"/>
      <c r="AN413" s="234"/>
      <c r="AO413" s="197"/>
      <c r="AP413" s="197"/>
      <c r="AQ413" s="197"/>
      <c r="AR413" s="197"/>
      <c r="AS413" s="197"/>
      <c r="AT413" s="197"/>
      <c r="AU413" s="197"/>
      <c r="AV413" s="197"/>
      <c r="AW413" s="197"/>
      <c r="AX413" s="197"/>
      <c r="AY413" s="197"/>
      <c r="AZ413" s="197"/>
      <c r="BA413" s="197"/>
      <c r="BB413" s="197"/>
      <c r="BC413" s="197"/>
      <c r="BD413" s="197"/>
      <c r="BE413" s="197"/>
      <c r="BF413" s="197"/>
      <c r="BG413" s="197"/>
      <c r="BH413" s="197"/>
      <c r="BI413" s="197"/>
      <c r="BJ413" s="197"/>
      <c r="BK413" s="197"/>
      <c r="BL413" s="197"/>
      <c r="BM413" s="197"/>
      <c r="BN413" s="197"/>
      <c r="BO413" s="197"/>
      <c r="BP413" s="197"/>
      <c r="BQ413" s="197"/>
      <c r="BR413" s="197"/>
      <c r="BS413" s="197"/>
      <c r="BT413" s="234"/>
      <c r="BU413" s="197"/>
      <c r="BV413" s="197"/>
      <c r="BW413" s="234"/>
      <c r="BX413" s="234"/>
      <c r="BY413" s="234"/>
      <c r="BZ413" s="234"/>
      <c r="CA413" s="234"/>
      <c r="CB413" s="197"/>
      <c r="CC413" s="387"/>
      <c r="CD413" s="197"/>
      <c r="CE413" s="197"/>
      <c r="CF413" s="197"/>
      <c r="CG413" s="387"/>
      <c r="CH413" s="387"/>
      <c r="CI413" s="387"/>
      <c r="CJ413" s="387"/>
      <c r="CK413" s="197"/>
      <c r="CL413" s="387"/>
      <c r="CM413" s="387"/>
      <c r="CN413" s="387"/>
      <c r="CO413" s="197"/>
      <c r="CP413" s="387"/>
      <c r="CQ413" s="387"/>
      <c r="CR413" s="387"/>
      <c r="CS413" s="387"/>
      <c r="CT413" s="387"/>
      <c r="CU413" s="387"/>
      <c r="CV413" s="387"/>
      <c r="CW413" s="387"/>
      <c r="CX413" s="387"/>
      <c r="CY413" s="197"/>
      <c r="CZ413" s="197"/>
      <c r="DA413" s="197"/>
      <c r="DB413" s="197"/>
      <c r="DC413" s="197"/>
      <c r="DD413" s="197"/>
      <c r="DE413" s="387"/>
      <c r="DF413" s="387"/>
      <c r="DG413" s="387"/>
      <c r="DH413" s="197"/>
      <c r="DI413" s="197"/>
      <c r="DJ413" s="197"/>
      <c r="DK413" s="197"/>
      <c r="DL413" s="197"/>
      <c r="DM413" s="197"/>
      <c r="DN413" s="197"/>
      <c r="DO413" s="197"/>
      <c r="DP413" s="197"/>
      <c r="DQ413" s="197"/>
      <c r="DR413" s="197"/>
      <c r="DS413" s="197"/>
      <c r="DT413" s="197"/>
      <c r="DU413" s="197"/>
      <c r="DV413" s="197"/>
      <c r="DW413" s="197"/>
      <c r="DX413" s="197"/>
      <c r="DY413" s="197"/>
      <c r="DZ413" s="197"/>
      <c r="EA413" s="197"/>
      <c r="EB413" s="197"/>
      <c r="EC413" s="197"/>
      <c r="ED413" s="197"/>
      <c r="EE413" s="197"/>
      <c r="EF413" s="197"/>
      <c r="EG413" s="197"/>
      <c r="EH413" s="197"/>
      <c r="EI413" s="197"/>
      <c r="EJ413" s="273"/>
      <c r="EK413" s="387"/>
      <c r="EL413" s="387"/>
      <c r="EM413" s="197"/>
      <c r="EN413" s="197"/>
      <c r="EO413" s="387"/>
      <c r="EP413" s="387"/>
      <c r="EQ413" s="234"/>
      <c r="ER413" s="387"/>
      <c r="ES413" s="387"/>
      <c r="ET413" s="234"/>
      <c r="EU413" s="234"/>
      <c r="EV413" s="234"/>
      <c r="EW413" s="387"/>
      <c r="EX413" s="387"/>
      <c r="EY413" s="234"/>
      <c r="EZ413" s="234"/>
      <c r="FA413" s="387"/>
      <c r="FB413" s="234"/>
      <c r="FC413" s="234"/>
      <c r="FD413" s="387"/>
      <c r="FE413" s="387"/>
      <c r="FF413" s="387"/>
      <c r="FG413" s="234"/>
      <c r="FH413" s="234"/>
      <c r="FI413" s="234"/>
      <c r="FJ413" s="234"/>
      <c r="FK413" s="234"/>
      <c r="FL413" s="197"/>
      <c r="FM413" s="197"/>
      <c r="FN413" s="234"/>
      <c r="FO413" s="234"/>
      <c r="FP413" s="387"/>
      <c r="FQ413" s="387"/>
      <c r="FR413" s="234"/>
      <c r="FS413" s="234"/>
      <c r="FT413" s="234"/>
      <c r="FU413" s="234"/>
      <c r="FV413" s="197"/>
      <c r="FW413" s="234"/>
      <c r="FX413" s="234"/>
      <c r="FY413" s="234"/>
      <c r="FZ413" s="234"/>
      <c r="GA413" s="234"/>
      <c r="GB413" s="234"/>
      <c r="GC413" s="234"/>
      <c r="GD413" s="234"/>
      <c r="GE413" s="234"/>
      <c r="GF413" s="234"/>
      <c r="GG413" s="234"/>
      <c r="GH413" s="234"/>
      <c r="GI413" s="234"/>
      <c r="GJ413" s="234"/>
      <c r="GK413" s="234"/>
      <c r="GL413" s="234"/>
      <c r="GM413" s="197"/>
      <c r="GN413" s="234"/>
      <c r="GO413" s="197"/>
      <c r="GP413" s="197"/>
      <c r="GQ413" s="197"/>
      <c r="GR413" s="197"/>
      <c r="GS413" s="197"/>
      <c r="GT413" s="197"/>
      <c r="GU413" s="234"/>
      <c r="GV413" s="197"/>
      <c r="GW413" s="197"/>
    </row>
    <row r="414" spans="2:205" x14ac:dyDescent="0.25">
      <c r="B414" s="197"/>
      <c r="D414" s="400"/>
      <c r="E414" s="197"/>
      <c r="F414" s="197"/>
      <c r="G414" s="197"/>
      <c r="H414" s="197"/>
      <c r="I414" s="197"/>
      <c r="J414" s="197"/>
      <c r="K414" s="197"/>
      <c r="L414" s="197"/>
      <c r="M414" s="197"/>
      <c r="N414" s="197"/>
      <c r="O414" s="197"/>
      <c r="P414" s="197"/>
      <c r="Q414" s="197"/>
      <c r="R414" s="197"/>
      <c r="S414" s="197"/>
      <c r="T414" s="197"/>
      <c r="U414" s="234"/>
      <c r="AA414" s="234"/>
      <c r="AB414" s="234"/>
      <c r="AC414" s="197"/>
      <c r="AD414" s="268"/>
      <c r="AE414" s="197"/>
      <c r="AF414" s="197"/>
      <c r="AG414" s="197"/>
      <c r="AH414" s="197"/>
      <c r="AI414" s="234"/>
      <c r="AJ414" s="197"/>
      <c r="AK414" s="197"/>
      <c r="AL414" s="197"/>
      <c r="AM414" s="197"/>
      <c r="AN414" s="234"/>
      <c r="AO414" s="197"/>
      <c r="AP414" s="197"/>
      <c r="AQ414" s="197"/>
      <c r="AR414" s="197"/>
      <c r="AS414" s="197"/>
      <c r="AT414" s="197"/>
      <c r="AU414" s="197"/>
      <c r="AV414" s="197"/>
      <c r="AW414" s="197"/>
      <c r="AX414" s="197"/>
      <c r="AY414" s="197"/>
      <c r="AZ414" s="197"/>
      <c r="BA414" s="197"/>
      <c r="BB414" s="197"/>
      <c r="BC414" s="197"/>
      <c r="BD414" s="197"/>
      <c r="BE414" s="197"/>
      <c r="BF414" s="197"/>
      <c r="BG414" s="197"/>
      <c r="BH414" s="197"/>
      <c r="BI414" s="197"/>
      <c r="BJ414" s="197"/>
      <c r="BK414" s="197"/>
      <c r="BL414" s="197"/>
      <c r="BM414" s="197"/>
      <c r="BN414" s="197"/>
      <c r="BO414" s="197"/>
      <c r="BP414" s="197"/>
      <c r="BQ414" s="197"/>
      <c r="BR414" s="197"/>
      <c r="BS414" s="197"/>
      <c r="BT414" s="234"/>
      <c r="BU414" s="197"/>
      <c r="BV414" s="197"/>
      <c r="BW414" s="234"/>
      <c r="BX414" s="234"/>
      <c r="BY414" s="234"/>
      <c r="BZ414" s="234"/>
      <c r="CA414" s="234"/>
      <c r="CB414" s="197"/>
      <c r="CC414" s="387"/>
      <c r="CD414" s="197"/>
      <c r="CE414" s="197"/>
      <c r="CF414" s="197"/>
      <c r="CG414" s="387"/>
      <c r="CH414" s="387"/>
      <c r="CI414" s="387"/>
      <c r="CJ414" s="387"/>
      <c r="CK414" s="197"/>
      <c r="CL414" s="387"/>
      <c r="CM414" s="387"/>
      <c r="CN414" s="387"/>
      <c r="CO414" s="197"/>
      <c r="CP414" s="387"/>
      <c r="CQ414" s="387"/>
      <c r="CR414" s="387"/>
      <c r="CS414" s="387"/>
      <c r="CT414" s="387"/>
      <c r="CU414" s="387"/>
      <c r="CV414" s="387"/>
      <c r="CW414" s="387"/>
      <c r="CX414" s="387"/>
      <c r="CY414" s="197"/>
      <c r="CZ414" s="197"/>
      <c r="DA414" s="197"/>
      <c r="DB414" s="197"/>
      <c r="DC414" s="197"/>
      <c r="DD414" s="197"/>
      <c r="DE414" s="387"/>
      <c r="DF414" s="387"/>
      <c r="DG414" s="387"/>
      <c r="DH414" s="197"/>
      <c r="DI414" s="197"/>
      <c r="DJ414" s="197"/>
      <c r="DK414" s="197"/>
      <c r="DL414" s="197"/>
      <c r="DM414" s="197"/>
      <c r="DN414" s="197"/>
      <c r="DO414" s="197"/>
      <c r="DP414" s="197"/>
      <c r="DQ414" s="197"/>
      <c r="DR414" s="197"/>
      <c r="DS414" s="197"/>
      <c r="DT414" s="197"/>
      <c r="DU414" s="197"/>
      <c r="DV414" s="197"/>
      <c r="DW414" s="197"/>
      <c r="DX414" s="197"/>
      <c r="DY414" s="197"/>
      <c r="DZ414" s="197"/>
      <c r="EA414" s="197"/>
      <c r="EB414" s="197"/>
      <c r="EC414" s="197"/>
      <c r="ED414" s="197"/>
      <c r="EE414" s="197"/>
      <c r="EF414" s="197"/>
      <c r="EG414" s="197"/>
      <c r="EH414" s="197"/>
      <c r="EI414" s="197"/>
      <c r="EJ414" s="273"/>
      <c r="EK414" s="387"/>
      <c r="EL414" s="387"/>
      <c r="EM414" s="197"/>
      <c r="EN414" s="197"/>
      <c r="EO414" s="387"/>
      <c r="EP414" s="387"/>
      <c r="EQ414" s="234"/>
      <c r="ER414" s="387"/>
      <c r="ES414" s="387"/>
      <c r="ET414" s="234"/>
      <c r="EU414" s="234"/>
      <c r="EV414" s="234"/>
      <c r="EW414" s="387"/>
      <c r="EX414" s="387"/>
      <c r="EY414" s="234"/>
      <c r="EZ414" s="234"/>
      <c r="FA414" s="387"/>
      <c r="FB414" s="234"/>
      <c r="FC414" s="234"/>
      <c r="FD414" s="387"/>
      <c r="FE414" s="387"/>
      <c r="FF414" s="387"/>
      <c r="FG414" s="234"/>
      <c r="FH414" s="234"/>
      <c r="FI414" s="234"/>
      <c r="FJ414" s="234"/>
      <c r="FK414" s="234"/>
      <c r="FL414" s="197"/>
      <c r="FM414" s="197"/>
      <c r="FN414" s="234"/>
      <c r="FO414" s="234"/>
      <c r="FP414" s="387"/>
      <c r="FQ414" s="387"/>
      <c r="FR414" s="234"/>
      <c r="FS414" s="234"/>
      <c r="FT414" s="234"/>
      <c r="FU414" s="234"/>
      <c r="FV414" s="197"/>
      <c r="FW414" s="234"/>
      <c r="FX414" s="234"/>
      <c r="FY414" s="234"/>
      <c r="FZ414" s="234"/>
      <c r="GA414" s="234"/>
      <c r="GB414" s="234"/>
      <c r="GC414" s="234"/>
      <c r="GD414" s="234"/>
      <c r="GE414" s="234"/>
      <c r="GF414" s="234"/>
      <c r="GG414" s="234"/>
      <c r="GH414" s="234"/>
      <c r="GI414" s="234"/>
      <c r="GJ414" s="234"/>
      <c r="GK414" s="234"/>
      <c r="GL414" s="234"/>
      <c r="GM414" s="197"/>
      <c r="GN414" s="234"/>
      <c r="GO414" s="197"/>
      <c r="GP414" s="197"/>
      <c r="GQ414" s="197"/>
      <c r="GR414" s="197"/>
      <c r="GS414" s="197"/>
      <c r="GT414" s="197"/>
      <c r="GU414" s="234"/>
      <c r="GV414" s="197"/>
      <c r="GW414" s="197"/>
    </row>
    <row r="415" spans="2:205" x14ac:dyDescent="0.25">
      <c r="EW415" s="387"/>
      <c r="EX415" s="387"/>
      <c r="EY415" s="234"/>
      <c r="EZ415" s="234"/>
      <c r="FA415" s="387"/>
      <c r="FB415" s="234"/>
      <c r="FC415" s="234"/>
      <c r="FD415" s="387"/>
      <c r="FE415" s="387"/>
      <c r="FF415" s="387"/>
      <c r="FG415" s="234"/>
    </row>
    <row r="416" spans="2:205" x14ac:dyDescent="0.25">
      <c r="CQ416" s="371"/>
      <c r="CR416" s="371"/>
      <c r="CS416" s="371"/>
      <c r="EL416" s="384"/>
      <c r="EM416" s="257"/>
      <c r="EO416" s="383"/>
      <c r="ER416" s="197"/>
      <c r="EW416" s="387"/>
      <c r="EX416" s="387"/>
      <c r="EY416" s="234"/>
      <c r="EZ416" s="234"/>
      <c r="FA416" s="387"/>
      <c r="FB416" s="234"/>
      <c r="FC416" s="234"/>
      <c r="FD416" s="387"/>
      <c r="FE416" s="387"/>
      <c r="FF416" s="387"/>
      <c r="FG416" s="234"/>
    </row>
    <row r="417" spans="95:211" x14ac:dyDescent="0.25">
      <c r="CQ417" s="371"/>
      <c r="CR417" s="371"/>
      <c r="CS417" s="371"/>
      <c r="EL417" s="384"/>
      <c r="EM417" s="257"/>
      <c r="EW417" s="387"/>
      <c r="EX417" s="387"/>
      <c r="EY417" s="234"/>
      <c r="EZ417" s="234"/>
      <c r="FA417" s="387"/>
      <c r="FB417" s="234"/>
      <c r="FC417" s="234"/>
      <c r="FD417" s="387"/>
      <c r="FE417" s="387"/>
      <c r="FF417" s="387"/>
      <c r="FG417" s="234"/>
    </row>
    <row r="418" spans="95:211" x14ac:dyDescent="0.25">
      <c r="CQ418" s="371"/>
      <c r="CR418" s="371"/>
      <c r="CS418" s="371"/>
      <c r="EW418" s="387"/>
      <c r="EX418" s="387"/>
      <c r="EY418" s="234"/>
      <c r="EZ418" s="234"/>
      <c r="FA418" s="387"/>
      <c r="FB418" s="234"/>
      <c r="FC418" s="234"/>
      <c r="FD418" s="387"/>
      <c r="FE418" s="387"/>
      <c r="FF418" s="387"/>
      <c r="FG418" s="234"/>
    </row>
    <row r="419" spans="95:211" x14ac:dyDescent="0.25">
      <c r="CQ419" s="371"/>
      <c r="CR419" s="371"/>
      <c r="CS419" s="371"/>
      <c r="EW419" s="387"/>
      <c r="EX419" s="387"/>
      <c r="EY419" s="234"/>
      <c r="EZ419" s="234"/>
      <c r="FA419" s="387"/>
      <c r="FB419" s="234"/>
      <c r="FC419" s="234"/>
      <c r="FD419" s="387"/>
      <c r="FE419" s="387"/>
      <c r="FF419" s="387"/>
      <c r="FG419" s="234"/>
    </row>
    <row r="420" spans="95:211" x14ac:dyDescent="0.25">
      <c r="EW420" s="387"/>
      <c r="EX420" s="387"/>
      <c r="EY420" s="234"/>
      <c r="EZ420" s="234"/>
      <c r="FA420" s="387"/>
      <c r="FB420" s="234"/>
      <c r="FC420" s="234"/>
      <c r="FD420" s="387"/>
      <c r="FE420" s="387"/>
      <c r="FF420" s="387"/>
      <c r="FG420" s="234"/>
    </row>
    <row r="421" spans="95:211" x14ac:dyDescent="0.25">
      <c r="EW421" s="387"/>
      <c r="EX421" s="387"/>
      <c r="EY421" s="234"/>
      <c r="EZ421" s="234"/>
      <c r="FA421" s="387"/>
      <c r="FB421" s="234"/>
      <c r="FC421" s="234"/>
      <c r="FD421" s="387"/>
      <c r="FE421" s="387"/>
      <c r="FF421" s="387"/>
      <c r="FG421" s="234"/>
    </row>
    <row r="422" spans="95:211" x14ac:dyDescent="0.25">
      <c r="EW422" s="387"/>
      <c r="EX422" s="387"/>
      <c r="EY422" s="234"/>
      <c r="EZ422" s="234"/>
      <c r="FA422" s="387"/>
      <c r="FB422" s="234"/>
      <c r="FC422" s="234"/>
      <c r="FD422" s="387"/>
      <c r="FE422" s="387"/>
      <c r="FF422" s="387"/>
      <c r="FG422" s="234"/>
    </row>
    <row r="423" spans="95:211" x14ac:dyDescent="0.25">
      <c r="EW423" s="387"/>
      <c r="EX423" s="387"/>
      <c r="EY423" s="234"/>
      <c r="EZ423" s="234"/>
      <c r="FA423" s="387"/>
      <c r="FB423" s="234"/>
      <c r="FC423" s="234"/>
      <c r="FD423" s="387"/>
      <c r="FE423" s="387"/>
      <c r="FF423" s="387"/>
      <c r="FG423" s="234"/>
    </row>
    <row r="427" spans="95:211" x14ac:dyDescent="0.25">
      <c r="HB427" s="20"/>
      <c r="HC427" s="20"/>
    </row>
    <row r="428" spans="95:211" x14ac:dyDescent="0.25">
      <c r="HB428" s="20"/>
      <c r="HC428" s="20"/>
    </row>
    <row r="430" spans="95:211" x14ac:dyDescent="0.25">
      <c r="HB430" s="20"/>
      <c r="HC430" s="20"/>
    </row>
  </sheetData>
  <phoneticPr fontId="49" type="noConversion"/>
  <conditionalFormatting sqref="P377">
    <cfRule type="expression" dxfId="174" priority="4340">
      <formula>AND(ISNUMBER($DH377),$DH377 &gt;= $FK$377)</formula>
    </cfRule>
  </conditionalFormatting>
  <conditionalFormatting sqref="Q30">
    <cfRule type="expression" dxfId="173" priority="4297">
      <formula>AND($F30="H",#REF!&lt;&gt;0)</formula>
    </cfRule>
  </conditionalFormatting>
  <conditionalFormatting sqref="BC9:BC394">
    <cfRule type="expression" dxfId="172" priority="4332">
      <formula>BC9 &lt;= MockToday + 6</formula>
    </cfRule>
  </conditionalFormatting>
  <conditionalFormatting sqref="BE9:BE393">
    <cfRule type="expression" dxfId="171" priority="4315">
      <formula>AND(ISNUMBER(BE9),$BE9 &gt;=$C9)</formula>
    </cfRule>
  </conditionalFormatting>
  <conditionalFormatting sqref="BQ9:BQ372 BC9:BD384 EK9:EK394 DI11:DI384">
    <cfRule type="cellIs" dxfId="170" priority="4272" stopIfTrue="1" operator="between">
      <formula>MockToday</formula>
      <formula>1</formula>
    </cfRule>
  </conditionalFormatting>
  <conditionalFormatting sqref="BQ9:BQ394">
    <cfRule type="expression" dxfId="169" priority="4276">
      <formula>CW9 &lt; 7</formula>
    </cfRule>
  </conditionalFormatting>
  <conditionalFormatting sqref="BQ361">
    <cfRule type="expression" dxfId="168" priority="4249">
      <formula>EU361 &lt; 7</formula>
    </cfRule>
  </conditionalFormatting>
  <conditionalFormatting sqref="BR9:BR394">
    <cfRule type="expression" dxfId="167" priority="4304">
      <formula>AND(ISNUMBER($BR9),$BR9 &gt;=$C9)</formula>
    </cfRule>
  </conditionalFormatting>
  <conditionalFormatting sqref="CN9:CN394 CT9:CT394 CX9:CX394">
    <cfRule type="expression" dxfId="166" priority="4259">
      <formula>AND($CN9 &lt;= $CR9, ISNUMBER($CN9))</formula>
    </cfRule>
  </conditionalFormatting>
  <conditionalFormatting sqref="CT9:CT384">
    <cfRule type="cellIs" dxfId="165" priority="4262" operator="equal">
      <formula>"Y"</formula>
    </cfRule>
  </conditionalFormatting>
  <conditionalFormatting sqref="CU9:CU394">
    <cfRule type="expression" dxfId="164" priority="4253">
      <formula>INT(CU9)&lt;&gt;INT(CS9)</formula>
    </cfRule>
  </conditionalFormatting>
  <conditionalFormatting sqref="CX9:DE384 CP11:CP372">
    <cfRule type="expression" dxfId="163" priority="4318">
      <formula>$CT9="Y"</formula>
    </cfRule>
  </conditionalFormatting>
  <conditionalFormatting sqref="CY9:CY395">
    <cfRule type="expression" dxfId="162" priority="4343">
      <formula>AND(ISNUMBER($CY9),$C9 &lt; $CY9)</formula>
    </cfRule>
  </conditionalFormatting>
  <conditionalFormatting sqref="DH8:DH395">
    <cfRule type="expression" dxfId="161" priority="4341">
      <formula>AND(ISNUMBER($DH8),$DH8 &gt;= $FK$8)</formula>
    </cfRule>
  </conditionalFormatting>
  <conditionalFormatting sqref="DI9:DI393">
    <cfRule type="expression" dxfId="160" priority="4274">
      <formula>DR9 &lt; 7</formula>
    </cfRule>
  </conditionalFormatting>
  <conditionalFormatting sqref="DJ9:DJ393">
    <cfRule type="expression" dxfId="159" priority="4342">
      <formula>AND(ISNUMBER(DJ9),$DI9 &lt;=$C9)</formula>
    </cfRule>
  </conditionalFormatting>
  <conditionalFormatting sqref="DJ34:DJ36">
    <cfRule type="expression" dxfId="158" priority="4293">
      <formula>AND(ISNUMBER(DJ34),$DI34 &lt;=#REF!)</formula>
    </cfRule>
  </conditionalFormatting>
  <conditionalFormatting sqref="DJ217:DJ218">
    <cfRule type="expression" dxfId="157" priority="4345">
      <formula>AND(ISNUMBER(DJ217),$DJ217 &gt;=$C217)</formula>
    </cfRule>
  </conditionalFormatting>
  <conditionalFormatting sqref="DV9:DW395">
    <cfRule type="expression" dxfId="156" priority="4230">
      <formula>AND(ISNUMBER($DV9),$DV9&lt;0)</formula>
    </cfRule>
    <cfRule type="expression" dxfId="155" priority="4228">
      <formula>AND(ISNUMBER(DV9),DV9&gt;0)</formula>
    </cfRule>
  </conditionalFormatting>
  <conditionalFormatting sqref="DZ9:EA395">
    <cfRule type="expression" dxfId="154" priority="4226">
      <formula>AND(ISNUMBER($DZ9),$DZ9&gt;0)</formula>
    </cfRule>
    <cfRule type="expression" dxfId="153" priority="4224">
      <formula>AND(ISNUMBER($DZ9),$DZ9&lt;0)</formula>
    </cfRule>
  </conditionalFormatting>
  <conditionalFormatting sqref="EG9:EI384">
    <cfRule type="expression" dxfId="152" priority="4238" stopIfTrue="1">
      <formula>AND(ISNUMBER(EG9),EG9&gt;0)</formula>
    </cfRule>
    <cfRule type="expression" dxfId="151" priority="4236">
      <formula>AND(ISNUMBER(EG9),EG9&lt;0)</formula>
    </cfRule>
  </conditionalFormatting>
  <conditionalFormatting sqref="EK9:EK394">
    <cfRule type="expression" dxfId="150" priority="4289">
      <formula>EU9 &lt; 7</formula>
    </cfRule>
  </conditionalFormatting>
  <conditionalFormatting sqref="EL9:EL393">
    <cfRule type="expression" dxfId="149" priority="4344">
      <formula>AND(ISNUMBER(EL9), $C9 &gt;= $EL9)</formula>
    </cfRule>
  </conditionalFormatting>
  <conditionalFormatting sqref="EL35:EL210">
    <cfRule type="expression" dxfId="148" priority="4328">
      <formula>AND(ISNUMBER(EL35), #REF! &gt;= $EL35)</formula>
    </cfRule>
  </conditionalFormatting>
  <conditionalFormatting sqref="EM9:EM394">
    <cfRule type="expression" dxfId="147" priority="4246">
      <formula>$EM9 &gt; $EJ9</formula>
    </cfRule>
  </conditionalFormatting>
  <conditionalFormatting sqref="EZ9:EZ394">
    <cfRule type="expression" dxfId="146" priority="4330">
      <formula>AND(ISNUMBER($FE9), $FE9 &lt;= (MockToday - 1), EZ9 = "GTC")</formula>
    </cfRule>
  </conditionalFormatting>
  <conditionalFormatting sqref="FA9:FA394 FF9:FF394 FJ9:FJ394">
    <cfRule type="expression" dxfId="145" priority="4266">
      <formula>$FF9 = TRUE</formula>
    </cfRule>
  </conditionalFormatting>
  <conditionalFormatting sqref="FI9:FI394">
    <cfRule type="expression" dxfId="144" priority="4255">
      <formula>INT(FI9)&lt;&gt;INT(FE9)</formula>
    </cfRule>
  </conditionalFormatting>
  <conditionalFormatting sqref="FJ9:FJ366">
    <cfRule type="expression" dxfId="143" priority="4269" stopIfTrue="1">
      <formula>FF9</formula>
    </cfRule>
  </conditionalFormatting>
  <conditionalFormatting sqref="FK9:FK394">
    <cfRule type="expression" dxfId="142" priority="4290">
      <formula>AND(ISNUMBER($FK9),$FK9 &lt; ($FK$9 + 0.0002))</formula>
    </cfRule>
  </conditionalFormatting>
  <conditionalFormatting sqref="FK14:FK395">
    <cfRule type="expression" dxfId="141" priority="4292">
      <formula>AND(ISNUMBER(#REF!),#REF! &lt; ($FK$14 + 0.0002))</formula>
    </cfRule>
  </conditionalFormatting>
  <conditionalFormatting sqref="FO9:FO395">
    <cfRule type="cellIs" dxfId="140" priority="4234" stopIfTrue="1" operator="lessThan">
      <formula>0</formula>
    </cfRule>
    <cfRule type="cellIs" dxfId="139" priority="4232" stopIfTrue="1" operator="greaterThanOrEqual">
      <formula>0</formula>
    </cfRule>
  </conditionalFormatting>
  <conditionalFormatting sqref="GA8:GA395">
    <cfRule type="expression" dxfId="138" priority="4295">
      <formula>AND(ISNUMBER($GA8),$GA8 &gt;= $FK$8)</formula>
    </cfRule>
  </conditionalFormatting>
  <dataValidations count="132">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10/2020_x000a_at 8:54 PM" sqref="DT272:DW272"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385:DX386 DO31:DW33 DY31:EB33 DX388:DX391 DO9:DW13 DY9:EB13 DX9:DX381"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394"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SOFI" sqref="C390" xr:uid="{FA60373C-CA6E-430C-A1BE-026ADD8193CA}"/>
    <dataValidation allowBlank="1" showInputMessage="1" showErrorMessage="1" promptTitle="YFinance Pricing" prompt="⚠ No price available for AGN" sqref="C26" xr:uid="{798AFF7A-95ED-469E-89E1-276BEEAB2181}"/>
    <dataValidation allowBlank="1" showInputMessage="1" showErrorMessage="1" promptTitle="YFinance Pricing" prompt="⚠ No price available for ARNC" sqref="C39" xr:uid="{EAACC7B1-79AD-4F0C-A22C-A3884C38DD51}"/>
    <dataValidation allowBlank="1" showInputMessage="1" showErrorMessage="1" promptTitle="YFinance Pricing" prompt="⚠ No price available for ATVI" sqref="C42" xr:uid="{5C63B6B7-39AC-4922-8666-BE263EB7625D}"/>
    <dataValidation allowBlank="1" showInputMessage="1" showErrorMessage="1" promptTitle="YFinance Pricing" prompt="⚠ No price available for BRK.B" sqref="C62" xr:uid="{52436B53-C343-4DA7-AC96-0193CDA4D505}"/>
    <dataValidation allowBlank="1" showInputMessage="1" showErrorMessage="1" promptTitle="YFinance Pricing" prompt="⚠ No price available for BRKS" sqref="C63" xr:uid="{651B1E69-0D33-4496-8B43-78807E9852E5}"/>
    <dataValidation allowBlank="1" showInputMessage="1" showErrorMessage="1" promptTitle="YFinance Pricing" prompt="⚠ No price available for CBS" sqref="C74:C75" xr:uid="{0BBDA510-31FD-4D8D-9CA2-79AD7AFD6284}"/>
    <dataValidation allowBlank="1" showInputMessage="1" showErrorMessage="1" promptTitle="YFinance Pricing" prompt="⚠ No price available for CELG" sqref="C80" xr:uid="{4319DDBF-16FA-4B67-BA4D-C7E3F85F158A}"/>
    <dataValidation allowBlank="1" showInputMessage="1" showErrorMessage="1" promptTitle="YFinance Pricing" prompt="⚠ No price available for CS" sqref="C107" xr:uid="{DC1643A3-383B-4194-8773-1DC0D3BD5B19}"/>
    <dataValidation allowBlank="1" showInputMessage="1" showErrorMessage="1" promptTitle="YFinance Pricing" prompt="⚠ No price available for CSFL" sqref="C109" xr:uid="{EB3C4B40-27B9-4E94-875F-647327039B8A}"/>
    <dataValidation allowBlank="1" showInputMessage="1" showErrorMessage="1" promptTitle="YFinance Pricing" prompt="⚠ No price available for DEN" sqref="C124" xr:uid="{3150E4BC-7F6D-4450-8EA8-B4413445A2BE}"/>
    <dataValidation allowBlank="1" showInputMessage="1" showErrorMessage="1" promptTitle="YFinance Pricing" prompt="⚠ No price available for SGEN" sqref="C128" xr:uid="{4901C0B0-5ACE-4125-B8B6-D05F3175F3EC}"/>
    <dataValidation allowBlank="1" showInputMessage="1" showErrorMessage="1" promptTitle="YFinance Pricing" prompt="⚠ No price available for DWAC" sqref="C142" xr:uid="{F14E030B-9CCC-4E99-82C1-31593DABD1A3}"/>
    <dataValidation allowBlank="1" showInputMessage="1" showErrorMessage="1" promptTitle="YFinance Pricing" prompt="⚠ No price available for ESV" sqref="C153" xr:uid="{E64423D6-63CC-480E-879C-1A718FA97353}"/>
    <dataValidation allowBlank="1" showInputMessage="1" showErrorMessage="1" promptTitle="YFinance Pricing" prompt="⚠ No price available for FDC" sqref="C168" xr:uid="{7ADBD501-F12F-4497-9A0C-FE817C5A514B}"/>
    <dataValidation allowBlank="1" showInputMessage="1" showErrorMessage="1" promptTitle="YFinance Pricing" prompt="⚠ No price available for FL" sqref="C172" xr:uid="{DF0617CC-43BB-446C-BF6C-EDE3A3447B00}"/>
    <dataValidation allowBlank="1" showInputMessage="1" showErrorMessage="1" promptTitle="YFinance Pricing" prompt="⚠ No price available for FLT" sqref="C174" xr:uid="{A5E66099-73D3-4224-BDF1-A9410A9CE402}"/>
    <dataValidation allowBlank="1" showInputMessage="1" showErrorMessage="1" promptTitle="YFinance Pricing" prompt="⚠ No price available for FOCS" sqref="C176" xr:uid="{33119050-B8C6-42C2-A682-ED31F4DAB0CB}"/>
    <dataValidation allowBlank="1" showInputMessage="1" showErrorMessage="1" promptTitle="YFinance Pricing" prompt="⚠ No price available for FTCH" sqref="C180" xr:uid="{5510B0FA-FE31-477B-87BF-460D4A72768C}"/>
    <dataValidation allowBlank="1" showInputMessage="1" showErrorMessage="1" promptTitle="YFinance Pricing" prompt="⚠ No price available for HIBB" sqref="C205" xr:uid="{6944EB90-111C-4E5A-8CB2-ABE9B6E051D8}"/>
    <dataValidation allowBlank="1" showInputMessage="1" showErrorMessage="1" promptTitle="YFinance Pricing" prompt="⚠ No price available for JWN" sqref="C213" xr:uid="{6ED6289D-5DC7-409A-9E10-D375E9D6CDD4}"/>
    <dataValidation allowBlank="1" showInputMessage="1" showErrorMessage="1" promptTitle="YFinance Pricing" prompt="⚠ No price available for LVGO" sqref="C246" xr:uid="{51784FB2-BD21-4B0A-B23B-BA522339A45D}"/>
    <dataValidation allowBlank="1" showInputMessage="1" showErrorMessage="1" promptTitle="YFinance Pricing" prompt="⚠ No price available for MNMD" sqref="C255" xr:uid="{4F21E288-E8D5-4BEE-B9F0-B1B1E1A036D2}"/>
    <dataValidation allowBlank="1" showInputMessage="1" showErrorMessage="1" promptTitle="YFinance Pricing" prompt="⚠ No price available for SOLO" sqref="C262" xr:uid="{CE1D7823-6696-45D0-BF8B-40AFA3CC18CF}"/>
    <dataValidation allowBlank="1" showInputMessage="1" showErrorMessage="1" promptTitle="YFinance Pricing" prompt="⚠ No price available for SPLK" sqref="C270" xr:uid="{B90813A7-C719-4D4D-9F50-D694D43FE474}"/>
    <dataValidation allowBlank="1" showInputMessage="1" showErrorMessage="1" promptTitle="YFinance Pricing" prompt="⚠ No price available for SQ" sqref="C274" xr:uid="{6CD1C397-A0B2-4F41-9DD7-1A9246BA09FB}"/>
    <dataValidation allowBlank="1" showInputMessage="1" showErrorMessage="1" promptTitle="YFinance Pricing" prompt="⚠ No price available for STMP" sqref="C279" xr:uid="{B93DC908-9355-4324-A86D-FEA579514587}"/>
    <dataValidation allowBlank="1" showInputMessage="1" showErrorMessage="1" promptTitle="YFinance Pricing" prompt="⚠ No price available for SWAV" sqref="C283" xr:uid="{CFEB8473-C0C1-42EA-AF00-5C007B52C38C}"/>
    <dataValidation allowBlank="1" showInputMessage="1" showErrorMessage="1" promptTitle="YFinance Pricing" prompt="⚠ No price available for TSG" sqref="C307" xr:uid="{9B8D5B25-BA8D-412D-8752-E596279CE135}"/>
    <dataValidation allowBlank="1" showInputMessage="1" showErrorMessage="1" promptTitle="YFinance Pricing" prompt="⚠ No price available for TWNK" sqref="C315" xr:uid="{CA91DF34-83AD-456A-8715-3AB2152DD01D}"/>
    <dataValidation allowBlank="1" showInputMessage="1" showErrorMessage="1" promptTitle="YFinance Pricing" prompt="⚠ No price available for TWTR" sqref="C316" xr:uid="{B1702433-34A9-4E71-9E75-A1300499D6A5}"/>
    <dataValidation allowBlank="1" showInputMessage="1" showErrorMessage="1" promptTitle="YFinance Pricing" prompt="⚠ No price available for UTX" sqref="C332" xr:uid="{313EE436-1C3C-4447-B827-56CFE4BD46C5}"/>
    <dataValidation allowBlank="1" showInputMessage="1" showErrorMessage="1" promptTitle="YFinance Pricing" prompt="⚠ No price available for VIAC" sqref="C338" xr:uid="{D1EC8C51-D159-43C5-84D1-F9F60B799DBC}"/>
    <dataValidation allowBlank="1" showInputMessage="1" showErrorMessage="1" promptTitle="YFinance Pricing" prompt="⚠ No price available for VIX" sqref="C340" xr:uid="{7997FBDC-DC4D-4A38-AF3F-86BC5A62BEA5}"/>
    <dataValidation allowBlank="1" showInputMessage="1" showErrorMessage="1" promptTitle="YFinance Pricing" prompt="⚠ No price available for VMW" sqref="C343" xr:uid="{6764601D-A02A-4F64-8F67-89B6401E2899}"/>
    <dataValidation allowBlank="1" showInputMessage="1" showErrorMessage="1" promptTitle="YFinance Pricing" prompt="⚠ No price available for VSTO" sqref="C345" xr:uid="{D7316899-4A57-46AA-8168-BE7332383A07}"/>
    <dataValidation allowBlank="1" showInputMessage="1" showErrorMessage="1" promptTitle="YFinance Pricing" prompt="⚠ No price available for WBA" sqref="C349" xr:uid="{84F75571-8F2B-441D-A38E-47B4F80B944E}"/>
    <dataValidation allowBlank="1" showInputMessage="1" showErrorMessage="1" promptTitle="YFinance Pricing" prompt="⚠ No price available for WORK" sqref="C358" xr:uid="{2BC89C95-DCAD-4D96-873D-370B607DAD68}"/>
    <dataValidation allowBlank="1" showInputMessage="1" showErrorMessage="1" promptTitle="YFinance Pricing" prompt="⚠ No price available for WRK" sqref="C360:C361" xr:uid="{015D1B08-AC02-4A1F-8FC9-6EAFBEBC2AF7}"/>
    <dataValidation allowBlank="1" showInputMessage="1" showErrorMessage="1" promptTitle="YFinance Pricing" prompt="⚠ No price available for X" sqref="C366" xr:uid="{867106B5-988F-41D1-89F3-039F109FF69C}"/>
    <dataValidation allowBlank="1" showInputMessage="1" showErrorMessage="1" promptTitle="YFinance Pricing" prompt="⚠ No price available for XEC" sqref="C368" xr:uid="{62220625-998B-4979-8DCC-A8E20762570E}"/>
    <dataValidation allowBlank="1" showInputMessage="1" showErrorMessage="1" promptTitle="YFinance Pricing" prompt="⚠ No price available for XLNX" sqref="C373" xr:uid="{9BFF3625-52EF-4671-B3E3-06D8C4BBE927}"/>
    <dataValidation allowBlank="1" showInputMessage="1" showErrorMessage="1" promptTitle="YFinance Pricing" prompt="⚠ No price available for YNDX" sqref="C381" xr:uid="{461E9757-4CA4-4C1B-A82D-D73BE59C2CFA}"/>
    <dataValidation allowBlank="1" showInputMessage="1" showErrorMessage="1" promptTitle="YFinance Pricing" prompt="⚠ No price available for ZUO" sqref="C385" xr:uid="{140F559B-37DB-4519-B445-DA2A703A734D}"/>
    <dataValidation allowBlank="1" showInputMessage="1" showErrorMessage="1" promptTitle="YFinance Pricing" prompt="updated 50 rows across 38 of 38 symbols [all]_x000a_Jul-26, 2026 2:02 AM" sqref="C6" xr:uid="{81E1C44A-DFC1-4516-AFB5-F994D589494F}"/>
    <dataValidation allowBlank="1" showInputMessage="1" showErrorMessage="1" promptTitle="YFinance Option Pricing" prompt="updated 11 rows across 11 of 17 contracts_x000a_Jul-26, 2026 7:17 AM_x000a_Failed: INTC260123C00040000, ONDS260710C00010500, ECHO260710C00110000, MARA260710C00015000, MARA260710C00014500, FCX260710C00065000" sqref="FA6" xr:uid="{DC14B1D7-FABB-483D-AF65-D3B640D63AE2}"/>
  </dataValidations>
  <hyperlinks>
    <hyperlink ref="FL2" r:id="rId1" xr:uid="{C36F2490-366E-4D25-B5FD-352E06343F2D}"/>
    <hyperlink ref="FA301:FA302"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3" t="s">
        <v>416</v>
      </c>
    </row>
    <row r="2" spans="1:20" x14ac:dyDescent="0.2">
      <c r="G2" s="91"/>
      <c r="H2" s="91"/>
      <c r="I2" s="91"/>
      <c r="J2" s="91"/>
      <c r="K2" s="91"/>
      <c r="L2" s="91"/>
      <c r="M2" s="91"/>
      <c r="N2" s="91"/>
      <c r="O2" s="91"/>
      <c r="P2" s="91"/>
      <c r="Q2" s="91"/>
      <c r="R2" s="91"/>
      <c r="S2" s="91"/>
    </row>
    <row r="3" spans="1:20" ht="23.25" thickBot="1" x14ac:dyDescent="0.25">
      <c r="A3" s="92" t="s">
        <v>415</v>
      </c>
      <c r="B3" s="92"/>
      <c r="F3" s="91" t="s">
        <v>414</v>
      </c>
      <c r="G3" s="91" t="s">
        <v>413</v>
      </c>
      <c r="H3" s="91" t="s">
        <v>412</v>
      </c>
      <c r="I3" s="91" t="s">
        <v>411</v>
      </c>
      <c r="J3" s="91" t="s">
        <v>410</v>
      </c>
      <c r="K3" s="91" t="s">
        <v>409</v>
      </c>
      <c r="L3" s="91" t="s">
        <v>408</v>
      </c>
      <c r="M3" s="91" t="s">
        <v>407</v>
      </c>
      <c r="N3" s="91" t="s">
        <v>406</v>
      </c>
      <c r="O3" s="91" t="s">
        <v>405</v>
      </c>
      <c r="P3" s="91" t="s">
        <v>404</v>
      </c>
      <c r="Q3" s="91" t="s">
        <v>403</v>
      </c>
      <c r="R3" s="91" t="s">
        <v>402</v>
      </c>
      <c r="S3" s="91" t="s">
        <v>401</v>
      </c>
      <c r="T3" s="142" t="s">
        <v>471</v>
      </c>
    </row>
    <row r="4" spans="1:20" ht="13.5" thickTop="1" x14ac:dyDescent="0.2">
      <c r="A4" s="90" t="s">
        <v>398</v>
      </c>
      <c r="B4" s="90"/>
      <c r="C4" s="89" t="s">
        <v>259</v>
      </c>
      <c r="F4" s="12" t="s">
        <v>400</v>
      </c>
      <c r="G4" s="12" t="s">
        <v>399</v>
      </c>
      <c r="H4" s="12" t="s">
        <v>339</v>
      </c>
      <c r="I4" s="86"/>
      <c r="J4" s="86" t="s">
        <v>368</v>
      </c>
      <c r="K4" s="86"/>
      <c r="L4" s="86"/>
      <c r="M4" s="86"/>
      <c r="N4" s="86"/>
      <c r="O4" s="86"/>
      <c r="P4" s="86"/>
      <c r="Q4" s="86"/>
      <c r="R4" s="87"/>
      <c r="S4" s="86"/>
      <c r="T4" s="141" t="s">
        <v>472</v>
      </c>
    </row>
    <row r="5" spans="1:20" ht="13.5" thickBot="1" x14ac:dyDescent="0.25">
      <c r="A5" s="90"/>
      <c r="B5" s="90"/>
      <c r="C5" s="88" t="str">
        <f>"Y"</f>
        <v>Y</v>
      </c>
      <c r="F5" s="12" t="s">
        <v>398</v>
      </c>
      <c r="G5" s="1" t="s">
        <v>397</v>
      </c>
      <c r="H5" s="1" t="s">
        <v>258</v>
      </c>
      <c r="I5" s="86"/>
      <c r="J5" s="86" t="s">
        <v>368</v>
      </c>
      <c r="K5" s="86"/>
      <c r="L5" s="86" t="s">
        <v>396</v>
      </c>
      <c r="M5" s="86" t="s">
        <v>368</v>
      </c>
      <c r="N5" s="86"/>
      <c r="O5" s="86"/>
      <c r="P5" s="86"/>
      <c r="Q5" s="86"/>
      <c r="R5" s="87"/>
      <c r="S5" s="86"/>
      <c r="T5" s="141" t="s">
        <v>473</v>
      </c>
    </row>
    <row r="6" spans="1:20" ht="14.25" thickTop="1" thickBot="1" x14ac:dyDescent="0.25">
      <c r="F6" s="12" t="s">
        <v>599</v>
      </c>
      <c r="G6" s="1" t="s">
        <v>600</v>
      </c>
      <c r="H6" s="1" t="s">
        <v>349</v>
      </c>
      <c r="I6" s="86" t="s">
        <v>581</v>
      </c>
      <c r="J6" s="222" t="s">
        <v>369</v>
      </c>
      <c r="K6" s="222"/>
      <c r="L6" s="86"/>
      <c r="M6" s="222"/>
      <c r="N6" s="222"/>
      <c r="O6" s="86"/>
      <c r="P6" s="222"/>
      <c r="Q6" s="222"/>
      <c r="R6" s="223"/>
      <c r="S6" s="222"/>
      <c r="T6" s="222" t="s">
        <v>601</v>
      </c>
    </row>
    <row r="7" spans="1:20" ht="13.5" thickTop="1" x14ac:dyDescent="0.2">
      <c r="A7" s="1" t="s">
        <v>393</v>
      </c>
      <c r="C7" s="89" t="s">
        <v>259</v>
      </c>
      <c r="D7" s="89" t="s">
        <v>392</v>
      </c>
      <c r="F7" s="12" t="s">
        <v>818</v>
      </c>
      <c r="G7" s="12" t="s">
        <v>819</v>
      </c>
      <c r="H7" s="12" t="s">
        <v>292</v>
      </c>
      <c r="I7" s="86">
        <v>0</v>
      </c>
      <c r="J7" s="229" t="s">
        <v>385</v>
      </c>
      <c r="K7" s="229"/>
      <c r="L7" s="86"/>
      <c r="M7" s="229"/>
      <c r="N7" s="133" t="s">
        <v>287</v>
      </c>
      <c r="O7" s="86"/>
      <c r="P7" s="133" t="s">
        <v>369</v>
      </c>
      <c r="Q7" s="229"/>
      <c r="R7" s="230"/>
      <c r="S7" s="229"/>
      <c r="T7" s="229" t="s">
        <v>825</v>
      </c>
    </row>
    <row r="8" spans="1:20" ht="13.5" thickBot="1" x14ac:dyDescent="0.25">
      <c r="C8" s="88" t="str">
        <f>"Y"</f>
        <v>Y</v>
      </c>
      <c r="D8" s="88" t="str">
        <f>"&lt;&gt;"</f>
        <v>&lt;&gt;</v>
      </c>
      <c r="F8" s="1" t="s">
        <v>395</v>
      </c>
      <c r="G8" s="1" t="s">
        <v>394</v>
      </c>
      <c r="H8" s="12" t="s">
        <v>514</v>
      </c>
      <c r="I8" s="86"/>
      <c r="J8" s="86" t="s">
        <v>368</v>
      </c>
      <c r="K8" s="86"/>
      <c r="L8" s="86"/>
      <c r="M8" s="86"/>
      <c r="N8" s="86"/>
      <c r="O8" s="86"/>
      <c r="P8" s="86"/>
      <c r="Q8" s="86"/>
      <c r="R8" s="87"/>
      <c r="S8" s="86"/>
      <c r="T8" s="141" t="s">
        <v>474</v>
      </c>
    </row>
    <row r="9" spans="1:20" ht="13.5" thickTop="1" x14ac:dyDescent="0.2">
      <c r="F9" s="12" t="s">
        <v>460</v>
      </c>
      <c r="G9" s="12" t="s">
        <v>461</v>
      </c>
      <c r="H9" s="12" t="s">
        <v>567</v>
      </c>
      <c r="I9" s="86" t="s">
        <v>227</v>
      </c>
      <c r="J9" s="133" t="s">
        <v>369</v>
      </c>
      <c r="K9" s="133"/>
      <c r="L9" s="86"/>
      <c r="M9" s="133"/>
      <c r="N9" s="133" t="s">
        <v>287</v>
      </c>
      <c r="O9" s="86"/>
      <c r="P9" s="133" t="s">
        <v>369</v>
      </c>
      <c r="Q9" s="133"/>
      <c r="R9" s="134"/>
      <c r="S9" s="133"/>
      <c r="T9" s="141" t="s">
        <v>475</v>
      </c>
    </row>
    <row r="10" spans="1:20" ht="13.5" thickBot="1" x14ac:dyDescent="0.25">
      <c r="F10" s="12" t="s">
        <v>391</v>
      </c>
      <c r="G10" s="12" t="s">
        <v>390</v>
      </c>
      <c r="H10" s="1" t="s">
        <v>291</v>
      </c>
      <c r="I10" s="86">
        <v>0</v>
      </c>
      <c r="J10" s="86" t="s">
        <v>385</v>
      </c>
      <c r="K10" s="86"/>
      <c r="L10" s="86"/>
      <c r="M10" s="86"/>
      <c r="N10" s="86"/>
      <c r="O10" s="86"/>
      <c r="P10" s="86"/>
      <c r="Q10" s="86"/>
      <c r="R10" s="87"/>
      <c r="S10" s="86"/>
      <c r="T10" s="141" t="s">
        <v>476</v>
      </c>
    </row>
    <row r="11" spans="1:20" ht="13.5" thickTop="1" x14ac:dyDescent="0.2">
      <c r="A11" s="12" t="s">
        <v>384</v>
      </c>
      <c r="C11" s="89" t="s">
        <v>258</v>
      </c>
      <c r="F11" s="1" t="s">
        <v>389</v>
      </c>
      <c r="G11" s="1" t="s">
        <v>388</v>
      </c>
      <c r="H11" s="1" t="s">
        <v>258</v>
      </c>
      <c r="I11" s="86"/>
      <c r="J11" s="86" t="s">
        <v>368</v>
      </c>
      <c r="K11" s="86"/>
      <c r="L11" s="86"/>
      <c r="M11" s="86"/>
      <c r="N11" s="1" t="s">
        <v>334</v>
      </c>
      <c r="O11" s="86">
        <v>0</v>
      </c>
      <c r="P11" s="86" t="s">
        <v>385</v>
      </c>
      <c r="Q11" s="86"/>
      <c r="R11" s="87"/>
      <c r="S11" s="86"/>
      <c r="T11" s="141" t="s">
        <v>477</v>
      </c>
    </row>
    <row r="12" spans="1:20" ht="13.5" thickBot="1" x14ac:dyDescent="0.25">
      <c r="C12" s="88" t="str">
        <f>"*LNG*"</f>
        <v>*LNG*</v>
      </c>
      <c r="F12" s="1" t="s">
        <v>387</v>
      </c>
      <c r="G12" s="1" t="s">
        <v>386</v>
      </c>
      <c r="H12" s="1" t="s">
        <v>258</v>
      </c>
      <c r="I12" s="86"/>
      <c r="J12" s="86" t="s">
        <v>368</v>
      </c>
      <c r="K12" s="86"/>
      <c r="L12" s="86"/>
      <c r="M12" s="86"/>
      <c r="N12" s="1" t="s">
        <v>343</v>
      </c>
      <c r="O12" s="86">
        <v>0</v>
      </c>
      <c r="P12" s="86" t="s">
        <v>385</v>
      </c>
      <c r="Q12" s="86"/>
      <c r="R12" s="87"/>
      <c r="S12" s="86"/>
      <c r="T12" s="141" t="s">
        <v>478</v>
      </c>
    </row>
    <row r="13" spans="1:20" ht="13.5" thickTop="1" x14ac:dyDescent="0.2">
      <c r="F13" s="12" t="s">
        <v>918</v>
      </c>
      <c r="G13" s="12" t="s">
        <v>919</v>
      </c>
      <c r="H13" s="1" t="s">
        <v>861</v>
      </c>
      <c r="I13" s="86">
        <v>0</v>
      </c>
      <c r="J13" s="86" t="s">
        <v>368</v>
      </c>
      <c r="K13" s="86"/>
      <c r="L13" s="86"/>
      <c r="M13" s="86"/>
      <c r="N13" s="86"/>
      <c r="O13" s="86"/>
      <c r="P13" s="86"/>
      <c r="Q13" s="86"/>
      <c r="R13" s="87"/>
      <c r="S13" s="86"/>
      <c r="T13" s="86" t="s">
        <v>920</v>
      </c>
    </row>
    <row r="14" spans="1:20" x14ac:dyDescent="0.2">
      <c r="F14" s="12" t="s">
        <v>257</v>
      </c>
      <c r="G14" s="12" t="s">
        <v>911</v>
      </c>
      <c r="H14" s="1" t="s">
        <v>257</v>
      </c>
      <c r="I14" s="86">
        <v>0</v>
      </c>
      <c r="J14" s="86" t="s">
        <v>368</v>
      </c>
      <c r="K14" s="86"/>
      <c r="L14" s="86"/>
      <c r="M14" s="86"/>
      <c r="N14" s="86"/>
      <c r="O14" s="86"/>
      <c r="P14" s="86"/>
      <c r="Q14" s="86"/>
      <c r="R14" s="87"/>
      <c r="S14" s="86"/>
      <c r="T14" s="86" t="s">
        <v>921</v>
      </c>
    </row>
    <row r="15" spans="1:20" x14ac:dyDescent="0.2">
      <c r="F15" s="1" t="s">
        <v>383</v>
      </c>
      <c r="G15" s="1" t="s">
        <v>382</v>
      </c>
      <c r="H15" s="1" t="s">
        <v>300</v>
      </c>
      <c r="I15" s="86"/>
      <c r="J15" s="86" t="s">
        <v>368</v>
      </c>
      <c r="K15" s="86"/>
      <c r="L15" s="86"/>
      <c r="M15" s="86"/>
      <c r="N15" s="86"/>
      <c r="O15" s="86"/>
      <c r="P15" s="86"/>
      <c r="Q15" s="86"/>
      <c r="R15" s="87"/>
      <c r="S15" s="86"/>
      <c r="T15" s="141" t="s">
        <v>479</v>
      </c>
    </row>
    <row r="16" spans="1:20" x14ac:dyDescent="0.2">
      <c r="F16" s="1" t="s">
        <v>381</v>
      </c>
      <c r="G16" s="1" t="s">
        <v>380</v>
      </c>
      <c r="H16" s="1" t="s">
        <v>320</v>
      </c>
      <c r="I16" s="86"/>
      <c r="J16" s="86" t="s">
        <v>368</v>
      </c>
      <c r="K16" s="86"/>
      <c r="L16" s="86"/>
      <c r="M16" s="86"/>
      <c r="N16" s="86"/>
      <c r="O16" s="86"/>
      <c r="P16" s="86"/>
      <c r="Q16" s="86"/>
      <c r="R16" s="87"/>
      <c r="S16" s="86"/>
      <c r="T16" s="141" t="s">
        <v>480</v>
      </c>
    </row>
    <row r="17" spans="6:20" x14ac:dyDescent="0.2">
      <c r="F17" s="12" t="s">
        <v>379</v>
      </c>
      <c r="G17" s="12" t="s">
        <v>378</v>
      </c>
      <c r="H17" s="12" t="s">
        <v>258</v>
      </c>
      <c r="I17" s="86" t="s">
        <v>375</v>
      </c>
      <c r="J17" s="86" t="s">
        <v>369</v>
      </c>
      <c r="K17" s="86"/>
      <c r="L17" s="86"/>
      <c r="M17" s="86"/>
      <c r="N17" s="86"/>
      <c r="O17" s="86"/>
      <c r="P17" s="86"/>
      <c r="Q17" s="86"/>
      <c r="R17" s="87"/>
      <c r="S17" s="86"/>
      <c r="T17" s="141" t="s">
        <v>481</v>
      </c>
    </row>
    <row r="18" spans="6:20" x14ac:dyDescent="0.2">
      <c r="F18" s="12" t="s">
        <v>377</v>
      </c>
      <c r="G18" s="12" t="s">
        <v>376</v>
      </c>
      <c r="H18" s="12" t="s">
        <v>292</v>
      </c>
      <c r="I18" s="86">
        <v>0</v>
      </c>
      <c r="J18" s="86" t="s">
        <v>385</v>
      </c>
      <c r="K18" s="86"/>
      <c r="L18" s="86"/>
      <c r="M18" s="86"/>
      <c r="N18" s="86"/>
      <c r="O18" s="86"/>
      <c r="P18" s="86"/>
      <c r="Q18" s="86"/>
      <c r="R18" s="87"/>
      <c r="S18" s="86"/>
      <c r="T18" s="141" t="s">
        <v>482</v>
      </c>
    </row>
    <row r="19" spans="6:20" x14ac:dyDescent="0.2">
      <c r="F19" s="1" t="s">
        <v>374</v>
      </c>
      <c r="G19" s="1" t="s">
        <v>373</v>
      </c>
      <c r="H19" s="12" t="s">
        <v>307</v>
      </c>
      <c r="I19" s="86"/>
      <c r="J19" s="86" t="s">
        <v>368</v>
      </c>
      <c r="K19" s="86"/>
      <c r="L19" s="86"/>
      <c r="M19" s="86"/>
      <c r="N19" s="86"/>
      <c r="O19" s="86"/>
      <c r="P19" s="86"/>
      <c r="Q19" s="86"/>
      <c r="R19" s="87"/>
      <c r="S19" s="86"/>
      <c r="T19" s="141" t="s">
        <v>483</v>
      </c>
    </row>
    <row r="20" spans="6:20" x14ac:dyDescent="0.2">
      <c r="F20" s="12" t="s">
        <v>463</v>
      </c>
      <c r="G20" s="12" t="s">
        <v>464</v>
      </c>
      <c r="H20" s="12" t="s">
        <v>564</v>
      </c>
      <c r="I20" s="86" t="s">
        <v>227</v>
      </c>
      <c r="J20" s="133" t="s">
        <v>369</v>
      </c>
      <c r="K20" s="133"/>
      <c r="L20" s="86"/>
      <c r="M20" s="133"/>
      <c r="N20" s="133" t="s">
        <v>307</v>
      </c>
      <c r="O20" s="86"/>
      <c r="P20" s="133" t="s">
        <v>369</v>
      </c>
      <c r="Q20" s="133"/>
      <c r="R20" s="134"/>
      <c r="S20" s="133"/>
      <c r="T20" s="141" t="s">
        <v>484</v>
      </c>
    </row>
    <row r="21" spans="6:20" x14ac:dyDescent="0.2">
      <c r="F21" s="1" t="s">
        <v>372</v>
      </c>
      <c r="G21" s="12" t="s">
        <v>824</v>
      </c>
      <c r="H21" s="12" t="s">
        <v>305</v>
      </c>
      <c r="I21" s="86">
        <v>0</v>
      </c>
      <c r="J21" s="86" t="s">
        <v>368</v>
      </c>
      <c r="K21" s="86"/>
      <c r="L21" s="86"/>
      <c r="M21" s="86"/>
      <c r="N21" s="86"/>
      <c r="O21" s="86"/>
      <c r="P21" s="86"/>
      <c r="Q21" s="86"/>
      <c r="R21" s="87"/>
      <c r="S21" s="86"/>
      <c r="T21" s="141" t="s">
        <v>485</v>
      </c>
    </row>
    <row r="22" spans="6:20" x14ac:dyDescent="0.2">
      <c r="F22" s="12" t="s">
        <v>1094</v>
      </c>
      <c r="G22" s="12" t="s">
        <v>1095</v>
      </c>
      <c r="H22" s="1" t="s">
        <v>320</v>
      </c>
      <c r="I22" s="86"/>
      <c r="J22" s="86" t="s">
        <v>368</v>
      </c>
      <c r="K22" s="86"/>
      <c r="L22" s="86"/>
      <c r="M22" s="86"/>
      <c r="N22" s="86" t="s">
        <v>307</v>
      </c>
      <c r="O22" s="86"/>
      <c r="P22" s="86" t="s">
        <v>369</v>
      </c>
      <c r="Q22" s="86"/>
      <c r="R22" s="87"/>
      <c r="S22" s="86"/>
      <c r="T22" s="86" t="s">
        <v>1096</v>
      </c>
    </row>
    <row r="23" spans="6:20" x14ac:dyDescent="0.2">
      <c r="F23" s="12" t="s">
        <v>371</v>
      </c>
      <c r="G23" s="12" t="s">
        <v>370</v>
      </c>
      <c r="H23" s="12" t="s">
        <v>349</v>
      </c>
      <c r="I23" s="86"/>
      <c r="J23" s="86" t="s">
        <v>369</v>
      </c>
      <c r="K23" s="86"/>
      <c r="L23" s="86"/>
      <c r="M23" s="86"/>
      <c r="N23" s="86"/>
      <c r="O23" s="86"/>
      <c r="P23" s="86"/>
      <c r="Q23" s="86"/>
      <c r="R23" s="87"/>
      <c r="S23" s="86"/>
      <c r="T23" s="141" t="s">
        <v>487</v>
      </c>
    </row>
    <row r="24" spans="6:20" x14ac:dyDescent="0.2">
      <c r="F24" s="1" t="s">
        <v>344</v>
      </c>
      <c r="H24" s="1" t="s">
        <v>344</v>
      </c>
      <c r="I24" s="86"/>
      <c r="J24" s="86" t="s">
        <v>368</v>
      </c>
      <c r="K24" s="86"/>
      <c r="L24" s="86"/>
      <c r="M24" s="86"/>
      <c r="N24" s="86"/>
      <c r="O24" s="86"/>
      <c r="P24" s="86"/>
      <c r="Q24" s="86"/>
      <c r="R24" s="87"/>
      <c r="S24" s="86"/>
      <c r="T24" s="141" t="s">
        <v>488</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4" t="s">
        <v>446</v>
      </c>
      <c r="C4" s="94" t="s">
        <v>445</v>
      </c>
      <c r="D4" s="94" t="s">
        <v>444</v>
      </c>
      <c r="E4" s="94" t="s">
        <v>443</v>
      </c>
      <c r="F4" s="94" t="s">
        <v>442</v>
      </c>
      <c r="G4" s="94" t="s">
        <v>441</v>
      </c>
      <c r="H4" s="94" t="s">
        <v>589</v>
      </c>
      <c r="I4" s="94" t="s">
        <v>440</v>
      </c>
      <c r="J4" s="94" t="s">
        <v>439</v>
      </c>
      <c r="K4" s="94" t="s">
        <v>438</v>
      </c>
      <c r="L4" s="94" t="s">
        <v>437</v>
      </c>
      <c r="M4" s="94" t="s">
        <v>436</v>
      </c>
      <c r="N4" s="94" t="s">
        <v>435</v>
      </c>
      <c r="O4" s="94" t="s">
        <v>471</v>
      </c>
    </row>
    <row r="5" spans="2:19" ht="15" customHeight="1" x14ac:dyDescent="0.2">
      <c r="B5" s="1" t="s">
        <v>434</v>
      </c>
      <c r="C5" s="1" t="s">
        <v>360</v>
      </c>
      <c r="D5" s="1" t="s">
        <v>354</v>
      </c>
      <c r="F5" s="1" t="s">
        <v>400</v>
      </c>
      <c r="I5" s="1" t="s">
        <v>330</v>
      </c>
      <c r="J5" s="1" t="s">
        <v>417</v>
      </c>
      <c r="K5" s="1" t="s">
        <v>349</v>
      </c>
      <c r="L5" s="1" t="s">
        <v>418</v>
      </c>
      <c r="O5" s="12" t="s">
        <v>472</v>
      </c>
    </row>
    <row r="6" spans="2:19" x14ac:dyDescent="0.2">
      <c r="B6" s="1" t="s">
        <v>433</v>
      </c>
      <c r="C6" s="1" t="s">
        <v>360</v>
      </c>
      <c r="E6" s="1" t="s">
        <v>361</v>
      </c>
      <c r="F6" s="1" t="s">
        <v>400</v>
      </c>
      <c r="I6" s="1" t="s">
        <v>339</v>
      </c>
      <c r="J6" s="1" t="s">
        <v>418</v>
      </c>
      <c r="K6" s="1" t="s">
        <v>349</v>
      </c>
      <c r="L6" s="1" t="s">
        <v>418</v>
      </c>
      <c r="O6" s="12" t="s">
        <v>473</v>
      </c>
    </row>
    <row r="7" spans="2:19" x14ac:dyDescent="0.2">
      <c r="B7" s="1" t="s">
        <v>432</v>
      </c>
      <c r="C7" s="1" t="s">
        <v>359</v>
      </c>
      <c r="D7" s="1" t="s">
        <v>356</v>
      </c>
      <c r="E7" s="12"/>
      <c r="F7" s="1" t="s">
        <v>257</v>
      </c>
      <c r="I7" s="1" t="s">
        <v>349</v>
      </c>
      <c r="J7" s="1" t="s">
        <v>418</v>
      </c>
      <c r="O7" s="12" t="s">
        <v>474</v>
      </c>
    </row>
    <row r="8" spans="2:19" ht="12.75" customHeight="1" x14ac:dyDescent="0.25">
      <c r="B8" t="s">
        <v>602</v>
      </c>
      <c r="C8"/>
      <c r="D8"/>
      <c r="E8"/>
      <c r="F8" t="s">
        <v>599</v>
      </c>
      <c r="G8"/>
      <c r="H8" s="12"/>
      <c r="I8" s="106" t="s">
        <v>349</v>
      </c>
      <c r="J8" s="106" t="s">
        <v>418</v>
      </c>
      <c r="K8" s="106"/>
      <c r="L8"/>
      <c r="M8" s="224"/>
      <c r="N8" s="224"/>
      <c r="O8" s="12" t="s">
        <v>922</v>
      </c>
    </row>
    <row r="9" spans="2:19" x14ac:dyDescent="0.2">
      <c r="B9" s="1" t="s">
        <v>431</v>
      </c>
      <c r="C9" s="1" t="s">
        <v>356</v>
      </c>
      <c r="D9" s="1" t="s">
        <v>350</v>
      </c>
      <c r="F9" s="1" t="s">
        <v>818</v>
      </c>
      <c r="H9" s="1" t="s">
        <v>934</v>
      </c>
      <c r="I9" s="1" t="s">
        <v>257</v>
      </c>
      <c r="J9" s="12" t="s">
        <v>417</v>
      </c>
      <c r="K9" s="12" t="s">
        <v>292</v>
      </c>
      <c r="L9" s="12" t="s">
        <v>417</v>
      </c>
      <c r="O9" s="12" t="s">
        <v>475</v>
      </c>
    </row>
    <row r="10" spans="2:19" x14ac:dyDescent="0.2">
      <c r="B10" s="1" t="s">
        <v>430</v>
      </c>
      <c r="C10" s="12" t="s">
        <v>356</v>
      </c>
      <c r="D10" s="1" t="s">
        <v>350</v>
      </c>
      <c r="F10" s="1" t="s">
        <v>391</v>
      </c>
      <c r="H10" s="1" t="s">
        <v>292</v>
      </c>
      <c r="I10" s="1" t="s">
        <v>291</v>
      </c>
      <c r="J10" s="1" t="s">
        <v>418</v>
      </c>
      <c r="K10" s="1" t="s">
        <v>349</v>
      </c>
      <c r="L10" s="1" t="s">
        <v>418</v>
      </c>
      <c r="O10" s="12" t="s">
        <v>476</v>
      </c>
    </row>
    <row r="11" spans="2:19" x14ac:dyDescent="0.2">
      <c r="B11" s="1" t="s">
        <v>429</v>
      </c>
      <c r="C11" s="12" t="s">
        <v>356</v>
      </c>
      <c r="D11" s="1" t="s">
        <v>350</v>
      </c>
      <c r="F11" s="1" t="s">
        <v>395</v>
      </c>
      <c r="H11" s="1" t="s">
        <v>934</v>
      </c>
      <c r="I11" s="12" t="s">
        <v>836</v>
      </c>
      <c r="J11" s="1" t="s">
        <v>418</v>
      </c>
      <c r="K11" s="12" t="s">
        <v>291</v>
      </c>
      <c r="L11" s="12" t="s">
        <v>418</v>
      </c>
      <c r="M11" s="135" t="s">
        <v>349</v>
      </c>
      <c r="N11" s="12" t="s">
        <v>418</v>
      </c>
      <c r="O11" s="12" t="s">
        <v>477</v>
      </c>
    </row>
    <row r="12" spans="2:19" x14ac:dyDescent="0.2">
      <c r="B12" s="12" t="s">
        <v>462</v>
      </c>
      <c r="C12" s="12" t="s">
        <v>350</v>
      </c>
      <c r="D12" s="12" t="s">
        <v>356</v>
      </c>
      <c r="E12" s="1" t="s">
        <v>980</v>
      </c>
      <c r="F12" s="1" t="s">
        <v>460</v>
      </c>
      <c r="H12" s="1" t="s">
        <v>934</v>
      </c>
      <c r="I12" s="12" t="s">
        <v>288</v>
      </c>
      <c r="J12" s="12" t="s">
        <v>418</v>
      </c>
      <c r="K12" s="12" t="s">
        <v>291</v>
      </c>
      <c r="L12" s="12" t="s">
        <v>418</v>
      </c>
      <c r="M12" s="135" t="s">
        <v>912</v>
      </c>
      <c r="N12" s="12" t="s">
        <v>418</v>
      </c>
      <c r="O12" s="12" t="s">
        <v>478</v>
      </c>
    </row>
    <row r="13" spans="2:19" x14ac:dyDescent="0.2">
      <c r="B13" s="1" t="s">
        <v>428</v>
      </c>
      <c r="C13" s="1" t="s">
        <v>358</v>
      </c>
      <c r="F13" s="1" t="s">
        <v>389</v>
      </c>
      <c r="H13" s="1" t="s">
        <v>934</v>
      </c>
      <c r="I13" s="1" t="s">
        <v>336</v>
      </c>
      <c r="J13" s="1" t="s">
        <v>418</v>
      </c>
      <c r="K13" s="1" t="s">
        <v>349</v>
      </c>
      <c r="L13" s="1" t="s">
        <v>418</v>
      </c>
      <c r="O13" s="12" t="s">
        <v>479</v>
      </c>
    </row>
    <row r="14" spans="2:19" x14ac:dyDescent="0.2">
      <c r="B14" s="1" t="s">
        <v>427</v>
      </c>
      <c r="C14" s="1" t="s">
        <v>361</v>
      </c>
      <c r="D14" s="1" t="s">
        <v>356</v>
      </c>
      <c r="F14" s="12" t="s">
        <v>257</v>
      </c>
      <c r="I14" s="1" t="s">
        <v>343</v>
      </c>
      <c r="J14" s="1" t="s">
        <v>418</v>
      </c>
      <c r="K14" s="1" t="s">
        <v>342</v>
      </c>
      <c r="L14" s="1" t="s">
        <v>418</v>
      </c>
      <c r="M14" s="135" t="s">
        <v>349</v>
      </c>
      <c r="N14" s="135" t="s">
        <v>418</v>
      </c>
      <c r="O14" s="12" t="s">
        <v>480</v>
      </c>
    </row>
    <row r="15" spans="2:19" x14ac:dyDescent="0.2">
      <c r="B15" s="12" t="s">
        <v>918</v>
      </c>
      <c r="C15" s="1" t="s">
        <v>359</v>
      </c>
      <c r="D15" s="1" t="s">
        <v>356</v>
      </c>
      <c r="F15" s="1" t="s">
        <v>918</v>
      </c>
      <c r="H15" s="12" t="s">
        <v>343</v>
      </c>
      <c r="I15" s="1" t="s">
        <v>349</v>
      </c>
      <c r="J15" s="12" t="s">
        <v>418</v>
      </c>
      <c r="K15" s="1" t="s">
        <v>257</v>
      </c>
      <c r="L15" s="12" t="s">
        <v>417</v>
      </c>
      <c r="M15" s="12"/>
      <c r="N15" s="12"/>
      <c r="O15" s="12" t="s">
        <v>923</v>
      </c>
    </row>
    <row r="16" spans="2:19" x14ac:dyDescent="0.2">
      <c r="B16" s="1" t="s">
        <v>426</v>
      </c>
      <c r="C16" s="1" t="s">
        <v>356</v>
      </c>
      <c r="D16" s="12" t="s">
        <v>351</v>
      </c>
      <c r="E16" s="12"/>
      <c r="F16" s="1" t="s">
        <v>383</v>
      </c>
      <c r="H16" s="1" t="s">
        <v>934</v>
      </c>
      <c r="I16" s="1" t="s">
        <v>300</v>
      </c>
      <c r="J16" s="12" t="s">
        <v>418</v>
      </c>
      <c r="K16" s="1" t="s">
        <v>835</v>
      </c>
      <c r="L16" s="1" t="s">
        <v>417</v>
      </c>
      <c r="M16" s="1" t="s">
        <v>349</v>
      </c>
      <c r="N16" s="1" t="s">
        <v>418</v>
      </c>
      <c r="O16" s="12" t="s">
        <v>481</v>
      </c>
    </row>
    <row r="17" spans="2:15" x14ac:dyDescent="0.2">
      <c r="B17" s="1" t="s">
        <v>425</v>
      </c>
      <c r="C17" s="1" t="s">
        <v>356</v>
      </c>
      <c r="F17" s="1" t="s">
        <v>377</v>
      </c>
      <c r="I17" s="1" t="s">
        <v>835</v>
      </c>
      <c r="J17" s="1" t="s">
        <v>417</v>
      </c>
      <c r="K17" s="1" t="s">
        <v>349</v>
      </c>
      <c r="L17" s="1" t="s">
        <v>418</v>
      </c>
      <c r="O17" s="12" t="s">
        <v>482</v>
      </c>
    </row>
    <row r="18" spans="2:15" x14ac:dyDescent="0.2">
      <c r="B18" s="1" t="s">
        <v>424</v>
      </c>
      <c r="C18" s="1" t="s">
        <v>353</v>
      </c>
      <c r="F18" s="1" t="s">
        <v>381</v>
      </c>
      <c r="I18" s="1" t="s">
        <v>314</v>
      </c>
      <c r="J18" s="1" t="s">
        <v>417</v>
      </c>
      <c r="K18" s="1" t="s">
        <v>349</v>
      </c>
      <c r="L18" s="1" t="s">
        <v>418</v>
      </c>
      <c r="O18" s="12" t="s">
        <v>483</v>
      </c>
    </row>
    <row r="19" spans="2:15" x14ac:dyDescent="0.2">
      <c r="B19" s="1" t="s">
        <v>423</v>
      </c>
      <c r="C19" s="1" t="s">
        <v>352</v>
      </c>
      <c r="F19" s="1" t="s">
        <v>372</v>
      </c>
      <c r="I19" s="1" t="s">
        <v>302</v>
      </c>
      <c r="J19" s="1" t="s">
        <v>417</v>
      </c>
      <c r="K19" s="1" t="s">
        <v>304</v>
      </c>
      <c r="L19" s="1" t="s">
        <v>417</v>
      </c>
      <c r="O19" s="12" t="s">
        <v>484</v>
      </c>
    </row>
    <row r="20" spans="2:15" x14ac:dyDescent="0.2">
      <c r="B20" s="1" t="s">
        <v>422</v>
      </c>
      <c r="C20" s="1" t="s">
        <v>356</v>
      </c>
      <c r="D20" s="12" t="s">
        <v>352</v>
      </c>
      <c r="F20" s="12" t="s">
        <v>257</v>
      </c>
      <c r="H20" s="12" t="s">
        <v>934</v>
      </c>
      <c r="I20" s="1" t="s">
        <v>311</v>
      </c>
      <c r="J20" s="1" t="s">
        <v>418</v>
      </c>
      <c r="K20" s="1" t="s">
        <v>304</v>
      </c>
      <c r="L20" s="1" t="s">
        <v>417</v>
      </c>
      <c r="O20" s="12" t="s">
        <v>485</v>
      </c>
    </row>
    <row r="21" spans="2:15" x14ac:dyDescent="0.2">
      <c r="B21" s="12" t="s">
        <v>421</v>
      </c>
      <c r="C21" s="1" t="s">
        <v>356</v>
      </c>
      <c r="D21" s="12" t="s">
        <v>352</v>
      </c>
      <c r="F21" s="1" t="s">
        <v>374</v>
      </c>
      <c r="H21" s="12" t="s">
        <v>934</v>
      </c>
      <c r="I21" s="12" t="s">
        <v>834</v>
      </c>
      <c r="J21" s="1" t="s">
        <v>418</v>
      </c>
      <c r="K21" s="1" t="s">
        <v>257</v>
      </c>
      <c r="L21" s="12" t="s">
        <v>417</v>
      </c>
      <c r="M21" s="12"/>
      <c r="N21" s="12"/>
      <c r="O21" s="12" t="s">
        <v>486</v>
      </c>
    </row>
    <row r="22" spans="2:15" x14ac:dyDescent="0.2">
      <c r="B22" s="12" t="s">
        <v>1097</v>
      </c>
      <c r="C22" s="1" t="s">
        <v>356</v>
      </c>
      <c r="D22" s="12" t="s">
        <v>352</v>
      </c>
      <c r="F22" s="1" t="s">
        <v>1094</v>
      </c>
      <c r="H22" s="12" t="s">
        <v>934</v>
      </c>
      <c r="I22" s="12" t="s">
        <v>834</v>
      </c>
      <c r="J22" s="1" t="s">
        <v>418</v>
      </c>
      <c r="K22" s="1" t="s">
        <v>349</v>
      </c>
      <c r="L22" s="12" t="s">
        <v>418</v>
      </c>
      <c r="M22" s="12" t="s">
        <v>310</v>
      </c>
      <c r="N22" s="12" t="s">
        <v>418</v>
      </c>
      <c r="O22" s="12" t="s">
        <v>1098</v>
      </c>
    </row>
    <row r="23" spans="2:15" x14ac:dyDescent="0.2">
      <c r="B23" s="12" t="s">
        <v>465</v>
      </c>
      <c r="C23" s="12" t="s">
        <v>352</v>
      </c>
      <c r="D23" s="12"/>
      <c r="F23" s="1" t="s">
        <v>463</v>
      </c>
      <c r="I23" s="12" t="s">
        <v>308</v>
      </c>
      <c r="J23" s="12" t="s">
        <v>418</v>
      </c>
      <c r="K23" s="12" t="s">
        <v>311</v>
      </c>
      <c r="L23" s="12" t="s">
        <v>418</v>
      </c>
      <c r="M23" s="135" t="s">
        <v>349</v>
      </c>
      <c r="N23" s="135" t="s">
        <v>418</v>
      </c>
      <c r="O23" s="12" t="s">
        <v>487</v>
      </c>
    </row>
    <row r="24" spans="2:15" x14ac:dyDescent="0.2">
      <c r="B24" s="1" t="s">
        <v>420</v>
      </c>
      <c r="C24" s="1" t="s">
        <v>351</v>
      </c>
      <c r="D24" s="1" t="s">
        <v>353</v>
      </c>
      <c r="E24" s="1" t="s">
        <v>350</v>
      </c>
      <c r="F24" s="1" t="s">
        <v>398</v>
      </c>
      <c r="I24" s="1" t="s">
        <v>349</v>
      </c>
      <c r="J24" s="1" t="s">
        <v>418</v>
      </c>
      <c r="O24" s="12" t="s">
        <v>489</v>
      </c>
    </row>
    <row r="25" spans="2:15" x14ac:dyDescent="0.2">
      <c r="B25" s="1" t="s">
        <v>419</v>
      </c>
      <c r="C25" s="1" t="s">
        <v>361</v>
      </c>
      <c r="D25" s="1" t="s">
        <v>356</v>
      </c>
      <c r="E25" s="1" t="s">
        <v>355</v>
      </c>
      <c r="F25" s="12" t="s">
        <v>257</v>
      </c>
      <c r="I25" s="1" t="s">
        <v>321</v>
      </c>
      <c r="J25" s="1" t="s">
        <v>418</v>
      </c>
      <c r="M25" s="12"/>
      <c r="N25" s="12"/>
      <c r="O25" s="12" t="s">
        <v>490</v>
      </c>
    </row>
    <row r="26" spans="2:15" x14ac:dyDescent="0.2">
      <c r="B26" s="1" t="s">
        <v>344</v>
      </c>
      <c r="C26" s="1" t="s">
        <v>345</v>
      </c>
      <c r="D26" s="12"/>
      <c r="F26" s="1" t="s">
        <v>344</v>
      </c>
      <c r="I26" s="1" t="s">
        <v>349</v>
      </c>
      <c r="J26" s="1" t="s">
        <v>418</v>
      </c>
      <c r="K26" s="1" t="s">
        <v>322</v>
      </c>
      <c r="L26" s="1" t="s">
        <v>417</v>
      </c>
      <c r="O26" s="12" t="s">
        <v>491</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5" bestFit="1" customWidth="1"/>
    <col min="2" max="2" width="12.42578125" style="95" customWidth="1"/>
    <col min="3" max="3" width="15.42578125" style="95" bestFit="1" customWidth="1"/>
    <col min="4" max="4" width="15.42578125" style="95" customWidth="1"/>
    <col min="5" max="5" width="9.140625" style="95"/>
    <col min="6" max="6" width="41.85546875" style="95" bestFit="1" customWidth="1"/>
    <col min="7" max="7" width="7.28515625" style="95" customWidth="1"/>
    <col min="8" max="8" width="16.7109375" style="95" bestFit="1" customWidth="1"/>
    <col min="9" max="9" width="16.140625" style="95" bestFit="1" customWidth="1"/>
    <col min="10" max="16384" width="9.140625" style="95"/>
  </cols>
  <sheetData>
    <row r="1" spans="1:10" x14ac:dyDescent="0.2">
      <c r="A1" s="99" t="s">
        <v>454</v>
      </c>
      <c r="B1" s="99" t="s">
        <v>453</v>
      </c>
      <c r="C1" s="99" t="s">
        <v>452</v>
      </c>
      <c r="D1" s="99" t="s">
        <v>451</v>
      </c>
      <c r="E1" s="99" t="s">
        <v>450</v>
      </c>
      <c r="F1" s="99" t="s">
        <v>471</v>
      </c>
      <c r="H1" s="98" t="s">
        <v>449</v>
      </c>
      <c r="I1" s="97">
        <v>46208.522233796299</v>
      </c>
      <c r="J1" s="96">
        <f>I1</f>
        <v>46208.522233796299</v>
      </c>
    </row>
    <row r="2" spans="1:10" x14ac:dyDescent="0.2">
      <c r="A2" s="137" t="s">
        <v>345</v>
      </c>
      <c r="B2" s="137">
        <v>6</v>
      </c>
      <c r="C2" s="137" t="s">
        <v>1203</v>
      </c>
      <c r="D2" s="12"/>
      <c r="E2" s="137">
        <v>2</v>
      </c>
      <c r="F2" s="137" t="s">
        <v>1304</v>
      </c>
      <c r="H2" s="98" t="s">
        <v>448</v>
      </c>
      <c r="I2" s="97">
        <v>46208.523055555554</v>
      </c>
      <c r="J2" s="96">
        <f>I2</f>
        <v>46208.523055555554</v>
      </c>
    </row>
    <row r="3" spans="1:10" x14ac:dyDescent="0.2">
      <c r="A3" s="137" t="s">
        <v>361</v>
      </c>
      <c r="B3" s="137">
        <v>8</v>
      </c>
      <c r="C3" s="137" t="s">
        <v>1202</v>
      </c>
      <c r="D3" s="12"/>
      <c r="E3" s="137">
        <v>2</v>
      </c>
      <c r="F3" s="137" t="s">
        <v>1303</v>
      </c>
    </row>
    <row r="4" spans="1:10" x14ac:dyDescent="0.2">
      <c r="A4" s="137" t="s">
        <v>360</v>
      </c>
      <c r="B4" s="137">
        <v>13</v>
      </c>
      <c r="C4" s="137" t="s">
        <v>1201</v>
      </c>
      <c r="D4" s="12"/>
      <c r="E4" s="137">
        <v>2</v>
      </c>
      <c r="F4" s="137" t="s">
        <v>1302</v>
      </c>
    </row>
    <row r="5" spans="1:10" x14ac:dyDescent="0.2">
      <c r="A5" s="137" t="s">
        <v>359</v>
      </c>
      <c r="B5" s="137">
        <v>16</v>
      </c>
      <c r="C5" s="137" t="s">
        <v>1200</v>
      </c>
      <c r="D5" s="12"/>
      <c r="E5" s="137">
        <v>2</v>
      </c>
      <c r="F5" s="137" t="s">
        <v>1301</v>
      </c>
    </row>
    <row r="6" spans="1:10" x14ac:dyDescent="0.2">
      <c r="A6" s="137" t="s">
        <v>358</v>
      </c>
      <c r="B6" s="137">
        <v>29</v>
      </c>
      <c r="C6" s="137" t="s">
        <v>1199</v>
      </c>
      <c r="D6" s="12"/>
      <c r="E6" s="137">
        <v>2</v>
      </c>
      <c r="F6" s="137" t="s">
        <v>1300</v>
      </c>
    </row>
    <row r="7" spans="1:10" x14ac:dyDescent="0.2">
      <c r="A7" s="137" t="s">
        <v>356</v>
      </c>
      <c r="B7" s="137">
        <v>35</v>
      </c>
      <c r="C7" s="137" t="s">
        <v>1226</v>
      </c>
      <c r="D7" s="12"/>
      <c r="E7" s="137">
        <v>2</v>
      </c>
      <c r="F7" s="137" t="s">
        <v>1297</v>
      </c>
    </row>
    <row r="8" spans="1:10" x14ac:dyDescent="0.2">
      <c r="A8" s="137" t="s">
        <v>353</v>
      </c>
      <c r="B8" s="137">
        <v>56</v>
      </c>
      <c r="C8" s="137" t="s">
        <v>1225</v>
      </c>
      <c r="D8" s="12"/>
      <c r="E8" s="137">
        <v>2</v>
      </c>
      <c r="F8" s="137" t="s">
        <v>1296</v>
      </c>
    </row>
    <row r="9" spans="1:10" x14ac:dyDescent="0.2">
      <c r="A9" s="137" t="s">
        <v>352</v>
      </c>
      <c r="B9" s="137">
        <v>69</v>
      </c>
      <c r="C9" s="137" t="s">
        <v>1223</v>
      </c>
      <c r="D9" s="12"/>
      <c r="E9" s="137">
        <v>2</v>
      </c>
      <c r="F9" s="137" t="s">
        <v>1294</v>
      </c>
    </row>
    <row r="10" spans="1:10" x14ac:dyDescent="0.2">
      <c r="A10" s="137" t="s">
        <v>351</v>
      </c>
      <c r="B10" s="137">
        <v>112</v>
      </c>
      <c r="C10" s="137" t="s">
        <v>1229</v>
      </c>
      <c r="D10" s="12"/>
      <c r="E10" s="137">
        <v>2</v>
      </c>
      <c r="F10" s="137" t="s">
        <v>1293</v>
      </c>
    </row>
    <row r="11" spans="1:10" x14ac:dyDescent="0.2">
      <c r="A11" s="137" t="s">
        <v>350</v>
      </c>
      <c r="B11" s="137">
        <v>140</v>
      </c>
      <c r="C11" s="137" t="s">
        <v>1221</v>
      </c>
      <c r="D11" s="12"/>
      <c r="E11" s="137">
        <v>2</v>
      </c>
      <c r="F11" s="137" t="s">
        <v>1291</v>
      </c>
    </row>
    <row r="12" spans="1:10" x14ac:dyDescent="0.2">
      <c r="A12" s="137" t="s">
        <v>1131</v>
      </c>
      <c r="B12" s="137">
        <v>184</v>
      </c>
      <c r="C12" s="137" t="s">
        <v>1284</v>
      </c>
      <c r="D12" s="12"/>
      <c r="E12" s="137">
        <v>2</v>
      </c>
      <c r="F12" s="137" t="s">
        <v>1290</v>
      </c>
    </row>
    <row r="13" spans="1:10" x14ac:dyDescent="0.2">
      <c r="A13" s="137" t="s">
        <v>258</v>
      </c>
      <c r="B13" s="137">
        <v>195</v>
      </c>
      <c r="C13" s="137" t="s">
        <v>1283</v>
      </c>
      <c r="D13" s="12"/>
      <c r="E13" s="137">
        <v>2</v>
      </c>
      <c r="F13" s="137" t="s">
        <v>1289</v>
      </c>
    </row>
    <row r="14" spans="1:10" x14ac:dyDescent="0.2">
      <c r="A14" s="137" t="s">
        <v>357</v>
      </c>
      <c r="B14" s="137">
        <v>38</v>
      </c>
      <c r="C14" s="137" t="s">
        <v>1198</v>
      </c>
      <c r="D14" s="12"/>
      <c r="E14" s="137">
        <v>3</v>
      </c>
      <c r="F14" s="137" t="s">
        <v>1299</v>
      </c>
    </row>
    <row r="15" spans="1:10" x14ac:dyDescent="0.2">
      <c r="A15" s="137" t="s">
        <v>927</v>
      </c>
      <c r="B15" s="137">
        <v>102</v>
      </c>
      <c r="C15" s="137" t="s">
        <v>1224</v>
      </c>
      <c r="D15" s="12"/>
      <c r="E15" s="137">
        <v>3</v>
      </c>
      <c r="F15" s="137" t="s">
        <v>1295</v>
      </c>
    </row>
    <row r="16" spans="1:10" x14ac:dyDescent="0.2">
      <c r="A16" s="137" t="s">
        <v>980</v>
      </c>
      <c r="B16" s="137">
        <v>175</v>
      </c>
      <c r="C16" s="137" t="s">
        <v>1222</v>
      </c>
      <c r="D16" s="12"/>
      <c r="E16" s="137">
        <v>3</v>
      </c>
      <c r="F16" s="137" t="s">
        <v>1292</v>
      </c>
    </row>
    <row r="17" spans="1:6" x14ac:dyDescent="0.2">
      <c r="A17" s="137" t="s">
        <v>981</v>
      </c>
      <c r="B17" s="137">
        <v>49</v>
      </c>
      <c r="C17" s="137" t="s">
        <v>1197</v>
      </c>
      <c r="D17" s="12" t="s">
        <v>356</v>
      </c>
      <c r="E17" s="137">
        <v>5</v>
      </c>
      <c r="F17" s="137" t="s">
        <v>1298</v>
      </c>
    </row>
    <row r="18" spans="1:6" x14ac:dyDescent="0.2">
      <c r="A18" s="106" t="s">
        <v>447</v>
      </c>
      <c r="B18" s="106">
        <f>SUBTOTAL(103,tblGroupNames[Order])</f>
        <v>16</v>
      </c>
      <c r="C18" s="106"/>
      <c r="D18" s="106"/>
      <c r="E18" s="106"/>
      <c r="F18" s="106"/>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1305</v>
      </c>
      <c r="B1" t="s">
        <v>429</v>
      </c>
    </row>
    <row r="2" spans="1:11" x14ac:dyDescent="0.25">
      <c r="A2" t="s">
        <v>1306</v>
      </c>
      <c r="B2">
        <v>1</v>
      </c>
      <c r="K2" t="s">
        <v>539</v>
      </c>
    </row>
    <row r="3" spans="1:11" x14ac:dyDescent="0.25">
      <c r="K3" s="145">
        <f>INDEX(SnapshotTable[Last Price], MATCH("AMD",SnapshotTable[Symbol]))</f>
        <v>78.25</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0" bestFit="1" customWidth="1"/>
    <col min="3" max="3" width="10.85546875" style="12" bestFit="1" customWidth="1"/>
    <col min="4" max="16384" width="9.140625" style="12"/>
  </cols>
  <sheetData>
    <row r="1" spans="1:3" x14ac:dyDescent="0.25">
      <c r="A1" s="102" t="s">
        <v>257</v>
      </c>
      <c r="B1" t="s">
        <v>459</v>
      </c>
    </row>
    <row r="3" spans="1:3" x14ac:dyDescent="0.25">
      <c r="A3" s="102" t="s">
        <v>458</v>
      </c>
      <c r="B3" t="s">
        <v>457</v>
      </c>
      <c r="C3" t="s">
        <v>456</v>
      </c>
    </row>
    <row r="4" spans="1:3" x14ac:dyDescent="0.25">
      <c r="A4" s="103" t="s">
        <v>4</v>
      </c>
      <c r="B4" s="104">
        <v>691328</v>
      </c>
      <c r="C4" s="105">
        <v>0.68664688101921489</v>
      </c>
    </row>
    <row r="5" spans="1:3" x14ac:dyDescent="0.25">
      <c r="A5" s="228" t="s">
        <v>5</v>
      </c>
      <c r="B5" s="104">
        <v>691328</v>
      </c>
      <c r="C5" s="105">
        <v>0.68664688101921489</v>
      </c>
    </row>
    <row r="6" spans="1:3" x14ac:dyDescent="0.25">
      <c r="A6" s="103" t="s">
        <v>41</v>
      </c>
      <c r="B6" s="104">
        <v>138169.4</v>
      </c>
      <c r="C6" s="105">
        <v>0.13723382759311978</v>
      </c>
    </row>
    <row r="7" spans="1:3" x14ac:dyDescent="0.25">
      <c r="A7" s="228" t="s">
        <v>112</v>
      </c>
      <c r="B7" s="104">
        <v>31409.4</v>
      </c>
      <c r="C7" s="105">
        <v>3.1196720724004999E-2</v>
      </c>
    </row>
    <row r="8" spans="1:3" x14ac:dyDescent="0.25">
      <c r="A8" s="228" t="s">
        <v>208</v>
      </c>
      <c r="B8" s="104">
        <v>38200</v>
      </c>
      <c r="C8" s="105">
        <v>3.7941340224805026E-2</v>
      </c>
    </row>
    <row r="9" spans="1:3" x14ac:dyDescent="0.25">
      <c r="A9" s="228" t="s">
        <v>54</v>
      </c>
      <c r="B9" s="104">
        <v>68560</v>
      </c>
      <c r="C9" s="105">
        <v>6.8095766644309746E-2</v>
      </c>
    </row>
    <row r="10" spans="1:3" x14ac:dyDescent="0.25">
      <c r="A10" s="103" t="s">
        <v>822</v>
      </c>
      <c r="B10" s="104">
        <v>123326</v>
      </c>
      <c r="C10" s="105">
        <v>0.12249093519801844</v>
      </c>
    </row>
    <row r="11" spans="1:3" x14ac:dyDescent="0.25">
      <c r="A11" s="228" t="s">
        <v>42</v>
      </c>
      <c r="B11" s="104">
        <v>38660</v>
      </c>
      <c r="C11" s="105">
        <v>3.8398225473585401E-2</v>
      </c>
    </row>
    <row r="12" spans="1:3" x14ac:dyDescent="0.25">
      <c r="A12" s="228" t="s">
        <v>92</v>
      </c>
      <c r="B12" s="104">
        <v>84666</v>
      </c>
      <c r="C12" s="105">
        <v>8.4092709724433043E-2</v>
      </c>
    </row>
    <row r="13" spans="1:3" x14ac:dyDescent="0.25">
      <c r="A13" s="103" t="s">
        <v>9</v>
      </c>
      <c r="B13" s="104">
        <v>22634.36</v>
      </c>
      <c r="C13" s="105">
        <v>2.2481098259966435E-2</v>
      </c>
    </row>
    <row r="14" spans="1:3" x14ac:dyDescent="0.25">
      <c r="A14" s="228" t="s">
        <v>196</v>
      </c>
      <c r="B14" s="104">
        <v>22634.36</v>
      </c>
      <c r="C14" s="105">
        <v>2.2481098259966435E-2</v>
      </c>
    </row>
    <row r="15" spans="1:3" x14ac:dyDescent="0.25">
      <c r="A15" s="103" t="s">
        <v>17</v>
      </c>
      <c r="B15" s="104">
        <v>18150</v>
      </c>
      <c r="C15" s="105">
        <v>1.802710275079087E-2</v>
      </c>
    </row>
    <row r="16" spans="1:3" x14ac:dyDescent="0.25">
      <c r="A16" s="228" t="s">
        <v>214</v>
      </c>
      <c r="B16" s="104">
        <v>18150</v>
      </c>
      <c r="C16" s="105">
        <v>1.802710275079087E-2</v>
      </c>
    </row>
    <row r="17" spans="1:3" x14ac:dyDescent="0.25">
      <c r="A17" s="103" t="s">
        <v>14</v>
      </c>
      <c r="B17" s="104">
        <v>13209.6</v>
      </c>
      <c r="C17" s="105">
        <v>1.3120155178889646E-2</v>
      </c>
    </row>
    <row r="18" spans="1:3" x14ac:dyDescent="0.25">
      <c r="A18" s="228" t="s">
        <v>60</v>
      </c>
      <c r="B18" s="104">
        <v>13209.6</v>
      </c>
      <c r="C18" s="105">
        <v>1.3120155178889646E-2</v>
      </c>
    </row>
    <row r="19" spans="1:3" x14ac:dyDescent="0.25">
      <c r="A19" s="103" t="s">
        <v>455</v>
      </c>
      <c r="B19" s="104">
        <v>1006817.36</v>
      </c>
      <c r="C19" s="105">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22</vt:i4>
      </vt:variant>
    </vt:vector>
  </HeadingPairs>
  <TitlesOfParts>
    <vt:vector size="28"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LastShortCallUpdateInfo</vt:lpstr>
      <vt:lpstr>LC_StopLoss_Pct</vt:lpstr>
      <vt:lpstr>AutoFilters!LngOnly</vt:lpstr>
      <vt:lpstr>SNAP!MinimumPremiumRequired</vt:lpstr>
      <vt:lpstr>MockToday</vt:lpstr>
      <vt:lpstr>NextFridayOpex</vt:lpstr>
      <vt:lpstr>NextMonthlyOpex</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2026-07-30T17:58:14Z</dcterms:modified>
</cp:coreProperties>
</file>