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<sst xmlns="http://schemas.openxmlformats.org/spreadsheetml/2006/main" count="57" uniqueCount="46">
  <si>
    <t>Z</t>
  </si>
  <si>
    <t>Y</t>
  </si>
  <si>
    <t>Magloop model with loading in cap AND loop</t>
  </si>
  <si>
    <t>Freq kHz</t>
  </si>
  <si>
    <t>Cap pf</t>
  </si>
  <si>
    <t>Ind nH</t>
  </si>
  <si>
    <t>Cap load</t>
  </si>
  <si>
    <t>coupling 22pf</t>
  </si>
  <si>
    <t>Ind load rad</t>
  </si>
  <si>
    <t>Ind load loss</t>
  </si>
  <si>
    <t>Closs</t>
  </si>
  <si>
    <t>Lloss</t>
  </si>
  <si>
    <t>Efficiency</t>
  </si>
  <si>
    <t>PZShift</t>
  </si>
  <si>
    <t>Cap with load</t>
  </si>
  <si>
    <t>Ind with load</t>
  </si>
  <si>
    <t>Loop</t>
  </si>
  <si>
    <t>Coupling cap pf</t>
  </si>
  <si>
    <t>Loop + coupler</t>
  </si>
  <si>
    <t>Cap loss / Vin sq</t>
  </si>
  <si>
    <t>Total out</t>
  </si>
  <si>
    <t>+3dB</t>
  </si>
  <si>
    <t>Ind loss / Vin sq</t>
  </si>
  <si>
    <t>Unloaded resonance</t>
  </si>
  <si>
    <t>Rad / Vin sq</t>
  </si>
  <si>
    <t>Loop voltage / input</t>
  </si>
  <si>
    <t>Power in / Vin sq</t>
  </si>
  <si>
    <t>C</t>
  </si>
  <si>
    <t>L</t>
  </si>
  <si>
    <t>coupling</t>
  </si>
  <si>
    <t>Zr</t>
  </si>
  <si>
    <t>Zi</t>
  </si>
  <si>
    <t>BW</t>
  </si>
  <si>
    <t>Eff. Q</t>
  </si>
  <si>
    <t>Eff X in</t>
  </si>
  <si>
    <t>P/Z shift</t>
  </si>
  <si>
    <t>BW/PZS</t>
  </si>
  <si>
    <t>Higher coupling pf gives lower Z</t>
  </si>
  <si>
    <t>Higher Q needs smaller coupling pf</t>
  </si>
  <si>
    <t>Losses in C give lower Z than the</t>
  </si>
  <si>
    <t>same losses in L, so need smaller coupling pf</t>
  </si>
  <si>
    <t>After polishing loop, actuals:</t>
  </si>
  <si>
    <t>Null freq</t>
  </si>
  <si>
    <t>Pole freq</t>
  </si>
  <si>
    <t>dubious</t>
  </si>
  <si>
    <t>PZ shift</t>
  </si>
</sst>
</file>

<file path=xl/styles.xml><?xml version="1.0" encoding="utf-8"?>
<styleSheet xmlns="http://schemas.openxmlformats.org/spreadsheetml/2006/main">
  <numFmts count="2">
    <numFmt formatCode="GENERAL" numFmtId="164"/>
    <numFmt formatCode="0.0%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sheetFormatPr defaultRowHeight="15"/>
  <cols>
    <col collapsed="false" hidden="false" max="1" min="1" style="0" width="20.4183673469388"/>
    <col collapsed="false" hidden="false" max="2" min="2" style="0" width="12.2857142857143"/>
    <col collapsed="false" hidden="false" max="3" min="3" style="0" width="8.72959183673469"/>
    <col collapsed="false" hidden="false" max="4" min="4" style="0" width="28.8979591836735"/>
    <col collapsed="false" hidden="false" max="5" min="5" style="0" width="20.5714285714286"/>
    <col collapsed="false" hidden="false" max="1025" min="6" style="0" width="8.72959183673469"/>
  </cols>
  <sheetData>
    <row collapsed="false" customFormat="false" customHeight="false" hidden="false" ht="14.05" outlineLevel="0" r="1">
      <c r="D1" s="0" t="s">
        <v>0</v>
      </c>
      <c r="E1" s="0" t="s">
        <v>1</v>
      </c>
    </row>
    <row collapsed="false" customFormat="false" customHeight="false" hidden="false" ht="15" outlineLevel="0" r="2">
      <c r="A2" s="0" t="s">
        <v>2</v>
      </c>
    </row>
    <row collapsed="false" customFormat="false" customHeight="false" hidden="false" ht="14.05" outlineLevel="0" r="3">
      <c r="A3" s="0" t="s">
        <v>3</v>
      </c>
      <c r="B3" s="0" t="n">
        <v>7125</v>
      </c>
      <c r="C3" s="0" t="n">
        <v>7288</v>
      </c>
    </row>
    <row collapsed="false" customFormat="false" customHeight="false" hidden="false" ht="14.05" outlineLevel="0" r="4">
      <c r="A4" s="0" t="s">
        <v>4</v>
      </c>
      <c r="B4" s="0" t="n">
        <v>156.3</v>
      </c>
      <c r="D4" s="0" t="str">
        <f aca="false">IMDIV(COMPLEX(0,-1000000000),IMPRODUCT(2,PI(),$B$3,B4))</f>
        <v>-142.914496945276i</v>
      </c>
      <c r="E4" s="0" t="str">
        <f aca="false">IMDIV(1,D4)</f>
        <v>0.00699719077752423i</v>
      </c>
    </row>
    <row collapsed="false" customFormat="false" customHeight="false" hidden="false" ht="15" outlineLevel="0" r="5">
      <c r="A5" s="0" t="s">
        <v>5</v>
      </c>
      <c r="B5" s="0" t="n">
        <v>3000</v>
      </c>
      <c r="D5" s="0" t="str">
        <f aca="false">IMPRODUCT(COMPLEX(0,0.000001),2,PI(),$B$3,B5)</f>
        <v>134.303085940964i</v>
      </c>
      <c r="E5" s="0" t="str">
        <f aca="false">IMDIV(1,D5)</f>
        <v>-0.00744584529084889i</v>
      </c>
    </row>
    <row collapsed="false" customFormat="false" customHeight="false" hidden="false" ht="14.05" outlineLevel="0" r="6">
      <c r="A6" s="0" t="s">
        <v>6</v>
      </c>
      <c r="B6" s="0" t="n">
        <v>0.1</v>
      </c>
      <c r="D6" s="0" t="str">
        <f aca="false">COMPLEX(B6,0)</f>
        <v>0.1</v>
      </c>
      <c r="J6" s="0" t="s">
        <v>7</v>
      </c>
    </row>
    <row collapsed="false" customFormat="false" customHeight="false" hidden="false" ht="15" outlineLevel="0" r="7">
      <c r="A7" s="0" t="s">
        <v>8</v>
      </c>
      <c r="B7" s="0" t="n">
        <v>0.02</v>
      </c>
      <c r="D7" s="0" t="str">
        <f aca="false">COMPLEX(B7,0)</f>
        <v>0.02</v>
      </c>
    </row>
    <row collapsed="false" customFormat="false" customHeight="false" hidden="false" ht="14.9" outlineLevel="0" r="8">
      <c r="A8" s="0" t="s">
        <v>9</v>
      </c>
      <c r="B8" s="0" t="n">
        <v>0.1</v>
      </c>
      <c r="D8" s="0" t="str">
        <f aca="false">COMPLEX(B8,0)</f>
        <v>0.1</v>
      </c>
      <c r="J8" s="0" t="s">
        <v>10</v>
      </c>
      <c r="K8" s="0" t="s">
        <v>11</v>
      </c>
      <c r="L8" s="0" t="s">
        <v>12</v>
      </c>
      <c r="M8" s="0" t="s">
        <v>0</v>
      </c>
      <c r="N8" s="0" t="s">
        <v>13</v>
      </c>
    </row>
    <row collapsed="false" customFormat="false" customHeight="false" hidden="false" ht="15" outlineLevel="0" r="9">
      <c r="J9" s="0" t="n">
        <v>0.5</v>
      </c>
      <c r="K9" s="0" t="n">
        <v>0.1</v>
      </c>
      <c r="L9" s="1" t="n">
        <v>0.039</v>
      </c>
      <c r="M9" s="0" t="n">
        <v>36</v>
      </c>
      <c r="N9" s="0" t="n">
        <v>459</v>
      </c>
    </row>
    <row collapsed="false" customFormat="false" customHeight="false" hidden="false" ht="15" outlineLevel="0" r="10">
      <c r="A10" s="0" t="s">
        <v>14</v>
      </c>
      <c r="B10" s="0" t="n">
        <f aca="false">IMABS(D10)</f>
        <v>142.914531931226</v>
      </c>
      <c r="D10" s="0" t="str">
        <f aca="false">IMSUM(D4,D6)</f>
        <v>0.1-142.914496945276i</v>
      </c>
      <c r="E10" s="0" t="str">
        <f aca="false">IMDIV(1,D10)</f>
        <v>4.89606548056012e-006+0.00699718735165381i</v>
      </c>
      <c r="J10" s="0" t="n">
        <v>0.1</v>
      </c>
      <c r="K10" s="0" t="n">
        <v>0.5</v>
      </c>
      <c r="L10" s="1" t="n">
        <v>0.033</v>
      </c>
      <c r="M10" s="0" t="n">
        <v>42</v>
      </c>
    </row>
    <row collapsed="false" customFormat="false" customHeight="false" hidden="false" ht="15" outlineLevel="0" r="11">
      <c r="A11" s="0" t="s">
        <v>15</v>
      </c>
      <c r="B11" s="0" t="n">
        <f aca="false">IMABS(D11)</f>
        <v>134.303139551039</v>
      </c>
      <c r="D11" s="0" t="str">
        <f aca="false">IMSUM(D5,D7,D8)</f>
        <v>0.12+134.303085940964i</v>
      </c>
      <c r="E11" s="0" t="str">
        <f aca="false">IMDIV(1,D11)</f>
        <v>6.652868140148e-006-0.00744583934650166i</v>
      </c>
      <c r="J11" s="0" t="n">
        <v>1</v>
      </c>
      <c r="K11" s="0" t="n">
        <v>0.1</v>
      </c>
      <c r="L11" s="1" t="n">
        <v>0.022</v>
      </c>
      <c r="M11" s="0" t="n">
        <v>63</v>
      </c>
      <c r="N11" s="0" t="n">
        <v>457</v>
      </c>
    </row>
    <row collapsed="false" customFormat="false" customHeight="false" hidden="false" ht="15" outlineLevel="0" r="12">
      <c r="A12" s="0" t="s">
        <v>16</v>
      </c>
      <c r="B12" s="0" t="n">
        <f aca="false">IMABS(D12)</f>
        <v>2228.16094884265</v>
      </c>
      <c r="D12" s="0" t="str">
        <f aca="false">IMDIV(1,E12)</f>
        <v>57.3370047665274+2227.42310346099i</v>
      </c>
      <c r="E12" s="0" t="str">
        <f aca="false">IMSUM(E10:E11)</f>
        <v>1.15489336207081e-005-0.000448651994847848i</v>
      </c>
      <c r="J12" s="0" t="n">
        <v>0.1</v>
      </c>
      <c r="K12" s="0" t="n">
        <v>1</v>
      </c>
      <c r="L12" s="1" t="n">
        <v>0.018</v>
      </c>
      <c r="M12" s="0" t="n">
        <v>77</v>
      </c>
    </row>
    <row collapsed="false" customFormat="false" customHeight="false" hidden="false" ht="15" outlineLevel="0" r="13">
      <c r="J13" s="0" t="n">
        <v>2</v>
      </c>
      <c r="K13" s="0" t="n">
        <v>0.1</v>
      </c>
      <c r="L13" s="1" t="n">
        <v>0.012</v>
      </c>
      <c r="M13" s="0" t="n">
        <v>120</v>
      </c>
      <c r="N13" s="0" t="n">
        <v>450</v>
      </c>
    </row>
    <row collapsed="false" customFormat="false" customHeight="false" hidden="false" ht="15" outlineLevel="0" r="14">
      <c r="J14" s="0" t="n">
        <v>0.1</v>
      </c>
      <c r="K14" s="0" t="n">
        <v>2</v>
      </c>
      <c r="L14" s="1" t="n">
        <v>0.01</v>
      </c>
      <c r="M14" s="0" t="n">
        <v>150</v>
      </c>
    </row>
    <row collapsed="false" customFormat="false" customHeight="false" hidden="false" ht="15" outlineLevel="0" r="15">
      <c r="A15" s="0" t="s">
        <v>17</v>
      </c>
      <c r="B15" s="0" t="n">
        <v>10</v>
      </c>
      <c r="D15" s="0" t="str">
        <f aca="false">IMDIV(COMPLEX(0,-1000000000),IMPRODUCT(2,PI(),$B$3,B15))</f>
        <v>-2233.75358725467i</v>
      </c>
    </row>
    <row collapsed="false" customFormat="false" customHeight="false" hidden="false" ht="15" outlineLevel="0" r="17">
      <c r="A17" s="0" t="s">
        <v>18</v>
      </c>
      <c r="B17" s="0" t="n">
        <f aca="false">IMABS(D17)</f>
        <v>57.6854153201555</v>
      </c>
      <c r="D17" s="0" t="str">
        <f aca="false">IMSUM(D12,D15)</f>
        <v>57.3370047665274-6.33048379367983i</v>
      </c>
      <c r="E17" s="0" t="str">
        <f aca="false">IMDIV(1,D17)</f>
        <v>0.0172307013246688+0.00190241321348603i</v>
      </c>
      <c r="G17" s="0" t="s">
        <v>19</v>
      </c>
      <c r="J17" s="0" t="n">
        <f aca="false">(B20/B10)^2*B6</f>
        <v>0.00730479927690325</v>
      </c>
      <c r="K17" s="0" t="s">
        <v>20</v>
      </c>
      <c r="L17" s="0" t="s">
        <v>12</v>
      </c>
    </row>
    <row collapsed="false" customFormat="false" customHeight="false" hidden="false" ht="15" outlineLevel="0" r="18">
      <c r="A18" s="2" t="s">
        <v>21</v>
      </c>
      <c r="B18" s="0" t="n">
        <f aca="false">B17*1.414</f>
        <v>81.5671772626999</v>
      </c>
      <c r="G18" s="0" t="s">
        <v>22</v>
      </c>
      <c r="J18" s="0" t="n">
        <f aca="false">(B20/B11)^2*B8</f>
        <v>0.00827158503980466</v>
      </c>
    </row>
    <row collapsed="false" customFormat="false" customHeight="false" hidden="false" ht="14.05" outlineLevel="0" r="19">
      <c r="A19" s="0" t="s">
        <v>23</v>
      </c>
      <c r="B19" s="0" t="n">
        <f aca="false">1/2/PI()/SQRT(B4*B5*1E-015)</f>
        <v>7349.87605285213</v>
      </c>
      <c r="G19" s="0" t="s">
        <v>24</v>
      </c>
      <c r="J19" s="0" t="n">
        <f aca="false">(B20/B11)^2*B7</f>
        <v>0.00165431700796093</v>
      </c>
      <c r="K19" s="0" t="n">
        <f aca="false">SUM(J17:J19)</f>
        <v>0.0172307013246688</v>
      </c>
      <c r="L19" s="1" t="n">
        <f aca="false">J19/J20</f>
        <v>0.0960098475848156</v>
      </c>
      <c r="O19" s="0" t="n">
        <v>0.5</v>
      </c>
    </row>
    <row collapsed="false" customFormat="false" customHeight="false" hidden="false" ht="15" outlineLevel="0" r="20">
      <c r="A20" s="0" t="s">
        <v>25</v>
      </c>
      <c r="B20" s="0" t="n">
        <f aca="false">IMABS(D20)</f>
        <v>38.626071017714</v>
      </c>
      <c r="D20" s="0" t="str">
        <f aca="false">IMDIV(D12,D17)</f>
        <v>-3.24952234006511+38.4891408948927i</v>
      </c>
      <c r="G20" s="0" t="s">
        <v>26</v>
      </c>
      <c r="J20" s="0" t="n">
        <f aca="false">IMREAL(E17)</f>
        <v>0.0172307013246688</v>
      </c>
    </row>
    <row collapsed="false" customFormat="false" customHeight="false" hidden="false" ht="15" outlineLevel="0" r="22">
      <c r="D22" s="0" t="s">
        <v>27</v>
      </c>
      <c r="E22" s="0" t="s">
        <v>28</v>
      </c>
      <c r="F22" s="0" t="s">
        <v>10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</row>
    <row collapsed="false" customFormat="false" customHeight="false" hidden="false" ht="15" outlineLevel="0" r="23">
      <c r="A23" s="0" t="s">
        <v>37</v>
      </c>
      <c r="D23" s="0" t="n">
        <v>170.2</v>
      </c>
      <c r="E23" s="0" t="n">
        <v>2800</v>
      </c>
      <c r="F23" s="0" t="n">
        <v>2</v>
      </c>
      <c r="G23" s="0" t="n">
        <v>15</v>
      </c>
      <c r="H23" s="0" t="n">
        <v>286</v>
      </c>
      <c r="I23" s="0" t="n">
        <v>3</v>
      </c>
      <c r="M23" s="0" t="n">
        <v>291</v>
      </c>
    </row>
    <row collapsed="false" customFormat="false" customHeight="false" hidden="false" ht="15" outlineLevel="0" r="24">
      <c r="D24" s="0" t="n">
        <v>165</v>
      </c>
      <c r="E24" s="0" t="n">
        <v>2800</v>
      </c>
      <c r="F24" s="0" t="n">
        <v>2</v>
      </c>
      <c r="G24" s="0" t="n">
        <v>20</v>
      </c>
      <c r="H24" s="0" t="n">
        <v>148</v>
      </c>
      <c r="I24" s="0" t="n">
        <v>0.3</v>
      </c>
      <c r="M24" s="0" t="n">
        <v>405</v>
      </c>
    </row>
    <row collapsed="false" customFormat="false" customHeight="false" hidden="false" ht="14.05" outlineLevel="0" r="25">
      <c r="A25" s="0" t="n">
        <v>2800</v>
      </c>
      <c r="B25" s="0" t="n">
        <v>457</v>
      </c>
      <c r="C25" s="0" t="n">
        <f aca="false">B25/A25</f>
        <v>0.163214285714286</v>
      </c>
      <c r="D25" s="0" t="n">
        <v>155</v>
      </c>
      <c r="E25" s="0" t="n">
        <v>2800</v>
      </c>
      <c r="F25" s="0" t="n">
        <v>2</v>
      </c>
      <c r="G25" s="0" t="n">
        <v>30</v>
      </c>
      <c r="H25" s="0" t="n">
        <v>59</v>
      </c>
      <c r="I25" s="0" t="n">
        <v>4</v>
      </c>
      <c r="M25" s="0" t="n">
        <v>640</v>
      </c>
    </row>
    <row collapsed="false" customFormat="false" customHeight="false" hidden="false" ht="14.05" outlineLevel="0" r="26">
      <c r="A26" s="0" t="n">
        <v>3500</v>
      </c>
      <c r="B26" s="0" t="n">
        <v>584</v>
      </c>
      <c r="C26" s="0" t="n">
        <f aca="false">B26/A26</f>
        <v>0.166857142857143</v>
      </c>
      <c r="D26" s="0" t="n">
        <v>145</v>
      </c>
      <c r="E26" s="0" t="n">
        <v>2800</v>
      </c>
      <c r="F26" s="0" t="n">
        <v>2</v>
      </c>
      <c r="G26" s="0" t="n">
        <v>40</v>
      </c>
      <c r="H26" s="0" t="n">
        <v>29</v>
      </c>
      <c r="I26" s="0" t="n">
        <v>4</v>
      </c>
      <c r="M26" s="0" t="n">
        <v>898</v>
      </c>
    </row>
    <row collapsed="false" customFormat="false" customHeight="false" hidden="false" ht="14.05" outlineLevel="0" r="27">
      <c r="A27" s="0" t="n">
        <v>4000</v>
      </c>
      <c r="B27" s="0" t="n">
        <v>686</v>
      </c>
      <c r="C27" s="0" t="n">
        <f aca="false">B27/A27</f>
        <v>0.1715</v>
      </c>
    </row>
    <row collapsed="false" customFormat="false" customHeight="false" hidden="false" ht="14.9" outlineLevel="0" r="28">
      <c r="A28" s="0" t="s">
        <v>38</v>
      </c>
      <c r="D28" s="0" t="n">
        <v>153</v>
      </c>
      <c r="E28" s="0" t="n">
        <v>2800</v>
      </c>
      <c r="F28" s="0" t="n">
        <v>2</v>
      </c>
      <c r="G28" s="0" t="n">
        <v>32</v>
      </c>
      <c r="H28" s="0" t="n">
        <v>51</v>
      </c>
      <c r="I28" s="0" t="n">
        <v>4</v>
      </c>
      <c r="J28" s="0" t="n">
        <v>64</v>
      </c>
      <c r="K28" s="0" t="n">
        <f aca="false">7000/J28</f>
        <v>109.375</v>
      </c>
      <c r="L28" s="0" t="n">
        <f aca="false">H28*K28</f>
        <v>5578.125</v>
      </c>
      <c r="M28" s="0" t="n">
        <v>689</v>
      </c>
      <c r="N28" s="0" t="n">
        <f aca="false">J28/M28</f>
        <v>0.0928882438316401</v>
      </c>
      <c r="O28" s="0" t="n">
        <f aca="false">J28^$O$19</f>
        <v>8</v>
      </c>
      <c r="P28" s="0" t="n">
        <f aca="false">O28/M28</f>
        <v>0.011611030478955</v>
      </c>
    </row>
    <row collapsed="false" customFormat="false" customHeight="false" hidden="false" ht="15" outlineLevel="0" r="29">
      <c r="D29" s="0" t="n">
        <v>159.7</v>
      </c>
      <c r="E29" s="0" t="n">
        <v>2800</v>
      </c>
      <c r="F29" s="0" t="n">
        <v>1</v>
      </c>
      <c r="G29" s="0" t="n">
        <v>25</v>
      </c>
      <c r="H29" s="0" t="n">
        <v>47</v>
      </c>
      <c r="I29" s="0" t="n">
        <v>0</v>
      </c>
      <c r="J29" s="0" t="n">
        <v>42</v>
      </c>
      <c r="K29" s="0" t="n">
        <f aca="false">7000/J29</f>
        <v>166.666666666667</v>
      </c>
      <c r="L29" s="0" t="n">
        <f aca="false">H29*K29</f>
        <v>7833.33333333333</v>
      </c>
      <c r="M29" s="0" t="n">
        <v>526</v>
      </c>
      <c r="N29" s="0" t="n">
        <f aca="false">J29/M29</f>
        <v>0.0798479087452472</v>
      </c>
      <c r="O29" s="0" t="n">
        <f aca="false">J29^$O$19</f>
        <v>6.48074069840786</v>
      </c>
      <c r="P29" s="0" t="n">
        <f aca="false">O29/M29</f>
        <v>0.0123207998068591</v>
      </c>
    </row>
    <row collapsed="false" customFormat="false" customHeight="false" hidden="false" ht="15" outlineLevel="0" r="30">
      <c r="D30" s="0" t="n">
        <v>165.7</v>
      </c>
      <c r="E30" s="0" t="n">
        <v>2800</v>
      </c>
      <c r="F30" s="0" t="n">
        <v>0.5</v>
      </c>
      <c r="G30" s="0" t="n">
        <v>19</v>
      </c>
      <c r="H30" s="0" t="n">
        <v>50</v>
      </c>
      <c r="I30" s="0" t="n">
        <v>3</v>
      </c>
      <c r="J30" s="0" t="n">
        <v>26</v>
      </c>
      <c r="K30" s="0" t="n">
        <f aca="false">7000/J30</f>
        <v>269.230769230769</v>
      </c>
      <c r="L30" s="0" t="n">
        <f aca="false">H30*K30</f>
        <v>13461.5384615385</v>
      </c>
      <c r="M30" s="0" t="n">
        <v>389</v>
      </c>
      <c r="N30" s="0" t="n">
        <f aca="false">J30/M30</f>
        <v>0.0668380462724936</v>
      </c>
      <c r="O30" s="0" t="n">
        <f aca="false">J30^$O$19</f>
        <v>5.09901951359278</v>
      </c>
      <c r="P30" s="0" t="n">
        <f aca="false">O30/M30</f>
        <v>0.0131080193151485</v>
      </c>
    </row>
    <row collapsed="false" customFormat="false" customHeight="false" hidden="false" ht="15" outlineLevel="0" r="33">
      <c r="A33" s="0" t="s">
        <v>39</v>
      </c>
      <c r="D33" s="0" t="s">
        <v>27</v>
      </c>
      <c r="E33" s="0" t="s">
        <v>28</v>
      </c>
      <c r="F33" s="0" t="s">
        <v>11</v>
      </c>
      <c r="G33" s="0" t="s">
        <v>29</v>
      </c>
      <c r="H33" s="0" t="s">
        <v>30</v>
      </c>
      <c r="I33" s="0" t="s">
        <v>31</v>
      </c>
      <c r="J33" s="0" t="s">
        <v>32</v>
      </c>
    </row>
    <row collapsed="false" customFormat="false" customHeight="false" hidden="false" ht="15" outlineLevel="0" r="34">
      <c r="A34" s="0" t="s">
        <v>40</v>
      </c>
      <c r="D34" s="0" t="n">
        <v>153</v>
      </c>
      <c r="E34" s="0" t="n">
        <v>2800</v>
      </c>
      <c r="F34" s="0" t="n">
        <v>2</v>
      </c>
      <c r="G34" s="0" t="n">
        <v>32</v>
      </c>
      <c r="H34" s="0" t="n">
        <v>71</v>
      </c>
      <c r="I34" s="0" t="n">
        <v>3</v>
      </c>
      <c r="J34" s="0" t="n">
        <v>90</v>
      </c>
      <c r="K34" s="0" t="n">
        <f aca="false">7000/J34</f>
        <v>77.7777777777778</v>
      </c>
      <c r="L34" s="0" t="n">
        <f aca="false">H34*K34</f>
        <v>5522.22222222222</v>
      </c>
      <c r="M34" s="0" t="n">
        <v>689</v>
      </c>
      <c r="N34" s="0" t="n">
        <f aca="false">J34/M34</f>
        <v>0.130624092888244</v>
      </c>
      <c r="O34" s="0" t="n">
        <f aca="false">J34^$O$19</f>
        <v>9.48683298050514</v>
      </c>
      <c r="P34" s="0" t="n">
        <f aca="false">O34/M34</f>
        <v>0.0137689883606751</v>
      </c>
    </row>
    <row collapsed="false" customFormat="false" customHeight="false" hidden="false" ht="15" outlineLevel="0" r="35">
      <c r="D35" s="0" t="n">
        <v>159.7</v>
      </c>
      <c r="E35" s="0" t="n">
        <v>2800</v>
      </c>
      <c r="F35" s="0" t="n">
        <v>1</v>
      </c>
      <c r="G35" s="0" t="n">
        <v>25</v>
      </c>
      <c r="H35" s="0" t="n">
        <v>60</v>
      </c>
      <c r="I35" s="0" t="n">
        <v>0</v>
      </c>
      <c r="J35" s="0" t="n">
        <v>52</v>
      </c>
      <c r="K35" s="0" t="n">
        <f aca="false">7000/J35</f>
        <v>134.615384615385</v>
      </c>
      <c r="L35" s="0" t="n">
        <f aca="false">H35*K35</f>
        <v>8076.92307692308</v>
      </c>
      <c r="M35" s="0" t="n">
        <v>526</v>
      </c>
      <c r="N35" s="0" t="n">
        <f aca="false">J35/M35</f>
        <v>0.0988593155893536</v>
      </c>
      <c r="O35" s="0" t="n">
        <f aca="false">J35^$O$19</f>
        <v>7.21110255092798</v>
      </c>
      <c r="P35" s="0" t="n">
        <f aca="false">O35/M35</f>
        <v>0.0137093204390266</v>
      </c>
    </row>
    <row collapsed="false" customFormat="false" customHeight="false" hidden="false" ht="15" outlineLevel="0" r="36">
      <c r="D36" s="0" t="n">
        <v>165.7</v>
      </c>
      <c r="E36" s="0" t="n">
        <v>2800</v>
      </c>
      <c r="F36" s="0" t="n">
        <v>0.5</v>
      </c>
      <c r="G36" s="0" t="n">
        <v>19</v>
      </c>
      <c r="H36" s="0" t="n">
        <v>57</v>
      </c>
      <c r="I36" s="0" t="n">
        <v>2</v>
      </c>
      <c r="J36" s="0" t="n">
        <v>30</v>
      </c>
      <c r="K36" s="0" t="n">
        <f aca="false">7000/J36</f>
        <v>233.333333333333</v>
      </c>
      <c r="L36" s="0" t="n">
        <f aca="false">H36*K36</f>
        <v>13300</v>
      </c>
      <c r="M36" s="0" t="n">
        <v>389</v>
      </c>
      <c r="N36" s="0" t="n">
        <f aca="false">J36/M36</f>
        <v>0.077120822622108</v>
      </c>
      <c r="O36" s="0" t="n">
        <f aca="false">J36^$O$19</f>
        <v>5.47722557505166</v>
      </c>
      <c r="P36" s="0" t="n">
        <f aca="false">O36/M36</f>
        <v>0.0140802714011611</v>
      </c>
    </row>
    <row collapsed="false" customFormat="false" customHeight="false" hidden="false" ht="15" outlineLevel="0" r="37">
      <c r="A37" s="0" t="s">
        <v>41</v>
      </c>
    </row>
    <row collapsed="false" customFormat="false" customHeight="false" hidden="false" ht="15" outlineLevel="0" r="38">
      <c r="A38" s="0" t="s">
        <v>42</v>
      </c>
      <c r="B38" s="0" t="n">
        <v>7030</v>
      </c>
      <c r="D38" s="0" t="n">
        <v>146.8</v>
      </c>
      <c r="E38" s="0" t="n">
        <v>2800</v>
      </c>
      <c r="F38" s="0" t="n">
        <v>2</v>
      </c>
      <c r="G38" s="0" t="n">
        <v>38</v>
      </c>
      <c r="H38" s="0" t="n">
        <v>49</v>
      </c>
      <c r="I38" s="0" t="n">
        <v>0</v>
      </c>
      <c r="J38" s="0" t="n">
        <v>100</v>
      </c>
      <c r="K38" s="0" t="n">
        <f aca="false">7000/J38</f>
        <v>70</v>
      </c>
      <c r="L38" s="0" t="n">
        <f aca="false">H38*K38</f>
        <v>3430</v>
      </c>
      <c r="M38" s="0" t="n">
        <v>850</v>
      </c>
      <c r="N38" s="0" t="n">
        <f aca="false">J38/M38</f>
        <v>0.117647058823529</v>
      </c>
      <c r="O38" s="0" t="n">
        <f aca="false">J38^$O$19</f>
        <v>10</v>
      </c>
      <c r="P38" s="0" t="n">
        <f aca="false">O38/M38</f>
        <v>0.0117647058823529</v>
      </c>
    </row>
    <row collapsed="false" customFormat="false" customHeight="false" hidden="false" ht="15" outlineLevel="0" r="39">
      <c r="A39" s="0" t="s">
        <v>43</v>
      </c>
      <c r="B39" s="0" t="n">
        <v>7298</v>
      </c>
      <c r="C39" s="0" t="s">
        <v>44</v>
      </c>
      <c r="D39" s="0" t="n">
        <v>157.7</v>
      </c>
      <c r="E39" s="0" t="n">
        <v>2800</v>
      </c>
      <c r="F39" s="0" t="n">
        <v>1</v>
      </c>
      <c r="G39" s="0" t="n">
        <v>27</v>
      </c>
      <c r="H39" s="0" t="n">
        <v>51</v>
      </c>
      <c r="I39" s="0" t="n">
        <v>0</v>
      </c>
      <c r="J39" s="0" t="n">
        <v>52</v>
      </c>
      <c r="K39" s="0" t="n">
        <f aca="false">7000/J39</f>
        <v>134.615384615385</v>
      </c>
      <c r="L39" s="0" t="n">
        <f aca="false">H39*K39</f>
        <v>6865.38461538462</v>
      </c>
      <c r="M39" s="0" t="n">
        <v>574</v>
      </c>
      <c r="N39" s="0" t="n">
        <f aca="false">J39/M39</f>
        <v>0.0905923344947735</v>
      </c>
      <c r="O39" s="0" t="n">
        <f aca="false">J39^$O$19</f>
        <v>7.21110255092798</v>
      </c>
      <c r="P39" s="0" t="n">
        <f aca="false">O39/M39</f>
        <v>0.0125628964301881</v>
      </c>
    </row>
    <row collapsed="false" customFormat="false" customHeight="false" hidden="false" ht="15" outlineLevel="0" r="40">
      <c r="A40" s="0" t="s">
        <v>45</v>
      </c>
      <c r="B40" s="0" t="n">
        <f aca="false">B39-B38</f>
        <v>268</v>
      </c>
      <c r="C40" s="0" t="s">
        <v>44</v>
      </c>
      <c r="D40" s="0" t="n">
        <v>164.7</v>
      </c>
      <c r="E40" s="0" t="n">
        <v>2800</v>
      </c>
      <c r="F40" s="0" t="n">
        <v>0.5</v>
      </c>
      <c r="G40" s="0" t="n">
        <v>20</v>
      </c>
      <c r="H40" s="0" t="n">
        <v>51</v>
      </c>
      <c r="I40" s="0" t="n">
        <v>2</v>
      </c>
      <c r="J40" s="0" t="n">
        <v>28</v>
      </c>
      <c r="K40" s="0" t="n">
        <f aca="false">7000/J40</f>
        <v>250</v>
      </c>
      <c r="L40" s="0" t="n">
        <f aca="false">H40*K40</f>
        <v>12750</v>
      </c>
      <c r="M40" s="0" t="n">
        <v>411</v>
      </c>
      <c r="N40" s="0" t="n">
        <f aca="false">J40/M40</f>
        <v>0.0681265206812652</v>
      </c>
      <c r="O40" s="0" t="n">
        <f aca="false">J40^$O$19</f>
        <v>5.29150262212918</v>
      </c>
      <c r="P40" s="0" t="n">
        <f aca="false">O40/M40</f>
        <v>0.0128747022436233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2014-08-11T12:09:22Z</dcterms:created>
  <dc:creator>esure</dc:creator>
  <cp:lastModifiedBy>esure</cp:lastModifiedBy>
  <dcterms:modified xsi:type="dcterms:W3CDTF">2014-08-19T16:24:21Z</dcterms:modified>
  <cp:revision>0</cp:revision>
</cp:coreProperties>
</file>