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yTech\0 DyTech Informations\"/>
    </mc:Choice>
  </mc:AlternateContent>
  <bookViews>
    <workbookView xWindow="0" yWindow="0" windowWidth="25200" windowHeight="12135" activeTab="2"/>
  </bookViews>
  <sheets>
    <sheet name="Modules" sheetId="1" r:id="rId1"/>
    <sheet name="Steam" sheetId="2" r:id="rId2"/>
    <sheet name="Laser Turrets" sheetId="3" r:id="rId3"/>
    <sheet name="Gems" sheetId="4" r:id="rId4"/>
    <sheet name="Msc" sheetId="5" r:id="rId5"/>
    <sheet name="Dytech Balance" sheetId="6" state="hidden" r:id="rId6"/>
    <sheet name="Msc2" sheetId="7" r:id="rId7"/>
  </sheets>
  <calcPr calcId="152511"/>
  <fileRecoveryPr repairLoad="1"/>
</workbook>
</file>

<file path=xl/calcChain.xml><?xml version="1.0" encoding="utf-8"?>
<calcChain xmlns="http://schemas.openxmlformats.org/spreadsheetml/2006/main">
  <c r="M42" i="3" l="1"/>
  <c r="M41" i="3"/>
  <c r="M40" i="3"/>
  <c r="M33" i="3"/>
  <c r="M32" i="3"/>
  <c r="M31" i="3"/>
  <c r="M24" i="3"/>
  <c r="M23" i="3"/>
  <c r="M22" i="3"/>
  <c r="M15" i="3"/>
  <c r="M14" i="3"/>
  <c r="M13" i="3"/>
  <c r="M6" i="3"/>
  <c r="C40" i="7"/>
  <c r="G34" i="7"/>
  <c r="H31" i="7"/>
  <c r="F31" i="7"/>
  <c r="B28" i="7"/>
  <c r="G25" i="7"/>
  <c r="G24" i="7"/>
  <c r="B24" i="7"/>
  <c r="I23" i="7"/>
  <c r="G23" i="7"/>
  <c r="B23" i="7"/>
  <c r="H20" i="7"/>
  <c r="E20" i="7"/>
  <c r="E21" i="7" s="1"/>
  <c r="B20" i="7"/>
  <c r="H19" i="7"/>
  <c r="G19" i="7"/>
  <c r="F19" i="7"/>
  <c r="F18" i="7"/>
  <c r="E18" i="7"/>
  <c r="G16" i="7"/>
  <c r="B12" i="7"/>
  <c r="B11" i="7"/>
  <c r="D10" i="7"/>
  <c r="G8" i="7"/>
  <c r="G7" i="7" s="1"/>
  <c r="H7" i="7" s="1"/>
  <c r="B3" i="7"/>
  <c r="B4" i="7" s="1"/>
  <c r="B2" i="7"/>
  <c r="B1" i="7"/>
  <c r="L23" i="6"/>
  <c r="L22" i="6"/>
  <c r="K22" i="6"/>
  <c r="N22" i="6" s="1"/>
  <c r="I22" i="6"/>
  <c r="F22" i="6"/>
  <c r="G22" i="6" s="1"/>
  <c r="E22" i="6"/>
  <c r="L21" i="6"/>
  <c r="K21" i="6" s="1"/>
  <c r="N21" i="6" s="1"/>
  <c r="I21" i="6"/>
  <c r="F21" i="6"/>
  <c r="E21" i="6"/>
  <c r="G21" i="6" s="1"/>
  <c r="L20" i="6"/>
  <c r="K20" i="6"/>
  <c r="N20" i="6" s="1"/>
  <c r="I20" i="6"/>
  <c r="G20" i="6"/>
  <c r="F20" i="6"/>
  <c r="E20" i="6"/>
  <c r="I19" i="6"/>
  <c r="F19" i="6"/>
  <c r="G19" i="6" s="1"/>
  <c r="E19" i="6"/>
  <c r="L19" i="6" s="1"/>
  <c r="K19" i="6" s="1"/>
  <c r="N19" i="6" s="1"/>
  <c r="E18" i="6"/>
  <c r="L18" i="6" s="1"/>
  <c r="K18" i="6" s="1"/>
  <c r="N18" i="6" s="1"/>
  <c r="D13" i="6"/>
  <c r="I13" i="6" s="1"/>
  <c r="D12" i="6"/>
  <c r="D11" i="6"/>
  <c r="I11" i="6" s="1"/>
  <c r="I10" i="6"/>
  <c r="H10" i="6"/>
  <c r="H11" i="6" s="1"/>
  <c r="F10" i="6"/>
  <c r="G10" i="6" s="1"/>
  <c r="E10" i="6" s="1"/>
  <c r="L10" i="6" s="1"/>
  <c r="K10" i="6" s="1"/>
  <c r="N10" i="6" s="1"/>
  <c r="D10" i="6"/>
  <c r="I9" i="6"/>
  <c r="H9" i="6"/>
  <c r="G9" i="6"/>
  <c r="E9" i="6"/>
  <c r="L9" i="6" s="1"/>
  <c r="K9" i="6" s="1"/>
  <c r="N9" i="6" s="1"/>
  <c r="C9" i="6"/>
  <c r="F29" i="5"/>
  <c r="C23" i="5"/>
  <c r="F20" i="5"/>
  <c r="G19" i="5"/>
  <c r="D19" i="5"/>
  <c r="H18" i="5"/>
  <c r="G18" i="5"/>
  <c r="D13" i="5"/>
  <c r="D1" i="5"/>
  <c r="C1" i="5"/>
  <c r="B1" i="5"/>
  <c r="A1" i="5"/>
  <c r="A2" i="5" s="1"/>
  <c r="F7" i="4"/>
  <c r="E7" i="4"/>
  <c r="F6" i="4"/>
  <c r="E6" i="4"/>
  <c r="F5" i="4"/>
  <c r="E5" i="4"/>
  <c r="F4" i="4"/>
  <c r="E4" i="4"/>
  <c r="F3" i="4"/>
  <c r="E3" i="4"/>
  <c r="P42" i="3"/>
  <c r="L42" i="3"/>
  <c r="K42" i="3"/>
  <c r="J42" i="3"/>
  <c r="I42" i="3"/>
  <c r="G42" i="3"/>
  <c r="P41" i="3"/>
  <c r="L41" i="3"/>
  <c r="K41" i="3"/>
  <c r="J41" i="3"/>
  <c r="I41" i="3"/>
  <c r="G41" i="3"/>
  <c r="F41" i="3"/>
  <c r="H41" i="3" s="1"/>
  <c r="P40" i="3"/>
  <c r="L40" i="3"/>
  <c r="K40" i="3"/>
  <c r="J40" i="3"/>
  <c r="I40" i="3"/>
  <c r="G40" i="3"/>
  <c r="F40" i="3"/>
  <c r="P33" i="3"/>
  <c r="L33" i="3"/>
  <c r="K33" i="3"/>
  <c r="J33" i="3"/>
  <c r="I33" i="3"/>
  <c r="G33" i="3"/>
  <c r="P32" i="3"/>
  <c r="L32" i="3"/>
  <c r="K32" i="3"/>
  <c r="J32" i="3"/>
  <c r="I32" i="3"/>
  <c r="G32" i="3"/>
  <c r="P31" i="3"/>
  <c r="L31" i="3"/>
  <c r="K31" i="3"/>
  <c r="J31" i="3"/>
  <c r="I31" i="3"/>
  <c r="G31" i="3"/>
  <c r="F31" i="3"/>
  <c r="H31" i="3" s="1"/>
  <c r="P24" i="3"/>
  <c r="L24" i="3"/>
  <c r="K24" i="3"/>
  <c r="J24" i="3"/>
  <c r="I24" i="3"/>
  <c r="G24" i="3"/>
  <c r="H24" i="3" s="1"/>
  <c r="F24" i="3"/>
  <c r="P23" i="3"/>
  <c r="L23" i="3"/>
  <c r="K23" i="3"/>
  <c r="J23" i="3"/>
  <c r="I23" i="3"/>
  <c r="G23" i="3"/>
  <c r="P22" i="3"/>
  <c r="L22" i="3"/>
  <c r="K22" i="3"/>
  <c r="J22" i="3"/>
  <c r="I22" i="3"/>
  <c r="G22" i="3"/>
  <c r="P15" i="3"/>
  <c r="L15" i="3"/>
  <c r="K15" i="3"/>
  <c r="J15" i="3"/>
  <c r="I15" i="3"/>
  <c r="G15" i="3"/>
  <c r="F15" i="3"/>
  <c r="H15" i="3" s="1"/>
  <c r="P14" i="3"/>
  <c r="L14" i="3"/>
  <c r="K14" i="3"/>
  <c r="J14" i="3"/>
  <c r="I14" i="3"/>
  <c r="G14" i="3"/>
  <c r="F14" i="3"/>
  <c r="H14" i="3" s="1"/>
  <c r="P13" i="3"/>
  <c r="L13" i="3"/>
  <c r="K13" i="3"/>
  <c r="J13" i="3"/>
  <c r="I13" i="3"/>
  <c r="G13" i="3"/>
  <c r="H6" i="3"/>
  <c r="F6" i="3"/>
  <c r="F13" i="3" s="1"/>
  <c r="H13" i="2"/>
  <c r="G13" i="2"/>
  <c r="G12" i="2"/>
  <c r="C10" i="2"/>
  <c r="B7" i="2"/>
  <c r="B8" i="2" s="1"/>
  <c r="H6" i="2"/>
  <c r="B6" i="2"/>
  <c r="I5" i="2"/>
  <c r="H5" i="2"/>
  <c r="G5" i="2"/>
  <c r="D5" i="2"/>
  <c r="D6" i="2" s="1"/>
  <c r="C5" i="2"/>
  <c r="E5" i="2" s="1"/>
  <c r="B5" i="2"/>
  <c r="I4" i="2"/>
  <c r="G4" i="2"/>
  <c r="C4" i="2"/>
  <c r="E50" i="1"/>
  <c r="E51" i="1" s="1"/>
  <c r="E52" i="1" s="1"/>
  <c r="E53" i="1" s="1"/>
  <c r="E54" i="1" s="1"/>
  <c r="E55" i="1" s="1"/>
  <c r="E49" i="1"/>
  <c r="E38" i="1"/>
  <c r="E39" i="1" s="1"/>
  <c r="G37" i="1"/>
  <c r="E27" i="1"/>
  <c r="K26" i="1"/>
  <c r="J26" i="1"/>
  <c r="J27" i="1" s="1"/>
  <c r="J28" i="1" s="1"/>
  <c r="J29" i="1" s="1"/>
  <c r="J30" i="1" s="1"/>
  <c r="J31" i="1" s="1"/>
  <c r="J32" i="1" s="1"/>
  <c r="J33" i="1" s="1"/>
  <c r="I26" i="1"/>
  <c r="F26" i="1"/>
  <c r="G26" i="1" s="1"/>
  <c r="G17" i="1"/>
  <c r="E17" i="1"/>
  <c r="E18" i="1" s="1"/>
  <c r="E16" i="1"/>
  <c r="G16" i="1" s="1"/>
  <c r="H15" i="1"/>
  <c r="E5" i="1"/>
  <c r="H5" i="1" s="1"/>
  <c r="F4" i="1"/>
  <c r="H13" i="3" l="1"/>
  <c r="N41" i="3"/>
  <c r="H40" i="3"/>
  <c r="N40" i="3" s="1"/>
  <c r="N24" i="3"/>
  <c r="H12" i="6"/>
  <c r="H13" i="6" s="1"/>
  <c r="F11" i="6"/>
  <c r="G11" i="6" s="1"/>
  <c r="E11" i="6" s="1"/>
  <c r="L11" i="6" s="1"/>
  <c r="K11" i="6" s="1"/>
  <c r="N11" i="6" s="1"/>
  <c r="E22" i="7"/>
  <c r="F21" i="7"/>
  <c r="E19" i="1"/>
  <c r="G18" i="1"/>
  <c r="N31" i="3"/>
  <c r="E6" i="1"/>
  <c r="F5" i="1"/>
  <c r="H16" i="1" s="1"/>
  <c r="G6" i="2"/>
  <c r="D7" i="2"/>
  <c r="C6" i="2"/>
  <c r="N6" i="3"/>
  <c r="E28" i="1"/>
  <c r="K27" i="1"/>
  <c r="I27" i="1"/>
  <c r="F27" i="1"/>
  <c r="G27" i="1" s="1"/>
  <c r="E4" i="2"/>
  <c r="I12" i="6"/>
  <c r="F12" i="6"/>
  <c r="G12" i="6" s="1"/>
  <c r="E12" i="6" s="1"/>
  <c r="L12" i="6" s="1"/>
  <c r="K12" i="6" s="1"/>
  <c r="N12" i="6" s="1"/>
  <c r="N22" i="3"/>
  <c r="E40" i="1"/>
  <c r="G39" i="1"/>
  <c r="H7" i="2"/>
  <c r="I6" i="2"/>
  <c r="O13" i="3"/>
  <c r="N14" i="3"/>
  <c r="N15" i="3"/>
  <c r="B2" i="5"/>
  <c r="B6" i="7"/>
  <c r="C6" i="7" s="1"/>
  <c r="D6" i="7" s="1"/>
  <c r="D7" i="7" s="1"/>
  <c r="B5" i="7"/>
  <c r="C5" i="7" s="1"/>
  <c r="H8" i="7"/>
  <c r="I8" i="7" s="1"/>
  <c r="F13" i="6"/>
  <c r="G13" i="6" s="1"/>
  <c r="E13" i="6" s="1"/>
  <c r="L13" i="6" s="1"/>
  <c r="K13" i="6" s="1"/>
  <c r="N13" i="6" s="1"/>
  <c r="G18" i="6"/>
  <c r="G38" i="1"/>
  <c r="F22" i="3"/>
  <c r="H22" i="3" s="1"/>
  <c r="F32" i="3"/>
  <c r="H32" i="3" s="1"/>
  <c r="F42" i="3"/>
  <c r="H42" i="3" s="1"/>
  <c r="N42" i="3" s="1"/>
  <c r="F23" i="3"/>
  <c r="F33" i="3"/>
  <c r="E16" i="2"/>
  <c r="N13" i="3" l="1"/>
  <c r="F28" i="1"/>
  <c r="G28" i="1" s="1"/>
  <c r="K28" i="1"/>
  <c r="E29" i="1"/>
  <c r="I28" i="1"/>
  <c r="E7" i="1"/>
  <c r="H6" i="1"/>
  <c r="F6" i="1"/>
  <c r="H17" i="1" s="1"/>
  <c r="I10" i="7"/>
  <c r="I11" i="7" s="1"/>
  <c r="I9" i="7"/>
  <c r="H8" i="2"/>
  <c r="I8" i="2" s="1"/>
  <c r="I7" i="2"/>
  <c r="E17" i="2"/>
  <c r="E6" i="2"/>
  <c r="H23" i="3"/>
  <c r="G7" i="2"/>
  <c r="D8" i="2"/>
  <c r="C7" i="2"/>
  <c r="G19" i="1"/>
  <c r="E20" i="1"/>
  <c r="H33" i="3"/>
  <c r="E41" i="1"/>
  <c r="G40" i="1"/>
  <c r="N32" i="3"/>
  <c r="I29" i="1" l="1"/>
  <c r="F29" i="1"/>
  <c r="G29" i="1" s="1"/>
  <c r="K29" i="1"/>
  <c r="E30" i="1"/>
  <c r="N33" i="3"/>
  <c r="G20" i="1"/>
  <c r="E21" i="1"/>
  <c r="E18" i="2"/>
  <c r="E7" i="2"/>
  <c r="G8" i="2"/>
  <c r="C8" i="2"/>
  <c r="N23" i="3"/>
  <c r="F7" i="1"/>
  <c r="H18" i="1" s="1"/>
  <c r="E8" i="1"/>
  <c r="H7" i="1"/>
  <c r="E42" i="1"/>
  <c r="G41" i="1"/>
  <c r="G21" i="1" l="1"/>
  <c r="E22" i="1"/>
  <c r="H8" i="1"/>
  <c r="E9" i="1"/>
  <c r="F8" i="1"/>
  <c r="H19" i="1" s="1"/>
  <c r="E8" i="2"/>
  <c r="D10" i="2"/>
  <c r="E19" i="2"/>
  <c r="K30" i="1"/>
  <c r="I30" i="1"/>
  <c r="F30" i="1"/>
  <c r="G30" i="1" s="1"/>
  <c r="E31" i="1"/>
  <c r="E43" i="1"/>
  <c r="G42" i="1"/>
  <c r="E44" i="1" l="1"/>
  <c r="G44" i="1" s="1"/>
  <c r="G43" i="1"/>
  <c r="E32" i="1"/>
  <c r="K31" i="1"/>
  <c r="I31" i="1"/>
  <c r="F31" i="1"/>
  <c r="G31" i="1" s="1"/>
  <c r="E10" i="1"/>
  <c r="H9" i="1"/>
  <c r="F9" i="1"/>
  <c r="H20" i="1" s="1"/>
  <c r="G22" i="1"/>
  <c r="H10" i="1" l="1"/>
  <c r="E11" i="1"/>
  <c r="F10" i="1"/>
  <c r="H21" i="1" s="1"/>
  <c r="F32" i="1"/>
  <c r="G32" i="1" s="1"/>
  <c r="K32" i="1"/>
  <c r="E33" i="1"/>
  <c r="I32" i="1"/>
  <c r="I33" i="1" l="1"/>
  <c r="F33" i="1"/>
  <c r="G33" i="1" s="1"/>
  <c r="K33" i="1"/>
  <c r="F11" i="1"/>
  <c r="H22" i="1" s="1"/>
  <c r="H11" i="1"/>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D2" authorId="0" shapeId="0">
      <text>
        <r>
          <rPr>
            <sz val="10"/>
            <rFont val="Arial"/>
          </rPr>
          <t>Edit this to change Power Out[KW] As desired
	-Jacob Hands
This is the value you set in the steam engine lua files.
	-Jacob Hands</t>
        </r>
      </text>
    </comment>
    <comment ref="E2" authorId="0" shapeId="0">
      <text>
        <r>
          <rPr>
            <sz val="10"/>
            <rFont val="Arial"/>
          </rPr>
          <t>This is calculated based on ratio + Power Output. This is what you will set power_consumed_kw of the boiler to.
	-Jacob Hands
NOTE: If you want to keep the mk1 boiler/s at 390, then set the multiplier to 1.64 boilers/engine instead of 1.6.
	-Jacob Hands</t>
        </r>
      </text>
    </comment>
    <comment ref="F2" authorId="0" shapeId="0">
      <text>
        <r>
          <rPr>
            <sz val="10"/>
            <rFont val="Arial"/>
          </rPr>
          <t>Edit this to change the boilers/steam engine ratio
	-Jacob Hands</t>
        </r>
      </text>
    </comment>
    <comment ref="G2" authorId="0" shapeId="0">
      <text>
        <r>
          <rPr>
            <sz val="10"/>
            <rFont val="Arial"/>
          </rPr>
          <t>Edit Target engines/pump instead.
	-Jacob Hands</t>
        </r>
      </text>
    </comment>
    <comment ref="H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D3" authorId="0" shapeId="0">
      <text>
        <r>
          <rPr>
            <sz val="10"/>
            <rFont val="Arial"/>
          </rPr>
          <t>This is what you set the engine to in the lua file
	-Jacob Hands</t>
        </r>
      </text>
    </comment>
    <comment ref="G3" authorId="0" shapeId="0">
      <text>
        <r>
          <rPr>
            <sz val="10"/>
            <rFont val="Arial"/>
          </rPr>
          <t>This takes the water/t and multiplies it by Target engines/pump, then multiplies it times Additonal Output Modifier
	-Jacob Hands</t>
        </r>
      </text>
    </comment>
    <comment ref="H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4.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<sst xmlns="http://schemas.openxmlformats.org/spreadsheetml/2006/main" count="292" uniqueCount="127">
  <si>
    <t>Rebalance Settings</t>
  </si>
  <si>
    <t>Rebalance</t>
  </si>
  <si>
    <t>Original</t>
  </si>
  <si>
    <t>Speed</t>
  </si>
  <si>
    <t>Base Consume Multiplier</t>
  </si>
  <si>
    <t>Mk</t>
  </si>
  <si>
    <t>Consumption</t>
  </si>
  <si>
    <t>Step Bonus</t>
  </si>
  <si>
    <t>Spd Change</t>
  </si>
  <si>
    <t>C/S Step</t>
  </si>
  <si>
    <t>Consumption Multiplier</t>
  </si>
  <si>
    <t>Effectivity</t>
  </si>
  <si>
    <t>Relative Amt</t>
  </si>
  <si>
    <t>eff/spd</t>
  </si>
  <si>
    <t>Productivity</t>
  </si>
  <si>
    <t>Speed Multiplier Start</t>
  </si>
  <si>
    <t>Polution</t>
  </si>
  <si>
    <t>Speed Mult</t>
  </si>
  <si>
    <t>Speed Multiplier Step</t>
  </si>
  <si>
    <t>Polution Producing</t>
  </si>
  <si>
    <t>Relative</t>
  </si>
  <si>
    <t>Polution Cleaning</t>
  </si>
  <si>
    <t>Pollution</t>
  </si>
  <si>
    <t>README</t>
  </si>
  <si>
    <t>Dytech Balance</t>
  </si>
  <si>
    <t>Dytech Steam Balance</t>
  </si>
  <si>
    <t>Editable:</t>
  </si>
  <si>
    <t>Laser Turret Balance</t>
  </si>
  <si>
    <t>Yes</t>
  </si>
  <si>
    <t>No</t>
  </si>
  <si>
    <t>MK</t>
  </si>
  <si>
    <t>Steam Effectivity</t>
  </si>
  <si>
    <t>Power Out[KW]</t>
  </si>
  <si>
    <t>Water/t</t>
  </si>
  <si>
    <t>Boiler KW</t>
  </si>
  <si>
    <t>Target Boilers/engine</t>
  </si>
  <si>
    <t>Pump Speed</t>
  </si>
  <si>
    <t>Boiler Effectivity</t>
  </si>
  <si>
    <t>TTL Effectivity</t>
  </si>
  <si>
    <t>Base Values</t>
  </si>
  <si>
    <t>Cooldown</t>
  </si>
  <si>
    <t>Damage</t>
  </si>
  <si>
    <t>DPS</t>
  </si>
  <si>
    <t>Range</t>
  </si>
  <si>
    <t>kJ/Shot</t>
  </si>
  <si>
    <t>Capacity [kJ]</t>
  </si>
  <si>
    <t>Drain [kW]</t>
  </si>
  <si>
    <t>TTL KW</t>
  </si>
  <si>
    <t>DPS/Charge</t>
  </si>
  <si>
    <t>DMG/KW</t>
  </si>
  <si>
    <t>Max Health</t>
  </si>
  <si>
    <t>Type 1 - Settings</t>
  </si>
  <si>
    <t>Ruby [T1] - Medium range / Medium DPS / Medium Power Use</t>
  </si>
  <si>
    <t>NA</t>
  </si>
  <si>
    <t>Settings</t>
  </si>
  <si>
    <t>Boiler Multiplier</t>
  </si>
  <si>
    <t>Dirty Offshore Pump Multiplier</t>
  </si>
  <si>
    <t>Water/t increase multiplier</t>
  </si>
  <si>
    <t>Base water/t:</t>
  </si>
  <si>
    <t>Clean water bonus</t>
  </si>
  <si>
    <t>Target engines/pump</t>
  </si>
  <si>
    <t>mk</t>
  </si>
  <si>
    <t>KW Increase</t>
  </si>
  <si>
    <t>Type 2 - Settings</t>
  </si>
  <si>
    <t>Type 3 - Settings</t>
  </si>
  <si>
    <t>Type 4 - Settings</t>
  </si>
  <si>
    <t>Topaz [T4] - Sniper -  High range / Medium DPS / High Power Use</t>
  </si>
  <si>
    <t xml:space="preserve">In the current state of dytech, using MK5 boilers and steam engines, you can produce </t>
  </si>
  <si>
    <t>MW</t>
  </si>
  <si>
    <t>Crafting Spd</t>
  </si>
  <si>
    <t>19.5X the amount of power as you put in. So suddenly you're producing 156MW from 1 coal instead of 8MW.</t>
  </si>
  <si>
    <t>NOTE: heating water requires 390KW per .1/t of water flow</t>
  </si>
  <si>
    <t>Correct Balance based on mk1 steam engine producing 638KW</t>
  </si>
  <si>
    <t>READ THIS</t>
  </si>
  <si>
    <t>MJ Output</t>
  </si>
  <si>
    <t>Not Advised</t>
  </si>
  <si>
    <t>Yes (!mk1)</t>
  </si>
  <si>
    <t>No (Calc'ed)</t>
  </si>
  <si>
    <t>Consumed</t>
  </si>
  <si>
    <t>Boilers per engine</t>
  </si>
  <si>
    <t>:Target</t>
  </si>
  <si>
    <t>Net MJ Output</t>
  </si>
  <si>
    <t>MJ @ 100% effectivity</t>
  </si>
  <si>
    <t>MJ Input</t>
  </si>
  <si>
    <t>Output compared to input MJ</t>
  </si>
  <si>
    <t>Current Dytech Numbers - IS INACURATE. Coal produces around 90MJ with the current settings</t>
  </si>
  <si>
    <t>Actual MJ mk5</t>
  </si>
  <si>
    <t>Pumps</t>
  </si>
  <si>
    <t>Boilers</t>
  </si>
  <si>
    <t>Steam Engines</t>
  </si>
  <si>
    <t>Solid Fuel/sec</t>
  </si>
  <si>
    <t>Coal/sec</t>
  </si>
  <si>
    <t>Base amount</t>
  </si>
  <si>
    <t>Count</t>
  </si>
  <si>
    <t>Sputs</t>
  </si>
  <si>
    <t>13 engines / 10 boilers</t>
  </si>
  <si>
    <t>Overclocked</t>
  </si>
  <si>
    <t>Total</t>
  </si>
  <si>
    <t>Power</t>
  </si>
  <si>
    <t>Unit</t>
  </si>
  <si>
    <t>Water</t>
  </si>
  <si>
    <t>Max steam mk</t>
  </si>
  <si>
    <t>Boiler</t>
  </si>
  <si>
    <t>Steam Output/1</t>
  </si>
  <si>
    <t>Output/1</t>
  </si>
  <si>
    <t>Total KW</t>
  </si>
  <si>
    <t>usage/tick</t>
  </si>
  <si>
    <t>Offshore Pump Speed</t>
  </si>
  <si>
    <t>Boillers</t>
  </si>
  <si>
    <t>Consumption[KW]</t>
  </si>
  <si>
    <t>*</t>
  </si>
  <si>
    <t>Gem Spawn Balance</t>
  </si>
  <si>
    <t>Gem Type</t>
  </si>
  <si>
    <t>Min</t>
  </si>
  <si>
    <t>Max</t>
  </si>
  <si>
    <t>Probability</t>
  </si>
  <si>
    <t>Spawn Rate</t>
  </si>
  <si>
    <t>Orex Prob</t>
  </si>
  <si>
    <t>Ruby-Ore</t>
  </si>
  <si>
    <t>spawnRate = AVERAGE(amtMin, amtMax) * spawnProbability</t>
  </si>
  <si>
    <t>Sapphire-Ore</t>
  </si>
  <si>
    <t>Emerald-Ore</t>
  </si>
  <si>
    <t>Topaz-Ore</t>
  </si>
  <si>
    <t>Diamond-Ore</t>
  </si>
  <si>
    <t>Sapphire [T2] - Medium range / High DPS / High Power Use</t>
  </si>
  <si>
    <t>Emerald [T3] - Medium/High range / Medium DPS / Low Power Use</t>
  </si>
  <si>
    <t>DAMAGE IS FROM LASER PROJECTILE!!!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</si>
</sst>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15" x14ac:knownFonts="1">
    <font>
      <sz val="10"/>
      <name val="Arial"/>
    </font>
    <font>
      <b/>
      <i/>
      <sz val="14"/>
      <name val="Arial"/>
    </font>
    <font>
      <b/>
      <sz val="14"/>
      <name val="Arial"/>
    </font>
    <font>
      <b/>
      <sz val="12"/>
      <name val="Arial"/>
    </font>
    <font>
      <b/>
      <sz val="11"/>
      <name val="Arial"/>
    </font>
    <font>
      <sz val="11"/>
      <name val="Arial"/>
    </font>
    <font>
      <b/>
      <i/>
      <sz val="11"/>
      <name val="Arial"/>
    </font>
    <font>
      <b/>
      <sz val="10"/>
      <name val="Arial"/>
    </font>
    <font>
      <sz val="10"/>
      <name val="Arial"/>
    </font>
    <font>
      <i/>
      <sz val="10"/>
      <name val="Arial"/>
    </font>
    <font>
      <b/>
      <i/>
      <sz val="10"/>
      <name val="Arial"/>
    </font>
    <font>
      <sz val="10"/>
      <name val="Arial"/>
    </font>
    <font>
      <b/>
      <sz val="10"/>
      <name val="Arial"/>
    </font>
    <font>
      <sz val="14"/>
      <name val="Arial"/>
    </font>
    <font>
      <sz val="11"/>
      <color rgb="FF3D3C40"/>
      <name val="Arial"/>
    </font>
  </fonts>
  <fills count="34">
    <fill>
      <patternFill patternType="none"/>
    </fill>
    <fill>
      <patternFill patternType="gray125"/>
    </fill>
    <fill>
      <patternFill patternType="solid">
        <fgColor rgb="FF999999"/>
        <bgColor rgb="FF999999"/>
      </patternFill>
    </fill>
    <fill>
      <patternFill patternType="solid">
        <fgColor rgb="FFCC4125"/>
        <bgColor rgb="FFCC4125"/>
      </patternFill>
    </fill>
    <fill>
      <patternFill patternType="solid">
        <fgColor rgb="FF6D9EEB"/>
        <bgColor rgb="FF6D9EEB"/>
      </patternFill>
    </fill>
    <fill>
      <patternFill patternType="solid">
        <fgColor rgb="FFB7B7B7"/>
        <bgColor rgb="FFB7B7B7"/>
      </patternFill>
    </fill>
    <fill>
      <patternFill patternType="solid">
        <fgColor rgb="FFDD7E6B"/>
        <bgColor rgb="FFDD7E6B"/>
      </patternFill>
    </fill>
    <fill>
      <patternFill patternType="solid">
        <fgColor rgb="FFE6B8AF"/>
        <bgColor rgb="FFE6B8AF"/>
      </patternFill>
    </fill>
    <fill>
      <patternFill patternType="solid">
        <fgColor rgb="FFA4C2F4"/>
        <bgColor rgb="FFA4C2F4"/>
      </patternFill>
    </fill>
    <fill>
      <patternFill patternType="solid">
        <fgColor rgb="FFC9DAF8"/>
        <bgColor rgb="FFC9DAF8"/>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6B26B"/>
        <bgColor rgb="FFF6B26B"/>
      </patternFill>
    </fill>
    <fill>
      <patternFill patternType="solid">
        <fgColor rgb="FFF9CB9C"/>
        <bgColor rgb="FFF9CB9C"/>
      </patternFill>
    </fill>
    <fill>
      <patternFill patternType="solid">
        <fgColor rgb="FFFCE5CD"/>
        <bgColor rgb="FFFCE5CD"/>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F0000"/>
        <bgColor rgb="FFFF0000"/>
      </patternFill>
    </fill>
    <fill>
      <patternFill patternType="solid">
        <fgColor rgb="FFD9D9D9"/>
        <bgColor rgb="FFD9D9D9"/>
      </patternFill>
    </fill>
    <fill>
      <patternFill patternType="solid">
        <fgColor rgb="FFE06666"/>
        <bgColor rgb="FFE06666"/>
      </patternFill>
    </fill>
    <fill>
      <patternFill patternType="solid">
        <fgColor rgb="FF8E7CC3"/>
        <bgColor rgb="FF8E7CC3"/>
      </patternFill>
    </fill>
    <fill>
      <patternFill patternType="solid">
        <fgColor rgb="FFEA9999"/>
        <bgColor rgb="FFEA9999"/>
      </patternFill>
    </fill>
    <fill>
      <patternFill patternType="solid">
        <fgColor rgb="FFB4A7D6"/>
        <bgColor rgb="FFB4A7D6"/>
      </patternFill>
    </fill>
    <fill>
      <patternFill patternType="solid">
        <fgColor rgb="FFD9D2E9"/>
        <bgColor rgb="FFD9D2E9"/>
      </patternFill>
    </fill>
    <fill>
      <patternFill patternType="solid">
        <fgColor rgb="FFF4CCCC"/>
        <bgColor rgb="FFF4CCCC"/>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55">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1" xfId="0" applyFont="1" applyBorder="1" applyAlignment="1">
      <alignment horizontal="center"/>
    </xf>
    <xf numFmtId="0" fontId="3" fillId="4" borderId="1" xfId="0" applyFont="1" applyFill="1"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center"/>
    </xf>
    <xf numFmtId="0" fontId="4" fillId="6" borderId="1" xfId="0" applyFont="1" applyFill="1" applyBorder="1" applyAlignment="1">
      <alignment horizontal="left"/>
    </xf>
    <xf numFmtId="4" fontId="5" fillId="7" borderId="1" xfId="0" applyNumberFormat="1" applyFont="1" applyFill="1" applyBorder="1" applyAlignment="1">
      <alignment horizontal="center"/>
    </xf>
    <xf numFmtId="0" fontId="4" fillId="8" borderId="1" xfId="0" applyFont="1" applyFill="1" applyBorder="1" applyAlignment="1"/>
    <xf numFmtId="0" fontId="6" fillId="8" borderId="1" xfId="0" applyFont="1" applyFill="1" applyBorder="1" applyAlignment="1"/>
    <xf numFmtId="0" fontId="4" fillId="0" borderId="1" xfId="0" applyFont="1" applyBorder="1" applyAlignment="1"/>
    <xf numFmtId="0" fontId="7" fillId="9" borderId="1" xfId="0" applyFont="1" applyFill="1" applyBorder="1" applyAlignment="1"/>
    <xf numFmtId="4" fontId="8" fillId="9" borderId="1" xfId="0" applyNumberFormat="1" applyFont="1" applyFill="1" applyBorder="1" applyAlignment="1"/>
    <xf numFmtId="4" fontId="8" fillId="9" borderId="1" xfId="0" applyNumberFormat="1" applyFont="1" applyFill="1" applyBorder="1"/>
    <xf numFmtId="4" fontId="9" fillId="9" borderId="1" xfId="0" applyNumberFormat="1" applyFont="1" applyFill="1" applyBorder="1" applyAlignment="1"/>
    <xf numFmtId="164" fontId="9" fillId="9" borderId="1" xfId="0" applyNumberFormat="1" applyFont="1" applyFill="1" applyBorder="1" applyAlignment="1"/>
    <xf numFmtId="165" fontId="8" fillId="9" borderId="1" xfId="0" applyNumberFormat="1" applyFont="1" applyFill="1" applyBorder="1" applyAlignment="1"/>
    <xf numFmtId="0" fontId="8" fillId="9" borderId="1" xfId="0" applyFont="1" applyFill="1" applyBorder="1" applyAlignment="1"/>
    <xf numFmtId="0" fontId="7" fillId="0" borderId="1" xfId="0" applyFont="1" applyBorder="1" applyAlignment="1"/>
    <xf numFmtId="165" fontId="8" fillId="0" borderId="1" xfId="0" applyNumberFormat="1" applyFont="1" applyBorder="1" applyAlignment="1"/>
    <xf numFmtId="0" fontId="8" fillId="0" borderId="1" xfId="0" applyFont="1" applyBorder="1" applyAlignment="1"/>
    <xf numFmtId="0" fontId="5" fillId="7" borderId="1" xfId="0" applyFont="1" applyFill="1" applyBorder="1" applyAlignment="1">
      <alignment horizontal="center"/>
    </xf>
    <xf numFmtId="0" fontId="4" fillId="6" borderId="1" xfId="0" applyFont="1" applyFill="1" applyBorder="1" applyAlignment="1">
      <alignment horizontal="center"/>
    </xf>
    <xf numFmtId="4" fontId="9" fillId="9" borderId="1" xfId="0" applyNumberFormat="1" applyFont="1" applyFill="1" applyBorder="1"/>
    <xf numFmtId="0" fontId="1" fillId="5" borderId="1" xfId="0" applyFont="1" applyFill="1" applyBorder="1" applyAlignment="1">
      <alignment horizontal="center"/>
    </xf>
    <xf numFmtId="0" fontId="3" fillId="10" borderId="1" xfId="0" applyFont="1" applyFill="1" applyBorder="1" applyAlignment="1">
      <alignment horizontal="center"/>
    </xf>
    <xf numFmtId="0" fontId="4" fillId="11" borderId="1" xfId="0" applyFont="1" applyFill="1" applyBorder="1" applyAlignment="1"/>
    <xf numFmtId="0" fontId="7" fillId="12" borderId="1" xfId="0" applyFont="1" applyFill="1" applyBorder="1" applyAlignment="1"/>
    <xf numFmtId="2" fontId="8" fillId="12" borderId="1" xfId="0" applyNumberFormat="1" applyFont="1" applyFill="1" applyBorder="1" applyAlignment="1"/>
    <xf numFmtId="0" fontId="8" fillId="12" borderId="1" xfId="0" applyFont="1" applyFill="1" applyBorder="1"/>
    <xf numFmtId="165" fontId="8" fillId="12" borderId="1" xfId="0" applyNumberFormat="1" applyFont="1" applyFill="1" applyBorder="1" applyAlignment="1"/>
    <xf numFmtId="10" fontId="8" fillId="12" borderId="1" xfId="0" applyNumberFormat="1" applyFont="1" applyFill="1" applyBorder="1"/>
    <xf numFmtId="165" fontId="8" fillId="12" borderId="1" xfId="0" applyNumberFormat="1" applyFont="1" applyFill="1" applyBorder="1"/>
    <xf numFmtId="0" fontId="8" fillId="12" borderId="1" xfId="0" applyFont="1" applyFill="1" applyBorder="1" applyAlignment="1"/>
    <xf numFmtId="0" fontId="3" fillId="13" borderId="1" xfId="0" applyFont="1" applyFill="1" applyBorder="1" applyAlignment="1">
      <alignment horizontal="center"/>
    </xf>
    <xf numFmtId="165" fontId="5" fillId="7" borderId="1" xfId="0" applyNumberFormat="1" applyFont="1" applyFill="1" applyBorder="1" applyAlignment="1">
      <alignment horizontal="center"/>
    </xf>
    <xf numFmtId="0" fontId="4" fillId="14" borderId="1" xfId="0" applyFont="1" applyFill="1" applyBorder="1" applyAlignment="1"/>
    <xf numFmtId="0" fontId="7" fillId="15" borderId="1" xfId="0" applyFont="1" applyFill="1" applyBorder="1" applyAlignment="1"/>
    <xf numFmtId="166" fontId="8" fillId="15" borderId="1" xfId="0" applyNumberFormat="1" applyFont="1" applyFill="1" applyBorder="1" applyAlignment="1"/>
    <xf numFmtId="165" fontId="8" fillId="15" borderId="1" xfId="0" applyNumberFormat="1" applyFont="1" applyFill="1" applyBorder="1" applyAlignment="1"/>
    <xf numFmtId="0" fontId="8" fillId="15" borderId="1" xfId="0" applyFont="1" applyFill="1" applyBorder="1"/>
    <xf numFmtId="9" fontId="8" fillId="15" borderId="1" xfId="0" applyNumberFormat="1" applyFont="1" applyFill="1" applyBorder="1" applyAlignment="1"/>
    <xf numFmtId="0" fontId="8" fillId="15" borderId="1" xfId="0" applyFont="1" applyFill="1" applyBorder="1"/>
    <xf numFmtId="2" fontId="8" fillId="15" borderId="1" xfId="0" applyNumberFormat="1" applyFont="1" applyFill="1" applyBorder="1" applyAlignment="1"/>
    <xf numFmtId="0" fontId="8" fillId="15" borderId="1" xfId="0" applyFont="1" applyFill="1" applyBorder="1" applyAlignment="1"/>
    <xf numFmtId="0" fontId="3" fillId="16" borderId="1" xfId="0" applyFont="1" applyFill="1" applyBorder="1" applyAlignment="1">
      <alignment horizontal="center"/>
    </xf>
    <xf numFmtId="0" fontId="4" fillId="17" borderId="1" xfId="0" applyFont="1" applyFill="1" applyBorder="1" applyAlignment="1"/>
    <xf numFmtId="0" fontId="7" fillId="18" borderId="1" xfId="0" applyFont="1" applyFill="1" applyBorder="1" applyAlignment="1"/>
    <xf numFmtId="165" fontId="8" fillId="18" borderId="1" xfId="0" applyNumberFormat="1" applyFont="1" applyFill="1" applyBorder="1" applyAlignment="1"/>
    <xf numFmtId="0" fontId="8" fillId="18" borderId="1" xfId="0" applyFont="1" applyFill="1" applyBorder="1"/>
    <xf numFmtId="0" fontId="8" fillId="18" borderId="1" xfId="0" applyFont="1" applyFill="1" applyBorder="1"/>
    <xf numFmtId="0" fontId="8" fillId="18" borderId="1" xfId="0" applyFont="1" applyFill="1" applyBorder="1" applyAlignment="1"/>
    <xf numFmtId="0" fontId="3" fillId="19" borderId="1" xfId="0" applyFont="1" applyFill="1" applyBorder="1" applyAlignment="1">
      <alignment horizontal="center"/>
    </xf>
    <xf numFmtId="0" fontId="4" fillId="20" borderId="1" xfId="0" applyFont="1" applyFill="1" applyBorder="1" applyAlignment="1"/>
    <xf numFmtId="0" fontId="7" fillId="21" borderId="1" xfId="0" applyFont="1" applyFill="1" applyBorder="1" applyAlignment="1"/>
    <xf numFmtId="165" fontId="8" fillId="21" borderId="1" xfId="0" applyNumberFormat="1" applyFont="1" applyFill="1" applyBorder="1" applyAlignment="1"/>
    <xf numFmtId="0" fontId="8" fillId="21" borderId="1" xfId="0" applyFont="1" applyFill="1" applyBorder="1"/>
    <xf numFmtId="0" fontId="8" fillId="21" borderId="1" xfId="0" applyFont="1" applyFill="1" applyBorder="1" applyAlignment="1"/>
    <xf numFmtId="0" fontId="8" fillId="5" borderId="1" xfId="0" applyFont="1" applyFill="1" applyBorder="1" applyAlignment="1"/>
    <xf numFmtId="0" fontId="7" fillId="22" borderId="1" xfId="0" applyFont="1" applyFill="1" applyBorder="1" applyAlignment="1">
      <alignment horizontal="center"/>
    </xf>
    <xf numFmtId="0" fontId="7" fillId="4" borderId="1" xfId="0" applyFont="1" applyFill="1" applyBorder="1" applyAlignment="1"/>
    <xf numFmtId="0" fontId="7" fillId="8" borderId="1" xfId="0" applyFont="1" applyFill="1" applyBorder="1" applyAlignment="1"/>
    <xf numFmtId="9" fontId="8" fillId="0" borderId="1" xfId="0" applyNumberFormat="1" applyFont="1" applyBorder="1" applyAlignment="1"/>
    <xf numFmtId="0" fontId="7" fillId="26" borderId="1" xfId="0" applyFont="1" applyFill="1" applyBorder="1" applyAlignment="1"/>
    <xf numFmtId="0" fontId="8" fillId="26" borderId="1" xfId="0" applyFont="1" applyFill="1" applyBorder="1" applyAlignment="1"/>
    <xf numFmtId="0" fontId="7" fillId="27" borderId="1" xfId="0" applyFont="1" applyFill="1" applyBorder="1" applyAlignment="1"/>
    <xf numFmtId="0" fontId="10" fillId="27" borderId="1" xfId="0" applyFont="1" applyFill="1" applyBorder="1" applyAlignment="1"/>
    <xf numFmtId="1" fontId="8" fillId="0" borderId="1" xfId="0" applyNumberFormat="1" applyFont="1" applyBorder="1" applyAlignment="1"/>
    <xf numFmtId="0" fontId="8" fillId="28" borderId="1" xfId="0" applyFont="1" applyFill="1" applyBorder="1" applyAlignment="1"/>
    <xf numFmtId="2" fontId="8" fillId="0" borderId="1" xfId="0" applyNumberFormat="1" applyFont="1" applyBorder="1" applyAlignment="1"/>
    <xf numFmtId="0" fontId="9" fillId="28" borderId="1" xfId="0" applyFont="1" applyFill="1" applyBorder="1" applyAlignment="1"/>
    <xf numFmtId="2" fontId="8" fillId="0" borderId="1" xfId="0" applyNumberFormat="1" applyFont="1" applyBorder="1"/>
    <xf numFmtId="2" fontId="9" fillId="28" borderId="1" xfId="0" applyNumberFormat="1" applyFont="1" applyFill="1" applyBorder="1" applyAlignment="1"/>
    <xf numFmtId="10" fontId="8" fillId="26" borderId="1" xfId="0" applyNumberFormat="1" applyFont="1" applyFill="1" applyBorder="1" applyAlignment="1"/>
    <xf numFmtId="0" fontId="8" fillId="29" borderId="1" xfId="0" applyFont="1" applyFill="1" applyBorder="1" applyAlignment="1"/>
    <xf numFmtId="9" fontId="8" fillId="29" borderId="1" xfId="0" applyNumberFormat="1" applyFont="1" applyFill="1" applyBorder="1" applyAlignment="1"/>
    <xf numFmtId="0" fontId="8" fillId="29" borderId="1" xfId="0" applyFont="1" applyFill="1" applyBorder="1" applyAlignment="1">
      <alignment horizontal="center"/>
    </xf>
    <xf numFmtId="0" fontId="10" fillId="26" borderId="1" xfId="0" applyFont="1" applyFill="1" applyBorder="1" applyAlignment="1"/>
    <xf numFmtId="0" fontId="9" fillId="29" borderId="1" xfId="0" applyFont="1" applyFill="1" applyBorder="1" applyAlignment="1"/>
    <xf numFmtId="2" fontId="9" fillId="29" borderId="1" xfId="0" applyNumberFormat="1" applyFont="1" applyFill="1" applyBorder="1" applyAlignment="1"/>
    <xf numFmtId="9" fontId="8" fillId="18" borderId="1" xfId="0" applyNumberFormat="1" applyFont="1" applyFill="1" applyBorder="1"/>
    <xf numFmtId="9" fontId="8" fillId="18" borderId="1" xfId="0" applyNumberFormat="1" applyFont="1" applyFill="1" applyBorder="1" applyAlignment="1"/>
    <xf numFmtId="0" fontId="8" fillId="18" borderId="1" xfId="0" applyFont="1" applyFill="1" applyBorder="1" applyAlignment="1"/>
    <xf numFmtId="1" fontId="9" fillId="29" borderId="1" xfId="0" applyNumberFormat="1" applyFont="1" applyFill="1" applyBorder="1" applyAlignment="1"/>
    <xf numFmtId="4" fontId="8" fillId="0" borderId="1" xfId="0" applyNumberFormat="1" applyFont="1" applyBorder="1"/>
    <xf numFmtId="9" fontId="8" fillId="9" borderId="1" xfId="0" applyNumberFormat="1" applyFont="1" applyFill="1" applyBorder="1" applyAlignment="1"/>
    <xf numFmtId="0" fontId="8" fillId="9" borderId="1" xfId="0" applyFont="1" applyFill="1" applyBorder="1" applyAlignment="1">
      <alignment horizontal="center"/>
    </xf>
    <xf numFmtId="0" fontId="10" fillId="8" borderId="1" xfId="0" applyFont="1" applyFill="1" applyBorder="1" applyAlignment="1"/>
    <xf numFmtId="0" fontId="9" fillId="9" borderId="1" xfId="0" applyFont="1" applyFill="1" applyBorder="1" applyAlignment="1"/>
    <xf numFmtId="165" fontId="9" fillId="9" borderId="1" xfId="0" applyNumberFormat="1" applyFont="1" applyFill="1" applyBorder="1" applyAlignment="1"/>
    <xf numFmtId="2" fontId="9" fillId="9" borderId="1" xfId="0" applyNumberFormat="1" applyFont="1" applyFill="1" applyBorder="1" applyAlignment="1"/>
    <xf numFmtId="1" fontId="9" fillId="9" borderId="1" xfId="0" applyNumberFormat="1" applyFont="1" applyFill="1" applyBorder="1" applyAlignment="1"/>
    <xf numFmtId="9" fontId="8" fillId="12" borderId="1" xfId="0" applyNumberFormat="1" applyFont="1" applyFill="1" applyBorder="1" applyAlignment="1"/>
    <xf numFmtId="0" fontId="8" fillId="12" borderId="1" xfId="0" applyFont="1" applyFill="1" applyBorder="1" applyAlignment="1">
      <alignment horizontal="center"/>
    </xf>
    <xf numFmtId="0" fontId="7" fillId="11" borderId="1" xfId="0" applyFont="1" applyFill="1" applyBorder="1" applyAlignment="1"/>
    <xf numFmtId="0" fontId="10" fillId="11" borderId="1" xfId="0" applyFont="1" applyFill="1" applyBorder="1" applyAlignment="1"/>
    <xf numFmtId="0" fontId="9" fillId="12" borderId="1" xfId="0" applyFont="1" applyFill="1" applyBorder="1" applyAlignment="1"/>
    <xf numFmtId="2" fontId="9" fillId="12" borderId="1" xfId="0" applyNumberFormat="1" applyFont="1" applyFill="1" applyBorder="1" applyAlignment="1"/>
    <xf numFmtId="1" fontId="9" fillId="12" borderId="1" xfId="0" applyNumberFormat="1" applyFont="1" applyFill="1" applyBorder="1" applyAlignment="1"/>
    <xf numFmtId="0" fontId="8" fillId="31" borderId="1" xfId="0" applyFont="1" applyFill="1" applyBorder="1" applyAlignment="1"/>
    <xf numFmtId="9" fontId="8" fillId="31" borderId="1" xfId="0" applyNumberFormat="1" applyFont="1" applyFill="1" applyBorder="1" applyAlignment="1"/>
    <xf numFmtId="0" fontId="8" fillId="31" borderId="1" xfId="0" applyFont="1" applyFill="1" applyBorder="1" applyAlignment="1">
      <alignment horizontal="center"/>
    </xf>
    <xf numFmtId="0" fontId="7" fillId="32" borderId="1" xfId="0" applyFont="1" applyFill="1" applyBorder="1" applyAlignment="1"/>
    <xf numFmtId="0" fontId="10" fillId="32" borderId="1" xfId="0" applyFont="1" applyFill="1" applyBorder="1" applyAlignment="1"/>
    <xf numFmtId="0" fontId="9" fillId="31" borderId="1" xfId="0" applyFont="1" applyFill="1" applyBorder="1" applyAlignment="1"/>
    <xf numFmtId="2" fontId="9" fillId="31" borderId="1" xfId="0" applyNumberFormat="1" applyFont="1" applyFill="1" applyBorder="1" applyAlignment="1"/>
    <xf numFmtId="1" fontId="9" fillId="31" borderId="1" xfId="0" applyNumberFormat="1" applyFont="1" applyFill="1" applyBorder="1" applyAlignment="1"/>
    <xf numFmtId="0" fontId="11" fillId="11" borderId="1" xfId="0" applyFont="1" applyFill="1" applyBorder="1" applyAlignment="1">
      <alignment horizontal="center"/>
    </xf>
    <xf numFmtId="0" fontId="11" fillId="0" borderId="1" xfId="0" applyFont="1" applyBorder="1" applyAlignment="1">
      <alignment horizontal="center"/>
    </xf>
    <xf numFmtId="0" fontId="11" fillId="0" borderId="1" xfId="0" applyFont="1" applyBorder="1" applyAlignment="1"/>
    <xf numFmtId="0" fontId="12" fillId="11" borderId="1" xfId="0" applyFont="1" applyFill="1" applyBorder="1" applyAlignment="1">
      <alignment horizontal="left"/>
    </xf>
    <xf numFmtId="0" fontId="11" fillId="0" borderId="1" xfId="0" applyFont="1" applyBorder="1"/>
    <xf numFmtId="0" fontId="7" fillId="31" borderId="1" xfId="0" applyFont="1" applyFill="1" applyBorder="1" applyAlignment="1"/>
    <xf numFmtId="0" fontId="4" fillId="8" borderId="1" xfId="0" applyFont="1" applyFill="1" applyBorder="1" applyAlignment="1">
      <alignment horizontal="center"/>
    </xf>
    <xf numFmtId="165" fontId="8" fillId="0" borderId="1" xfId="0" applyNumberFormat="1" applyFont="1" applyBorder="1"/>
    <xf numFmtId="166" fontId="8" fillId="0" borderId="1" xfId="0" applyNumberFormat="1" applyFont="1" applyBorder="1"/>
    <xf numFmtId="0" fontId="4" fillId="0" borderId="1" xfId="0" applyFont="1" applyBorder="1" applyAlignment="1">
      <alignment horizontal="center"/>
    </xf>
    <xf numFmtId="0" fontId="5" fillId="33" borderId="1" xfId="0" applyFont="1" applyFill="1" applyBorder="1" applyAlignment="1"/>
    <xf numFmtId="0" fontId="7" fillId="16" borderId="1" xfId="0" applyFont="1" applyFill="1" applyBorder="1" applyAlignment="1"/>
    <xf numFmtId="0" fontId="8" fillId="17" borderId="1" xfId="0" applyFont="1" applyFill="1" applyBorder="1" applyAlignment="1"/>
    <xf numFmtId="9" fontId="8" fillId="0" borderId="1" xfId="0" applyNumberFormat="1" applyFont="1" applyBorder="1"/>
    <xf numFmtId="0" fontId="14" fillId="33" borderId="1" xfId="0" applyFont="1" applyFill="1" applyBorder="1" applyAlignment="1"/>
    <xf numFmtId="0" fontId="2" fillId="5" borderId="1" xfId="0" applyFont="1" applyFill="1" applyBorder="1" applyAlignment="1">
      <alignment horizontal="center"/>
    </xf>
    <xf numFmtId="0" fontId="0" fillId="0" borderId="0" xfId="0"/>
    <xf numFmtId="0" fontId="1" fillId="2" borderId="1" xfId="0" applyFont="1" applyFill="1" applyBorder="1" applyAlignment="1">
      <alignment horizontal="center"/>
    </xf>
    <xf numFmtId="0" fontId="3" fillId="3" borderId="1" xfId="0" applyFont="1" applyFill="1" applyBorder="1" applyAlignment="1">
      <alignment horizontal="center"/>
    </xf>
    <xf numFmtId="0" fontId="3" fillId="19" borderId="1" xfId="0" applyFont="1" applyFill="1" applyBorder="1" applyAlignment="1">
      <alignment horizontal="center"/>
    </xf>
    <xf numFmtId="0" fontId="1" fillId="5" borderId="1" xfId="0" applyFont="1" applyFill="1" applyBorder="1" applyAlignment="1">
      <alignment horizontal="center"/>
    </xf>
    <xf numFmtId="0" fontId="3" fillId="4" borderId="1" xfId="0" applyFont="1" applyFill="1" applyBorder="1" applyAlignment="1">
      <alignment horizontal="center"/>
    </xf>
    <xf numFmtId="0" fontId="2" fillId="2" borderId="1" xfId="0" applyFont="1" applyFill="1" applyBorder="1" applyAlignment="1">
      <alignment horizontal="center"/>
    </xf>
    <xf numFmtId="0" fontId="3" fillId="5" borderId="1" xfId="0" applyFont="1" applyFill="1" applyBorder="1" applyAlignment="1">
      <alignment horizontal="center"/>
    </xf>
    <xf numFmtId="0" fontId="3" fillId="16" borderId="1" xfId="0" applyFont="1" applyFill="1" applyBorder="1" applyAlignment="1">
      <alignment horizontal="center"/>
    </xf>
    <xf numFmtId="0" fontId="3" fillId="13" borderId="1" xfId="0" applyFont="1" applyFill="1" applyBorder="1" applyAlignment="1">
      <alignment horizontal="center"/>
    </xf>
    <xf numFmtId="0" fontId="3" fillId="10" borderId="1" xfId="0" applyFont="1" applyFill="1" applyBorder="1" applyAlignment="1">
      <alignment horizontal="center"/>
    </xf>
    <xf numFmtId="0" fontId="1" fillId="0" borderId="1" xfId="0" applyFont="1" applyBorder="1" applyAlignment="1">
      <alignment horizontal="center"/>
    </xf>
    <xf numFmtId="0" fontId="3" fillId="0" borderId="1" xfId="0" applyFont="1" applyBorder="1" applyAlignment="1">
      <alignment horizontal="center"/>
    </xf>
    <xf numFmtId="0" fontId="7" fillId="17" borderId="1" xfId="0" applyFont="1" applyFill="1" applyBorder="1" applyAlignment="1"/>
    <xf numFmtId="0" fontId="4" fillId="16" borderId="1" xfId="0" applyFont="1" applyFill="1" applyBorder="1" applyAlignment="1">
      <alignment horizontal="center"/>
    </xf>
    <xf numFmtId="0" fontId="7" fillId="17" borderId="1" xfId="0" applyFont="1" applyFill="1" applyBorder="1"/>
    <xf numFmtId="0" fontId="3" fillId="24" borderId="1" xfId="0" applyFont="1" applyFill="1" applyBorder="1" applyAlignment="1"/>
    <xf numFmtId="0" fontId="8" fillId="5" borderId="1" xfId="0" applyFont="1" applyFill="1" applyBorder="1" applyAlignment="1"/>
    <xf numFmtId="0" fontId="3" fillId="30" borderId="1" xfId="0" applyFont="1" applyFill="1" applyBorder="1" applyAlignment="1"/>
    <xf numFmtId="0" fontId="3" fillId="4" borderId="1" xfId="0" applyFont="1" applyFill="1" applyBorder="1" applyAlignment="1"/>
    <xf numFmtId="0" fontId="3" fillId="10" borderId="1" xfId="0" applyFont="1" applyFill="1" applyBorder="1" applyAlignment="1"/>
    <xf numFmtId="0" fontId="3" fillId="24" borderId="1" xfId="0" applyFont="1" applyFill="1" applyBorder="1" applyAlignment="1">
      <alignment horizontal="center"/>
    </xf>
    <xf numFmtId="0" fontId="7" fillId="5" borderId="1" xfId="0" applyFont="1" applyFill="1" applyBorder="1" applyAlignment="1"/>
    <xf numFmtId="0" fontId="2" fillId="23" borderId="1" xfId="0" applyFont="1" applyFill="1" applyBorder="1" applyAlignment="1">
      <alignment horizontal="center" vertical="center"/>
    </xf>
    <xf numFmtId="0" fontId="3" fillId="25" borderId="1" xfId="0" applyFont="1" applyFill="1" applyBorder="1" applyAlignment="1"/>
    <xf numFmtId="0" fontId="2" fillId="23" borderId="1" xfId="0" applyFont="1" applyFill="1" applyBorder="1" applyAlignment="1"/>
    <xf numFmtId="0" fontId="2" fillId="23" borderId="1" xfId="0" applyFont="1" applyFill="1" applyBorder="1" applyAlignment="1">
      <alignment horizontal="center"/>
    </xf>
    <xf numFmtId="0" fontId="13" fillId="0" borderId="1" xfId="0" applyFont="1" applyBorder="1" applyAlignment="1">
      <alignment horizontal="center"/>
    </xf>
    <xf numFmtId="0" fontId="4" fillId="8" borderId="1" xfId="0" applyFont="1" applyFill="1" applyBorder="1" applyAlignment="1">
      <alignment horizontal="center"/>
    </xf>
    <xf numFmtId="0" fontId="7" fillId="26" borderId="1" xfId="0" applyFont="1" applyFill="1" applyBorder="1" applyAlignment="1"/>
    <xf numFmtId="0" fontId="4" fillId="0" borderId="1" xfId="0" applyFont="1" applyBorder="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285750</xdr:colOff>
      <xdr:row>47</xdr:row>
      <xdr:rowOff>123825</xdr:rowOff>
    </xdr:to>
    <xdr:sp macro="" textlink="">
      <xdr:nvSpPr>
        <xdr:cNvPr id="2063"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142875</xdr:colOff>
      <xdr:row>6</xdr:row>
      <xdr:rowOff>38100</xdr:rowOff>
    </xdr:to>
    <xdr:sp macro="" textlink="">
      <xdr:nvSpPr>
        <xdr:cNvPr id="2057"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142875</xdr:colOff>
      <xdr:row>5</xdr:row>
      <xdr:rowOff>38100</xdr:rowOff>
    </xdr:to>
    <xdr:sp macro="" textlink="">
      <xdr:nvSpPr>
        <xdr:cNvPr id="2049"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4122"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topLeftCell="A4" workbookViewId="0">
      <selection activeCell="F6" sqref="F6"/>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125"/>
      <c r="B1" s="130" t="s">
        <v>0</v>
      </c>
      <c r="C1" s="124"/>
      <c r="D1" s="130" t="s">
        <v>1</v>
      </c>
      <c r="E1" s="124"/>
      <c r="F1" s="124"/>
      <c r="G1" s="124"/>
      <c r="H1" s="2"/>
      <c r="I1" s="2"/>
      <c r="J1" s="2"/>
      <c r="K1" s="2"/>
      <c r="L1" s="1"/>
      <c r="M1" s="130" t="s">
        <v>2</v>
      </c>
      <c r="N1" s="124"/>
      <c r="O1" s="124"/>
      <c r="P1" s="124"/>
      <c r="Q1" s="125"/>
      <c r="U1" s="3"/>
      <c r="V1" s="135"/>
      <c r="W1" s="124"/>
      <c r="X1" s="124"/>
    </row>
    <row r="2" spans="1:24" x14ac:dyDescent="0.25">
      <c r="A2" s="124"/>
      <c r="B2" s="126" t="s">
        <v>3</v>
      </c>
      <c r="C2" s="124"/>
      <c r="D2" s="129" t="s">
        <v>3</v>
      </c>
      <c r="E2" s="124"/>
      <c r="F2" s="124"/>
      <c r="G2" s="124"/>
      <c r="H2" s="4"/>
      <c r="I2" s="4"/>
      <c r="J2" s="4"/>
      <c r="K2" s="4"/>
      <c r="L2" s="131"/>
      <c r="M2" s="129" t="s">
        <v>3</v>
      </c>
      <c r="N2" s="124"/>
      <c r="O2" s="124"/>
      <c r="P2" s="124"/>
      <c r="Q2" s="124"/>
      <c r="R2" s="5"/>
      <c r="S2" s="5"/>
      <c r="T2" s="5"/>
      <c r="U2" s="6"/>
      <c r="V2" s="136"/>
      <c r="W2" s="124"/>
      <c r="X2" s="124"/>
    </row>
    <row r="3" spans="1:24" x14ac:dyDescent="0.25">
      <c r="A3" s="124"/>
      <c r="B3" s="7" t="s">
        <v>4</v>
      </c>
      <c r="C3" s="8"/>
      <c r="D3" s="9" t="s">
        <v>5</v>
      </c>
      <c r="E3" s="9" t="s">
        <v>3</v>
      </c>
      <c r="F3" s="9" t="s">
        <v>6</v>
      </c>
      <c r="G3" s="10" t="s">
        <v>7</v>
      </c>
      <c r="H3" s="10" t="s">
        <v>8</v>
      </c>
      <c r="I3" s="10"/>
      <c r="J3" s="10"/>
      <c r="K3" s="10"/>
      <c r="L3" s="124"/>
      <c r="M3" s="9" t="s">
        <v>5</v>
      </c>
      <c r="N3" s="9" t="s">
        <v>3</v>
      </c>
      <c r="O3" s="9" t="s">
        <v>6</v>
      </c>
      <c r="P3" s="9"/>
      <c r="Q3" s="124"/>
      <c r="R3" s="5"/>
      <c r="S3" s="5"/>
      <c r="T3" s="5"/>
      <c r="U3" s="11"/>
      <c r="V3" s="11"/>
      <c r="W3" s="11"/>
      <c r="X3" s="11"/>
    </row>
    <row r="4" spans="1:24" x14ac:dyDescent="0.25">
      <c r="A4" s="124"/>
      <c r="B4" s="7" t="s">
        <v>9</v>
      </c>
      <c r="C4" s="8"/>
      <c r="D4" s="12">
        <v>1</v>
      </c>
      <c r="E4" s="13">
        <v>0.2</v>
      </c>
      <c r="F4" s="14">
        <f t="shared" ref="F4:F11" si="0">E4*C$5</f>
        <v>0.30000000000000004</v>
      </c>
      <c r="G4" s="15"/>
      <c r="H4" s="16">
        <v>1</v>
      </c>
      <c r="I4" s="16"/>
      <c r="J4" s="16"/>
      <c r="K4" s="16"/>
      <c r="L4" s="124"/>
      <c r="M4" s="12">
        <v>1</v>
      </c>
      <c r="N4" s="17">
        <v>0.2</v>
      </c>
      <c r="O4" s="18">
        <v>0.1</v>
      </c>
      <c r="P4" s="18"/>
      <c r="Q4" s="124"/>
      <c r="R4" s="19"/>
      <c r="S4" s="20"/>
      <c r="U4" s="19"/>
      <c r="V4" s="19"/>
      <c r="W4" s="21"/>
      <c r="X4" s="21"/>
    </row>
    <row r="5" spans="1:24" x14ac:dyDescent="0.25">
      <c r="A5" s="124"/>
      <c r="B5" s="7" t="s">
        <v>10</v>
      </c>
      <c r="C5" s="22">
        <v>1.5</v>
      </c>
      <c r="D5" s="12">
        <v>2</v>
      </c>
      <c r="E5" s="13">
        <f t="shared" ref="E5:E11" si="1">E4+0.1+G5</f>
        <v>0.30000000000000004</v>
      </c>
      <c r="F5" s="14">
        <f t="shared" si="0"/>
        <v>0.45000000000000007</v>
      </c>
      <c r="G5" s="15"/>
      <c r="H5" s="16">
        <f t="shared" ref="H5:H11" si="2">E5/E$4</f>
        <v>1.5000000000000002</v>
      </c>
      <c r="I5" s="16"/>
      <c r="J5" s="16"/>
      <c r="K5" s="16"/>
      <c r="L5" s="124"/>
      <c r="M5" s="12">
        <v>2</v>
      </c>
      <c r="N5" s="17">
        <v>0.4</v>
      </c>
      <c r="O5" s="18">
        <v>0.2</v>
      </c>
      <c r="P5" s="18"/>
      <c r="Q5" s="124"/>
      <c r="R5" s="19"/>
      <c r="S5" s="20"/>
      <c r="T5" s="21"/>
      <c r="U5" s="19"/>
      <c r="V5" s="19"/>
      <c r="W5" s="21"/>
      <c r="X5" s="21"/>
    </row>
    <row r="6" spans="1:24" x14ac:dyDescent="0.25">
      <c r="A6" s="124"/>
      <c r="B6" s="23"/>
      <c r="C6" s="22"/>
      <c r="D6" s="12">
        <v>3</v>
      </c>
      <c r="E6" s="13">
        <f t="shared" si="1"/>
        <v>0.5</v>
      </c>
      <c r="F6" s="14">
        <f t="shared" si="0"/>
        <v>0.75</v>
      </c>
      <c r="G6" s="15">
        <v>0.1</v>
      </c>
      <c r="H6" s="16">
        <f t="shared" si="2"/>
        <v>2.5</v>
      </c>
      <c r="I6" s="16"/>
      <c r="J6" s="16"/>
      <c r="K6" s="16"/>
      <c r="L6" s="124"/>
      <c r="M6" s="12">
        <v>3</v>
      </c>
      <c r="N6" s="17">
        <v>0.6</v>
      </c>
      <c r="O6" s="18">
        <v>0.3</v>
      </c>
      <c r="P6" s="18"/>
      <c r="Q6" s="124"/>
      <c r="R6" s="19"/>
      <c r="S6" s="20"/>
      <c r="U6" s="19"/>
      <c r="V6" s="19"/>
      <c r="W6" s="21"/>
      <c r="X6" s="21"/>
    </row>
    <row r="7" spans="1:24" x14ac:dyDescent="0.25">
      <c r="A7" s="124"/>
      <c r="B7" s="23"/>
      <c r="C7" s="22"/>
      <c r="D7" s="12">
        <v>4</v>
      </c>
      <c r="E7" s="13">
        <f t="shared" si="1"/>
        <v>0.6</v>
      </c>
      <c r="F7" s="14">
        <f t="shared" si="0"/>
        <v>0.89999999999999991</v>
      </c>
      <c r="G7" s="24"/>
      <c r="H7" s="16">
        <f t="shared" si="2"/>
        <v>2.9999999999999996</v>
      </c>
      <c r="I7" s="16"/>
      <c r="J7" s="16"/>
      <c r="K7" s="16"/>
      <c r="L7" s="124"/>
      <c r="M7" s="12">
        <v>4</v>
      </c>
      <c r="N7" s="17">
        <v>0.8</v>
      </c>
      <c r="O7" s="18">
        <v>0.4</v>
      </c>
      <c r="P7" s="18"/>
      <c r="Q7" s="124"/>
      <c r="R7" s="19"/>
      <c r="S7" s="20"/>
      <c r="U7" s="19"/>
      <c r="V7" s="19"/>
    </row>
    <row r="8" spans="1:24" x14ac:dyDescent="0.25">
      <c r="A8" s="124"/>
      <c r="B8" s="23"/>
      <c r="C8" s="22"/>
      <c r="D8" s="12">
        <v>5</v>
      </c>
      <c r="E8" s="13">
        <f t="shared" si="1"/>
        <v>0.79999999999999993</v>
      </c>
      <c r="F8" s="14">
        <f t="shared" si="0"/>
        <v>1.2</v>
      </c>
      <c r="G8" s="15">
        <v>0.1</v>
      </c>
      <c r="H8" s="16">
        <f t="shared" si="2"/>
        <v>3.9999999999999996</v>
      </c>
      <c r="I8" s="16"/>
      <c r="J8" s="16"/>
      <c r="K8" s="16"/>
      <c r="L8" s="124"/>
      <c r="M8" s="12">
        <v>5</v>
      </c>
      <c r="N8" s="17">
        <v>1</v>
      </c>
      <c r="O8" s="18">
        <v>0.5</v>
      </c>
      <c r="P8" s="18"/>
      <c r="Q8" s="124"/>
      <c r="R8" s="19"/>
      <c r="S8" s="20"/>
      <c r="U8" s="19"/>
      <c r="V8" s="19"/>
    </row>
    <row r="9" spans="1:24" x14ac:dyDescent="0.25">
      <c r="A9" s="124"/>
      <c r="B9" s="23"/>
      <c r="C9" s="22"/>
      <c r="D9" s="12">
        <v>6</v>
      </c>
      <c r="E9" s="13">
        <f t="shared" si="1"/>
        <v>0.89999999999999991</v>
      </c>
      <c r="F9" s="14">
        <f t="shared" si="0"/>
        <v>1.3499999999999999</v>
      </c>
      <c r="G9" s="24"/>
      <c r="H9" s="16">
        <f t="shared" si="2"/>
        <v>4.4999999999999991</v>
      </c>
      <c r="I9" s="16"/>
      <c r="J9" s="16"/>
      <c r="K9" s="16"/>
      <c r="L9" s="124"/>
      <c r="M9" s="12">
        <v>6</v>
      </c>
      <c r="N9" s="17">
        <v>1.2</v>
      </c>
      <c r="O9" s="18">
        <v>0.6</v>
      </c>
      <c r="P9" s="18"/>
      <c r="Q9" s="124"/>
      <c r="R9" s="19"/>
      <c r="S9" s="20"/>
      <c r="U9" s="19"/>
      <c r="V9" s="19"/>
    </row>
    <row r="10" spans="1:24" x14ac:dyDescent="0.25">
      <c r="A10" s="124"/>
      <c r="B10" s="23"/>
      <c r="C10" s="22"/>
      <c r="D10" s="12">
        <v>7</v>
      </c>
      <c r="E10" s="13">
        <f t="shared" si="1"/>
        <v>1.2</v>
      </c>
      <c r="F10" s="14">
        <f t="shared" si="0"/>
        <v>1.7999999999999998</v>
      </c>
      <c r="G10" s="15">
        <v>0.2</v>
      </c>
      <c r="H10" s="16">
        <f t="shared" si="2"/>
        <v>5.9999999999999991</v>
      </c>
      <c r="I10" s="16"/>
      <c r="J10" s="16"/>
      <c r="K10" s="16"/>
      <c r="L10" s="124"/>
      <c r="M10" s="12">
        <v>7</v>
      </c>
      <c r="N10" s="17">
        <v>1.4</v>
      </c>
      <c r="O10" s="18">
        <v>0.7</v>
      </c>
      <c r="P10" s="18"/>
      <c r="Q10" s="124"/>
      <c r="R10" s="19"/>
      <c r="S10" s="20"/>
      <c r="U10" s="19"/>
      <c r="V10" s="19"/>
    </row>
    <row r="11" spans="1:24" x14ac:dyDescent="0.25">
      <c r="A11" s="124"/>
      <c r="B11" s="23"/>
      <c r="C11" s="22"/>
      <c r="D11" s="12">
        <v>8</v>
      </c>
      <c r="E11" s="13">
        <f t="shared" si="1"/>
        <v>1.6</v>
      </c>
      <c r="F11" s="14">
        <f t="shared" si="0"/>
        <v>2.4000000000000004</v>
      </c>
      <c r="G11" s="15">
        <v>0.3</v>
      </c>
      <c r="H11" s="16">
        <f t="shared" si="2"/>
        <v>8</v>
      </c>
      <c r="I11" s="16"/>
      <c r="J11" s="16"/>
      <c r="K11" s="16"/>
      <c r="L11" s="124"/>
      <c r="M11" s="12">
        <v>8</v>
      </c>
      <c r="N11" s="17">
        <v>1.6</v>
      </c>
      <c r="O11" s="18">
        <v>0.8</v>
      </c>
      <c r="P11" s="18"/>
      <c r="Q11" s="124"/>
      <c r="R11" s="19"/>
      <c r="S11" s="20"/>
      <c r="U11" s="19"/>
      <c r="V11" s="19"/>
    </row>
    <row r="12" spans="1:24" ht="15.75" customHeight="1" x14ac:dyDescent="0.3">
      <c r="A12" s="124"/>
      <c r="B12" s="123"/>
      <c r="C12" s="124"/>
      <c r="D12" s="128"/>
      <c r="E12" s="124"/>
      <c r="F12" s="124"/>
      <c r="G12" s="124"/>
      <c r="H12" s="25"/>
      <c r="I12" s="25"/>
      <c r="J12" s="25"/>
      <c r="K12" s="25"/>
      <c r="L12" s="124"/>
      <c r="M12" s="128"/>
      <c r="N12" s="124"/>
      <c r="O12" s="124"/>
      <c r="P12" s="124"/>
      <c r="Q12" s="124"/>
      <c r="R12" s="6"/>
      <c r="S12" s="6"/>
      <c r="T12" s="6"/>
      <c r="U12" s="6"/>
      <c r="V12" s="6"/>
      <c r="W12" s="6"/>
      <c r="X12" s="6"/>
    </row>
    <row r="13" spans="1:24" x14ac:dyDescent="0.25">
      <c r="A13" s="124"/>
      <c r="B13" s="126"/>
      <c r="C13" s="124"/>
      <c r="D13" s="134" t="s">
        <v>11</v>
      </c>
      <c r="E13" s="124"/>
      <c r="F13" s="124"/>
      <c r="G13" s="124"/>
      <c r="H13" s="26"/>
      <c r="I13" s="26"/>
      <c r="J13" s="26"/>
      <c r="K13" s="26"/>
      <c r="L13" s="124"/>
      <c r="M13" s="134" t="s">
        <v>11</v>
      </c>
      <c r="N13" s="124"/>
      <c r="O13" s="124"/>
      <c r="P13" s="124"/>
      <c r="Q13" s="124"/>
      <c r="R13" s="6"/>
      <c r="S13" s="6"/>
      <c r="T13" s="6"/>
      <c r="U13" s="6"/>
      <c r="V13" s="136"/>
      <c r="W13" s="124"/>
      <c r="X13" s="124"/>
    </row>
    <row r="14" spans="1:24" x14ac:dyDescent="0.25">
      <c r="A14" s="124"/>
      <c r="B14" s="23"/>
      <c r="C14" s="22"/>
      <c r="D14" s="27" t="s">
        <v>5</v>
      </c>
      <c r="E14" s="27" t="s">
        <v>6</v>
      </c>
      <c r="F14" s="27" t="s">
        <v>7</v>
      </c>
      <c r="G14" s="27" t="s">
        <v>12</v>
      </c>
      <c r="H14" s="27" t="s">
        <v>13</v>
      </c>
      <c r="I14" s="27"/>
      <c r="J14" s="27"/>
      <c r="K14" s="27"/>
      <c r="L14" s="124"/>
      <c r="M14" s="27" t="s">
        <v>5</v>
      </c>
      <c r="N14" s="27" t="s">
        <v>6</v>
      </c>
      <c r="O14" s="27"/>
      <c r="P14" s="27"/>
      <c r="Q14" s="124"/>
      <c r="R14" s="11"/>
      <c r="S14" s="11"/>
      <c r="T14" s="11"/>
      <c r="U14" s="11"/>
      <c r="V14" s="11"/>
      <c r="W14" s="11"/>
      <c r="X14" s="11"/>
    </row>
    <row r="15" spans="1:24" x14ac:dyDescent="0.25">
      <c r="A15" s="124"/>
      <c r="B15" s="23"/>
      <c r="C15" s="22"/>
      <c r="D15" s="28">
        <v>1</v>
      </c>
      <c r="E15" s="29">
        <v>-0.1</v>
      </c>
      <c r="F15" s="30"/>
      <c r="G15" s="31">
        <v>1</v>
      </c>
      <c r="H15" s="32">
        <f t="shared" ref="H15:H22" si="3">E15/F4</f>
        <v>-0.33333333333333331</v>
      </c>
      <c r="I15" s="32"/>
      <c r="J15" s="32"/>
      <c r="K15" s="32"/>
      <c r="L15" s="124"/>
      <c r="M15" s="28">
        <v>1</v>
      </c>
      <c r="N15" s="29">
        <v>-0.25</v>
      </c>
      <c r="O15" s="30"/>
      <c r="P15" s="30"/>
      <c r="Q15" s="124"/>
      <c r="R15" s="19"/>
      <c r="S15" s="20"/>
      <c r="U15" s="19"/>
      <c r="V15" s="19"/>
      <c r="W15" s="21"/>
    </row>
    <row r="16" spans="1:24" x14ac:dyDescent="0.25">
      <c r="A16" s="124"/>
      <c r="B16" s="23"/>
      <c r="C16" s="22"/>
      <c r="D16" s="28">
        <v>2</v>
      </c>
      <c r="E16" s="29">
        <f t="shared" ref="E16:E22" si="4">E$15+E15+F16</f>
        <v>-0.2</v>
      </c>
      <c r="F16" s="30"/>
      <c r="G16" s="33">
        <f t="shared" ref="G16:G22" si="5">E16/E$15</f>
        <v>2</v>
      </c>
      <c r="H16" s="32">
        <f t="shared" si="3"/>
        <v>-0.44444444444444442</v>
      </c>
      <c r="I16" s="32"/>
      <c r="J16" s="32"/>
      <c r="K16" s="32"/>
      <c r="L16" s="124"/>
      <c r="M16" s="28">
        <v>2</v>
      </c>
      <c r="N16" s="29">
        <v>-0.5</v>
      </c>
      <c r="O16" s="30"/>
      <c r="P16" s="30"/>
      <c r="Q16" s="124"/>
      <c r="R16" s="19"/>
      <c r="S16" s="20"/>
      <c r="U16" s="19"/>
      <c r="V16" s="19"/>
      <c r="W16" s="21"/>
    </row>
    <row r="17" spans="1:24" x14ac:dyDescent="0.25">
      <c r="A17" s="124"/>
      <c r="B17" s="23"/>
      <c r="C17" s="22"/>
      <c r="D17" s="28">
        <v>3</v>
      </c>
      <c r="E17" s="29">
        <f t="shared" si="4"/>
        <v>-0.35000000000000003</v>
      </c>
      <c r="F17" s="34">
        <v>-0.05</v>
      </c>
      <c r="G17" s="33">
        <f t="shared" si="5"/>
        <v>3.5</v>
      </c>
      <c r="H17" s="32">
        <f t="shared" si="3"/>
        <v>-0.46666666666666673</v>
      </c>
      <c r="I17" s="32"/>
      <c r="J17" s="32"/>
      <c r="K17" s="32"/>
      <c r="L17" s="124"/>
      <c r="M17" s="28">
        <v>3</v>
      </c>
      <c r="N17" s="29">
        <v>-0.75</v>
      </c>
      <c r="O17" s="30"/>
      <c r="P17" s="30"/>
      <c r="Q17" s="124"/>
      <c r="R17" s="19"/>
      <c r="S17" s="20"/>
      <c r="U17" s="19"/>
      <c r="V17" s="19"/>
      <c r="W17" s="21"/>
    </row>
    <row r="18" spans="1:24" x14ac:dyDescent="0.25">
      <c r="A18" s="124"/>
      <c r="B18" s="23"/>
      <c r="C18" s="22"/>
      <c r="D18" s="28">
        <v>4</v>
      </c>
      <c r="E18" s="29">
        <f t="shared" si="4"/>
        <v>-0.45000000000000007</v>
      </c>
      <c r="F18" s="30"/>
      <c r="G18" s="33">
        <f t="shared" si="5"/>
        <v>4.5</v>
      </c>
      <c r="H18" s="32">
        <f t="shared" si="3"/>
        <v>-0.50000000000000011</v>
      </c>
      <c r="I18" s="32"/>
      <c r="J18" s="32"/>
      <c r="K18" s="32"/>
      <c r="L18" s="124"/>
      <c r="M18" s="28">
        <v>4</v>
      </c>
      <c r="N18" s="29">
        <v>-1</v>
      </c>
      <c r="O18" s="30"/>
      <c r="P18" s="30"/>
      <c r="Q18" s="124"/>
      <c r="R18" s="19"/>
      <c r="U18" s="19"/>
      <c r="V18" s="19"/>
    </row>
    <row r="19" spans="1:24" x14ac:dyDescent="0.25">
      <c r="A19" s="124"/>
      <c r="B19" s="23"/>
      <c r="C19" s="22"/>
      <c r="D19" s="28">
        <v>5</v>
      </c>
      <c r="E19" s="29">
        <f t="shared" si="4"/>
        <v>-0.60000000000000009</v>
      </c>
      <c r="F19" s="34">
        <v>-0.05</v>
      </c>
      <c r="G19" s="33">
        <f t="shared" si="5"/>
        <v>6.0000000000000009</v>
      </c>
      <c r="H19" s="32">
        <f t="shared" si="3"/>
        <v>-0.50000000000000011</v>
      </c>
      <c r="I19" s="32"/>
      <c r="J19" s="32"/>
      <c r="K19" s="32"/>
      <c r="L19" s="124"/>
      <c r="M19" s="28">
        <v>5</v>
      </c>
      <c r="N19" s="29">
        <v>-1.25</v>
      </c>
      <c r="O19" s="30"/>
      <c r="P19" s="30"/>
      <c r="Q19" s="124"/>
      <c r="R19" s="19"/>
      <c r="U19" s="19"/>
      <c r="V19" s="19"/>
    </row>
    <row r="20" spans="1:24" x14ac:dyDescent="0.25">
      <c r="A20" s="124"/>
      <c r="B20" s="23"/>
      <c r="C20" s="22"/>
      <c r="D20" s="28">
        <v>6</v>
      </c>
      <c r="E20" s="29">
        <f t="shared" si="4"/>
        <v>-0.70000000000000007</v>
      </c>
      <c r="F20" s="30"/>
      <c r="G20" s="33">
        <f t="shared" si="5"/>
        <v>7</v>
      </c>
      <c r="H20" s="32">
        <f t="shared" si="3"/>
        <v>-0.5185185185185186</v>
      </c>
      <c r="I20" s="32"/>
      <c r="J20" s="32"/>
      <c r="K20" s="32"/>
      <c r="L20" s="124"/>
      <c r="M20" s="28">
        <v>6</v>
      </c>
      <c r="N20" s="29">
        <v>-1.5</v>
      </c>
      <c r="O20" s="30"/>
      <c r="P20" s="30"/>
      <c r="Q20" s="124"/>
      <c r="R20" s="19"/>
      <c r="S20" s="20"/>
      <c r="U20" s="19"/>
      <c r="V20" s="19"/>
    </row>
    <row r="21" spans="1:24" x14ac:dyDescent="0.25">
      <c r="A21" s="124"/>
      <c r="B21" s="23"/>
      <c r="C21" s="22"/>
      <c r="D21" s="28">
        <v>7</v>
      </c>
      <c r="E21" s="29">
        <f t="shared" si="4"/>
        <v>-1</v>
      </c>
      <c r="F21" s="34">
        <v>-0.2</v>
      </c>
      <c r="G21" s="33">
        <f t="shared" si="5"/>
        <v>10</v>
      </c>
      <c r="H21" s="32">
        <f t="shared" si="3"/>
        <v>-0.55555555555555558</v>
      </c>
      <c r="I21" s="32"/>
      <c r="J21" s="32"/>
      <c r="K21" s="32"/>
      <c r="L21" s="124"/>
      <c r="M21" s="28">
        <v>7</v>
      </c>
      <c r="N21" s="29">
        <v>-1.75</v>
      </c>
      <c r="O21" s="30"/>
      <c r="P21" s="30"/>
      <c r="Q21" s="124"/>
      <c r="R21" s="19"/>
      <c r="S21" s="20"/>
      <c r="U21" s="19"/>
      <c r="V21" s="19"/>
    </row>
    <row r="22" spans="1:24" x14ac:dyDescent="0.25">
      <c r="A22" s="124"/>
      <c r="B22" s="23"/>
      <c r="C22" s="22"/>
      <c r="D22" s="28">
        <v>8</v>
      </c>
      <c r="E22" s="29">
        <f t="shared" si="4"/>
        <v>-1.4000000000000001</v>
      </c>
      <c r="F22" s="34">
        <v>-0.3</v>
      </c>
      <c r="G22" s="33">
        <f t="shared" si="5"/>
        <v>14</v>
      </c>
      <c r="H22" s="32">
        <f t="shared" si="3"/>
        <v>-0.58333333333333326</v>
      </c>
      <c r="I22" s="32"/>
      <c r="J22" s="32"/>
      <c r="K22" s="32"/>
      <c r="L22" s="124"/>
      <c r="M22" s="28">
        <v>8</v>
      </c>
      <c r="N22" s="29">
        <v>-2</v>
      </c>
      <c r="O22" s="30"/>
      <c r="P22" s="30"/>
      <c r="Q22" s="124"/>
      <c r="R22" s="19"/>
      <c r="S22" s="20"/>
      <c r="U22" s="19"/>
      <c r="V22" s="19"/>
    </row>
    <row r="23" spans="1:24" ht="15.75" customHeight="1" x14ac:dyDescent="0.3">
      <c r="A23" s="124"/>
      <c r="B23" s="123"/>
      <c r="C23" s="124"/>
      <c r="D23" s="128"/>
      <c r="E23" s="124"/>
      <c r="F23" s="124"/>
      <c r="G23" s="124"/>
      <c r="H23" s="25"/>
      <c r="I23" s="25"/>
      <c r="J23" s="25"/>
      <c r="K23" s="25"/>
      <c r="L23" s="124"/>
      <c r="M23" s="128"/>
      <c r="N23" s="124"/>
      <c r="O23" s="124"/>
      <c r="P23" s="124"/>
      <c r="Q23" s="124"/>
      <c r="R23" s="6"/>
      <c r="S23" s="6"/>
      <c r="T23" s="6"/>
      <c r="U23" s="6"/>
      <c r="V23" s="6"/>
      <c r="W23" s="6"/>
      <c r="X23" s="6"/>
    </row>
    <row r="24" spans="1:24" x14ac:dyDescent="0.25">
      <c r="A24" s="124"/>
      <c r="B24" s="126" t="s">
        <v>14</v>
      </c>
      <c r="C24" s="124"/>
      <c r="D24" s="133" t="s">
        <v>14</v>
      </c>
      <c r="E24" s="124"/>
      <c r="F24" s="124"/>
      <c r="G24" s="124"/>
      <c r="H24" s="35"/>
      <c r="I24" s="35"/>
      <c r="J24" s="35"/>
      <c r="K24" s="35"/>
      <c r="L24" s="124"/>
      <c r="M24" s="133" t="s">
        <v>14</v>
      </c>
      <c r="N24" s="124"/>
      <c r="O24" s="124"/>
      <c r="P24" s="124"/>
      <c r="Q24" s="124"/>
      <c r="R24" s="6"/>
      <c r="S24" s="6"/>
      <c r="T24" s="6"/>
      <c r="U24" s="6"/>
      <c r="V24" s="136"/>
      <c r="W24" s="124"/>
      <c r="X24" s="124"/>
    </row>
    <row r="25" spans="1:24" x14ac:dyDescent="0.25">
      <c r="A25" s="124"/>
      <c r="B25" s="23" t="s">
        <v>15</v>
      </c>
      <c r="C25" s="36">
        <v>1.5</v>
      </c>
      <c r="D25" s="37" t="s">
        <v>5</v>
      </c>
      <c r="E25" s="37" t="s">
        <v>14</v>
      </c>
      <c r="F25" s="37" t="s">
        <v>6</v>
      </c>
      <c r="G25" s="37" t="s">
        <v>16</v>
      </c>
      <c r="H25" s="37" t="s">
        <v>7</v>
      </c>
      <c r="I25" s="37" t="s">
        <v>3</v>
      </c>
      <c r="J25" s="37" t="s">
        <v>17</v>
      </c>
      <c r="K25" s="37" t="s">
        <v>12</v>
      </c>
      <c r="L25" s="124"/>
      <c r="M25" s="37" t="s">
        <v>5</v>
      </c>
      <c r="N25" s="37" t="s">
        <v>14</v>
      </c>
      <c r="O25" s="37" t="s">
        <v>6</v>
      </c>
      <c r="P25" s="37" t="s">
        <v>16</v>
      </c>
      <c r="Q25" s="124"/>
      <c r="R25" s="11"/>
      <c r="S25" s="11"/>
      <c r="T25" s="11"/>
      <c r="U25" s="11"/>
      <c r="V25" s="11"/>
      <c r="W25" s="11"/>
      <c r="X25" s="11"/>
    </row>
    <row r="26" spans="1:24" x14ac:dyDescent="0.25">
      <c r="A26" s="124"/>
      <c r="B26" s="23" t="s">
        <v>18</v>
      </c>
      <c r="C26" s="36">
        <v>0.5</v>
      </c>
      <c r="D26" s="38">
        <v>1</v>
      </c>
      <c r="E26" s="39">
        <v>0.02</v>
      </c>
      <c r="F26" s="40">
        <f t="shared" ref="F26:F33" si="6">E26*4</f>
        <v>0.08</v>
      </c>
      <c r="G26" s="40">
        <f t="shared" ref="G26:G33" si="7">F26</f>
        <v>0.08</v>
      </c>
      <c r="H26" s="41"/>
      <c r="I26" s="42">
        <f t="shared" ref="I26:I33" si="8">E26*J26*-1</f>
        <v>-0.03</v>
      </c>
      <c r="J26" s="40">
        <f>C25</f>
        <v>1.5</v>
      </c>
      <c r="K26" s="43">
        <f>E26/E26</f>
        <v>1</v>
      </c>
      <c r="L26" s="124"/>
      <c r="M26" s="38">
        <v>1</v>
      </c>
      <c r="N26" s="44">
        <v>0.05</v>
      </c>
      <c r="O26" s="40">
        <v>0.2</v>
      </c>
      <c r="P26" s="40">
        <v>0.2</v>
      </c>
      <c r="Q26" s="124"/>
      <c r="R26" s="19"/>
      <c r="U26" s="19"/>
      <c r="V26" s="19"/>
      <c r="W26" s="21"/>
      <c r="X26" s="21"/>
    </row>
    <row r="27" spans="1:24" x14ac:dyDescent="0.25">
      <c r="A27" s="124"/>
      <c r="B27" s="23"/>
      <c r="C27" s="22"/>
      <c r="D27" s="38">
        <v>2</v>
      </c>
      <c r="E27" s="39">
        <f t="shared" ref="E27:E33" si="9">E$26+E26+H27</f>
        <v>0.04</v>
      </c>
      <c r="F27" s="40">
        <f t="shared" si="6"/>
        <v>0.16</v>
      </c>
      <c r="G27" s="40">
        <f t="shared" si="7"/>
        <v>0.16</v>
      </c>
      <c r="H27" s="41"/>
      <c r="I27" s="42">
        <f t="shared" si="8"/>
        <v>-0.08</v>
      </c>
      <c r="J27" s="40">
        <f t="shared" ref="J27:J33" si="10">J26+C$26</f>
        <v>2</v>
      </c>
      <c r="K27" s="43">
        <f t="shared" ref="K27:K33" si="11">E27/E$26</f>
        <v>2</v>
      </c>
      <c r="L27" s="124"/>
      <c r="M27" s="38">
        <v>2</v>
      </c>
      <c r="N27" s="44">
        <v>0.1</v>
      </c>
      <c r="O27" s="40">
        <v>0.4</v>
      </c>
      <c r="P27" s="40">
        <v>0.4</v>
      </c>
      <c r="Q27" s="124"/>
      <c r="R27" s="19"/>
      <c r="U27" s="19"/>
      <c r="V27" s="19"/>
      <c r="W27" s="21"/>
      <c r="X27" s="21"/>
    </row>
    <row r="28" spans="1:24" x14ac:dyDescent="0.25">
      <c r="A28" s="124"/>
      <c r="B28" s="23"/>
      <c r="C28" s="22"/>
      <c r="D28" s="38">
        <v>3</v>
      </c>
      <c r="E28" s="39">
        <f t="shared" si="9"/>
        <v>0.08</v>
      </c>
      <c r="F28" s="40">
        <f t="shared" si="6"/>
        <v>0.32</v>
      </c>
      <c r="G28" s="40">
        <f t="shared" si="7"/>
        <v>0.32</v>
      </c>
      <c r="H28" s="45">
        <v>0.02</v>
      </c>
      <c r="I28" s="42">
        <f t="shared" si="8"/>
        <v>-0.2</v>
      </c>
      <c r="J28" s="40">
        <f t="shared" si="10"/>
        <v>2.5</v>
      </c>
      <c r="K28" s="43">
        <f t="shared" si="11"/>
        <v>4</v>
      </c>
      <c r="L28" s="124"/>
      <c r="M28" s="38">
        <v>3</v>
      </c>
      <c r="N28" s="44">
        <v>0.15</v>
      </c>
      <c r="O28" s="40">
        <v>0.6</v>
      </c>
      <c r="P28" s="40">
        <v>0.6</v>
      </c>
      <c r="Q28" s="124"/>
      <c r="R28" s="19"/>
      <c r="U28" s="19"/>
      <c r="V28" s="19"/>
      <c r="W28" s="21"/>
      <c r="X28" s="21"/>
    </row>
    <row r="29" spans="1:24" x14ac:dyDescent="0.25">
      <c r="A29" s="124"/>
      <c r="B29" s="23"/>
      <c r="C29" s="22"/>
      <c r="D29" s="38">
        <v>4</v>
      </c>
      <c r="E29" s="39">
        <f t="shared" si="9"/>
        <v>0.1</v>
      </c>
      <c r="F29" s="40">
        <f t="shared" si="6"/>
        <v>0.4</v>
      </c>
      <c r="G29" s="40">
        <f t="shared" si="7"/>
        <v>0.4</v>
      </c>
      <c r="H29" s="41"/>
      <c r="I29" s="42">
        <f t="shared" si="8"/>
        <v>-0.30000000000000004</v>
      </c>
      <c r="J29" s="40">
        <f t="shared" si="10"/>
        <v>3</v>
      </c>
      <c r="K29" s="43">
        <f t="shared" si="11"/>
        <v>5</v>
      </c>
      <c r="L29" s="124"/>
      <c r="M29" s="38">
        <v>4</v>
      </c>
      <c r="N29" s="44">
        <v>0.2</v>
      </c>
      <c r="O29" s="40">
        <v>0.8</v>
      </c>
      <c r="P29" s="40">
        <v>0.8</v>
      </c>
      <c r="Q29" s="124"/>
      <c r="R29" s="19"/>
      <c r="U29" s="19"/>
      <c r="V29" s="19"/>
    </row>
    <row r="30" spans="1:24" x14ac:dyDescent="0.25">
      <c r="A30" s="124"/>
      <c r="B30" s="23"/>
      <c r="C30" s="22"/>
      <c r="D30" s="38">
        <v>5</v>
      </c>
      <c r="E30" s="39">
        <f t="shared" si="9"/>
        <v>0.16</v>
      </c>
      <c r="F30" s="40">
        <f t="shared" si="6"/>
        <v>0.64</v>
      </c>
      <c r="G30" s="40">
        <f t="shared" si="7"/>
        <v>0.64</v>
      </c>
      <c r="H30" s="45">
        <v>0.04</v>
      </c>
      <c r="I30" s="42">
        <f t="shared" si="8"/>
        <v>-0.56000000000000005</v>
      </c>
      <c r="J30" s="40">
        <f t="shared" si="10"/>
        <v>3.5</v>
      </c>
      <c r="K30" s="43">
        <f t="shared" si="11"/>
        <v>8</v>
      </c>
      <c r="L30" s="124"/>
      <c r="M30" s="38">
        <v>5</v>
      </c>
      <c r="N30" s="44">
        <v>0.25</v>
      </c>
      <c r="O30" s="40">
        <v>1</v>
      </c>
      <c r="P30" s="40">
        <v>1</v>
      </c>
      <c r="Q30" s="124"/>
      <c r="R30" s="19"/>
      <c r="U30" s="19"/>
      <c r="V30" s="19"/>
    </row>
    <row r="31" spans="1:24" x14ac:dyDescent="0.25">
      <c r="A31" s="124"/>
      <c r="B31" s="23"/>
      <c r="C31" s="22"/>
      <c r="D31" s="38">
        <v>6</v>
      </c>
      <c r="E31" s="39">
        <f t="shared" si="9"/>
        <v>0.18</v>
      </c>
      <c r="F31" s="40">
        <f t="shared" si="6"/>
        <v>0.72</v>
      </c>
      <c r="G31" s="40">
        <f t="shared" si="7"/>
        <v>0.72</v>
      </c>
      <c r="H31" s="41"/>
      <c r="I31" s="42">
        <f t="shared" si="8"/>
        <v>-0.72</v>
      </c>
      <c r="J31" s="40">
        <f t="shared" si="10"/>
        <v>4</v>
      </c>
      <c r="K31" s="43">
        <f t="shared" si="11"/>
        <v>9</v>
      </c>
      <c r="L31" s="124"/>
      <c r="M31" s="38">
        <v>6</v>
      </c>
      <c r="N31" s="44">
        <v>0.3</v>
      </c>
      <c r="O31" s="40">
        <v>1.2</v>
      </c>
      <c r="P31" s="40">
        <v>1.2</v>
      </c>
      <c r="Q31" s="124"/>
      <c r="R31" s="19"/>
      <c r="U31" s="19"/>
      <c r="V31" s="19"/>
    </row>
    <row r="32" spans="1:24" x14ac:dyDescent="0.25">
      <c r="A32" s="124"/>
      <c r="B32" s="23"/>
      <c r="C32" s="22"/>
      <c r="D32" s="38">
        <v>7</v>
      </c>
      <c r="E32" s="39">
        <f t="shared" si="9"/>
        <v>0.27999999999999997</v>
      </c>
      <c r="F32" s="40">
        <f t="shared" si="6"/>
        <v>1.1199999999999999</v>
      </c>
      <c r="G32" s="40">
        <f t="shared" si="7"/>
        <v>1.1199999999999999</v>
      </c>
      <c r="H32" s="45">
        <v>0.08</v>
      </c>
      <c r="I32" s="42">
        <f t="shared" si="8"/>
        <v>-1.2599999999999998</v>
      </c>
      <c r="J32" s="40">
        <f t="shared" si="10"/>
        <v>4.5</v>
      </c>
      <c r="K32" s="43">
        <f t="shared" si="11"/>
        <v>13.999999999999998</v>
      </c>
      <c r="L32" s="124"/>
      <c r="M32" s="38">
        <v>7</v>
      </c>
      <c r="N32" s="44">
        <v>0.4</v>
      </c>
      <c r="O32" s="40">
        <v>1.6</v>
      </c>
      <c r="P32" s="40">
        <v>1.6</v>
      </c>
      <c r="Q32" s="124"/>
      <c r="R32" s="19"/>
      <c r="U32" s="19"/>
      <c r="V32" s="19"/>
    </row>
    <row r="33" spans="1:22" x14ac:dyDescent="0.25">
      <c r="A33" s="124"/>
      <c r="B33" s="23"/>
      <c r="C33" s="22"/>
      <c r="D33" s="38">
        <v>8</v>
      </c>
      <c r="E33" s="39">
        <f t="shared" si="9"/>
        <v>0.4</v>
      </c>
      <c r="F33" s="40">
        <f t="shared" si="6"/>
        <v>1.6</v>
      </c>
      <c r="G33" s="40">
        <f t="shared" si="7"/>
        <v>1.6</v>
      </c>
      <c r="H33" s="45">
        <v>0.1</v>
      </c>
      <c r="I33" s="42">
        <f t="shared" si="8"/>
        <v>-2</v>
      </c>
      <c r="J33" s="40">
        <f t="shared" si="10"/>
        <v>5</v>
      </c>
      <c r="K33" s="43">
        <f t="shared" si="11"/>
        <v>20</v>
      </c>
      <c r="L33" s="124"/>
      <c r="M33" s="38">
        <v>8</v>
      </c>
      <c r="N33" s="44">
        <v>0.5</v>
      </c>
      <c r="O33" s="40">
        <v>2</v>
      </c>
      <c r="P33" s="40">
        <v>2</v>
      </c>
      <c r="Q33" s="124"/>
      <c r="R33" s="19"/>
      <c r="U33" s="19"/>
      <c r="V33" s="19"/>
    </row>
    <row r="34" spans="1:22" ht="15.75" customHeight="1" x14ac:dyDescent="0.3">
      <c r="A34" s="124"/>
      <c r="B34" s="123"/>
      <c r="C34" s="124"/>
      <c r="D34" s="128"/>
      <c r="E34" s="124"/>
      <c r="F34" s="124"/>
      <c r="G34" s="124"/>
      <c r="H34" s="25"/>
      <c r="I34" s="25"/>
      <c r="J34" s="25"/>
      <c r="K34" s="25"/>
      <c r="L34" s="124"/>
      <c r="M34" s="128"/>
      <c r="N34" s="124"/>
      <c r="O34" s="124"/>
      <c r="P34" s="124"/>
      <c r="Q34" s="124"/>
    </row>
    <row r="35" spans="1:22" x14ac:dyDescent="0.25">
      <c r="A35" s="124"/>
      <c r="B35" s="126"/>
      <c r="C35" s="124"/>
      <c r="D35" s="132" t="s">
        <v>19</v>
      </c>
      <c r="E35" s="124"/>
      <c r="F35" s="124"/>
      <c r="G35" s="124"/>
      <c r="H35" s="46"/>
      <c r="I35" s="46"/>
      <c r="J35" s="46"/>
      <c r="K35" s="46"/>
      <c r="L35" s="124"/>
      <c r="M35" s="132" t="s">
        <v>19</v>
      </c>
      <c r="N35" s="124"/>
      <c r="O35" s="124"/>
      <c r="P35" s="124"/>
      <c r="Q35" s="124"/>
    </row>
    <row r="36" spans="1:22" x14ac:dyDescent="0.25">
      <c r="A36" s="124"/>
      <c r="B36" s="23"/>
      <c r="C36" s="22"/>
      <c r="D36" s="47" t="s">
        <v>5</v>
      </c>
      <c r="E36" s="47" t="s">
        <v>16</v>
      </c>
      <c r="F36" s="47" t="s">
        <v>7</v>
      </c>
      <c r="G36" s="47" t="s">
        <v>20</v>
      </c>
      <c r="H36" s="47"/>
      <c r="I36" s="47"/>
      <c r="J36" s="47"/>
      <c r="K36" s="47"/>
      <c r="L36" s="124"/>
      <c r="M36" s="47" t="s">
        <v>5</v>
      </c>
      <c r="N36" s="47" t="s">
        <v>16</v>
      </c>
      <c r="O36" s="47"/>
      <c r="P36" s="47"/>
      <c r="Q36" s="124"/>
    </row>
    <row r="37" spans="1:22" x14ac:dyDescent="0.25">
      <c r="A37" s="124"/>
      <c r="B37" s="23"/>
      <c r="C37" s="22"/>
      <c r="D37" s="48">
        <v>1</v>
      </c>
      <c r="E37" s="49">
        <v>0.2</v>
      </c>
      <c r="F37" s="50"/>
      <c r="G37" s="51">
        <f t="shared" ref="G37:G44" si="12">E37/E$37</f>
        <v>1</v>
      </c>
      <c r="H37" s="50"/>
      <c r="I37" s="50"/>
      <c r="J37" s="50"/>
      <c r="K37" s="50"/>
      <c r="L37" s="124"/>
      <c r="M37" s="48">
        <v>1</v>
      </c>
      <c r="N37" s="49">
        <v>0.2</v>
      </c>
      <c r="O37" s="50"/>
      <c r="P37" s="50"/>
      <c r="Q37" s="124"/>
    </row>
    <row r="38" spans="1:22" ht="15" x14ac:dyDescent="0.25">
      <c r="A38" s="124"/>
      <c r="B38" s="23"/>
      <c r="C38" s="22"/>
      <c r="D38" s="48">
        <v>2</v>
      </c>
      <c r="E38" s="49">
        <f t="shared" ref="E38:E44" si="13">E37+0.1+F38</f>
        <v>0.30000000000000004</v>
      </c>
      <c r="F38" s="50"/>
      <c r="G38" s="51">
        <f t="shared" si="12"/>
        <v>1.5000000000000002</v>
      </c>
      <c r="H38" s="50"/>
      <c r="I38" s="50"/>
      <c r="J38" s="50"/>
      <c r="K38" s="50"/>
      <c r="L38" s="124"/>
      <c r="M38" s="48">
        <v>2</v>
      </c>
      <c r="N38" s="49">
        <v>0.4</v>
      </c>
      <c r="O38" s="50"/>
      <c r="P38" s="50"/>
      <c r="Q38" s="124"/>
    </row>
    <row r="39" spans="1:22" ht="15" x14ac:dyDescent="0.25">
      <c r="A39" s="124"/>
      <c r="B39" s="23"/>
      <c r="C39" s="22"/>
      <c r="D39" s="48">
        <v>3</v>
      </c>
      <c r="E39" s="49">
        <f t="shared" si="13"/>
        <v>0.5</v>
      </c>
      <c r="F39" s="52">
        <v>0.1</v>
      </c>
      <c r="G39" s="51">
        <f t="shared" si="12"/>
        <v>2.5</v>
      </c>
      <c r="H39" s="50"/>
      <c r="I39" s="50"/>
      <c r="J39" s="50"/>
      <c r="K39" s="50"/>
      <c r="L39" s="124"/>
      <c r="M39" s="48">
        <v>3</v>
      </c>
      <c r="N39" s="49">
        <v>0.6</v>
      </c>
      <c r="O39" s="50"/>
      <c r="P39" s="50"/>
      <c r="Q39" s="124"/>
    </row>
    <row r="40" spans="1:22" ht="15" x14ac:dyDescent="0.25">
      <c r="A40" s="124"/>
      <c r="B40" s="23"/>
      <c r="C40" s="22"/>
      <c r="D40" s="48">
        <v>4</v>
      </c>
      <c r="E40" s="49">
        <f t="shared" si="13"/>
        <v>0.6</v>
      </c>
      <c r="F40" s="50"/>
      <c r="G40" s="51">
        <f t="shared" si="12"/>
        <v>2.9999999999999996</v>
      </c>
      <c r="H40" s="50"/>
      <c r="I40" s="50"/>
      <c r="J40" s="50"/>
      <c r="K40" s="50"/>
      <c r="L40" s="124"/>
      <c r="M40" s="48">
        <v>4</v>
      </c>
      <c r="N40" s="49">
        <v>0.8</v>
      </c>
      <c r="O40" s="50"/>
      <c r="P40" s="50"/>
      <c r="Q40" s="124"/>
    </row>
    <row r="41" spans="1:22" ht="15" x14ac:dyDescent="0.25">
      <c r="A41" s="124"/>
      <c r="B41" s="23"/>
      <c r="C41" s="22"/>
      <c r="D41" s="48">
        <v>5</v>
      </c>
      <c r="E41" s="49">
        <f t="shared" si="13"/>
        <v>0.79999999999999993</v>
      </c>
      <c r="F41" s="52">
        <v>0.1</v>
      </c>
      <c r="G41" s="51">
        <f t="shared" si="12"/>
        <v>3.9999999999999996</v>
      </c>
      <c r="H41" s="50"/>
      <c r="I41" s="50"/>
      <c r="J41" s="50"/>
      <c r="K41" s="50"/>
      <c r="L41" s="124"/>
      <c r="M41" s="48">
        <v>5</v>
      </c>
      <c r="N41" s="49">
        <v>1</v>
      </c>
      <c r="O41" s="50"/>
      <c r="P41" s="50"/>
      <c r="Q41" s="124"/>
    </row>
    <row r="42" spans="1:22" ht="15" x14ac:dyDescent="0.25">
      <c r="A42" s="124"/>
      <c r="B42" s="23"/>
      <c r="C42" s="22"/>
      <c r="D42" s="48">
        <v>6</v>
      </c>
      <c r="E42" s="49">
        <f t="shared" si="13"/>
        <v>0.89999999999999991</v>
      </c>
      <c r="F42" s="50"/>
      <c r="G42" s="51">
        <f t="shared" si="12"/>
        <v>4.4999999999999991</v>
      </c>
      <c r="H42" s="50"/>
      <c r="I42" s="50"/>
      <c r="J42" s="50"/>
      <c r="K42" s="50"/>
      <c r="L42" s="124"/>
      <c r="M42" s="48">
        <v>6</v>
      </c>
      <c r="N42" s="49">
        <v>1.2</v>
      </c>
      <c r="O42" s="50"/>
      <c r="P42" s="50"/>
      <c r="Q42" s="124"/>
    </row>
    <row r="43" spans="1:22" ht="15" x14ac:dyDescent="0.25">
      <c r="A43" s="124"/>
      <c r="B43" s="23"/>
      <c r="C43" s="22"/>
      <c r="D43" s="48">
        <v>7</v>
      </c>
      <c r="E43" s="49">
        <f t="shared" si="13"/>
        <v>1.2</v>
      </c>
      <c r="F43" s="52">
        <v>0.2</v>
      </c>
      <c r="G43" s="51">
        <f t="shared" si="12"/>
        <v>5.9999999999999991</v>
      </c>
      <c r="H43" s="50"/>
      <c r="I43" s="50"/>
      <c r="J43" s="50"/>
      <c r="K43" s="50"/>
      <c r="L43" s="124"/>
      <c r="M43" s="48">
        <v>7</v>
      </c>
      <c r="N43" s="49">
        <v>1.4</v>
      </c>
      <c r="O43" s="50"/>
      <c r="P43" s="50"/>
      <c r="Q43" s="124"/>
    </row>
    <row r="44" spans="1:22" ht="15" x14ac:dyDescent="0.25">
      <c r="A44" s="124"/>
      <c r="B44" s="23"/>
      <c r="C44" s="22"/>
      <c r="D44" s="48">
        <v>8</v>
      </c>
      <c r="E44" s="49">
        <f t="shared" si="13"/>
        <v>1.6</v>
      </c>
      <c r="F44" s="52">
        <v>0.3</v>
      </c>
      <c r="G44" s="51">
        <f t="shared" si="12"/>
        <v>8</v>
      </c>
      <c r="H44" s="50"/>
      <c r="I44" s="50"/>
      <c r="J44" s="50"/>
      <c r="K44" s="50"/>
      <c r="L44" s="124"/>
      <c r="M44" s="48">
        <v>8</v>
      </c>
      <c r="N44" s="49">
        <v>1.6</v>
      </c>
      <c r="O44" s="50"/>
      <c r="P44" s="50"/>
      <c r="Q44" s="124"/>
    </row>
    <row r="45" spans="1:22" ht="18.75" x14ac:dyDescent="0.3">
      <c r="A45" s="124"/>
      <c r="B45" s="123"/>
      <c r="C45" s="124"/>
      <c r="D45" s="128"/>
      <c r="E45" s="124"/>
      <c r="F45" s="124"/>
      <c r="G45" s="124"/>
      <c r="H45" s="25"/>
      <c r="I45" s="25"/>
      <c r="J45" s="25"/>
      <c r="K45" s="25"/>
      <c r="L45" s="124"/>
      <c r="M45" s="128"/>
      <c r="N45" s="124"/>
      <c r="O45" s="124"/>
      <c r="P45" s="124"/>
      <c r="Q45" s="124"/>
    </row>
    <row r="46" spans="1:22" x14ac:dyDescent="0.25">
      <c r="A46" s="124"/>
      <c r="B46" s="126"/>
      <c r="C46" s="124"/>
      <c r="D46" s="127" t="s">
        <v>21</v>
      </c>
      <c r="E46" s="124"/>
      <c r="F46" s="124"/>
      <c r="G46" s="124"/>
      <c r="H46" s="53"/>
      <c r="I46" s="53"/>
      <c r="J46" s="53"/>
      <c r="K46" s="53"/>
      <c r="L46" s="124"/>
      <c r="M46" s="127" t="s">
        <v>21</v>
      </c>
      <c r="N46" s="124"/>
      <c r="O46" s="124"/>
      <c r="P46" s="124"/>
      <c r="Q46" s="124"/>
    </row>
    <row r="47" spans="1:22" ht="15" x14ac:dyDescent="0.25">
      <c r="A47" s="124"/>
      <c r="B47" s="23"/>
      <c r="C47" s="22"/>
      <c r="D47" s="54" t="s">
        <v>5</v>
      </c>
      <c r="E47" s="54" t="s">
        <v>22</v>
      </c>
      <c r="F47" s="54" t="s">
        <v>7</v>
      </c>
      <c r="G47" s="54"/>
      <c r="H47" s="54"/>
      <c r="I47" s="54"/>
      <c r="J47" s="54"/>
      <c r="K47" s="54"/>
      <c r="L47" s="124"/>
      <c r="M47" s="54" t="s">
        <v>5</v>
      </c>
      <c r="N47" s="54" t="s">
        <v>22</v>
      </c>
      <c r="O47" s="54"/>
      <c r="P47" s="54"/>
      <c r="Q47" s="124"/>
    </row>
    <row r="48" spans="1:22" ht="15" x14ac:dyDescent="0.25">
      <c r="A48" s="124"/>
      <c r="B48" s="23"/>
      <c r="C48" s="22"/>
      <c r="D48" s="55">
        <v>1</v>
      </c>
      <c r="E48" s="56">
        <v>-0.2</v>
      </c>
      <c r="F48" s="57"/>
      <c r="G48" s="57"/>
      <c r="H48" s="57"/>
      <c r="I48" s="57"/>
      <c r="J48" s="57"/>
      <c r="K48" s="57"/>
      <c r="L48" s="124"/>
      <c r="M48" s="55">
        <v>1</v>
      </c>
      <c r="N48" s="56">
        <v>-0.2</v>
      </c>
      <c r="O48" s="57"/>
      <c r="P48" s="57"/>
      <c r="Q48" s="124"/>
    </row>
    <row r="49" spans="1:17" ht="15" x14ac:dyDescent="0.25">
      <c r="A49" s="124"/>
      <c r="B49" s="23"/>
      <c r="C49" s="22"/>
      <c r="D49" s="55">
        <v>2</v>
      </c>
      <c r="E49" s="56">
        <f t="shared" ref="E49:E55" si="14">E48-0.1+F49</f>
        <v>-0.30000000000000004</v>
      </c>
      <c r="F49" s="57"/>
      <c r="G49" s="57"/>
      <c r="H49" s="57"/>
      <c r="I49" s="57"/>
      <c r="J49" s="57"/>
      <c r="K49" s="57"/>
      <c r="L49" s="124"/>
      <c r="M49" s="55">
        <v>2</v>
      </c>
      <c r="N49" s="56">
        <v>-0.4</v>
      </c>
      <c r="O49" s="57"/>
      <c r="P49" s="57"/>
      <c r="Q49" s="124"/>
    </row>
    <row r="50" spans="1:17" ht="15" x14ac:dyDescent="0.25">
      <c r="A50" s="124"/>
      <c r="B50" s="23"/>
      <c r="C50" s="22"/>
      <c r="D50" s="55">
        <v>3</v>
      </c>
      <c r="E50" s="56">
        <f t="shared" si="14"/>
        <v>-0.5</v>
      </c>
      <c r="F50" s="58">
        <v>-0.1</v>
      </c>
      <c r="G50" s="57"/>
      <c r="H50" s="57"/>
      <c r="I50" s="57"/>
      <c r="J50" s="57"/>
      <c r="K50" s="57"/>
      <c r="L50" s="124"/>
      <c r="M50" s="55">
        <v>3</v>
      </c>
      <c r="N50" s="56">
        <v>-0.6</v>
      </c>
      <c r="O50" s="57"/>
      <c r="P50" s="57"/>
      <c r="Q50" s="124"/>
    </row>
    <row r="51" spans="1:17" ht="15" x14ac:dyDescent="0.25">
      <c r="A51" s="124"/>
      <c r="B51" s="23"/>
      <c r="C51" s="22"/>
      <c r="D51" s="55">
        <v>4</v>
      </c>
      <c r="E51" s="56">
        <f t="shared" si="14"/>
        <v>-0.6</v>
      </c>
      <c r="F51" s="57"/>
      <c r="G51" s="57"/>
      <c r="H51" s="57"/>
      <c r="I51" s="57"/>
      <c r="J51" s="57"/>
      <c r="K51" s="57"/>
      <c r="L51" s="124"/>
      <c r="M51" s="55">
        <v>4</v>
      </c>
      <c r="N51" s="56">
        <v>-0.8</v>
      </c>
      <c r="O51" s="57"/>
      <c r="P51" s="57"/>
      <c r="Q51" s="124"/>
    </row>
    <row r="52" spans="1:17" ht="15" x14ac:dyDescent="0.25">
      <c r="A52" s="124"/>
      <c r="B52" s="23"/>
      <c r="C52" s="22"/>
      <c r="D52" s="55">
        <v>5</v>
      </c>
      <c r="E52" s="56">
        <f t="shared" si="14"/>
        <v>-0.79999999999999993</v>
      </c>
      <c r="F52" s="58">
        <v>-0.1</v>
      </c>
      <c r="G52" s="57"/>
      <c r="H52" s="57"/>
      <c r="I52" s="57"/>
      <c r="J52" s="57"/>
      <c r="K52" s="57"/>
      <c r="L52" s="124"/>
      <c r="M52" s="55">
        <v>5</v>
      </c>
      <c r="N52" s="56">
        <v>-1</v>
      </c>
      <c r="O52" s="57"/>
      <c r="P52" s="57"/>
      <c r="Q52" s="124"/>
    </row>
    <row r="53" spans="1:17" ht="15" x14ac:dyDescent="0.25">
      <c r="A53" s="124"/>
      <c r="B53" s="23"/>
      <c r="C53" s="22"/>
      <c r="D53" s="55">
        <v>6</v>
      </c>
      <c r="E53" s="56">
        <f t="shared" si="14"/>
        <v>-0.89999999999999991</v>
      </c>
      <c r="F53" s="57"/>
      <c r="G53" s="57"/>
      <c r="H53" s="57"/>
      <c r="I53" s="57"/>
      <c r="J53" s="57"/>
      <c r="K53" s="57"/>
      <c r="L53" s="124"/>
      <c r="M53" s="55">
        <v>6</v>
      </c>
      <c r="N53" s="56">
        <v>-1.2</v>
      </c>
      <c r="O53" s="57"/>
      <c r="P53" s="57"/>
      <c r="Q53" s="124"/>
    </row>
    <row r="54" spans="1:17" ht="15" x14ac:dyDescent="0.25">
      <c r="A54" s="124"/>
      <c r="B54" s="23"/>
      <c r="C54" s="22"/>
      <c r="D54" s="55">
        <v>7</v>
      </c>
      <c r="E54" s="56">
        <f t="shared" si="14"/>
        <v>-1.2</v>
      </c>
      <c r="F54" s="58">
        <v>-0.2</v>
      </c>
      <c r="G54" s="57"/>
      <c r="H54" s="57"/>
      <c r="I54" s="57"/>
      <c r="J54" s="57"/>
      <c r="K54" s="57"/>
      <c r="L54" s="124"/>
      <c r="M54" s="55">
        <v>7</v>
      </c>
      <c r="N54" s="56">
        <v>-1.4</v>
      </c>
      <c r="O54" s="57"/>
      <c r="P54" s="57"/>
      <c r="Q54" s="124"/>
    </row>
    <row r="55" spans="1:17" ht="15" x14ac:dyDescent="0.25">
      <c r="A55" s="124"/>
      <c r="B55" s="23"/>
      <c r="C55" s="22"/>
      <c r="D55" s="55">
        <v>8</v>
      </c>
      <c r="E55" s="56">
        <f t="shared" si="14"/>
        <v>-1.6</v>
      </c>
      <c r="F55" s="58">
        <v>-0.3</v>
      </c>
      <c r="G55" s="57"/>
      <c r="H55" s="57"/>
      <c r="I55" s="57"/>
      <c r="J55" s="57"/>
      <c r="K55" s="57"/>
      <c r="L55" s="124"/>
      <c r="M55" s="55">
        <v>8</v>
      </c>
      <c r="N55" s="56">
        <v>-1.6</v>
      </c>
      <c r="O55" s="57"/>
      <c r="P55" s="57"/>
      <c r="Q55" s="124"/>
    </row>
    <row r="56" spans="1:17" ht="18.75" x14ac:dyDescent="0.3">
      <c r="A56" s="124"/>
      <c r="B56" s="1"/>
      <c r="C56" s="1"/>
      <c r="D56" s="125"/>
      <c r="E56" s="124"/>
      <c r="F56" s="124"/>
      <c r="G56" s="124"/>
      <c r="H56" s="124"/>
      <c r="I56" s="124"/>
      <c r="J56" s="124"/>
      <c r="K56" s="124"/>
      <c r="L56" s="124"/>
      <c r="M56" s="124"/>
      <c r="N56" s="124"/>
      <c r="O56" s="124"/>
      <c r="P56" s="124"/>
      <c r="Q56" s="124"/>
    </row>
  </sheetData>
  <mergeCells count="38">
    <mergeCell ref="V24:X24"/>
    <mergeCell ref="D24:G24"/>
    <mergeCell ref="B24:C24"/>
    <mergeCell ref="B23:C23"/>
    <mergeCell ref="D12:G12"/>
    <mergeCell ref="D13:G13"/>
    <mergeCell ref="V1:X1"/>
    <mergeCell ref="V13:X13"/>
    <mergeCell ref="V2:X2"/>
    <mergeCell ref="M23:P23"/>
    <mergeCell ref="D23:G23"/>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M2:P2"/>
    <mergeCell ref="D1:G1"/>
    <mergeCell ref="M1:P1"/>
    <mergeCell ref="D2:G2"/>
    <mergeCell ref="B13:C13"/>
    <mergeCell ref="B12:C12"/>
    <mergeCell ref="B45:C45"/>
    <mergeCell ref="D56:P56"/>
    <mergeCell ref="B46:C46"/>
    <mergeCell ref="D46:G46"/>
    <mergeCell ref="D45:G4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workbookViewId="0"/>
  </sheetViews>
  <sheetFormatPr defaultColWidth="14.42578125" defaultRowHeight="15.75" customHeight="1" x14ac:dyDescent="0.2"/>
  <cols>
    <col min="1" max="1" width="13.85546875" customWidth="1"/>
    <col min="2" max="2" width="15.85546875" customWidth="1"/>
    <col min="6" max="6" width="20" customWidth="1"/>
    <col min="8" max="9" width="15.5703125" customWidth="1"/>
    <col min="10" max="10" width="28.140625" customWidth="1"/>
  </cols>
  <sheetData>
    <row r="1" spans="1:9" x14ac:dyDescent="0.25">
      <c r="A1" s="60" t="s">
        <v>23</v>
      </c>
      <c r="B1" s="129" t="s">
        <v>25</v>
      </c>
      <c r="C1" s="124"/>
      <c r="D1" s="124"/>
      <c r="E1" s="124"/>
      <c r="F1" s="124"/>
      <c r="G1" s="124"/>
      <c r="H1" s="124"/>
      <c r="I1" s="4"/>
    </row>
    <row r="2" spans="1:9" ht="15.75" customHeight="1" x14ac:dyDescent="0.2">
      <c r="A2" s="61" t="s">
        <v>26</v>
      </c>
      <c r="B2" s="62" t="s">
        <v>28</v>
      </c>
      <c r="C2" s="62" t="s">
        <v>29</v>
      </c>
      <c r="D2" s="62" t="s">
        <v>28</v>
      </c>
      <c r="E2" s="62" t="s">
        <v>29</v>
      </c>
      <c r="F2" s="62" t="s">
        <v>28</v>
      </c>
      <c r="G2" s="62" t="s">
        <v>29</v>
      </c>
      <c r="H2" s="62" t="s">
        <v>28</v>
      </c>
      <c r="I2" s="62" t="s">
        <v>29</v>
      </c>
    </row>
    <row r="3" spans="1:9" ht="15.75" customHeight="1" x14ac:dyDescent="0.2">
      <c r="A3" s="62" t="s">
        <v>30</v>
      </c>
      <c r="B3" s="62" t="s">
        <v>31</v>
      </c>
      <c r="C3" s="62" t="s">
        <v>32</v>
      </c>
      <c r="D3" s="62" t="s">
        <v>33</v>
      </c>
      <c r="E3" s="62" t="s">
        <v>34</v>
      </c>
      <c r="F3" s="62" t="s">
        <v>35</v>
      </c>
      <c r="G3" s="62" t="s">
        <v>36</v>
      </c>
      <c r="H3" s="62" t="s">
        <v>37</v>
      </c>
      <c r="I3" s="62" t="s">
        <v>38</v>
      </c>
    </row>
    <row r="4" spans="1:9" ht="15.75" customHeight="1" x14ac:dyDescent="0.2">
      <c r="A4" s="21">
        <v>1</v>
      </c>
      <c r="B4" s="63">
        <v>1.1000000000000001</v>
      </c>
      <c r="C4" s="68">
        <f t="shared" ref="C4:C8" si="0">510*(D4/C$13)*C$14*B4</f>
        <v>673.19999999999993</v>
      </c>
      <c r="D4" s="70">
        <v>0.08</v>
      </c>
      <c r="E4" s="68">
        <f t="shared" ref="E4:E8" si="1">ROUNDUP(C4/F4*C$10,0)</f>
        <v>515</v>
      </c>
      <c r="F4" s="20">
        <v>1.4</v>
      </c>
      <c r="G4" s="72">
        <f t="shared" ref="G4:G8" si="2">ROUNDUP(D4*$C$15*C$11,2)</f>
        <v>0.95</v>
      </c>
      <c r="H4" s="63">
        <v>0.5</v>
      </c>
      <c r="I4" s="63">
        <f t="shared" ref="I4:I8" si="3">H4+B4-1</f>
        <v>0.60000000000000009</v>
      </c>
    </row>
    <row r="5" spans="1:9" ht="15.75" customHeight="1" x14ac:dyDescent="0.2">
      <c r="A5" s="21">
        <v>2</v>
      </c>
      <c r="B5" s="63">
        <f t="shared" ref="B5:B8" si="4">B4-0.1</f>
        <v>1</v>
      </c>
      <c r="C5" s="68">
        <f t="shared" si="0"/>
        <v>1223.9999999999998</v>
      </c>
      <c r="D5" s="70">
        <f t="shared" ref="D5:D8" si="5">ROUNDUP(D4*C$12,2)</f>
        <v>0.16</v>
      </c>
      <c r="E5" s="68">
        <f t="shared" si="1"/>
        <v>1008</v>
      </c>
      <c r="F5" s="20">
        <v>1.3</v>
      </c>
      <c r="G5" s="72">
        <f t="shared" si="2"/>
        <v>1.89</v>
      </c>
      <c r="H5" s="63">
        <f t="shared" ref="H5:H8" si="6">H4+0.1</f>
        <v>0.6</v>
      </c>
      <c r="I5" s="63">
        <f t="shared" si="3"/>
        <v>0.60000000000000009</v>
      </c>
    </row>
    <row r="6" spans="1:9" ht="15.75" customHeight="1" x14ac:dyDescent="0.2">
      <c r="A6" s="21">
        <v>3</v>
      </c>
      <c r="B6" s="63">
        <f t="shared" si="4"/>
        <v>0.9</v>
      </c>
      <c r="C6" s="68">
        <f t="shared" si="0"/>
        <v>2203.1999999999998</v>
      </c>
      <c r="D6" s="70">
        <f t="shared" si="5"/>
        <v>0.32</v>
      </c>
      <c r="E6" s="68">
        <f t="shared" si="1"/>
        <v>1966</v>
      </c>
      <c r="F6" s="20">
        <v>1.2</v>
      </c>
      <c r="G6" s="72">
        <f t="shared" si="2"/>
        <v>3.78</v>
      </c>
      <c r="H6" s="63">
        <f t="shared" si="6"/>
        <v>0.7</v>
      </c>
      <c r="I6" s="63">
        <f t="shared" si="3"/>
        <v>0.60000000000000009</v>
      </c>
    </row>
    <row r="7" spans="1:9" ht="15.75" customHeight="1" x14ac:dyDescent="0.2">
      <c r="A7" s="21">
        <v>4</v>
      </c>
      <c r="B7" s="63">
        <f t="shared" si="4"/>
        <v>0.8</v>
      </c>
      <c r="C7" s="68">
        <f t="shared" si="0"/>
        <v>3916.7999999999993</v>
      </c>
      <c r="D7" s="70">
        <f t="shared" si="5"/>
        <v>0.64</v>
      </c>
      <c r="E7" s="68">
        <f t="shared" si="1"/>
        <v>3813</v>
      </c>
      <c r="F7" s="20">
        <v>1.1000000000000001</v>
      </c>
      <c r="G7" s="72">
        <f t="shared" si="2"/>
        <v>7.56</v>
      </c>
      <c r="H7" s="63">
        <f t="shared" si="6"/>
        <v>0.79999999999999993</v>
      </c>
      <c r="I7" s="63">
        <f t="shared" si="3"/>
        <v>0.60000000000000009</v>
      </c>
    </row>
    <row r="8" spans="1:9" ht="15.75" customHeight="1" x14ac:dyDescent="0.2">
      <c r="A8" s="21">
        <v>5</v>
      </c>
      <c r="B8" s="63">
        <f t="shared" si="4"/>
        <v>0.70000000000000007</v>
      </c>
      <c r="C8" s="68">
        <f t="shared" si="0"/>
        <v>6854.4</v>
      </c>
      <c r="D8" s="70">
        <f t="shared" si="5"/>
        <v>1.28</v>
      </c>
      <c r="E8" s="68">
        <f t="shared" si="1"/>
        <v>7339</v>
      </c>
      <c r="F8" s="20">
        <v>1</v>
      </c>
      <c r="G8" s="72">
        <f t="shared" si="2"/>
        <v>15.11</v>
      </c>
      <c r="H8" s="63">
        <f t="shared" si="6"/>
        <v>0.89999999999999991</v>
      </c>
      <c r="I8" s="63">
        <f t="shared" si="3"/>
        <v>0.60000000000000009</v>
      </c>
    </row>
    <row r="9" spans="1:9" x14ac:dyDescent="0.25">
      <c r="A9" s="138" t="s">
        <v>54</v>
      </c>
      <c r="B9" s="124"/>
      <c r="C9" s="124"/>
    </row>
    <row r="10" spans="1:9" ht="15.75" customHeight="1" x14ac:dyDescent="0.2">
      <c r="A10" s="137" t="s">
        <v>55</v>
      </c>
      <c r="B10" s="124"/>
      <c r="C10" s="81">
        <f>390*14/5100</f>
        <v>1.0705882352941176</v>
      </c>
      <c r="D10">
        <f>C8/C4</f>
        <v>10.181818181818182</v>
      </c>
    </row>
    <row r="11" spans="1:9" ht="15.75" customHeight="1" x14ac:dyDescent="0.2">
      <c r="A11" s="137" t="s">
        <v>56</v>
      </c>
      <c r="B11" s="124"/>
      <c r="C11" s="82">
        <v>1.18</v>
      </c>
    </row>
    <row r="12" spans="1:9" ht="15.75" customHeight="1" x14ac:dyDescent="0.2">
      <c r="A12" s="137" t="s">
        <v>57</v>
      </c>
      <c r="B12" s="124"/>
      <c r="C12" s="83">
        <v>2</v>
      </c>
      <c r="F12" s="21"/>
      <c r="G12">
        <f>8*0.65</f>
        <v>5.2</v>
      </c>
    </row>
    <row r="13" spans="1:9" ht="15.75" customHeight="1" x14ac:dyDescent="0.2">
      <c r="A13" s="137" t="s">
        <v>58</v>
      </c>
      <c r="B13" s="124"/>
      <c r="C13" s="50">
        <v>0.1</v>
      </c>
      <c r="G13">
        <f>8591/5200</f>
        <v>1.6521153846153847</v>
      </c>
      <c r="H13">
        <f>0.7+0.5-1</f>
        <v>0.19999999999999996</v>
      </c>
    </row>
    <row r="14" spans="1:9" x14ac:dyDescent="0.25">
      <c r="A14" s="137" t="s">
        <v>59</v>
      </c>
      <c r="B14" s="124"/>
      <c r="C14" s="82">
        <v>1.5</v>
      </c>
      <c r="D14" s="6"/>
      <c r="E14" s="6"/>
      <c r="F14" s="6"/>
      <c r="G14" s="6"/>
      <c r="H14" s="6"/>
      <c r="I14" s="6"/>
    </row>
    <row r="15" spans="1:9" ht="15.75" customHeight="1" x14ac:dyDescent="0.2">
      <c r="A15" s="137" t="s">
        <v>60</v>
      </c>
      <c r="B15" s="124"/>
      <c r="C15" s="50">
        <v>10</v>
      </c>
      <c r="D15" s="21" t="s">
        <v>61</v>
      </c>
      <c r="E15" s="21" t="s">
        <v>62</v>
      </c>
    </row>
    <row r="16" spans="1:9" ht="15.75" customHeight="1" x14ac:dyDescent="0.2">
      <c r="A16" s="137"/>
      <c r="B16" s="124"/>
      <c r="C16" s="83"/>
      <c r="D16" s="21">
        <v>2</v>
      </c>
      <c r="E16" s="85">
        <f t="shared" ref="E16:E19" si="7">C5/C4</f>
        <v>1.8181818181818181</v>
      </c>
    </row>
    <row r="17" spans="1:5" ht="15.75" customHeight="1" x14ac:dyDescent="0.2">
      <c r="A17" s="139"/>
      <c r="B17" s="124"/>
      <c r="C17" s="50"/>
      <c r="D17" s="21">
        <v>3</v>
      </c>
      <c r="E17" s="85">
        <f t="shared" si="7"/>
        <v>1.8000000000000003</v>
      </c>
    </row>
    <row r="18" spans="1:5" ht="15.75" customHeight="1" x14ac:dyDescent="0.2">
      <c r="A18" s="139"/>
      <c r="B18" s="124"/>
      <c r="C18" s="50"/>
      <c r="D18" s="21">
        <v>4</v>
      </c>
      <c r="E18" s="85">
        <f t="shared" si="7"/>
        <v>1.7777777777777777</v>
      </c>
    </row>
    <row r="19" spans="1:5" ht="15.75" customHeight="1" x14ac:dyDescent="0.2">
      <c r="A19" s="139"/>
      <c r="B19" s="124"/>
      <c r="C19" s="50"/>
      <c r="D19" s="21">
        <v>5</v>
      </c>
      <c r="E19" s="85">
        <f t="shared" si="7"/>
        <v>1.7500000000000002</v>
      </c>
    </row>
    <row r="20" spans="1:5" ht="15.75" customHeight="1" x14ac:dyDescent="0.2">
      <c r="A20" s="139"/>
      <c r="B20" s="124"/>
      <c r="C20" s="50"/>
    </row>
  </sheetData>
  <mergeCells count="13">
    <mergeCell ref="A20:B20"/>
    <mergeCell ref="A16:B16"/>
    <mergeCell ref="A17:B17"/>
    <mergeCell ref="A18:B18"/>
    <mergeCell ref="A13:B13"/>
    <mergeCell ref="A12:B12"/>
    <mergeCell ref="A19:B19"/>
    <mergeCell ref="A10:B10"/>
    <mergeCell ref="A9:C9"/>
    <mergeCell ref="B1:H1"/>
    <mergeCell ref="A15:B15"/>
    <mergeCell ref="A14:B14"/>
    <mergeCell ref="A11:B1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3"/>
  <sheetViews>
    <sheetView tabSelected="1" topLeftCell="D1" workbookViewId="0">
      <selection activeCell="T8" sqref="T8"/>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20" ht="15.75" customHeight="1" x14ac:dyDescent="0.2">
      <c r="A1" s="141"/>
      <c r="B1" s="141"/>
      <c r="C1" s="124"/>
      <c r="D1" s="141"/>
      <c r="E1" s="141"/>
      <c r="F1" s="124"/>
      <c r="G1" s="124"/>
      <c r="H1" s="124"/>
      <c r="I1" s="124"/>
      <c r="J1" s="124"/>
      <c r="K1" s="124"/>
      <c r="L1" s="124"/>
      <c r="M1" s="124"/>
      <c r="N1" s="124"/>
      <c r="O1" s="124"/>
      <c r="P1" s="124"/>
      <c r="Q1" s="141"/>
    </row>
    <row r="2" spans="1:20" x14ac:dyDescent="0.25">
      <c r="A2" s="124"/>
      <c r="B2" s="147" t="s">
        <v>24</v>
      </c>
      <c r="C2" s="124"/>
      <c r="D2" s="124"/>
      <c r="E2" s="149" t="s">
        <v>23</v>
      </c>
      <c r="F2" s="124"/>
      <c r="G2" s="150" t="s">
        <v>27</v>
      </c>
      <c r="H2" s="124"/>
      <c r="I2" s="124"/>
      <c r="J2" s="124"/>
      <c r="K2" s="124"/>
      <c r="L2" s="124"/>
      <c r="M2" s="124"/>
      <c r="N2" s="124"/>
      <c r="O2" s="124"/>
      <c r="P2" s="124"/>
      <c r="Q2" s="124"/>
    </row>
    <row r="3" spans="1:20" ht="15.75" customHeight="1" x14ac:dyDescent="0.2">
      <c r="A3" s="124"/>
      <c r="B3" s="141"/>
      <c r="C3" s="124"/>
      <c r="D3" s="124"/>
      <c r="E3" s="141"/>
      <c r="F3" s="124"/>
      <c r="G3" s="124"/>
      <c r="H3" s="124"/>
      <c r="I3" s="124"/>
      <c r="J3" s="124"/>
      <c r="K3" s="124"/>
      <c r="L3" s="124"/>
      <c r="M3" s="124"/>
      <c r="N3" s="124"/>
      <c r="O3" s="124"/>
      <c r="P3" s="124"/>
      <c r="Q3" s="124"/>
    </row>
    <row r="4" spans="1:20" x14ac:dyDescent="0.25">
      <c r="A4" s="124"/>
      <c r="B4" s="145"/>
      <c r="C4" s="124"/>
      <c r="D4" s="124"/>
      <c r="E4" s="148" t="s">
        <v>39</v>
      </c>
      <c r="F4" s="124"/>
      <c r="G4" s="124"/>
      <c r="H4" s="124"/>
      <c r="I4" s="124"/>
      <c r="J4" s="124"/>
      <c r="K4" s="124"/>
      <c r="L4" s="124"/>
      <c r="M4" s="124"/>
      <c r="N4" s="124"/>
      <c r="O4" s="124"/>
      <c r="P4" s="124"/>
      <c r="Q4" s="124"/>
    </row>
    <row r="5" spans="1:20" ht="15.75" customHeight="1" x14ac:dyDescent="0.2">
      <c r="A5" s="124"/>
      <c r="B5" s="64"/>
      <c r="C5" s="65"/>
      <c r="D5" s="124"/>
      <c r="E5" s="66" t="s">
        <v>5</v>
      </c>
      <c r="F5" s="66" t="s">
        <v>40</v>
      </c>
      <c r="G5" s="66" t="s">
        <v>41</v>
      </c>
      <c r="H5" s="67" t="s">
        <v>42</v>
      </c>
      <c r="I5" s="66" t="s">
        <v>43</v>
      </c>
      <c r="J5" s="66" t="s">
        <v>44</v>
      </c>
      <c r="K5" s="66" t="s">
        <v>45</v>
      </c>
      <c r="L5" s="66" t="s">
        <v>46</v>
      </c>
      <c r="M5" s="67" t="s">
        <v>47</v>
      </c>
      <c r="N5" s="67" t="s">
        <v>48</v>
      </c>
      <c r="O5" s="67" t="s">
        <v>49</v>
      </c>
      <c r="P5" s="66" t="s">
        <v>50</v>
      </c>
      <c r="Q5" s="124"/>
    </row>
    <row r="6" spans="1:20" ht="15.75" customHeight="1" x14ac:dyDescent="0.2">
      <c r="A6" s="124"/>
      <c r="B6" s="64"/>
      <c r="C6" s="65"/>
      <c r="D6" s="124"/>
      <c r="E6" s="69">
        <v>0</v>
      </c>
      <c r="F6" s="69">
        <f>60/3</f>
        <v>20</v>
      </c>
      <c r="G6" s="69">
        <v>5</v>
      </c>
      <c r="H6" s="71">
        <f>IFERROR(60/F6*G6,"")</f>
        <v>15</v>
      </c>
      <c r="I6" s="69">
        <v>25</v>
      </c>
      <c r="J6" s="69">
        <v>200</v>
      </c>
      <c r="K6" s="69">
        <v>201</v>
      </c>
      <c r="L6" s="69">
        <v>6</v>
      </c>
      <c r="M6" s="71">
        <f>60/F6*J6</f>
        <v>600</v>
      </c>
      <c r="N6" s="73">
        <f>IFERROR(K6/M6*H6,"")</f>
        <v>5.0250000000000004</v>
      </c>
      <c r="O6" s="73"/>
      <c r="P6" s="69">
        <v>150</v>
      </c>
      <c r="Q6" s="124"/>
    </row>
    <row r="7" spans="1:20" ht="15.75" customHeight="1" x14ac:dyDescent="0.2">
      <c r="A7" s="124"/>
      <c r="B7" s="146"/>
      <c r="C7" s="124"/>
      <c r="D7" s="124"/>
      <c r="E7" s="141"/>
      <c r="F7" s="124"/>
      <c r="G7" s="124"/>
      <c r="H7" s="124"/>
      <c r="I7" s="124"/>
      <c r="J7" s="124"/>
      <c r="K7" s="124"/>
      <c r="L7" s="124"/>
      <c r="M7" s="124"/>
      <c r="N7" s="124"/>
      <c r="O7" s="124"/>
      <c r="P7" s="124"/>
      <c r="Q7" s="124"/>
    </row>
    <row r="8" spans="1:20" x14ac:dyDescent="0.25">
      <c r="A8" s="124"/>
      <c r="B8" s="145" t="s">
        <v>51</v>
      </c>
      <c r="C8" s="124"/>
      <c r="D8" s="124"/>
      <c r="E8" s="140" t="s">
        <v>52</v>
      </c>
      <c r="F8" s="124"/>
      <c r="G8" s="124"/>
      <c r="H8" s="124"/>
      <c r="I8" s="124"/>
      <c r="J8" s="124"/>
      <c r="K8" s="124"/>
      <c r="L8" s="124"/>
      <c r="M8" s="124"/>
      <c r="N8" s="124"/>
      <c r="O8" s="124"/>
      <c r="P8" s="124"/>
      <c r="Q8" s="124"/>
      <c r="T8" t="s">
        <v>126</v>
      </c>
    </row>
    <row r="9" spans="1:20" ht="15.75" customHeight="1" x14ac:dyDescent="0.2">
      <c r="A9" s="124"/>
      <c r="B9" s="64"/>
      <c r="C9" s="74"/>
      <c r="D9" s="124"/>
      <c r="E9" s="75">
        <v>1</v>
      </c>
      <c r="F9" s="76">
        <v>1</v>
      </c>
      <c r="G9" s="76">
        <v>0.75</v>
      </c>
      <c r="H9" s="77" t="s">
        <v>53</v>
      </c>
      <c r="I9" s="76">
        <v>1</v>
      </c>
      <c r="J9" s="76">
        <v>0.75</v>
      </c>
      <c r="K9" s="76">
        <v>0.75</v>
      </c>
      <c r="L9" s="76">
        <v>0.75</v>
      </c>
      <c r="M9" s="77" t="s">
        <v>53</v>
      </c>
      <c r="N9" s="77" t="s">
        <v>53</v>
      </c>
      <c r="O9" s="77"/>
      <c r="P9" s="76">
        <v>1</v>
      </c>
      <c r="Q9" s="124"/>
    </row>
    <row r="10" spans="1:20" ht="15.75" customHeight="1" x14ac:dyDescent="0.2">
      <c r="A10" s="124"/>
      <c r="B10" s="64"/>
      <c r="C10" s="74"/>
      <c r="D10" s="124"/>
      <c r="E10" s="75">
        <v>2</v>
      </c>
      <c r="F10" s="76">
        <v>1</v>
      </c>
      <c r="G10" s="76">
        <v>1</v>
      </c>
      <c r="H10" s="77" t="s">
        <v>53</v>
      </c>
      <c r="I10" s="76">
        <v>1</v>
      </c>
      <c r="J10" s="76">
        <v>1</v>
      </c>
      <c r="K10" s="76">
        <v>1</v>
      </c>
      <c r="L10" s="76">
        <v>1</v>
      </c>
      <c r="M10" s="77" t="s">
        <v>53</v>
      </c>
      <c r="N10" s="77" t="s">
        <v>53</v>
      </c>
      <c r="O10" s="77"/>
      <c r="P10" s="76">
        <v>1.5</v>
      </c>
      <c r="Q10" s="124"/>
    </row>
    <row r="11" spans="1:20" ht="15.75" customHeight="1" x14ac:dyDescent="0.2">
      <c r="A11" s="124"/>
      <c r="B11" s="64"/>
      <c r="C11" s="74"/>
      <c r="D11" s="124"/>
      <c r="E11" s="75">
        <v>3</v>
      </c>
      <c r="F11" s="76">
        <v>1</v>
      </c>
      <c r="G11" s="76">
        <v>1.25</v>
      </c>
      <c r="H11" s="77" t="s">
        <v>53</v>
      </c>
      <c r="I11" s="76">
        <v>1</v>
      </c>
      <c r="J11" s="76">
        <v>1.25</v>
      </c>
      <c r="K11" s="76">
        <v>1.25</v>
      </c>
      <c r="L11" s="76">
        <v>1.25</v>
      </c>
      <c r="M11" s="77" t="s">
        <v>53</v>
      </c>
      <c r="N11" s="77" t="s">
        <v>53</v>
      </c>
      <c r="O11" s="77"/>
      <c r="P11" s="76">
        <v>2</v>
      </c>
      <c r="Q11" s="124"/>
    </row>
    <row r="12" spans="1:20" ht="15.75" customHeight="1" x14ac:dyDescent="0.2">
      <c r="A12" s="124"/>
      <c r="B12" s="64" t="s">
        <v>41</v>
      </c>
      <c r="C12" s="74">
        <v>1</v>
      </c>
      <c r="D12" s="124"/>
      <c r="E12" s="64" t="s">
        <v>5</v>
      </c>
      <c r="F12" s="64" t="s">
        <v>40</v>
      </c>
      <c r="G12" s="64" t="s">
        <v>41</v>
      </c>
      <c r="H12" s="78" t="s">
        <v>42</v>
      </c>
      <c r="I12" s="64" t="s">
        <v>43</v>
      </c>
      <c r="J12" s="64" t="s">
        <v>44</v>
      </c>
      <c r="K12" s="64" t="s">
        <v>45</v>
      </c>
      <c r="L12" s="64" t="s">
        <v>46</v>
      </c>
      <c r="M12" s="78" t="s">
        <v>47</v>
      </c>
      <c r="N12" s="78" t="s">
        <v>48</v>
      </c>
      <c r="O12" s="78" t="s">
        <v>49</v>
      </c>
      <c r="P12" s="64" t="s">
        <v>50</v>
      </c>
      <c r="Q12" s="124"/>
    </row>
    <row r="13" spans="1:20" ht="15.75" customHeight="1" x14ac:dyDescent="0.2">
      <c r="A13" s="124"/>
      <c r="B13" s="64" t="s">
        <v>43</v>
      </c>
      <c r="C13" s="74">
        <v>1</v>
      </c>
      <c r="D13" s="124"/>
      <c r="E13" s="75">
        <v>1</v>
      </c>
      <c r="F13" s="79">
        <f t="shared" ref="F13:G13" si="0">F$6*F9</f>
        <v>20</v>
      </c>
      <c r="G13" s="79">
        <f t="shared" si="0"/>
        <v>3.75</v>
      </c>
      <c r="H13" s="79">
        <f t="shared" ref="H13:H15" si="1">IFERROR(60/F13*G13,"")</f>
        <v>11.25</v>
      </c>
      <c r="I13" s="80">
        <f t="shared" ref="I13:L13" si="2">I$6*I9</f>
        <v>25</v>
      </c>
      <c r="J13" s="84">
        <f t="shared" si="2"/>
        <v>150</v>
      </c>
      <c r="K13" s="79">
        <f t="shared" si="2"/>
        <v>150.75</v>
      </c>
      <c r="L13" s="79">
        <f t="shared" si="2"/>
        <v>4.5</v>
      </c>
      <c r="M13" s="79">
        <f>60/F13*J13</f>
        <v>450</v>
      </c>
      <c r="N13" s="84">
        <f t="shared" ref="N13:N15" si="3">IFERROR(K13/M13*H13,"")</f>
        <v>3.7687500000000003</v>
      </c>
      <c r="O13" s="84">
        <f>H13/M13</f>
        <v>2.5000000000000001E-2</v>
      </c>
      <c r="P13" s="84">
        <f t="shared" ref="P13:P15" si="4">P$6*P9</f>
        <v>150</v>
      </c>
      <c r="Q13" s="124"/>
    </row>
    <row r="14" spans="1:20" ht="15.75" customHeight="1" x14ac:dyDescent="0.2">
      <c r="A14" s="124"/>
      <c r="B14" s="64" t="s">
        <v>40</v>
      </c>
      <c r="C14" s="74">
        <v>1</v>
      </c>
      <c r="D14" s="124"/>
      <c r="E14" s="75">
        <v>2</v>
      </c>
      <c r="F14" s="79">
        <f t="shared" ref="F14:G14" si="5">F$6*F10</f>
        <v>20</v>
      </c>
      <c r="G14" s="79">
        <f t="shared" si="5"/>
        <v>5</v>
      </c>
      <c r="H14" s="79">
        <f t="shared" si="1"/>
        <v>15</v>
      </c>
      <c r="I14" s="80">
        <f t="shared" ref="I14:L14" si="6">I$6*I10</f>
        <v>25</v>
      </c>
      <c r="J14" s="84">
        <f t="shared" si="6"/>
        <v>200</v>
      </c>
      <c r="K14" s="79">
        <f t="shared" si="6"/>
        <v>201</v>
      </c>
      <c r="L14" s="79">
        <f t="shared" si="6"/>
        <v>6</v>
      </c>
      <c r="M14" s="79">
        <f>60/F14*J14</f>
        <v>600</v>
      </c>
      <c r="N14" s="84">
        <f t="shared" si="3"/>
        <v>5.0250000000000004</v>
      </c>
      <c r="O14" s="84"/>
      <c r="P14" s="84">
        <f t="shared" si="4"/>
        <v>225</v>
      </c>
      <c r="Q14" s="124"/>
    </row>
    <row r="15" spans="1:20" ht="15.75" customHeight="1" x14ac:dyDescent="0.2">
      <c r="A15" s="124"/>
      <c r="B15" s="64"/>
      <c r="C15" s="65"/>
      <c r="D15" s="124"/>
      <c r="E15" s="75">
        <v>3</v>
      </c>
      <c r="F15" s="79">
        <f t="shared" ref="F15:G15" si="7">F$6*F11</f>
        <v>20</v>
      </c>
      <c r="G15" s="79">
        <f t="shared" si="7"/>
        <v>6.25</v>
      </c>
      <c r="H15" s="79">
        <f t="shared" si="1"/>
        <v>18.75</v>
      </c>
      <c r="I15" s="80">
        <f t="shared" ref="I15:L15" si="8">I$6*I11</f>
        <v>25</v>
      </c>
      <c r="J15" s="84">
        <f t="shared" si="8"/>
        <v>250</v>
      </c>
      <c r="K15" s="79">
        <f t="shared" si="8"/>
        <v>251.25</v>
      </c>
      <c r="L15" s="79">
        <f t="shared" si="8"/>
        <v>7.5</v>
      </c>
      <c r="M15" s="79">
        <f>60/F15*J15</f>
        <v>750</v>
      </c>
      <c r="N15" s="84">
        <f t="shared" si="3"/>
        <v>6.28125</v>
      </c>
      <c r="O15" s="84"/>
      <c r="P15" s="84">
        <f t="shared" si="4"/>
        <v>300</v>
      </c>
      <c r="Q15" s="124"/>
    </row>
    <row r="16" spans="1:20" ht="15.75" customHeight="1" x14ac:dyDescent="0.2">
      <c r="A16" s="124"/>
      <c r="B16" s="146"/>
      <c r="C16" s="124"/>
      <c r="D16" s="124"/>
      <c r="E16" s="141"/>
      <c r="F16" s="124"/>
      <c r="G16" s="124"/>
      <c r="H16" s="124"/>
      <c r="I16" s="124"/>
      <c r="J16" s="124"/>
      <c r="K16" s="124"/>
      <c r="L16" s="124"/>
      <c r="M16" s="124"/>
      <c r="N16" s="59"/>
      <c r="O16" s="59"/>
      <c r="P16" s="59"/>
      <c r="Q16" s="124"/>
    </row>
    <row r="17" spans="1:17" x14ac:dyDescent="0.25">
      <c r="A17" s="124"/>
      <c r="B17" s="145" t="s">
        <v>63</v>
      </c>
      <c r="C17" s="124"/>
      <c r="D17" s="124"/>
      <c r="E17" s="143" t="s">
        <v>124</v>
      </c>
      <c r="F17" s="124"/>
      <c r="G17" s="124"/>
      <c r="H17" s="124"/>
      <c r="I17" s="124"/>
      <c r="J17" s="124"/>
      <c r="K17" s="124"/>
      <c r="L17" s="124"/>
      <c r="M17" s="124"/>
      <c r="N17" s="124"/>
      <c r="O17" s="124"/>
      <c r="P17" s="124"/>
      <c r="Q17" s="124"/>
    </row>
    <row r="18" spans="1:17" ht="15.75" customHeight="1" x14ac:dyDescent="0.2">
      <c r="A18" s="124"/>
      <c r="B18" s="64"/>
      <c r="C18" s="65"/>
      <c r="D18" s="124"/>
      <c r="E18" s="18">
        <v>1</v>
      </c>
      <c r="F18" s="86">
        <v>0.9</v>
      </c>
      <c r="G18" s="86">
        <v>1</v>
      </c>
      <c r="H18" s="87" t="s">
        <v>53</v>
      </c>
      <c r="I18" s="86">
        <v>1.1000000000000001</v>
      </c>
      <c r="J18" s="86">
        <v>1.5</v>
      </c>
      <c r="K18" s="86">
        <v>1.5</v>
      </c>
      <c r="L18" s="86">
        <v>1.5</v>
      </c>
      <c r="M18" s="87" t="s">
        <v>53</v>
      </c>
      <c r="N18" s="87" t="s">
        <v>53</v>
      </c>
      <c r="O18" s="87"/>
      <c r="P18" s="86">
        <v>2</v>
      </c>
      <c r="Q18" s="124"/>
    </row>
    <row r="19" spans="1:17" ht="15.75" customHeight="1" x14ac:dyDescent="0.2">
      <c r="A19" s="124"/>
      <c r="B19" s="64"/>
      <c r="C19" s="65"/>
      <c r="D19" s="124"/>
      <c r="E19" s="18">
        <v>2</v>
      </c>
      <c r="F19" s="86">
        <v>0.8</v>
      </c>
      <c r="G19" s="86">
        <v>1.25</v>
      </c>
      <c r="H19" s="87" t="s">
        <v>53</v>
      </c>
      <c r="I19" s="86">
        <v>1.2</v>
      </c>
      <c r="J19" s="86">
        <v>1.75</v>
      </c>
      <c r="K19" s="86">
        <v>1.75</v>
      </c>
      <c r="L19" s="86">
        <v>1.75</v>
      </c>
      <c r="M19" s="87" t="s">
        <v>53</v>
      </c>
      <c r="N19" s="87" t="s">
        <v>53</v>
      </c>
      <c r="O19" s="87"/>
      <c r="P19" s="86">
        <v>3</v>
      </c>
      <c r="Q19" s="124"/>
    </row>
    <row r="20" spans="1:17" ht="15.75" customHeight="1" x14ac:dyDescent="0.2">
      <c r="A20" s="124"/>
      <c r="B20" s="64"/>
      <c r="C20" s="65"/>
      <c r="D20" s="124"/>
      <c r="E20" s="18">
        <v>3</v>
      </c>
      <c r="F20" s="86">
        <v>0.7</v>
      </c>
      <c r="G20" s="86">
        <v>1.5</v>
      </c>
      <c r="H20" s="87" t="s">
        <v>53</v>
      </c>
      <c r="I20" s="86">
        <v>1.3</v>
      </c>
      <c r="J20" s="86">
        <v>2</v>
      </c>
      <c r="K20" s="86">
        <v>2</v>
      </c>
      <c r="L20" s="86">
        <v>2</v>
      </c>
      <c r="M20" s="87" t="s">
        <v>53</v>
      </c>
      <c r="N20" s="87" t="s">
        <v>53</v>
      </c>
      <c r="O20" s="87"/>
      <c r="P20" s="86">
        <v>4</v>
      </c>
      <c r="Q20" s="124"/>
    </row>
    <row r="21" spans="1:17" ht="15.75" customHeight="1" x14ac:dyDescent="0.2">
      <c r="A21" s="124"/>
      <c r="B21" s="64"/>
      <c r="C21" s="65"/>
      <c r="D21" s="124"/>
      <c r="E21" s="62" t="s">
        <v>5</v>
      </c>
      <c r="F21" s="62" t="s">
        <v>40</v>
      </c>
      <c r="G21" s="62" t="s">
        <v>41</v>
      </c>
      <c r="H21" s="88" t="s">
        <v>42</v>
      </c>
      <c r="I21" s="62" t="s">
        <v>43</v>
      </c>
      <c r="J21" s="62" t="s">
        <v>44</v>
      </c>
      <c r="K21" s="62" t="s">
        <v>45</v>
      </c>
      <c r="L21" s="62" t="s">
        <v>46</v>
      </c>
      <c r="M21" s="88" t="s">
        <v>47</v>
      </c>
      <c r="N21" s="88" t="s">
        <v>48</v>
      </c>
      <c r="O21" s="88"/>
      <c r="P21" s="62" t="s">
        <v>50</v>
      </c>
      <c r="Q21" s="124"/>
    </row>
    <row r="22" spans="1:17" ht="15.75" customHeight="1" x14ac:dyDescent="0.2">
      <c r="A22" s="124"/>
      <c r="B22" s="64"/>
      <c r="C22" s="65"/>
      <c r="D22" s="124"/>
      <c r="E22" s="18">
        <v>1</v>
      </c>
      <c r="F22" s="89">
        <f t="shared" ref="F22:G22" si="9">F$6*F18</f>
        <v>18</v>
      </c>
      <c r="G22" s="89">
        <f t="shared" si="9"/>
        <v>5</v>
      </c>
      <c r="H22" s="90">
        <f t="shared" ref="H22:H24" si="10">IFERROR(60/F22*G22,"")</f>
        <v>16.666666666666668</v>
      </c>
      <c r="I22" s="91">
        <f t="shared" ref="I22:L22" si="11">I$6*I18</f>
        <v>27.500000000000004</v>
      </c>
      <c r="J22" s="89">
        <f t="shared" si="11"/>
        <v>300</v>
      </c>
      <c r="K22" s="89">
        <f t="shared" si="11"/>
        <v>301.5</v>
      </c>
      <c r="L22" s="89">
        <f t="shared" si="11"/>
        <v>9</v>
      </c>
      <c r="M22" s="89">
        <f>60/F22*J22</f>
        <v>1000</v>
      </c>
      <c r="N22" s="89">
        <f t="shared" ref="N22:N24" si="12">IFERROR(K22/M22*H22,"")</f>
        <v>5.0250000000000004</v>
      </c>
      <c r="O22" s="89"/>
      <c r="P22" s="92">
        <f t="shared" ref="P22:P24" si="13">P$6*P18</f>
        <v>300</v>
      </c>
      <c r="Q22" s="124"/>
    </row>
    <row r="23" spans="1:17" ht="15.75" customHeight="1" x14ac:dyDescent="0.2">
      <c r="A23" s="124"/>
      <c r="B23" s="64"/>
      <c r="C23" s="65"/>
      <c r="D23" s="124"/>
      <c r="E23" s="18">
        <v>2</v>
      </c>
      <c r="F23" s="89">
        <f t="shared" ref="F23:G23" si="14">F$6*F19</f>
        <v>16</v>
      </c>
      <c r="G23" s="89">
        <f t="shared" si="14"/>
        <v>6.25</v>
      </c>
      <c r="H23" s="90">
        <f t="shared" si="10"/>
        <v>23.4375</v>
      </c>
      <c r="I23" s="91">
        <f t="shared" ref="I23:L23" si="15">I$6*I19</f>
        <v>30</v>
      </c>
      <c r="J23" s="89">
        <f t="shared" si="15"/>
        <v>350</v>
      </c>
      <c r="K23" s="89">
        <f t="shared" si="15"/>
        <v>351.75</v>
      </c>
      <c r="L23" s="89">
        <f t="shared" si="15"/>
        <v>10.5</v>
      </c>
      <c r="M23" s="89">
        <f>60/F23*J23</f>
        <v>1312.5</v>
      </c>
      <c r="N23" s="89">
        <f t="shared" si="12"/>
        <v>6.28125</v>
      </c>
      <c r="O23" s="89"/>
      <c r="P23" s="92">
        <f t="shared" si="13"/>
        <v>450</v>
      </c>
      <c r="Q23" s="124"/>
    </row>
    <row r="24" spans="1:17" ht="15.75" customHeight="1" x14ac:dyDescent="0.2">
      <c r="A24" s="124"/>
      <c r="B24" s="64"/>
      <c r="C24" s="65"/>
      <c r="D24" s="124"/>
      <c r="E24" s="18">
        <v>3</v>
      </c>
      <c r="F24" s="89">
        <f t="shared" ref="F24:G24" si="16">F$6*F20</f>
        <v>14</v>
      </c>
      <c r="G24" s="89">
        <f t="shared" si="16"/>
        <v>7.5</v>
      </c>
      <c r="H24" s="90">
        <f t="shared" si="10"/>
        <v>32.142857142857139</v>
      </c>
      <c r="I24" s="91">
        <f t="shared" ref="I24:L24" si="17">I$6*I20</f>
        <v>32.5</v>
      </c>
      <c r="J24" s="89">
        <f t="shared" si="17"/>
        <v>400</v>
      </c>
      <c r="K24" s="89">
        <f t="shared" si="17"/>
        <v>402</v>
      </c>
      <c r="L24" s="89">
        <f t="shared" si="17"/>
        <v>12</v>
      </c>
      <c r="M24" s="89">
        <f>60/F24*J24</f>
        <v>1714.2857142857142</v>
      </c>
      <c r="N24" s="89">
        <f t="shared" si="12"/>
        <v>7.5374999999999996</v>
      </c>
      <c r="O24" s="89"/>
      <c r="P24" s="92">
        <f t="shared" si="13"/>
        <v>600</v>
      </c>
      <c r="Q24" s="124"/>
    </row>
    <row r="25" spans="1:17" ht="15.75" customHeight="1" x14ac:dyDescent="0.2">
      <c r="A25" s="124"/>
      <c r="B25" s="146"/>
      <c r="C25" s="124"/>
      <c r="D25" s="124"/>
      <c r="E25" s="141"/>
      <c r="F25" s="124"/>
      <c r="G25" s="124"/>
      <c r="H25" s="124"/>
      <c r="I25" s="124"/>
      <c r="J25" s="124"/>
      <c r="K25" s="124"/>
      <c r="L25" s="124"/>
      <c r="M25" s="124"/>
      <c r="N25" s="59"/>
      <c r="O25" s="59"/>
      <c r="P25" s="59"/>
      <c r="Q25" s="124"/>
    </row>
    <row r="26" spans="1:17" x14ac:dyDescent="0.25">
      <c r="A26" s="124"/>
      <c r="B26" s="145" t="s">
        <v>64</v>
      </c>
      <c r="C26" s="124"/>
      <c r="D26" s="124"/>
      <c r="E26" s="144" t="s">
        <v>125</v>
      </c>
      <c r="F26" s="124"/>
      <c r="G26" s="124"/>
      <c r="H26" s="124"/>
      <c r="I26" s="124"/>
      <c r="J26" s="124"/>
      <c r="K26" s="124"/>
      <c r="L26" s="124"/>
      <c r="M26" s="124"/>
      <c r="N26" s="124"/>
      <c r="O26" s="124"/>
      <c r="P26" s="124"/>
      <c r="Q26" s="124"/>
    </row>
    <row r="27" spans="1:17" ht="15.75" customHeight="1" x14ac:dyDescent="0.2">
      <c r="A27" s="124"/>
      <c r="B27" s="64"/>
      <c r="C27" s="65"/>
      <c r="D27" s="124"/>
      <c r="E27" s="34">
        <v>1</v>
      </c>
      <c r="F27" s="93">
        <v>1</v>
      </c>
      <c r="G27" s="93">
        <v>1.5</v>
      </c>
      <c r="H27" s="94" t="s">
        <v>53</v>
      </c>
      <c r="I27" s="93">
        <v>1.5</v>
      </c>
      <c r="J27" s="93">
        <v>1</v>
      </c>
      <c r="K27" s="93">
        <v>1</v>
      </c>
      <c r="L27" s="93">
        <v>0.75</v>
      </c>
      <c r="M27" s="94" t="s">
        <v>53</v>
      </c>
      <c r="N27" s="94" t="s">
        <v>53</v>
      </c>
      <c r="O27" s="94"/>
      <c r="P27" s="93">
        <v>5</v>
      </c>
      <c r="Q27" s="124"/>
    </row>
    <row r="28" spans="1:17" ht="15.75" customHeight="1" x14ac:dyDescent="0.2">
      <c r="A28" s="124"/>
      <c r="B28" s="64"/>
      <c r="C28" s="65"/>
      <c r="D28" s="124"/>
      <c r="E28" s="34">
        <v>2</v>
      </c>
      <c r="F28" s="93">
        <v>1</v>
      </c>
      <c r="G28" s="93">
        <v>1.75</v>
      </c>
      <c r="H28" s="94" t="s">
        <v>53</v>
      </c>
      <c r="I28" s="93">
        <v>1.625</v>
      </c>
      <c r="J28" s="93">
        <v>0.75</v>
      </c>
      <c r="K28" s="93">
        <v>0.75</v>
      </c>
      <c r="L28" s="93">
        <v>0.75</v>
      </c>
      <c r="M28" s="94" t="s">
        <v>53</v>
      </c>
      <c r="N28" s="94" t="s">
        <v>53</v>
      </c>
      <c r="O28" s="94"/>
      <c r="P28" s="93">
        <v>7.5</v>
      </c>
      <c r="Q28" s="124"/>
    </row>
    <row r="29" spans="1:17" ht="15.75" customHeight="1" x14ac:dyDescent="0.2">
      <c r="A29" s="124"/>
      <c r="B29" s="64"/>
      <c r="C29" s="65"/>
      <c r="D29" s="124"/>
      <c r="E29" s="34">
        <v>3</v>
      </c>
      <c r="F29" s="93">
        <v>1</v>
      </c>
      <c r="G29" s="93">
        <v>2</v>
      </c>
      <c r="H29" s="94" t="s">
        <v>53</v>
      </c>
      <c r="I29" s="93">
        <v>1.75</v>
      </c>
      <c r="J29" s="93">
        <v>0.6</v>
      </c>
      <c r="K29" s="93">
        <v>0.6</v>
      </c>
      <c r="L29" s="93">
        <v>0.75</v>
      </c>
      <c r="M29" s="94" t="s">
        <v>53</v>
      </c>
      <c r="N29" s="94" t="s">
        <v>53</v>
      </c>
      <c r="O29" s="94"/>
      <c r="P29" s="93">
        <v>10</v>
      </c>
      <c r="Q29" s="124"/>
    </row>
    <row r="30" spans="1:17" ht="15.75" customHeight="1" x14ac:dyDescent="0.2">
      <c r="A30" s="124"/>
      <c r="B30" s="64"/>
      <c r="C30" s="65"/>
      <c r="D30" s="124"/>
      <c r="E30" s="95" t="s">
        <v>5</v>
      </c>
      <c r="F30" s="95" t="s">
        <v>40</v>
      </c>
      <c r="G30" s="95" t="s">
        <v>41</v>
      </c>
      <c r="H30" s="96" t="s">
        <v>42</v>
      </c>
      <c r="I30" s="95" t="s">
        <v>43</v>
      </c>
      <c r="J30" s="95" t="s">
        <v>44</v>
      </c>
      <c r="K30" s="95" t="s">
        <v>45</v>
      </c>
      <c r="L30" s="95" t="s">
        <v>46</v>
      </c>
      <c r="M30" s="96" t="s">
        <v>47</v>
      </c>
      <c r="N30" s="96" t="s">
        <v>48</v>
      </c>
      <c r="O30" s="96"/>
      <c r="P30" s="95" t="s">
        <v>50</v>
      </c>
      <c r="Q30" s="124"/>
    </row>
    <row r="31" spans="1:17" ht="15.75" customHeight="1" x14ac:dyDescent="0.2">
      <c r="A31" s="124"/>
      <c r="B31" s="64"/>
      <c r="C31" s="65"/>
      <c r="D31" s="124"/>
      <c r="E31" s="34">
        <v>1</v>
      </c>
      <c r="F31" s="97">
        <f t="shared" ref="F31:G31" si="18">F$6*F27</f>
        <v>20</v>
      </c>
      <c r="G31" s="97">
        <f t="shared" si="18"/>
        <v>7.5</v>
      </c>
      <c r="H31" s="97">
        <f t="shared" ref="H31:H33" si="19">IFERROR(60/F31*G31,"")</f>
        <v>22.5</v>
      </c>
      <c r="I31" s="98">
        <f t="shared" ref="I31:L31" si="20">I$6*I27</f>
        <v>37.5</v>
      </c>
      <c r="J31" s="97">
        <f t="shared" si="20"/>
        <v>200</v>
      </c>
      <c r="K31" s="97">
        <f t="shared" si="20"/>
        <v>201</v>
      </c>
      <c r="L31" s="97">
        <f t="shared" si="20"/>
        <v>4.5</v>
      </c>
      <c r="M31" s="97">
        <f>60/F31*J31</f>
        <v>600</v>
      </c>
      <c r="N31" s="97">
        <f t="shared" ref="N31:N33" si="21">IFERROR(K31/M31*H31,"")</f>
        <v>7.5375000000000005</v>
      </c>
      <c r="O31" s="97"/>
      <c r="P31" s="99">
        <f t="shared" ref="P31:P33" si="22">P$6*P27</f>
        <v>750</v>
      </c>
      <c r="Q31" s="124"/>
    </row>
    <row r="32" spans="1:17" ht="15.75" customHeight="1" x14ac:dyDescent="0.2">
      <c r="A32" s="124"/>
      <c r="B32" s="64"/>
      <c r="C32" s="65"/>
      <c r="D32" s="124"/>
      <c r="E32" s="34">
        <v>2</v>
      </c>
      <c r="F32" s="97">
        <f t="shared" ref="F32:G32" si="23">F$6*F28</f>
        <v>20</v>
      </c>
      <c r="G32" s="97">
        <f t="shared" si="23"/>
        <v>8.75</v>
      </c>
      <c r="H32" s="97">
        <f t="shared" si="19"/>
        <v>26.25</v>
      </c>
      <c r="I32" s="98">
        <f t="shared" ref="I32:L32" si="24">I$6*I28</f>
        <v>40.625</v>
      </c>
      <c r="J32" s="97">
        <f t="shared" si="24"/>
        <v>150</v>
      </c>
      <c r="K32" s="97">
        <f t="shared" si="24"/>
        <v>150.75</v>
      </c>
      <c r="L32" s="97">
        <f t="shared" si="24"/>
        <v>4.5</v>
      </c>
      <c r="M32" s="97">
        <f>60/F32*J32</f>
        <v>450</v>
      </c>
      <c r="N32" s="97">
        <f t="shared" si="21"/>
        <v>8.7937500000000011</v>
      </c>
      <c r="O32" s="97"/>
      <c r="P32" s="99">
        <f t="shared" si="22"/>
        <v>1125</v>
      </c>
      <c r="Q32" s="124"/>
    </row>
    <row r="33" spans="1:17" ht="15.75" customHeight="1" x14ac:dyDescent="0.2">
      <c r="A33" s="124"/>
      <c r="B33" s="64"/>
      <c r="C33" s="65"/>
      <c r="D33" s="124"/>
      <c r="E33" s="34">
        <v>3</v>
      </c>
      <c r="F33" s="97">
        <f t="shared" ref="F33:G33" si="25">F$6*F29</f>
        <v>20</v>
      </c>
      <c r="G33" s="97">
        <f t="shared" si="25"/>
        <v>10</v>
      </c>
      <c r="H33" s="97">
        <f t="shared" si="19"/>
        <v>30</v>
      </c>
      <c r="I33" s="98">
        <f t="shared" ref="I33:L33" si="26">I$6*I29</f>
        <v>43.75</v>
      </c>
      <c r="J33" s="97">
        <f t="shared" si="26"/>
        <v>120</v>
      </c>
      <c r="K33" s="97">
        <f t="shared" si="26"/>
        <v>120.6</v>
      </c>
      <c r="L33" s="97">
        <f t="shared" si="26"/>
        <v>4.5</v>
      </c>
      <c r="M33" s="97">
        <f>60/F33*J33</f>
        <v>360</v>
      </c>
      <c r="N33" s="97">
        <f t="shared" si="21"/>
        <v>10.049999999999999</v>
      </c>
      <c r="O33" s="97"/>
      <c r="P33" s="99">
        <f t="shared" si="22"/>
        <v>1500</v>
      </c>
      <c r="Q33" s="124"/>
    </row>
    <row r="34" spans="1:17" ht="15.75" customHeight="1" x14ac:dyDescent="0.2">
      <c r="A34" s="124"/>
      <c r="B34" s="146"/>
      <c r="C34" s="124"/>
      <c r="D34" s="124"/>
      <c r="E34" s="141"/>
      <c r="F34" s="124"/>
      <c r="G34" s="124"/>
      <c r="H34" s="124"/>
      <c r="I34" s="124"/>
      <c r="J34" s="124"/>
      <c r="K34" s="124"/>
      <c r="L34" s="124"/>
      <c r="M34" s="124"/>
      <c r="N34" s="59"/>
      <c r="O34" s="59"/>
      <c r="P34" s="59"/>
      <c r="Q34" s="124"/>
    </row>
    <row r="35" spans="1:17" x14ac:dyDescent="0.25">
      <c r="A35" s="124"/>
      <c r="B35" s="145" t="s">
        <v>65</v>
      </c>
      <c r="C35" s="124"/>
      <c r="D35" s="124"/>
      <c r="E35" s="142" t="s">
        <v>66</v>
      </c>
      <c r="F35" s="124"/>
      <c r="G35" s="124"/>
      <c r="H35" s="124"/>
      <c r="I35" s="124"/>
      <c r="J35" s="124"/>
      <c r="K35" s="124"/>
      <c r="L35" s="124"/>
      <c r="M35" s="124"/>
      <c r="N35" s="124"/>
      <c r="O35" s="124"/>
      <c r="P35" s="124"/>
      <c r="Q35" s="124"/>
    </row>
    <row r="36" spans="1:17" ht="15.75" customHeight="1" x14ac:dyDescent="0.2">
      <c r="A36" s="124"/>
      <c r="B36" s="64"/>
      <c r="C36" s="65"/>
      <c r="D36" s="124"/>
      <c r="E36" s="100">
        <v>1</v>
      </c>
      <c r="F36" s="101">
        <v>1</v>
      </c>
      <c r="G36" s="101">
        <v>5</v>
      </c>
      <c r="H36" s="102" t="s">
        <v>53</v>
      </c>
      <c r="I36" s="101">
        <v>2.5</v>
      </c>
      <c r="J36" s="101">
        <v>1.75</v>
      </c>
      <c r="K36" s="101">
        <v>1.75</v>
      </c>
      <c r="L36" s="101">
        <v>1.75</v>
      </c>
      <c r="M36" s="102" t="s">
        <v>53</v>
      </c>
      <c r="N36" s="102" t="s">
        <v>53</v>
      </c>
      <c r="O36" s="102"/>
      <c r="P36" s="101">
        <v>2.5</v>
      </c>
      <c r="Q36" s="124"/>
    </row>
    <row r="37" spans="1:17" ht="15.75" customHeight="1" x14ac:dyDescent="0.2">
      <c r="A37" s="124"/>
      <c r="B37" s="64"/>
      <c r="C37" s="65"/>
      <c r="D37" s="124"/>
      <c r="E37" s="100">
        <v>2</v>
      </c>
      <c r="F37" s="101">
        <v>1</v>
      </c>
      <c r="G37" s="101">
        <v>7.5</v>
      </c>
      <c r="H37" s="102" t="s">
        <v>53</v>
      </c>
      <c r="I37" s="101">
        <v>3</v>
      </c>
      <c r="J37" s="101">
        <v>2</v>
      </c>
      <c r="K37" s="101">
        <v>2</v>
      </c>
      <c r="L37" s="101">
        <v>2</v>
      </c>
      <c r="M37" s="102" t="s">
        <v>53</v>
      </c>
      <c r="N37" s="102" t="s">
        <v>53</v>
      </c>
      <c r="O37" s="102"/>
      <c r="P37" s="101">
        <v>5</v>
      </c>
      <c r="Q37" s="124"/>
    </row>
    <row r="38" spans="1:17" ht="12.75" x14ac:dyDescent="0.2">
      <c r="A38" s="124"/>
      <c r="B38" s="64"/>
      <c r="C38" s="65"/>
      <c r="D38" s="124"/>
      <c r="E38" s="100">
        <v>3</v>
      </c>
      <c r="F38" s="101">
        <v>1</v>
      </c>
      <c r="G38" s="101">
        <v>10</v>
      </c>
      <c r="H38" s="102" t="s">
        <v>53</v>
      </c>
      <c r="I38" s="101">
        <v>3.5</v>
      </c>
      <c r="J38" s="101">
        <v>2.25</v>
      </c>
      <c r="K38" s="101">
        <v>2.25</v>
      </c>
      <c r="L38" s="101">
        <v>2.25</v>
      </c>
      <c r="M38" s="102" t="s">
        <v>53</v>
      </c>
      <c r="N38" s="102" t="s">
        <v>53</v>
      </c>
      <c r="O38" s="102"/>
      <c r="P38" s="101">
        <v>7.5</v>
      </c>
      <c r="Q38" s="124"/>
    </row>
    <row r="39" spans="1:17" ht="12.75" x14ac:dyDescent="0.2">
      <c r="A39" s="124"/>
      <c r="B39" s="64"/>
      <c r="C39" s="65"/>
      <c r="D39" s="124"/>
      <c r="E39" s="103" t="s">
        <v>5</v>
      </c>
      <c r="F39" s="103" t="s">
        <v>40</v>
      </c>
      <c r="G39" s="103" t="s">
        <v>41</v>
      </c>
      <c r="H39" s="104" t="s">
        <v>42</v>
      </c>
      <c r="I39" s="103" t="s">
        <v>43</v>
      </c>
      <c r="J39" s="103" t="s">
        <v>44</v>
      </c>
      <c r="K39" s="103" t="s">
        <v>45</v>
      </c>
      <c r="L39" s="103" t="s">
        <v>46</v>
      </c>
      <c r="M39" s="104" t="s">
        <v>47</v>
      </c>
      <c r="N39" s="104" t="s">
        <v>48</v>
      </c>
      <c r="O39" s="104"/>
      <c r="P39" s="103" t="s">
        <v>50</v>
      </c>
      <c r="Q39" s="124"/>
    </row>
    <row r="40" spans="1:17" ht="12.75" x14ac:dyDescent="0.2">
      <c r="A40" s="124"/>
      <c r="B40" s="64"/>
      <c r="C40" s="65"/>
      <c r="D40" s="124"/>
      <c r="E40" s="100">
        <v>1</v>
      </c>
      <c r="F40" s="105">
        <f t="shared" ref="F40:G40" si="27">F$6*F36</f>
        <v>20</v>
      </c>
      <c r="G40" s="105">
        <f t="shared" si="27"/>
        <v>25</v>
      </c>
      <c r="H40" s="105">
        <f t="shared" ref="H40:H42" si="28">IFERROR(60/F40*G40,"")</f>
        <v>75</v>
      </c>
      <c r="I40" s="106">
        <f t="shared" ref="I40:L40" si="29">I$6*I36</f>
        <v>62.5</v>
      </c>
      <c r="J40" s="105">
        <f t="shared" si="29"/>
        <v>350</v>
      </c>
      <c r="K40" s="105">
        <f t="shared" si="29"/>
        <v>351.75</v>
      </c>
      <c r="L40" s="105">
        <f t="shared" si="29"/>
        <v>10.5</v>
      </c>
      <c r="M40" s="105">
        <f>60/F40*J40</f>
        <v>1050</v>
      </c>
      <c r="N40" s="105">
        <f t="shared" ref="N40:N42" si="30">IFERROR(K40/M40*H40,"")</f>
        <v>25.125</v>
      </c>
      <c r="O40" s="105"/>
      <c r="P40" s="107">
        <f t="shared" ref="P40:P42" si="31">P$6*P36</f>
        <v>375</v>
      </c>
      <c r="Q40" s="124"/>
    </row>
    <row r="41" spans="1:17" ht="12.75" x14ac:dyDescent="0.2">
      <c r="A41" s="124"/>
      <c r="B41" s="64"/>
      <c r="C41" s="65"/>
      <c r="D41" s="124"/>
      <c r="E41" s="100">
        <v>2</v>
      </c>
      <c r="F41" s="105">
        <f t="shared" ref="F41:G41" si="32">F$6*F37</f>
        <v>20</v>
      </c>
      <c r="G41" s="105">
        <f t="shared" si="32"/>
        <v>37.5</v>
      </c>
      <c r="H41" s="105">
        <f t="shared" si="28"/>
        <v>112.5</v>
      </c>
      <c r="I41" s="106">
        <f t="shared" ref="I41:L41" si="33">I$6*I37</f>
        <v>75</v>
      </c>
      <c r="J41" s="105">
        <f t="shared" si="33"/>
        <v>400</v>
      </c>
      <c r="K41" s="105">
        <f t="shared" si="33"/>
        <v>402</v>
      </c>
      <c r="L41" s="105">
        <f t="shared" si="33"/>
        <v>12</v>
      </c>
      <c r="M41" s="105">
        <f>60/F41*J41</f>
        <v>1200</v>
      </c>
      <c r="N41" s="105">
        <f t="shared" si="30"/>
        <v>37.6875</v>
      </c>
      <c r="O41" s="105"/>
      <c r="P41" s="107">
        <f t="shared" si="31"/>
        <v>750</v>
      </c>
      <c r="Q41" s="124"/>
    </row>
    <row r="42" spans="1:17" ht="12.75" x14ac:dyDescent="0.2">
      <c r="A42" s="124"/>
      <c r="B42" s="64"/>
      <c r="C42" s="65"/>
      <c r="D42" s="124"/>
      <c r="E42" s="100">
        <v>3</v>
      </c>
      <c r="F42" s="105">
        <f t="shared" ref="F42:G42" si="34">F$6*F38</f>
        <v>20</v>
      </c>
      <c r="G42" s="105">
        <f t="shared" si="34"/>
        <v>50</v>
      </c>
      <c r="H42" s="105">
        <f t="shared" si="28"/>
        <v>150</v>
      </c>
      <c r="I42" s="106">
        <f t="shared" ref="I42:L42" si="35">I$6*I38</f>
        <v>87.5</v>
      </c>
      <c r="J42" s="105">
        <f t="shared" si="35"/>
        <v>450</v>
      </c>
      <c r="K42" s="105">
        <f t="shared" si="35"/>
        <v>452.25</v>
      </c>
      <c r="L42" s="105">
        <f t="shared" si="35"/>
        <v>13.5</v>
      </c>
      <c r="M42" s="105">
        <f>60/F42*J42</f>
        <v>1350</v>
      </c>
      <c r="N42" s="105">
        <f t="shared" si="30"/>
        <v>50.25</v>
      </c>
      <c r="O42" s="105"/>
      <c r="P42" s="107">
        <f t="shared" si="31"/>
        <v>1125</v>
      </c>
      <c r="Q42" s="124"/>
    </row>
    <row r="43" spans="1:17" ht="12.75" x14ac:dyDescent="0.2">
      <c r="A43" s="124"/>
      <c r="B43" s="59"/>
      <c r="C43" s="59"/>
      <c r="D43" s="124"/>
      <c r="E43" s="59"/>
      <c r="F43" s="59"/>
      <c r="G43" s="59"/>
      <c r="H43" s="59"/>
      <c r="I43" s="59"/>
      <c r="J43" s="59"/>
      <c r="K43" s="59"/>
      <c r="L43" s="59"/>
      <c r="M43" s="59"/>
      <c r="N43" s="59"/>
      <c r="O43" s="59"/>
      <c r="P43" s="59"/>
      <c r="Q43" s="124"/>
    </row>
  </sheetData>
  <mergeCells count="28">
    <mergeCell ref="B2:C2"/>
    <mergeCell ref="B1:C1"/>
    <mergeCell ref="B17:C17"/>
    <mergeCell ref="A1:A43"/>
    <mergeCell ref="D1:D43"/>
    <mergeCell ref="B16:C16"/>
    <mergeCell ref="B7:C7"/>
    <mergeCell ref="B3:C3"/>
    <mergeCell ref="B8:C8"/>
    <mergeCell ref="B4:C4"/>
    <mergeCell ref="B26:C26"/>
    <mergeCell ref="B35:C35"/>
    <mergeCell ref="E34:M34"/>
    <mergeCell ref="B34:C34"/>
    <mergeCell ref="B25:C25"/>
    <mergeCell ref="E8:P8"/>
    <mergeCell ref="E7:P7"/>
    <mergeCell ref="E16:M16"/>
    <mergeCell ref="Q1:Q43"/>
    <mergeCell ref="E25:M25"/>
    <mergeCell ref="E35:P35"/>
    <mergeCell ref="E17:P17"/>
    <mergeCell ref="E26:P26"/>
    <mergeCell ref="E4:P4"/>
    <mergeCell ref="E3:P3"/>
    <mergeCell ref="E2:F2"/>
    <mergeCell ref="E1:P1"/>
    <mergeCell ref="G2:P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ColWidth="14.42578125" defaultRowHeight="15.75" customHeight="1" x14ac:dyDescent="0.2"/>
  <sheetData>
    <row r="1" spans="1:7" x14ac:dyDescent="0.25">
      <c r="A1" s="151" t="s">
        <v>111</v>
      </c>
      <c r="B1" s="124"/>
      <c r="C1" s="124"/>
      <c r="D1" s="124"/>
      <c r="E1" s="124"/>
      <c r="F1" s="124"/>
    </row>
    <row r="2" spans="1:7" ht="15.75" customHeight="1" x14ac:dyDescent="0.2">
      <c r="A2" s="119" t="s">
        <v>112</v>
      </c>
      <c r="B2" s="119" t="s">
        <v>113</v>
      </c>
      <c r="C2" s="119" t="s">
        <v>114</v>
      </c>
      <c r="D2" s="119" t="s">
        <v>115</v>
      </c>
      <c r="E2" s="119" t="s">
        <v>116</v>
      </c>
      <c r="F2" s="119" t="s">
        <v>117</v>
      </c>
    </row>
    <row r="3" spans="1:7" ht="15.75" customHeight="1" x14ac:dyDescent="0.2">
      <c r="A3" s="120" t="s">
        <v>118</v>
      </c>
      <c r="B3" s="21">
        <v>1</v>
      </c>
      <c r="C3" s="21">
        <v>4</v>
      </c>
      <c r="D3" s="21">
        <v>0.2</v>
      </c>
      <c r="E3" s="121">
        <f t="shared" ref="E3:E7" si="0">AVERAGE(B3:C3)*D3</f>
        <v>0.5</v>
      </c>
      <c r="F3" s="85">
        <f t="shared" ref="F3:F7" si="1">D3*2</f>
        <v>0.4</v>
      </c>
      <c r="G3" s="122" t="s">
        <v>119</v>
      </c>
    </row>
    <row r="4" spans="1:7" ht="15.75" customHeight="1" x14ac:dyDescent="0.2">
      <c r="A4" s="120" t="s">
        <v>120</v>
      </c>
      <c r="B4" s="21">
        <v>1</v>
      </c>
      <c r="C4" s="21">
        <v>3</v>
      </c>
      <c r="D4" s="21">
        <v>0.2</v>
      </c>
      <c r="E4" s="121">
        <f t="shared" si="0"/>
        <v>0.4</v>
      </c>
      <c r="F4" s="85">
        <f t="shared" si="1"/>
        <v>0.4</v>
      </c>
    </row>
    <row r="5" spans="1:7" ht="15.75" customHeight="1" x14ac:dyDescent="0.2">
      <c r="A5" s="120" t="s">
        <v>121</v>
      </c>
      <c r="B5" s="21">
        <v>1</v>
      </c>
      <c r="C5" s="21">
        <v>3</v>
      </c>
      <c r="D5" s="21">
        <v>0.15</v>
      </c>
      <c r="E5" s="121">
        <f t="shared" si="0"/>
        <v>0.3</v>
      </c>
      <c r="F5" s="85">
        <f t="shared" si="1"/>
        <v>0.3</v>
      </c>
    </row>
    <row r="6" spans="1:7" ht="15.75" customHeight="1" x14ac:dyDescent="0.2">
      <c r="A6" s="120" t="s">
        <v>122</v>
      </c>
      <c r="B6" s="21">
        <v>1</v>
      </c>
      <c r="C6" s="21">
        <v>2</v>
      </c>
      <c r="D6" s="21">
        <v>0.1333</v>
      </c>
      <c r="E6" s="121">
        <f t="shared" si="0"/>
        <v>0.19995000000000002</v>
      </c>
      <c r="F6" s="85">
        <f t="shared" si="1"/>
        <v>0.2666</v>
      </c>
    </row>
    <row r="7" spans="1:7" ht="15.75" customHeight="1" x14ac:dyDescent="0.2">
      <c r="A7" s="120" t="s">
        <v>123</v>
      </c>
      <c r="B7" s="21">
        <v>1</v>
      </c>
      <c r="C7" s="21">
        <v>1</v>
      </c>
      <c r="D7" s="21">
        <v>0.1</v>
      </c>
      <c r="E7" s="121">
        <f t="shared" si="0"/>
        <v>0.1</v>
      </c>
      <c r="F7" s="85">
        <f t="shared" si="1"/>
        <v>0.2</v>
      </c>
    </row>
    <row r="13" spans="1:7" ht="15.75" customHeight="1" x14ac:dyDescent="0.2">
      <c r="F13" s="21"/>
    </row>
    <row r="14" spans="1:7" ht="15.75" customHeight="1" x14ac:dyDescent="0.2">
      <c r="F14" s="21"/>
      <c r="G14" s="21"/>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ColWidth="14.42578125" defaultRowHeight="15.75" customHeight="1" x14ac:dyDescent="0.2"/>
  <sheetData>
    <row r="1" spans="1:4" x14ac:dyDescent="0.25">
      <c r="A1" s="23">
        <f>2.4*8*400/1000</f>
        <v>7.68</v>
      </c>
      <c r="B1" s="23">
        <f>2.4*7*400/1000-400*1.8/1000</f>
        <v>6</v>
      </c>
      <c r="C1" s="23">
        <f>2.4*7*400/1000-400*1.2/1000</f>
        <v>6.24</v>
      </c>
      <c r="D1" s="23">
        <f>2.4*7*400/1000-400*1.8/1000</f>
        <v>6</v>
      </c>
    </row>
    <row r="2" spans="1:4" ht="15.75" customHeight="1" x14ac:dyDescent="0.2">
      <c r="A2">
        <f>A1/B1</f>
        <v>1.28</v>
      </c>
      <c r="B2">
        <f>B1/A1</f>
        <v>0.78125</v>
      </c>
    </row>
    <row r="9" spans="1:4" ht="15.75" customHeight="1" x14ac:dyDescent="0.2">
      <c r="A9" s="21" t="s">
        <v>68</v>
      </c>
      <c r="C9" s="21" t="s">
        <v>69</v>
      </c>
    </row>
    <row r="10" spans="1:4" ht="15.75" customHeight="1" x14ac:dyDescent="0.2">
      <c r="A10" s="21">
        <v>8.1</v>
      </c>
      <c r="C10" s="21">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21">
        <v>400</v>
      </c>
      <c r="G19">
        <f>G18-(160*3)</f>
        <v>720</v>
      </c>
    </row>
    <row r="20" spans="3:8" ht="15.75" customHeight="1" x14ac:dyDescent="0.2">
      <c r="E20" s="21">
        <v>5200</v>
      </c>
      <c r="F20">
        <f>E20/E19</f>
        <v>13</v>
      </c>
    </row>
    <row r="23" spans="3:8" ht="15.75" customHeight="1" x14ac:dyDescent="0.2">
      <c r="C23">
        <f>240/160</f>
        <v>1.5</v>
      </c>
    </row>
    <row r="29" spans="3:8" ht="15.75" customHeight="1" x14ac:dyDescent="0.2">
      <c r="E29" s="21">
        <v>240</v>
      </c>
      <c r="F29">
        <f>E29*0.6</f>
        <v>144</v>
      </c>
    </row>
    <row r="30" spans="3:8" ht="15.75" customHeight="1" x14ac:dyDescent="0.2">
      <c r="E30" s="21">
        <v>160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95" t="s">
        <v>67</v>
      </c>
      <c r="B1" s="95"/>
      <c r="C1" s="95"/>
      <c r="D1" s="95"/>
      <c r="E1" s="95"/>
      <c r="F1" s="95"/>
      <c r="G1" s="95"/>
      <c r="H1" s="95"/>
      <c r="I1" s="95"/>
      <c r="J1" s="108"/>
      <c r="K1" s="108"/>
      <c r="L1" s="109"/>
      <c r="M1" s="109"/>
      <c r="N1" s="109"/>
      <c r="O1" s="109"/>
      <c r="P1" s="110"/>
    </row>
    <row r="2" spans="1:30" ht="15.75" customHeight="1" x14ac:dyDescent="0.2">
      <c r="A2" s="111" t="s">
        <v>70</v>
      </c>
      <c r="B2" s="95"/>
      <c r="C2" s="95"/>
      <c r="D2" s="95"/>
      <c r="E2" s="95"/>
      <c r="F2" s="95"/>
      <c r="G2" s="95"/>
      <c r="H2" s="95"/>
      <c r="I2" s="95"/>
      <c r="J2" s="108"/>
      <c r="K2" s="108"/>
      <c r="L2" s="109"/>
      <c r="M2" s="109"/>
      <c r="N2" s="109"/>
      <c r="O2" s="109"/>
      <c r="P2" s="110"/>
      <c r="Q2" s="21"/>
    </row>
    <row r="3" spans="1:30" ht="15.75" customHeight="1" x14ac:dyDescent="0.2">
      <c r="A3" s="153" t="s">
        <v>71</v>
      </c>
      <c r="B3" s="124"/>
      <c r="C3" s="124"/>
      <c r="D3" s="124"/>
      <c r="E3" s="124"/>
      <c r="F3" s="124"/>
      <c r="G3" s="124"/>
      <c r="H3" s="124"/>
      <c r="I3" s="124"/>
      <c r="J3" s="109"/>
      <c r="K3" s="109"/>
      <c r="L3" s="109"/>
      <c r="M3" s="109"/>
      <c r="N3" s="109"/>
      <c r="O3" s="109"/>
      <c r="P3" s="112"/>
    </row>
    <row r="4" spans="1:30" ht="15.75" customHeight="1" x14ac:dyDescent="0.2">
      <c r="A4" s="109"/>
      <c r="B4" s="109"/>
      <c r="C4" s="109"/>
      <c r="D4" s="109"/>
      <c r="E4" s="109"/>
      <c r="F4" s="109"/>
      <c r="G4" s="109"/>
      <c r="H4" s="109"/>
      <c r="I4" s="109"/>
      <c r="J4" s="109"/>
      <c r="K4" s="109"/>
      <c r="L4" s="109"/>
      <c r="M4" s="109"/>
      <c r="N4" s="109"/>
      <c r="O4" s="109"/>
      <c r="P4" s="112"/>
    </row>
    <row r="5" spans="1:30" x14ac:dyDescent="0.25">
      <c r="A5" s="129" t="s">
        <v>72</v>
      </c>
      <c r="B5" s="124"/>
      <c r="C5" s="124"/>
      <c r="D5" s="124"/>
      <c r="E5" s="124"/>
      <c r="F5" s="124"/>
      <c r="G5" s="124"/>
      <c r="H5" s="124"/>
      <c r="I5" s="124"/>
      <c r="J5" s="124"/>
      <c r="K5" s="124"/>
      <c r="L5" s="124"/>
      <c r="M5" s="4"/>
      <c r="N5" s="4"/>
      <c r="O5" s="4"/>
      <c r="P5" s="4"/>
    </row>
    <row r="6" spans="1:30" x14ac:dyDescent="0.25">
      <c r="A6" s="62"/>
      <c r="B6" s="62"/>
      <c r="C6" s="113" t="s">
        <v>73</v>
      </c>
      <c r="D6" s="62"/>
      <c r="E6" s="62"/>
      <c r="F6" s="62"/>
      <c r="G6" s="62"/>
      <c r="H6" s="62"/>
      <c r="I6" s="62"/>
      <c r="J6" s="62"/>
      <c r="K6" s="152" t="s">
        <v>74</v>
      </c>
      <c r="L6" s="124"/>
      <c r="M6" s="114"/>
      <c r="N6" s="114"/>
      <c r="O6" s="114"/>
      <c r="P6" s="114"/>
    </row>
    <row r="7" spans="1:30" x14ac:dyDescent="0.25">
      <c r="A7" s="61" t="s">
        <v>26</v>
      </c>
      <c r="B7" s="62" t="s">
        <v>75</v>
      </c>
      <c r="C7" s="62" t="s">
        <v>28</v>
      </c>
      <c r="D7" s="62" t="s">
        <v>29</v>
      </c>
      <c r="E7" s="62"/>
      <c r="F7" s="62" t="s">
        <v>29</v>
      </c>
      <c r="G7" s="62" t="s">
        <v>29</v>
      </c>
      <c r="H7" s="62" t="s">
        <v>76</v>
      </c>
      <c r="I7" s="62" t="s">
        <v>75</v>
      </c>
      <c r="J7" s="62" t="s">
        <v>28</v>
      </c>
      <c r="K7" s="62" t="s">
        <v>29</v>
      </c>
      <c r="L7" s="62" t="s">
        <v>29</v>
      </c>
      <c r="M7" s="114" t="s">
        <v>28</v>
      </c>
      <c r="N7" s="114" t="s">
        <v>77</v>
      </c>
      <c r="O7" s="114"/>
      <c r="P7" s="114"/>
    </row>
    <row r="8" spans="1:30" x14ac:dyDescent="0.25">
      <c r="A8" s="62" t="s">
        <v>30</v>
      </c>
      <c r="B8" s="62" t="s">
        <v>31</v>
      </c>
      <c r="C8" s="62" t="s">
        <v>32</v>
      </c>
      <c r="D8" s="62" t="s">
        <v>33</v>
      </c>
      <c r="E8" s="62" t="s">
        <v>78</v>
      </c>
      <c r="F8" s="62" t="s">
        <v>34</v>
      </c>
      <c r="G8" s="62" t="s">
        <v>79</v>
      </c>
      <c r="H8" s="62" t="s">
        <v>80</v>
      </c>
      <c r="I8" s="62" t="s">
        <v>36</v>
      </c>
      <c r="J8" s="62" t="s">
        <v>37</v>
      </c>
      <c r="K8" s="62" t="s">
        <v>81</v>
      </c>
      <c r="L8" s="62" t="s">
        <v>82</v>
      </c>
      <c r="M8" s="62" t="s">
        <v>83</v>
      </c>
      <c r="N8" s="62" t="s">
        <v>84</v>
      </c>
      <c r="O8" s="114"/>
      <c r="P8" s="114"/>
    </row>
    <row r="9" spans="1:30" ht="15.75" customHeight="1" x14ac:dyDescent="0.2">
      <c r="A9" s="21">
        <v>1</v>
      </c>
      <c r="B9" s="21">
        <v>1</v>
      </c>
      <c r="C9" s="21">
        <f>510*1.25</f>
        <v>637.5</v>
      </c>
      <c r="D9" s="70">
        <v>0.1</v>
      </c>
      <c r="E9">
        <f>F$9*D9/D$9</f>
        <v>390</v>
      </c>
      <c r="F9" s="21">
        <v>390</v>
      </c>
      <c r="G9" s="70">
        <f t="shared" ref="G9:G13" si="0">C9/F9</f>
        <v>1.6346153846153846</v>
      </c>
      <c r="H9" s="70">
        <f>C9/F9</f>
        <v>1.6346153846153846</v>
      </c>
      <c r="I9" s="115">
        <f t="shared" ref="I9:I13" si="1">ROUNDUP(D9*10,1)</f>
        <v>1</v>
      </c>
      <c r="J9" s="63">
        <v>0.5</v>
      </c>
      <c r="K9" s="70">
        <f t="shared" ref="K9:K13" si="2">L9*J9</f>
        <v>4</v>
      </c>
      <c r="L9" s="70">
        <f t="shared" ref="L9:L13" si="3">M9/E9*C9/G9</f>
        <v>8</v>
      </c>
      <c r="M9" s="68">
        <v>8</v>
      </c>
      <c r="N9" s="85">
        <f t="shared" ref="N9:N13" si="4">K9/M9</f>
        <v>0.5</v>
      </c>
      <c r="P9" s="21"/>
      <c r="Q9" s="21"/>
    </row>
    <row r="10" spans="1:30" ht="15.75" customHeight="1" x14ac:dyDescent="0.2">
      <c r="A10" s="21">
        <v>2</v>
      </c>
      <c r="B10" s="21">
        <v>1</v>
      </c>
      <c r="C10" s="21">
        <v>1300</v>
      </c>
      <c r="D10" s="116">
        <f t="shared" ref="D10:D13" si="5">C10*D$9/F$9</f>
        <v>0.33333333333333331</v>
      </c>
      <c r="E10">
        <f t="shared" ref="E10:E13" si="6">F$9*D10/D$9/G10</f>
        <v>881</v>
      </c>
      <c r="F10">
        <f t="shared" ref="F10:F13" si="7">ROUNDUP(D10*$F$9/$D$9/H10,0)</f>
        <v>881</v>
      </c>
      <c r="G10" s="70">
        <f t="shared" si="0"/>
        <v>1.4755959137343928</v>
      </c>
      <c r="H10" s="70">
        <f t="shared" ref="H10:H13" si="8">H9-($H$9-1)/4</f>
        <v>1.4759615384615383</v>
      </c>
      <c r="I10" s="115">
        <f t="shared" si="1"/>
        <v>3.4</v>
      </c>
      <c r="J10" s="63">
        <v>0.6</v>
      </c>
      <c r="K10" s="70">
        <f t="shared" si="2"/>
        <v>4.8</v>
      </c>
      <c r="L10" s="70">
        <f t="shared" si="3"/>
        <v>8</v>
      </c>
      <c r="M10" s="68">
        <v>8</v>
      </c>
      <c r="N10" s="85">
        <f t="shared" si="4"/>
        <v>0.6</v>
      </c>
      <c r="P10" s="21"/>
    </row>
    <row r="11" spans="1:30" ht="15.75" customHeight="1" x14ac:dyDescent="0.2">
      <c r="A11" s="21">
        <v>3</v>
      </c>
      <c r="B11" s="21">
        <v>1</v>
      </c>
      <c r="C11" s="21">
        <v>2100</v>
      </c>
      <c r="D11" s="116">
        <f t="shared" si="5"/>
        <v>0.53846153846153844</v>
      </c>
      <c r="E11">
        <f t="shared" si="6"/>
        <v>1595</v>
      </c>
      <c r="F11">
        <f t="shared" si="7"/>
        <v>1595</v>
      </c>
      <c r="G11" s="70">
        <f t="shared" si="0"/>
        <v>1.3166144200626959</v>
      </c>
      <c r="H11" s="70">
        <f t="shared" si="8"/>
        <v>1.3173076923076921</v>
      </c>
      <c r="I11" s="115">
        <f t="shared" si="1"/>
        <v>5.3999999999999995</v>
      </c>
      <c r="J11" s="63">
        <v>0.75</v>
      </c>
      <c r="K11" s="70">
        <f t="shared" si="2"/>
        <v>6</v>
      </c>
      <c r="L11" s="70">
        <f t="shared" si="3"/>
        <v>8</v>
      </c>
      <c r="M11" s="68">
        <v>8</v>
      </c>
      <c r="N11" s="85">
        <f t="shared" si="4"/>
        <v>0.75</v>
      </c>
      <c r="P11" s="21"/>
    </row>
    <row r="12" spans="1:30" ht="15.75" customHeight="1" x14ac:dyDescent="0.2">
      <c r="A12" s="21">
        <v>4</v>
      </c>
      <c r="B12" s="21">
        <v>1</v>
      </c>
      <c r="C12" s="21">
        <v>3700</v>
      </c>
      <c r="D12" s="116">
        <f t="shared" si="5"/>
        <v>0.94871794871794868</v>
      </c>
      <c r="E12">
        <f t="shared" si="6"/>
        <v>3194</v>
      </c>
      <c r="F12">
        <f t="shared" si="7"/>
        <v>3194</v>
      </c>
      <c r="G12" s="70">
        <f t="shared" si="0"/>
        <v>1.158422041327489</v>
      </c>
      <c r="H12" s="70">
        <f t="shared" si="8"/>
        <v>1.1586538461538458</v>
      </c>
      <c r="I12" s="115">
        <f t="shared" si="1"/>
        <v>9.5</v>
      </c>
      <c r="J12" s="63">
        <v>0.95</v>
      </c>
      <c r="K12" s="70">
        <f t="shared" si="2"/>
        <v>7.6</v>
      </c>
      <c r="L12" s="70">
        <f t="shared" si="3"/>
        <v>8</v>
      </c>
      <c r="M12" s="68">
        <v>8</v>
      </c>
      <c r="N12" s="85">
        <f t="shared" si="4"/>
        <v>0.95</v>
      </c>
      <c r="P12" s="21"/>
    </row>
    <row r="13" spans="1:30" ht="15.75" customHeight="1" x14ac:dyDescent="0.2">
      <c r="A13" s="21">
        <v>5</v>
      </c>
      <c r="B13" s="21">
        <v>1</v>
      </c>
      <c r="C13" s="21">
        <v>6100</v>
      </c>
      <c r="D13" s="116">
        <f t="shared" si="5"/>
        <v>1.5641025641025641</v>
      </c>
      <c r="E13">
        <f t="shared" si="6"/>
        <v>6100</v>
      </c>
      <c r="F13">
        <f t="shared" si="7"/>
        <v>6100</v>
      </c>
      <c r="G13" s="70">
        <f t="shared" si="0"/>
        <v>1</v>
      </c>
      <c r="H13" s="70">
        <f t="shared" si="8"/>
        <v>0.99999999999999967</v>
      </c>
      <c r="I13" s="115">
        <f t="shared" si="1"/>
        <v>15.7</v>
      </c>
      <c r="J13" s="63">
        <v>1.05</v>
      </c>
      <c r="K13" s="70">
        <f t="shared" si="2"/>
        <v>8.4</v>
      </c>
      <c r="L13" s="70">
        <f t="shared" si="3"/>
        <v>8</v>
      </c>
      <c r="M13" s="68">
        <v>8</v>
      </c>
      <c r="N13" s="85">
        <f t="shared" si="4"/>
        <v>1.05</v>
      </c>
      <c r="P13" s="21"/>
    </row>
    <row r="15" spans="1:30" x14ac:dyDescent="0.25">
      <c r="A15" s="129" t="s">
        <v>85</v>
      </c>
      <c r="B15" s="124"/>
      <c r="C15" s="124"/>
      <c r="D15" s="124"/>
      <c r="E15" s="124"/>
      <c r="F15" s="124"/>
      <c r="G15" s="124"/>
      <c r="H15" s="124"/>
      <c r="I15" s="124"/>
      <c r="J15" s="124"/>
      <c r="K15" s="124"/>
      <c r="L15" s="124"/>
      <c r="M15" s="4"/>
      <c r="N15" s="4"/>
      <c r="O15" s="4"/>
      <c r="P15" s="4"/>
      <c r="Q15" s="6"/>
      <c r="R15" s="6"/>
      <c r="S15" s="6"/>
      <c r="T15" s="6"/>
      <c r="U15" s="6"/>
      <c r="V15" s="6"/>
      <c r="W15" s="6"/>
      <c r="X15" s="6"/>
      <c r="Y15" s="6"/>
      <c r="Z15" s="6"/>
      <c r="AA15" s="6"/>
      <c r="AB15" s="6"/>
      <c r="AC15" s="6"/>
      <c r="AD15" s="6"/>
    </row>
    <row r="16" spans="1:30" x14ac:dyDescent="0.25">
      <c r="A16" s="62"/>
      <c r="B16" s="62"/>
      <c r="C16" s="62"/>
      <c r="D16" s="62"/>
      <c r="E16" s="62"/>
      <c r="F16" s="62"/>
      <c r="G16" s="62"/>
      <c r="H16" s="62"/>
      <c r="I16" s="62"/>
      <c r="J16" s="62"/>
      <c r="K16" s="152" t="s">
        <v>74</v>
      </c>
      <c r="L16" s="124"/>
      <c r="M16" s="114"/>
      <c r="N16" s="114"/>
      <c r="O16" s="114"/>
      <c r="P16" s="114"/>
      <c r="Q16" s="19"/>
      <c r="R16" s="19"/>
      <c r="S16" s="19"/>
      <c r="T16" s="19"/>
      <c r="U16" s="19"/>
      <c r="V16" s="19"/>
      <c r="W16" s="19"/>
      <c r="X16" s="19"/>
      <c r="Y16" s="19"/>
      <c r="Z16" s="154"/>
      <c r="AA16" s="124"/>
      <c r="AB16" s="154"/>
      <c r="AC16" s="124"/>
      <c r="AD16" s="117"/>
    </row>
    <row r="17" spans="1:28" x14ac:dyDescent="0.25">
      <c r="A17" s="62" t="s">
        <v>30</v>
      </c>
      <c r="B17" s="62" t="s">
        <v>31</v>
      </c>
      <c r="C17" s="62" t="s">
        <v>32</v>
      </c>
      <c r="D17" s="62" t="s">
        <v>33</v>
      </c>
      <c r="E17" s="62" t="s">
        <v>78</v>
      </c>
      <c r="F17" s="62" t="s">
        <v>34</v>
      </c>
      <c r="G17" s="62" t="s">
        <v>79</v>
      </c>
      <c r="H17" s="62" t="s">
        <v>80</v>
      </c>
      <c r="I17" s="62" t="s">
        <v>36</v>
      </c>
      <c r="J17" s="62" t="s">
        <v>37</v>
      </c>
      <c r="K17" s="62" t="s">
        <v>81</v>
      </c>
      <c r="L17" s="62" t="s">
        <v>82</v>
      </c>
      <c r="M17" s="62" t="s">
        <v>83</v>
      </c>
      <c r="N17" s="62" t="s">
        <v>84</v>
      </c>
      <c r="O17" s="114"/>
      <c r="P17" s="114"/>
      <c r="Q17" s="19"/>
      <c r="R17" s="19"/>
      <c r="S17" s="19"/>
      <c r="T17" s="19"/>
      <c r="U17" s="19"/>
      <c r="V17" s="19"/>
      <c r="W17" s="19"/>
      <c r="X17" s="19"/>
      <c r="Y17" s="19"/>
      <c r="Z17" s="19"/>
      <c r="AA17" s="19"/>
      <c r="AB17" s="19"/>
    </row>
    <row r="18" spans="1:28" ht="15.75" customHeight="1" x14ac:dyDescent="0.2">
      <c r="A18" s="21">
        <v>1</v>
      </c>
      <c r="B18" s="21">
        <v>1</v>
      </c>
      <c r="C18" s="21">
        <v>638</v>
      </c>
      <c r="D18" s="21">
        <v>0.1</v>
      </c>
      <c r="E18">
        <f t="shared" ref="E18:E22" si="9">F$18*D18/D$18</f>
        <v>390</v>
      </c>
      <c r="F18" s="21">
        <v>390</v>
      </c>
      <c r="G18" s="70">
        <f t="shared" ref="G18:G22" si="10">E18/F18</f>
        <v>1</v>
      </c>
      <c r="H18" s="70"/>
      <c r="I18" s="21">
        <v>1</v>
      </c>
      <c r="J18" s="63">
        <v>0.5</v>
      </c>
      <c r="K18" s="70">
        <f t="shared" ref="K18:K22" si="11">L18*J18</f>
        <v>6.5435897435897434</v>
      </c>
      <c r="L18" s="70">
        <f t="shared" ref="L18:L22" si="12">M18/E18*C18</f>
        <v>13.087179487179487</v>
      </c>
      <c r="M18" s="68">
        <v>8</v>
      </c>
      <c r="N18" s="85">
        <f t="shared" ref="N18:N22" si="13">K18/M18</f>
        <v>0.81794871794871793</v>
      </c>
      <c r="P18" s="21"/>
      <c r="Q18" s="70"/>
      <c r="R18" s="21"/>
      <c r="S18" s="21"/>
      <c r="T18" s="70"/>
      <c r="U18" s="21"/>
      <c r="V18" s="70"/>
      <c r="W18" s="70"/>
      <c r="X18" s="21"/>
      <c r="Y18" s="63"/>
      <c r="Z18" s="70"/>
      <c r="AA18" s="70"/>
      <c r="AB18" s="68"/>
    </row>
    <row r="19" spans="1:28" ht="15.75" customHeight="1" x14ac:dyDescent="0.2">
      <c r="A19" s="21">
        <v>2</v>
      </c>
      <c r="B19" s="21">
        <v>2</v>
      </c>
      <c r="C19" s="21">
        <v>1300</v>
      </c>
      <c r="D19" s="21">
        <v>0.105</v>
      </c>
      <c r="E19">
        <f t="shared" si="9"/>
        <v>409.49999999999994</v>
      </c>
      <c r="F19">
        <f>450</f>
        <v>450</v>
      </c>
      <c r="G19" s="70">
        <f t="shared" si="10"/>
        <v>0.90999999999999992</v>
      </c>
      <c r="H19" s="70"/>
      <c r="I19" s="72">
        <f t="shared" ref="I19:I22" si="14">D19*10</f>
        <v>1.05</v>
      </c>
      <c r="J19" s="63">
        <v>0.75</v>
      </c>
      <c r="K19" s="70">
        <f t="shared" si="11"/>
        <v>19.047619047619051</v>
      </c>
      <c r="L19" s="70">
        <f t="shared" si="12"/>
        <v>25.396825396825403</v>
      </c>
      <c r="M19" s="68">
        <v>8</v>
      </c>
      <c r="N19" s="85">
        <f t="shared" si="13"/>
        <v>2.3809523809523814</v>
      </c>
      <c r="P19" s="21"/>
      <c r="Q19" s="70"/>
      <c r="R19" s="21"/>
      <c r="S19" s="21"/>
      <c r="T19" s="72"/>
      <c r="V19" s="70"/>
      <c r="W19" s="70"/>
      <c r="X19" s="72"/>
      <c r="Y19" s="63"/>
      <c r="Z19" s="70"/>
      <c r="AA19" s="70"/>
      <c r="AB19" s="68"/>
    </row>
    <row r="20" spans="1:28" ht="15.75" customHeight="1" x14ac:dyDescent="0.2">
      <c r="A20" s="21">
        <v>3</v>
      </c>
      <c r="B20" s="21">
        <v>3</v>
      </c>
      <c r="C20" s="21">
        <v>2100</v>
      </c>
      <c r="D20" s="21">
        <v>0.11</v>
      </c>
      <c r="E20">
        <f t="shared" si="9"/>
        <v>428.99999999999994</v>
      </c>
      <c r="F20">
        <f>550</f>
        <v>550</v>
      </c>
      <c r="G20" s="70">
        <f t="shared" si="10"/>
        <v>0.77999999999999992</v>
      </c>
      <c r="H20" s="70"/>
      <c r="I20" s="72">
        <f t="shared" si="14"/>
        <v>1.1000000000000001</v>
      </c>
      <c r="J20" s="63">
        <v>1</v>
      </c>
      <c r="K20" s="70">
        <f t="shared" si="11"/>
        <v>39.160839160839167</v>
      </c>
      <c r="L20" s="70">
        <f t="shared" si="12"/>
        <v>39.160839160839167</v>
      </c>
      <c r="M20" s="68">
        <v>8</v>
      </c>
      <c r="N20" s="85">
        <f t="shared" si="13"/>
        <v>4.8951048951048959</v>
      </c>
      <c r="P20" s="21"/>
      <c r="Q20" s="70"/>
      <c r="R20" s="21"/>
      <c r="S20" s="21"/>
      <c r="T20" s="72"/>
      <c r="V20" s="70"/>
      <c r="W20" s="70"/>
      <c r="X20" s="72"/>
      <c r="Y20" s="63"/>
      <c r="Z20" s="70"/>
      <c r="AA20" s="70"/>
      <c r="AB20" s="68"/>
    </row>
    <row r="21" spans="1:28" ht="15.75" customHeight="1" x14ac:dyDescent="0.2">
      <c r="A21" s="21">
        <v>4</v>
      </c>
      <c r="B21" s="21">
        <v>5</v>
      </c>
      <c r="C21" s="21">
        <v>3700</v>
      </c>
      <c r="D21" s="21">
        <v>0.115</v>
      </c>
      <c r="E21">
        <f t="shared" si="9"/>
        <v>448.5</v>
      </c>
      <c r="F21">
        <f>750</f>
        <v>750</v>
      </c>
      <c r="G21" s="70">
        <f t="shared" si="10"/>
        <v>0.59799999999999998</v>
      </c>
      <c r="H21" s="70"/>
      <c r="I21" s="72">
        <f t="shared" si="14"/>
        <v>1.1500000000000001</v>
      </c>
      <c r="J21" s="63">
        <v>1.25</v>
      </c>
      <c r="K21" s="70">
        <f t="shared" si="11"/>
        <v>82.497212931995549</v>
      </c>
      <c r="L21" s="70">
        <f t="shared" si="12"/>
        <v>65.997770345596436</v>
      </c>
      <c r="M21" s="68">
        <v>8</v>
      </c>
      <c r="N21" s="85">
        <f t="shared" si="13"/>
        <v>10.312151616499444</v>
      </c>
      <c r="P21" s="21"/>
      <c r="Q21" s="70"/>
      <c r="R21" s="21"/>
      <c r="S21" s="21"/>
      <c r="T21" s="72"/>
      <c r="V21" s="70"/>
      <c r="W21" s="70"/>
      <c r="X21" s="72"/>
      <c r="Y21" s="63"/>
      <c r="Z21" s="70"/>
      <c r="AA21" s="70"/>
      <c r="AB21" s="68"/>
    </row>
    <row r="22" spans="1:28" ht="15.75" customHeight="1" x14ac:dyDescent="0.2">
      <c r="A22" s="21">
        <v>5</v>
      </c>
      <c r="B22" s="21">
        <v>8</v>
      </c>
      <c r="C22" s="21">
        <v>6100</v>
      </c>
      <c r="D22" s="21">
        <v>0.12</v>
      </c>
      <c r="E22">
        <f t="shared" si="9"/>
        <v>467.99999999999994</v>
      </c>
      <c r="F22">
        <f>1000</f>
        <v>1000</v>
      </c>
      <c r="G22" s="70">
        <f t="shared" si="10"/>
        <v>0.46799999999999992</v>
      </c>
      <c r="H22" s="70"/>
      <c r="I22" s="72">
        <f t="shared" si="14"/>
        <v>1.2</v>
      </c>
      <c r="J22" s="63">
        <v>1.5</v>
      </c>
      <c r="K22" s="70">
        <f t="shared" si="11"/>
        <v>156.41025641025644</v>
      </c>
      <c r="L22" s="70">
        <f t="shared" si="12"/>
        <v>104.27350427350429</v>
      </c>
      <c r="M22" s="68">
        <v>8</v>
      </c>
      <c r="N22" s="85">
        <f t="shared" si="13"/>
        <v>19.551282051282055</v>
      </c>
      <c r="P22" s="21"/>
      <c r="Q22" s="70"/>
      <c r="R22" s="21"/>
      <c r="S22" s="21"/>
      <c r="T22" s="72"/>
      <c r="V22" s="70"/>
      <c r="W22" s="70"/>
      <c r="X22" s="72"/>
      <c r="Y22" s="63"/>
      <c r="Z22" s="70"/>
      <c r="AA22" s="70"/>
      <c r="AB22" s="68"/>
    </row>
    <row r="23" spans="1:28" ht="15.75" customHeight="1" x14ac:dyDescent="0.2">
      <c r="E23" s="21"/>
      <c r="F23" s="21"/>
      <c r="K23" s="21" t="s">
        <v>86</v>
      </c>
      <c r="L23">
        <f>75*0.4</f>
        <v>30</v>
      </c>
    </row>
    <row r="24" spans="1:28" ht="15.75" customHeight="1" x14ac:dyDescent="0.2">
      <c r="E24" s="21"/>
    </row>
    <row r="26" spans="1:28" ht="15.75" customHeight="1" x14ac:dyDescent="0.2">
      <c r="G26" s="118"/>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21" t="s">
        <v>87</v>
      </c>
      <c r="B1">
        <f>65+14</f>
        <v>79</v>
      </c>
    </row>
    <row r="2" spans="1:9" ht="15.75" customHeight="1" x14ac:dyDescent="0.2">
      <c r="A2" s="21" t="s">
        <v>88</v>
      </c>
      <c r="B2">
        <f>B1*14</f>
        <v>1106</v>
      </c>
    </row>
    <row r="3" spans="1:9" ht="15.75" customHeight="1" x14ac:dyDescent="0.2">
      <c r="A3" s="21" t="s">
        <v>89</v>
      </c>
      <c r="B3">
        <f>B1*10</f>
        <v>790</v>
      </c>
    </row>
    <row r="4" spans="1:9" ht="15.75" customHeight="1" x14ac:dyDescent="0.2">
      <c r="A4" s="21" t="s">
        <v>68</v>
      </c>
      <c r="B4">
        <f>B3*510/1000</f>
        <v>402.9</v>
      </c>
    </row>
    <row r="5" spans="1:9" ht="15.75" customHeight="1" x14ac:dyDescent="0.2">
      <c r="A5" s="21" t="s">
        <v>90</v>
      </c>
      <c r="B5">
        <f>B4/25</f>
        <v>16.116</v>
      </c>
      <c r="C5">
        <f t="shared" ref="C5:C6" si="0">B5*60</f>
        <v>966.96</v>
      </c>
    </row>
    <row r="6" spans="1:9" ht="15.75" customHeight="1" x14ac:dyDescent="0.2">
      <c r="A6" s="21" t="s">
        <v>91</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21">
        <v>1.56</v>
      </c>
      <c r="G8">
        <f>G9*F8/F9</f>
        <v>37.44</v>
      </c>
      <c r="H8">
        <f>G8*H9</f>
        <v>1347.84</v>
      </c>
      <c r="I8">
        <f>H8*3</f>
        <v>4043.5199999999995</v>
      </c>
    </row>
    <row r="9" spans="1:9" ht="15.75" customHeight="1" x14ac:dyDescent="0.2">
      <c r="A9" s="21" t="s">
        <v>92</v>
      </c>
      <c r="B9" s="21">
        <v>1.56</v>
      </c>
      <c r="C9" s="21" t="s">
        <v>68</v>
      </c>
      <c r="F9" s="21">
        <v>0.1</v>
      </c>
      <c r="G9" s="21">
        <v>2.4</v>
      </c>
      <c r="H9" s="21">
        <v>36</v>
      </c>
      <c r="I9">
        <f>I8/6</f>
        <v>673.92</v>
      </c>
    </row>
    <row r="10" spans="1:9" ht="15.75" customHeight="1" x14ac:dyDescent="0.2">
      <c r="A10" s="21" t="s">
        <v>93</v>
      </c>
      <c r="B10" s="21">
        <v>70</v>
      </c>
      <c r="C10" s="21" t="s">
        <v>94</v>
      </c>
      <c r="D10">
        <f>8*6</f>
        <v>48</v>
      </c>
      <c r="E10" s="21" t="s">
        <v>95</v>
      </c>
      <c r="I10">
        <f>I8/G15</f>
        <v>673.92</v>
      </c>
    </row>
    <row r="11" spans="1:9" ht="15.75" customHeight="1" x14ac:dyDescent="0.2">
      <c r="A11" s="21" t="s">
        <v>96</v>
      </c>
      <c r="B11">
        <f>B9*2</f>
        <v>3.12</v>
      </c>
      <c r="C11" s="21" t="s">
        <v>68</v>
      </c>
      <c r="I11">
        <f>I10/37.5</f>
        <v>17.9712</v>
      </c>
    </row>
    <row r="12" spans="1:9" ht="15.75" customHeight="1" x14ac:dyDescent="0.2">
      <c r="A12" s="21" t="s">
        <v>97</v>
      </c>
      <c r="B12">
        <f>B11*B10</f>
        <v>218.4</v>
      </c>
    </row>
    <row r="13" spans="1:9" ht="15.75" customHeight="1" x14ac:dyDescent="0.2">
      <c r="G13" s="21" t="s">
        <v>98</v>
      </c>
      <c r="H13" s="21" t="s">
        <v>99</v>
      </c>
      <c r="I13" s="21" t="s">
        <v>100</v>
      </c>
    </row>
    <row r="14" spans="1:9" ht="15.75" customHeight="1" x14ac:dyDescent="0.2">
      <c r="F14" s="21" t="s">
        <v>101</v>
      </c>
      <c r="G14" s="21">
        <v>6</v>
      </c>
      <c r="H14" s="21" t="s">
        <v>68</v>
      </c>
      <c r="I14" s="21">
        <v>0.35</v>
      </c>
    </row>
    <row r="15" spans="1:9" ht="15.75" customHeight="1" x14ac:dyDescent="0.2">
      <c r="F15" s="21" t="s">
        <v>102</v>
      </c>
      <c r="G15" s="21">
        <v>6</v>
      </c>
      <c r="H15" s="21" t="s">
        <v>68</v>
      </c>
    </row>
    <row r="16" spans="1:9" ht="15.75" customHeight="1" x14ac:dyDescent="0.2">
      <c r="A16" s="21"/>
      <c r="B16" s="21"/>
      <c r="C16" s="21" t="s">
        <v>103</v>
      </c>
      <c r="D16" s="21" t="s">
        <v>97</v>
      </c>
      <c r="G16">
        <f>G14/G15</f>
        <v>1</v>
      </c>
    </row>
    <row r="18" spans="1:9" ht="15.75" customHeight="1" x14ac:dyDescent="0.2">
      <c r="A18" s="21" t="s">
        <v>89</v>
      </c>
      <c r="B18" s="21">
        <v>10</v>
      </c>
      <c r="E18">
        <f>8*2*1.5</f>
        <v>24</v>
      </c>
      <c r="F18" s="21">
        <f>11*6</f>
        <v>66</v>
      </c>
    </row>
    <row r="19" spans="1:9" ht="15.75" customHeight="1" x14ac:dyDescent="0.2">
      <c r="A19" s="21" t="s">
        <v>104</v>
      </c>
      <c r="B19" s="21">
        <v>510</v>
      </c>
      <c r="F19">
        <f>25</f>
        <v>25</v>
      </c>
      <c r="G19">
        <f>200-25</f>
        <v>175</v>
      </c>
      <c r="H19">
        <f>13/10</f>
        <v>1.3</v>
      </c>
    </row>
    <row r="20" spans="1:9" ht="15.75" customHeight="1" x14ac:dyDescent="0.2">
      <c r="A20" s="21" t="s">
        <v>105</v>
      </c>
      <c r="B20">
        <f>B19*B18</f>
        <v>5100</v>
      </c>
      <c r="E20">
        <f>0.3*2.4</f>
        <v>0.72</v>
      </c>
      <c r="H20">
        <f>638*8</f>
        <v>5104</v>
      </c>
    </row>
    <row r="21" spans="1:9" ht="15.75" customHeight="1" x14ac:dyDescent="0.2">
      <c r="A21" s="21" t="s">
        <v>106</v>
      </c>
      <c r="B21" s="21">
        <v>0.1</v>
      </c>
      <c r="E21">
        <f>E20*25*1.1</f>
        <v>19.8</v>
      </c>
      <c r="F21">
        <f>E21*2</f>
        <v>39.6</v>
      </c>
    </row>
    <row r="22" spans="1:9" ht="15.75" customHeight="1" x14ac:dyDescent="0.2">
      <c r="A22" s="21" t="s">
        <v>107</v>
      </c>
      <c r="B22" s="21">
        <v>1</v>
      </c>
      <c r="E22">
        <f>E21*8</f>
        <v>158.4</v>
      </c>
    </row>
    <row r="23" spans="1:9" ht="15.75" customHeight="1" x14ac:dyDescent="0.2">
      <c r="A23" s="21" t="s">
        <v>108</v>
      </c>
      <c r="B23">
        <f>B22/B21</f>
        <v>10</v>
      </c>
      <c r="G23">
        <f>62*1000000</f>
        <v>62000000</v>
      </c>
      <c r="I23" s="21">
        <f>8*6*1.3</f>
        <v>62.400000000000006</v>
      </c>
    </row>
    <row r="24" spans="1:9" ht="15.75" customHeight="1" x14ac:dyDescent="0.2">
      <c r="A24" s="21" t="s">
        <v>109</v>
      </c>
      <c r="B24" s="21">
        <f>390*13</f>
        <v>5070</v>
      </c>
      <c r="G24">
        <f>G23/500</f>
        <v>124000</v>
      </c>
      <c r="I24" s="21" t="s">
        <v>110</v>
      </c>
    </row>
    <row r="25" spans="1:9" ht="15.75" customHeight="1" x14ac:dyDescent="0.2">
      <c r="G25">
        <f>G24/60/60</f>
        <v>34.444444444444443</v>
      </c>
    </row>
    <row r="27" spans="1:9" ht="15.75" customHeight="1" x14ac:dyDescent="0.2">
      <c r="A27" s="21">
        <v>1</v>
      </c>
      <c r="B27" s="21">
        <v>8</v>
      </c>
    </row>
    <row r="28" spans="1:9" ht="15.75" customHeight="1" x14ac:dyDescent="0.2">
      <c r="A28" s="21">
        <v>390</v>
      </c>
      <c r="B28">
        <f>B27*A28/A27</f>
        <v>3120</v>
      </c>
    </row>
    <row r="31" spans="1:9" ht="15.75" customHeight="1" x14ac:dyDescent="0.2">
      <c r="E31" s="21">
        <v>390</v>
      </c>
      <c r="F31">
        <f>F32*E31</f>
        <v>3120</v>
      </c>
      <c r="H31" s="21">
        <f>6*1.5</f>
        <v>9</v>
      </c>
    </row>
    <row r="32" spans="1:9" ht="15.75" customHeight="1" x14ac:dyDescent="0.2">
      <c r="E32" s="21">
        <v>1</v>
      </c>
      <c r="F32" s="21">
        <v>8</v>
      </c>
    </row>
    <row r="34" spans="3:7" ht="15.75" customHeight="1" x14ac:dyDescent="0.2">
      <c r="G34">
        <f>8*9</f>
        <v>72</v>
      </c>
    </row>
    <row r="40" spans="3:7" ht="12.75" x14ac:dyDescent="0.2">
      <c r="C40">
        <f>7.5/25*2.4</f>
        <v>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Modules</vt:lpstr>
      <vt:lpstr>Steam</vt:lpstr>
      <vt:lpstr>Laser Turrets</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Frits</cp:lastModifiedBy>
  <dcterms:created xsi:type="dcterms:W3CDTF">2015-03-08T14:13:32Z</dcterms:created>
  <dcterms:modified xsi:type="dcterms:W3CDTF">2015-03-08T14:13:32Z</dcterms:modified>
</cp:coreProperties>
</file>